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0BC6852D-14D8-4743-A3C4-0ADE7831C2B8}" xr6:coauthVersionLast="47" xr6:coauthVersionMax="47" xr10:uidLastSave="{00000000-0000-0000-0000-000000000000}"/>
  <bookViews>
    <workbookView xWindow="-28920" yWindow="-120" windowWidth="29040" windowHeight="15720" tabRatio="773" xr2:uid="{8B0709CD-F125-48B5-9131-8EE286754A6F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costs" sheetId="87" r:id="rId11"/>
    <sheet name="Workings_risks" sheetId="88" r:id="rId12"/>
    <sheet name="Tx risks" sheetId="89" r:id="rId13"/>
    <sheet name="Misc_calcs" sheetId="62" r:id="rId14"/>
    <sheet name="Data" sheetId="47" r:id="rId15"/>
    <sheet name="EMCa summary" sheetId="90" r:id="rId16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NN_LOAD_TRANSFER">'Tx risks'!$C$33</definedName>
    <definedName name="options">Data!$B$9:$B$13</definedName>
    <definedName name="output_dollars">Assumptions!$G$33</definedName>
    <definedName name="preferred">Summary!$C$18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vcr_date">Assumptions!$G$29</definedName>
    <definedName name="vcr_esc">Misc_calcs!$D$23</definedName>
    <definedName name="years">Assumptions!$G$31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88" l="1"/>
  <c r="F24" i="88"/>
  <c r="F25" i="88"/>
  <c r="F26" i="88"/>
  <c r="F27" i="88"/>
  <c r="J33" i="81"/>
  <c r="E24" i="88"/>
  <c r="E25" i="88"/>
  <c r="E26" i="88"/>
  <c r="E27" i="88"/>
  <c r="I33" i="81"/>
  <c r="E23" i="88"/>
  <c r="H11" i="62"/>
  <c r="I11" i="62"/>
  <c r="I12" i="62"/>
  <c r="I6" i="62"/>
  <c r="I13" i="62"/>
  <c r="I15" i="62"/>
  <c r="J11" i="62"/>
  <c r="J12" i="62"/>
  <c r="J13" i="62"/>
  <c r="J15" i="62"/>
  <c r="K11" i="62"/>
  <c r="K12" i="62"/>
  <c r="J6" i="62"/>
  <c r="K13" i="62"/>
  <c r="K15" i="62"/>
  <c r="L11" i="62"/>
  <c r="L12" i="62"/>
  <c r="L13" i="62"/>
  <c r="L15" i="62"/>
  <c r="M11" i="62"/>
  <c r="M12" i="62"/>
  <c r="K6" i="62"/>
  <c r="M13" i="62"/>
  <c r="M15" i="62"/>
  <c r="N11" i="62"/>
  <c r="N12" i="62"/>
  <c r="N13" i="62"/>
  <c r="N15" i="62"/>
  <c r="O11" i="62"/>
  <c r="O12" i="62"/>
  <c r="L6" i="62"/>
  <c r="O13" i="62"/>
  <c r="O15" i="62"/>
  <c r="P11" i="62"/>
  <c r="P12" i="62"/>
  <c r="P13" i="62"/>
  <c r="P15" i="62"/>
  <c r="F21" i="62"/>
  <c r="G48" i="88"/>
  <c r="K28" i="73"/>
  <c r="H48" i="88"/>
  <c r="I48" i="88"/>
  <c r="M28" i="73"/>
  <c r="C17" i="62"/>
  <c r="Q11" i="62"/>
  <c r="R11" i="62"/>
  <c r="Q12" i="62"/>
  <c r="M6" i="62"/>
  <c r="Q13" i="62"/>
  <c r="Q15" i="62"/>
  <c r="R12" i="62"/>
  <c r="R13" i="62"/>
  <c r="R15" i="62"/>
  <c r="D17" i="62"/>
  <c r="C16" i="62"/>
  <c r="D16" i="62"/>
  <c r="D19" i="62"/>
  <c r="M56" i="75"/>
  <c r="J48" i="88"/>
  <c r="K48" i="88"/>
  <c r="O28" i="73"/>
  <c r="O56" i="75"/>
  <c r="L48" i="88"/>
  <c r="M48" i="88"/>
  <c r="Q28" i="73"/>
  <c r="Q56" i="75"/>
  <c r="N48" i="88"/>
  <c r="R28" i="73"/>
  <c r="R56" i="75"/>
  <c r="O48" i="88"/>
  <c r="S28" i="73"/>
  <c r="S56" i="75"/>
  <c r="P48" i="88"/>
  <c r="T28" i="73"/>
  <c r="T56" i="75"/>
  <c r="Q48" i="88"/>
  <c r="U28" i="73"/>
  <c r="U56" i="75"/>
  <c r="R48" i="88"/>
  <c r="V28" i="73"/>
  <c r="V56" i="75"/>
  <c r="S48" i="88"/>
  <c r="W28" i="73"/>
  <c r="T48" i="88"/>
  <c r="X28" i="73"/>
  <c r="X56" i="75"/>
  <c r="U48" i="88"/>
  <c r="Y28" i="73"/>
  <c r="Y56" i="75"/>
  <c r="V48" i="88"/>
  <c r="Z28" i="73"/>
  <c r="W48" i="88"/>
  <c r="AA28" i="73"/>
  <c r="AA56" i="75"/>
  <c r="X48" i="88"/>
  <c r="AB28" i="73"/>
  <c r="AB56" i="75"/>
  <c r="Y48" i="88"/>
  <c r="AC28" i="73"/>
  <c r="Z48" i="88"/>
  <c r="AD28" i="73"/>
  <c r="AD56" i="75"/>
  <c r="AA48" i="88"/>
  <c r="AE28" i="73"/>
  <c r="AE56" i="75"/>
  <c r="AB48" i="88"/>
  <c r="AF28" i="73"/>
  <c r="AF56" i="75"/>
  <c r="AC48" i="88"/>
  <c r="AG28" i="73"/>
  <c r="AG56" i="75"/>
  <c r="G49" i="88"/>
  <c r="K30" i="73"/>
  <c r="H49" i="88"/>
  <c r="L30" i="73"/>
  <c r="I49" i="88"/>
  <c r="M30" i="73"/>
  <c r="J49" i="88"/>
  <c r="N30" i="73"/>
  <c r="K49" i="88"/>
  <c r="L49" i="88"/>
  <c r="P30" i="73"/>
  <c r="M49" i="88"/>
  <c r="Q30" i="73"/>
  <c r="N49" i="88"/>
  <c r="R30" i="73"/>
  <c r="O49" i="88"/>
  <c r="S30" i="73"/>
  <c r="P49" i="88"/>
  <c r="T30" i="73"/>
  <c r="Q49" i="88"/>
  <c r="U30" i="73"/>
  <c r="R49" i="88"/>
  <c r="V30" i="73"/>
  <c r="S49" i="88"/>
  <c r="W30" i="73"/>
  <c r="T49" i="88"/>
  <c r="X30" i="73"/>
  <c r="U49" i="88"/>
  <c r="Y30" i="73"/>
  <c r="V49" i="88"/>
  <c r="Z30" i="73"/>
  <c r="W49" i="88"/>
  <c r="AA30" i="73"/>
  <c r="X49" i="88"/>
  <c r="AB30" i="73"/>
  <c r="Y49" i="88"/>
  <c r="AC30" i="73"/>
  <c r="Z49" i="88"/>
  <c r="AD30" i="73"/>
  <c r="AA49" i="88"/>
  <c r="AE30" i="73"/>
  <c r="AB49" i="88"/>
  <c r="AF30" i="73"/>
  <c r="AC49" i="88"/>
  <c r="AG30" i="73"/>
  <c r="G50" i="88"/>
  <c r="K31" i="73"/>
  <c r="H50" i="88"/>
  <c r="L31" i="73"/>
  <c r="I50" i="88"/>
  <c r="M31" i="73"/>
  <c r="J50" i="88"/>
  <c r="N31" i="73"/>
  <c r="K50" i="88"/>
  <c r="O31" i="73"/>
  <c r="L50" i="88"/>
  <c r="P31" i="73"/>
  <c r="M50" i="88"/>
  <c r="Q31" i="73"/>
  <c r="N50" i="88"/>
  <c r="R31" i="73"/>
  <c r="O50" i="88"/>
  <c r="S31" i="73"/>
  <c r="P50" i="88"/>
  <c r="T31" i="73"/>
  <c r="Q50" i="88"/>
  <c r="U31" i="73"/>
  <c r="R50" i="88"/>
  <c r="V31" i="73"/>
  <c r="S50" i="88"/>
  <c r="W31" i="73"/>
  <c r="T50" i="88"/>
  <c r="X31" i="73"/>
  <c r="U50" i="88"/>
  <c r="Y31" i="73"/>
  <c r="V50" i="88"/>
  <c r="Z31" i="73"/>
  <c r="W50" i="88"/>
  <c r="AA31" i="73"/>
  <c r="X50" i="88"/>
  <c r="AB31" i="73"/>
  <c r="Y50" i="88"/>
  <c r="AC31" i="73"/>
  <c r="Z50" i="88"/>
  <c r="AD31" i="73"/>
  <c r="AA50" i="88"/>
  <c r="AE31" i="73"/>
  <c r="AB50" i="88"/>
  <c r="AF31" i="73"/>
  <c r="AC50" i="88"/>
  <c r="AG31" i="73"/>
  <c r="G51" i="88"/>
  <c r="K32" i="73"/>
  <c r="H51" i="88"/>
  <c r="L32" i="73"/>
  <c r="I51" i="88"/>
  <c r="M32" i="73"/>
  <c r="J51" i="88"/>
  <c r="N32" i="73"/>
  <c r="K51" i="88"/>
  <c r="O32" i="73"/>
  <c r="L51" i="88"/>
  <c r="P32" i="73"/>
  <c r="M51" i="88"/>
  <c r="Q32" i="73"/>
  <c r="N51" i="88"/>
  <c r="R32" i="73"/>
  <c r="O51" i="88"/>
  <c r="S32" i="73"/>
  <c r="P51" i="88"/>
  <c r="T32" i="73"/>
  <c r="Q51" i="88"/>
  <c r="U32" i="73"/>
  <c r="R51" i="88"/>
  <c r="V32" i="73"/>
  <c r="S51" i="88"/>
  <c r="W32" i="73"/>
  <c r="T51" i="88"/>
  <c r="X32" i="73"/>
  <c r="U51" i="88"/>
  <c r="Y32" i="73"/>
  <c r="V51" i="88"/>
  <c r="Z32" i="73"/>
  <c r="W51" i="88"/>
  <c r="AA32" i="73"/>
  <c r="X51" i="88"/>
  <c r="AB32" i="73"/>
  <c r="Y51" i="88"/>
  <c r="AC32" i="73"/>
  <c r="Z51" i="88"/>
  <c r="AD32" i="73"/>
  <c r="AA51" i="88"/>
  <c r="AE32" i="73"/>
  <c r="AB51" i="88"/>
  <c r="AF32" i="73"/>
  <c r="AC51" i="88"/>
  <c r="AG32" i="73"/>
  <c r="G52" i="88"/>
  <c r="K33" i="73"/>
  <c r="H52" i="88"/>
  <c r="L33" i="73"/>
  <c r="I52" i="88"/>
  <c r="M33" i="73"/>
  <c r="J52" i="88"/>
  <c r="N33" i="73"/>
  <c r="K52" i="88"/>
  <c r="O33" i="73"/>
  <c r="L52" i="88"/>
  <c r="P33" i="73"/>
  <c r="M52" i="88"/>
  <c r="Q33" i="73"/>
  <c r="N52" i="88"/>
  <c r="R33" i="73"/>
  <c r="O52" i="88"/>
  <c r="S33" i="73"/>
  <c r="P52" i="88"/>
  <c r="T33" i="73"/>
  <c r="Q52" i="88"/>
  <c r="U33" i="73"/>
  <c r="R52" i="88"/>
  <c r="V33" i="73"/>
  <c r="S52" i="88"/>
  <c r="T52" i="88"/>
  <c r="X33" i="73"/>
  <c r="U52" i="88"/>
  <c r="Y33" i="73"/>
  <c r="V52" i="88"/>
  <c r="Z33" i="73"/>
  <c r="W52" i="88"/>
  <c r="X52" i="88"/>
  <c r="AB33" i="73"/>
  <c r="Y52" i="88"/>
  <c r="AC33" i="73"/>
  <c r="Z52" i="88"/>
  <c r="AD33" i="73"/>
  <c r="AA52" i="88"/>
  <c r="AE33" i="73"/>
  <c r="AB52" i="88"/>
  <c r="AF33" i="73"/>
  <c r="AC52" i="88"/>
  <c r="AG33" i="73"/>
  <c r="F49" i="88"/>
  <c r="J30" i="73"/>
  <c r="F50" i="88"/>
  <c r="J31" i="73"/>
  <c r="F51" i="88"/>
  <c r="J32" i="73"/>
  <c r="F52" i="88"/>
  <c r="J33" i="73"/>
  <c r="F48" i="88"/>
  <c r="J28" i="73"/>
  <c r="J56" i="75"/>
  <c r="C33" i="73"/>
  <c r="C32" i="73"/>
  <c r="C31" i="73"/>
  <c r="C30" i="73"/>
  <c r="B44" i="87"/>
  <c r="B44" i="88"/>
  <c r="AC49" i="87"/>
  <c r="AB49" i="87"/>
  <c r="AA49" i="87"/>
  <c r="Z49" i="87"/>
  <c r="Y49" i="87"/>
  <c r="X49" i="87"/>
  <c r="W49" i="87"/>
  <c r="V49" i="87"/>
  <c r="U49" i="87"/>
  <c r="T49" i="87"/>
  <c r="S49" i="87"/>
  <c r="R49" i="87"/>
  <c r="Q49" i="87"/>
  <c r="P49" i="87"/>
  <c r="O49" i="87"/>
  <c r="N49" i="87"/>
  <c r="M49" i="87"/>
  <c r="L49" i="87"/>
  <c r="K49" i="87"/>
  <c r="J49" i="87"/>
  <c r="I49" i="87"/>
  <c r="H49" i="87"/>
  <c r="G49" i="87"/>
  <c r="F49" i="87"/>
  <c r="E49" i="87"/>
  <c r="I14" i="73"/>
  <c r="F36" i="88"/>
  <c r="J30" i="72"/>
  <c r="F37" i="88"/>
  <c r="J31" i="72"/>
  <c r="F38" i="88"/>
  <c r="J32" i="72"/>
  <c r="F39" i="88"/>
  <c r="J33" i="72"/>
  <c r="F35" i="88"/>
  <c r="J28" i="72"/>
  <c r="J42" i="75"/>
  <c r="L28" i="73"/>
  <c r="L56" i="75"/>
  <c r="G35" i="88"/>
  <c r="K28" i="72"/>
  <c r="K42" i="75"/>
  <c r="H35" i="88"/>
  <c r="L28" i="72"/>
  <c r="L42" i="75"/>
  <c r="I35" i="88"/>
  <c r="M28" i="72"/>
  <c r="M42" i="75"/>
  <c r="J35" i="88"/>
  <c r="N28" i="72"/>
  <c r="N42" i="75"/>
  <c r="K35" i="88"/>
  <c r="O28" i="72"/>
  <c r="O42" i="75"/>
  <c r="L35" i="88"/>
  <c r="P28" i="72"/>
  <c r="P42" i="75"/>
  <c r="M35" i="88"/>
  <c r="Q28" i="72"/>
  <c r="Q42" i="75"/>
  <c r="N35" i="88"/>
  <c r="R28" i="72"/>
  <c r="R42" i="75"/>
  <c r="O35" i="88"/>
  <c r="P35" i="88"/>
  <c r="T28" i="72"/>
  <c r="T42" i="75"/>
  <c r="Q35" i="88"/>
  <c r="U28" i="72"/>
  <c r="R35" i="88"/>
  <c r="S35" i="88"/>
  <c r="W28" i="72"/>
  <c r="T35" i="88"/>
  <c r="U35" i="88"/>
  <c r="V35" i="88"/>
  <c r="Z28" i="72"/>
  <c r="Z42" i="75"/>
  <c r="W35" i="88"/>
  <c r="AA28" i="72"/>
  <c r="AA42" i="75"/>
  <c r="X35" i="88"/>
  <c r="Y35" i="88"/>
  <c r="AC28" i="72"/>
  <c r="AC42" i="75"/>
  <c r="Z35" i="88"/>
  <c r="AD28" i="72"/>
  <c r="AD42" i="75"/>
  <c r="AA35" i="88"/>
  <c r="AE28" i="72"/>
  <c r="AB35" i="88"/>
  <c r="AF28" i="72"/>
  <c r="AF42" i="75"/>
  <c r="AC35" i="88"/>
  <c r="AG28" i="72"/>
  <c r="G36" i="88"/>
  <c r="K30" i="72"/>
  <c r="H36" i="88"/>
  <c r="L30" i="72"/>
  <c r="I36" i="88"/>
  <c r="M30" i="72"/>
  <c r="J36" i="88"/>
  <c r="N30" i="72"/>
  <c r="K36" i="88"/>
  <c r="O30" i="72"/>
  <c r="L36" i="88"/>
  <c r="P30" i="72"/>
  <c r="M36" i="88"/>
  <c r="Q30" i="72"/>
  <c r="N36" i="88"/>
  <c r="O36" i="88"/>
  <c r="S30" i="72"/>
  <c r="P36" i="88"/>
  <c r="T30" i="72"/>
  <c r="Q36" i="88"/>
  <c r="U30" i="72"/>
  <c r="R36" i="88"/>
  <c r="V30" i="72"/>
  <c r="S36" i="88"/>
  <c r="W30" i="72"/>
  <c r="T36" i="88"/>
  <c r="X30" i="72"/>
  <c r="U36" i="88"/>
  <c r="Y30" i="72"/>
  <c r="V36" i="88"/>
  <c r="Z30" i="72"/>
  <c r="W36" i="88"/>
  <c r="AA30" i="72"/>
  <c r="X36" i="88"/>
  <c r="AB30" i="72"/>
  <c r="Y36" i="88"/>
  <c r="AC30" i="72"/>
  <c r="Z36" i="88"/>
  <c r="AD30" i="72"/>
  <c r="AA36" i="88"/>
  <c r="AE30" i="72"/>
  <c r="AB36" i="88"/>
  <c r="AC36" i="88"/>
  <c r="AG30" i="72"/>
  <c r="G37" i="88"/>
  <c r="K31" i="72"/>
  <c r="H37" i="88"/>
  <c r="L31" i="72"/>
  <c r="I37" i="88"/>
  <c r="M31" i="72"/>
  <c r="J37" i="88"/>
  <c r="N31" i="72"/>
  <c r="K37" i="88"/>
  <c r="O31" i="72"/>
  <c r="L37" i="88"/>
  <c r="P31" i="72"/>
  <c r="M37" i="88"/>
  <c r="Q31" i="72"/>
  <c r="N37" i="88"/>
  <c r="R31" i="72"/>
  <c r="O37" i="88"/>
  <c r="S31" i="72"/>
  <c r="P37" i="88"/>
  <c r="T31" i="72"/>
  <c r="Q37" i="88"/>
  <c r="U31" i="72"/>
  <c r="R37" i="88"/>
  <c r="V31" i="72"/>
  <c r="S37" i="88"/>
  <c r="W31" i="72"/>
  <c r="T37" i="88"/>
  <c r="X31" i="72"/>
  <c r="U37" i="88"/>
  <c r="Y31" i="72"/>
  <c r="V37" i="88"/>
  <c r="Z31" i="72"/>
  <c r="W37" i="88"/>
  <c r="AA31" i="72"/>
  <c r="X37" i="88"/>
  <c r="AB31" i="72"/>
  <c r="Y37" i="88"/>
  <c r="Z37" i="88"/>
  <c r="AA37" i="88"/>
  <c r="AE31" i="72"/>
  <c r="AB37" i="88"/>
  <c r="AF31" i="72"/>
  <c r="AC37" i="88"/>
  <c r="AG31" i="72"/>
  <c r="G38" i="88"/>
  <c r="K32" i="72"/>
  <c r="H38" i="88"/>
  <c r="L32" i="72"/>
  <c r="I38" i="88"/>
  <c r="M32" i="72"/>
  <c r="J38" i="88"/>
  <c r="N32" i="72"/>
  <c r="K38" i="88"/>
  <c r="O32" i="72"/>
  <c r="L38" i="88"/>
  <c r="P32" i="72"/>
  <c r="M38" i="88"/>
  <c r="Q32" i="72"/>
  <c r="N38" i="88"/>
  <c r="R32" i="72"/>
  <c r="O38" i="88"/>
  <c r="S32" i="72"/>
  <c r="P38" i="88"/>
  <c r="T32" i="72"/>
  <c r="Q38" i="88"/>
  <c r="U32" i="72"/>
  <c r="R38" i="88"/>
  <c r="V32" i="72"/>
  <c r="S38" i="88"/>
  <c r="W32" i="72"/>
  <c r="T38" i="88"/>
  <c r="X32" i="72"/>
  <c r="U38" i="88"/>
  <c r="Y32" i="72"/>
  <c r="V38" i="88"/>
  <c r="Z32" i="72"/>
  <c r="W38" i="88"/>
  <c r="AA32" i="72"/>
  <c r="X38" i="88"/>
  <c r="AB32" i="72"/>
  <c r="Y38" i="88"/>
  <c r="AC32" i="72"/>
  <c r="Z38" i="88"/>
  <c r="AD32" i="72"/>
  <c r="AA38" i="88"/>
  <c r="AE32" i="72"/>
  <c r="AB38" i="88"/>
  <c r="AF32" i="72"/>
  <c r="AC38" i="88"/>
  <c r="AG32" i="72"/>
  <c r="G39" i="88"/>
  <c r="K33" i="72"/>
  <c r="H39" i="88"/>
  <c r="L33" i="72"/>
  <c r="I39" i="88"/>
  <c r="M33" i="72"/>
  <c r="J39" i="88"/>
  <c r="N33" i="72"/>
  <c r="K39" i="88"/>
  <c r="O33" i="72"/>
  <c r="L39" i="88"/>
  <c r="P33" i="72"/>
  <c r="M39" i="88"/>
  <c r="N39" i="88"/>
  <c r="R33" i="72"/>
  <c r="O39" i="88"/>
  <c r="S33" i="72"/>
  <c r="P39" i="88"/>
  <c r="T33" i="72"/>
  <c r="Q39" i="88"/>
  <c r="U33" i="72"/>
  <c r="R39" i="88"/>
  <c r="V33" i="72"/>
  <c r="S39" i="88"/>
  <c r="W33" i="72"/>
  <c r="T39" i="88"/>
  <c r="X33" i="72"/>
  <c r="U39" i="88"/>
  <c r="Y33" i="72"/>
  <c r="V39" i="88"/>
  <c r="Z33" i="72"/>
  <c r="W39" i="88"/>
  <c r="AA33" i="72"/>
  <c r="X39" i="88"/>
  <c r="AB33" i="72"/>
  <c r="Y39" i="88"/>
  <c r="AC33" i="72"/>
  <c r="Z39" i="88"/>
  <c r="AD33" i="72"/>
  <c r="AA39" i="88"/>
  <c r="AE33" i="72"/>
  <c r="AB39" i="88"/>
  <c r="AF33" i="72"/>
  <c r="AC39" i="88"/>
  <c r="AG33" i="72"/>
  <c r="G24" i="88"/>
  <c r="K30" i="81"/>
  <c r="H24" i="88"/>
  <c r="L30" i="81"/>
  <c r="I24" i="88"/>
  <c r="M30" i="81"/>
  <c r="J24" i="88"/>
  <c r="N30" i="81"/>
  <c r="K24" i="88"/>
  <c r="O30" i="81"/>
  <c r="L24" i="88"/>
  <c r="P30" i="81"/>
  <c r="M24" i="88"/>
  <c r="N24" i="88"/>
  <c r="R30" i="81"/>
  <c r="O24" i="88"/>
  <c r="S30" i="81"/>
  <c r="P24" i="88"/>
  <c r="T30" i="81"/>
  <c r="Q24" i="88"/>
  <c r="R24" i="88"/>
  <c r="V30" i="81"/>
  <c r="S24" i="88"/>
  <c r="W30" i="81"/>
  <c r="T24" i="88"/>
  <c r="X30" i="81"/>
  <c r="U24" i="88"/>
  <c r="Y30" i="81"/>
  <c r="V24" i="88"/>
  <c r="Z30" i="81"/>
  <c r="W24" i="88"/>
  <c r="AA30" i="81"/>
  <c r="X24" i="88"/>
  <c r="AB30" i="81"/>
  <c r="Y24" i="88"/>
  <c r="AC30" i="81"/>
  <c r="Z24" i="88"/>
  <c r="AD30" i="81"/>
  <c r="AA24" i="88"/>
  <c r="AE30" i="81"/>
  <c r="AB24" i="88"/>
  <c r="AF30" i="81"/>
  <c r="AC24" i="88"/>
  <c r="AG30" i="81"/>
  <c r="G25" i="88"/>
  <c r="H25" i="88"/>
  <c r="L31" i="81"/>
  <c r="I25" i="88"/>
  <c r="M31" i="81"/>
  <c r="J25" i="88"/>
  <c r="N31" i="81"/>
  <c r="K25" i="88"/>
  <c r="L25" i="88"/>
  <c r="P31" i="81"/>
  <c r="M25" i="88"/>
  <c r="Q31" i="81"/>
  <c r="N25" i="88"/>
  <c r="R31" i="81"/>
  <c r="O25" i="88"/>
  <c r="P25" i="88"/>
  <c r="T31" i="81"/>
  <c r="Q25" i="88"/>
  <c r="U31" i="81"/>
  <c r="R25" i="88"/>
  <c r="V31" i="81"/>
  <c r="S25" i="88"/>
  <c r="W31" i="81"/>
  <c r="T25" i="88"/>
  <c r="X31" i="81"/>
  <c r="U25" i="88"/>
  <c r="Y31" i="81"/>
  <c r="V25" i="88"/>
  <c r="Z31" i="81"/>
  <c r="W25" i="88"/>
  <c r="AA31" i="81"/>
  <c r="X25" i="88"/>
  <c r="AB31" i="81"/>
  <c r="Y25" i="88"/>
  <c r="AC31" i="81"/>
  <c r="Z25" i="88"/>
  <c r="AD31" i="81"/>
  <c r="AA25" i="88"/>
  <c r="AE31" i="81"/>
  <c r="AB25" i="88"/>
  <c r="AC25" i="88"/>
  <c r="AG31" i="81"/>
  <c r="G26" i="88"/>
  <c r="K32" i="81"/>
  <c r="H26" i="88"/>
  <c r="L32" i="81"/>
  <c r="I26" i="88"/>
  <c r="M32" i="81"/>
  <c r="J26" i="88"/>
  <c r="N32" i="81"/>
  <c r="K26" i="88"/>
  <c r="O32" i="81"/>
  <c r="L26" i="88"/>
  <c r="P32" i="81"/>
  <c r="M26" i="88"/>
  <c r="Q32" i="81"/>
  <c r="N26" i="88"/>
  <c r="R32" i="81"/>
  <c r="O26" i="88"/>
  <c r="S32" i="81"/>
  <c r="P26" i="88"/>
  <c r="T32" i="81"/>
  <c r="Q26" i="88"/>
  <c r="U32" i="81"/>
  <c r="R26" i="88"/>
  <c r="V32" i="81"/>
  <c r="S26" i="88"/>
  <c r="W32" i="81"/>
  <c r="T26" i="88"/>
  <c r="X32" i="81"/>
  <c r="U26" i="88"/>
  <c r="Y32" i="81"/>
  <c r="V26" i="88"/>
  <c r="Z32" i="81"/>
  <c r="W26" i="88"/>
  <c r="AA32" i="81"/>
  <c r="X26" i="88"/>
  <c r="AB32" i="81"/>
  <c r="Y26" i="88"/>
  <c r="AC32" i="81"/>
  <c r="Z26" i="88"/>
  <c r="AD32" i="81"/>
  <c r="AA26" i="88"/>
  <c r="AE32" i="81"/>
  <c r="AB26" i="88"/>
  <c r="AF32" i="81"/>
  <c r="AC26" i="88"/>
  <c r="AG32" i="81"/>
  <c r="G27" i="88"/>
  <c r="K33" i="81"/>
  <c r="H27" i="88"/>
  <c r="L33" i="81"/>
  <c r="I27" i="88"/>
  <c r="J27" i="88"/>
  <c r="N33" i="81"/>
  <c r="K27" i="88"/>
  <c r="O33" i="81"/>
  <c r="L27" i="88"/>
  <c r="M27" i="88"/>
  <c r="Q33" i="81"/>
  <c r="N27" i="88"/>
  <c r="R33" i="81"/>
  <c r="O27" i="88"/>
  <c r="S33" i="81"/>
  <c r="P27" i="88"/>
  <c r="T33" i="81"/>
  <c r="Q27" i="88"/>
  <c r="U33" i="81"/>
  <c r="R27" i="88"/>
  <c r="S27" i="88"/>
  <c r="W33" i="81"/>
  <c r="T27" i="88"/>
  <c r="X33" i="81"/>
  <c r="U27" i="88"/>
  <c r="Y33" i="81"/>
  <c r="V27" i="88"/>
  <c r="Z33" i="81"/>
  <c r="W27" i="88"/>
  <c r="AA33" i="81"/>
  <c r="X27" i="88"/>
  <c r="Y27" i="88"/>
  <c r="AC33" i="81"/>
  <c r="Z27" i="88"/>
  <c r="AA27" i="88"/>
  <c r="AB27" i="88"/>
  <c r="AC27" i="88"/>
  <c r="AG33" i="81"/>
  <c r="H23" i="88"/>
  <c r="L28" i="81"/>
  <c r="L28" i="75"/>
  <c r="I23" i="88"/>
  <c r="M28" i="81"/>
  <c r="M28" i="75"/>
  <c r="J23" i="88"/>
  <c r="K23" i="88"/>
  <c r="O28" i="81"/>
  <c r="O28" i="75"/>
  <c r="L23" i="88"/>
  <c r="P28" i="81"/>
  <c r="P28" i="75"/>
  <c r="M23" i="88"/>
  <c r="Q28" i="81"/>
  <c r="Q28" i="75"/>
  <c r="N23" i="88"/>
  <c r="O23" i="88"/>
  <c r="P23" i="88"/>
  <c r="T28" i="81"/>
  <c r="T28" i="75"/>
  <c r="Q23" i="88"/>
  <c r="U28" i="81"/>
  <c r="U28" i="75"/>
  <c r="R23" i="88"/>
  <c r="V28" i="81"/>
  <c r="V28" i="75"/>
  <c r="S23" i="88"/>
  <c r="W28" i="81"/>
  <c r="W28" i="75"/>
  <c r="T23" i="88"/>
  <c r="X28" i="81"/>
  <c r="X28" i="75"/>
  <c r="U23" i="88"/>
  <c r="Y28" i="81"/>
  <c r="Y28" i="75"/>
  <c r="V23" i="88"/>
  <c r="W23" i="88"/>
  <c r="AA28" i="81"/>
  <c r="AA28" i="75"/>
  <c r="X23" i="88"/>
  <c r="AB28" i="81"/>
  <c r="Y23" i="88"/>
  <c r="Z23" i="88"/>
  <c r="AD28" i="81"/>
  <c r="AD28" i="75"/>
  <c r="AA23" i="88"/>
  <c r="AE28" i="81"/>
  <c r="AE28" i="75"/>
  <c r="AB23" i="88"/>
  <c r="AF28" i="81"/>
  <c r="AF28" i="75"/>
  <c r="AC23" i="88"/>
  <c r="AG28" i="81"/>
  <c r="AG28" i="75"/>
  <c r="J28" i="81"/>
  <c r="J28" i="75"/>
  <c r="G23" i="88"/>
  <c r="K28" i="81"/>
  <c r="K28" i="75"/>
  <c r="J30" i="81"/>
  <c r="J32" i="81"/>
  <c r="I30" i="81"/>
  <c r="I31" i="81"/>
  <c r="I32" i="81"/>
  <c r="I28" i="81"/>
  <c r="I28" i="75"/>
  <c r="E12" i="88"/>
  <c r="I30" i="68"/>
  <c r="F12" i="88"/>
  <c r="J30" i="68"/>
  <c r="G12" i="88"/>
  <c r="K30" i="68"/>
  <c r="H12" i="88"/>
  <c r="L30" i="68"/>
  <c r="I12" i="88"/>
  <c r="M30" i="68"/>
  <c r="J12" i="88"/>
  <c r="N30" i="68"/>
  <c r="K12" i="88"/>
  <c r="O30" i="68"/>
  <c r="L12" i="88"/>
  <c r="P30" i="68"/>
  <c r="M12" i="88"/>
  <c r="Q30" i="68"/>
  <c r="N12" i="88"/>
  <c r="O12" i="88"/>
  <c r="P12" i="88"/>
  <c r="T30" i="68"/>
  <c r="Q12" i="88"/>
  <c r="U30" i="68"/>
  <c r="R12" i="88"/>
  <c r="V30" i="68"/>
  <c r="S12" i="88"/>
  <c r="W30" i="68"/>
  <c r="T12" i="88"/>
  <c r="X30" i="68"/>
  <c r="U12" i="88"/>
  <c r="Y30" i="68"/>
  <c r="V12" i="88"/>
  <c r="Z30" i="68"/>
  <c r="W12" i="88"/>
  <c r="AA30" i="68"/>
  <c r="X12" i="88"/>
  <c r="AB30" i="68"/>
  <c r="Y12" i="88"/>
  <c r="AC30" i="68"/>
  <c r="Z12" i="88"/>
  <c r="AD30" i="68"/>
  <c r="AA12" i="88"/>
  <c r="AE30" i="68"/>
  <c r="AB12" i="88"/>
  <c r="AF30" i="68"/>
  <c r="AC12" i="88"/>
  <c r="AG30" i="68"/>
  <c r="E13" i="88"/>
  <c r="E50" i="88"/>
  <c r="I31" i="73"/>
  <c r="F13" i="88"/>
  <c r="J31" i="68"/>
  <c r="G13" i="88"/>
  <c r="K31" i="68"/>
  <c r="H13" i="88"/>
  <c r="L31" i="68"/>
  <c r="I13" i="88"/>
  <c r="M31" i="68"/>
  <c r="J13" i="88"/>
  <c r="N31" i="68"/>
  <c r="K13" i="88"/>
  <c r="O31" i="68"/>
  <c r="L13" i="88"/>
  <c r="P31" i="68"/>
  <c r="M13" i="88"/>
  <c r="Q31" i="68"/>
  <c r="N13" i="88"/>
  <c r="R31" i="68"/>
  <c r="O13" i="88"/>
  <c r="S31" i="68"/>
  <c r="P13" i="88"/>
  <c r="T31" i="68"/>
  <c r="Q13" i="88"/>
  <c r="U31" i="68"/>
  <c r="R13" i="88"/>
  <c r="V31" i="68"/>
  <c r="S13" i="88"/>
  <c r="W31" i="68"/>
  <c r="T13" i="88"/>
  <c r="X31" i="68"/>
  <c r="U13" i="88"/>
  <c r="Y31" i="68"/>
  <c r="V13" i="88"/>
  <c r="Z31" i="68"/>
  <c r="W13" i="88"/>
  <c r="AA31" i="68"/>
  <c r="X13" i="88"/>
  <c r="AB31" i="68"/>
  <c r="Y13" i="88"/>
  <c r="AC31" i="68"/>
  <c r="Z13" i="88"/>
  <c r="AD31" i="68"/>
  <c r="AA13" i="88"/>
  <c r="AE31" i="68"/>
  <c r="AB13" i="88"/>
  <c r="AF31" i="68"/>
  <c r="AC13" i="88"/>
  <c r="AG31" i="68"/>
  <c r="E14" i="88"/>
  <c r="E38" i="88"/>
  <c r="I32" i="72"/>
  <c r="F14" i="88"/>
  <c r="J32" i="68"/>
  <c r="G14" i="88"/>
  <c r="K32" i="68"/>
  <c r="H14" i="88"/>
  <c r="L32" i="68"/>
  <c r="I14" i="88"/>
  <c r="M32" i="68"/>
  <c r="J14" i="88"/>
  <c r="N32" i="68"/>
  <c r="K14" i="88"/>
  <c r="L14" i="88"/>
  <c r="P32" i="68"/>
  <c r="M14" i="88"/>
  <c r="Q32" i="68"/>
  <c r="N14" i="88"/>
  <c r="R32" i="68"/>
  <c r="O14" i="88"/>
  <c r="S32" i="68"/>
  <c r="P14" i="88"/>
  <c r="T32" i="68"/>
  <c r="Q14" i="88"/>
  <c r="U32" i="68"/>
  <c r="R14" i="88"/>
  <c r="V32" i="68"/>
  <c r="S14" i="88"/>
  <c r="W32" i="68"/>
  <c r="T14" i="88"/>
  <c r="X32" i="68"/>
  <c r="U14" i="88"/>
  <c r="Y32" i="68"/>
  <c r="V14" i="88"/>
  <c r="Z32" i="68"/>
  <c r="W14" i="88"/>
  <c r="AA32" i="68"/>
  <c r="X14" i="88"/>
  <c r="AB32" i="68"/>
  <c r="Y14" i="88"/>
  <c r="AC32" i="68"/>
  <c r="Z14" i="88"/>
  <c r="AD32" i="68"/>
  <c r="AA14" i="88"/>
  <c r="AE32" i="68"/>
  <c r="AB14" i="88"/>
  <c r="AF32" i="68"/>
  <c r="AC14" i="88"/>
  <c r="E15" i="88"/>
  <c r="I33" i="68"/>
  <c r="F15" i="88"/>
  <c r="J33" i="68"/>
  <c r="G15" i="88"/>
  <c r="H15" i="88"/>
  <c r="L33" i="68"/>
  <c r="I15" i="88"/>
  <c r="M33" i="68"/>
  <c r="J15" i="88"/>
  <c r="N33" i="68"/>
  <c r="K15" i="88"/>
  <c r="O33" i="68"/>
  <c r="L15" i="88"/>
  <c r="P33" i="68"/>
  <c r="M15" i="88"/>
  <c r="Q33" i="68"/>
  <c r="N15" i="88"/>
  <c r="R33" i="68"/>
  <c r="O15" i="88"/>
  <c r="S33" i="68"/>
  <c r="P15" i="88"/>
  <c r="T33" i="68"/>
  <c r="Q15" i="88"/>
  <c r="U33" i="68"/>
  <c r="R15" i="88"/>
  <c r="V33" i="68"/>
  <c r="S15" i="88"/>
  <c r="W33" i="68"/>
  <c r="T15" i="88"/>
  <c r="X33" i="68"/>
  <c r="U15" i="88"/>
  <c r="Y33" i="68"/>
  <c r="V15" i="88"/>
  <c r="Z33" i="68"/>
  <c r="W15" i="88"/>
  <c r="X15" i="88"/>
  <c r="AB33" i="68"/>
  <c r="Y15" i="88"/>
  <c r="AC33" i="68"/>
  <c r="Z15" i="88"/>
  <c r="AD33" i="68"/>
  <c r="AA15" i="88"/>
  <c r="AE33" i="68"/>
  <c r="AB15" i="88"/>
  <c r="AF33" i="68"/>
  <c r="AC15" i="88"/>
  <c r="AG33" i="68"/>
  <c r="F11" i="88"/>
  <c r="J28" i="68"/>
  <c r="G11" i="88"/>
  <c r="K28" i="68"/>
  <c r="K99" i="75"/>
  <c r="H11" i="88"/>
  <c r="L28" i="68"/>
  <c r="I11" i="88"/>
  <c r="M28" i="68"/>
  <c r="J11" i="88"/>
  <c r="N28" i="68"/>
  <c r="N99" i="75"/>
  <c r="K11" i="88"/>
  <c r="O28" i="68"/>
  <c r="L11" i="88"/>
  <c r="P28" i="68"/>
  <c r="P14" i="75"/>
  <c r="M11" i="88"/>
  <c r="Q28" i="68"/>
  <c r="Q14" i="75"/>
  <c r="N11" i="88"/>
  <c r="R28" i="68"/>
  <c r="O11" i="88"/>
  <c r="S28" i="68"/>
  <c r="P11" i="88"/>
  <c r="T28" i="68"/>
  <c r="T99" i="75"/>
  <c r="Q11" i="88"/>
  <c r="U28" i="68"/>
  <c r="U99" i="75"/>
  <c r="R11" i="88"/>
  <c r="S11" i="88"/>
  <c r="W28" i="68"/>
  <c r="W99" i="75"/>
  <c r="T11" i="88"/>
  <c r="X28" i="68"/>
  <c r="X14" i="75"/>
  <c r="U11" i="88"/>
  <c r="Y28" i="68"/>
  <c r="V11" i="88"/>
  <c r="Z28" i="68"/>
  <c r="W11" i="88"/>
  <c r="AA28" i="68"/>
  <c r="X11" i="88"/>
  <c r="AB28" i="68"/>
  <c r="Y11" i="88"/>
  <c r="AC28" i="68"/>
  <c r="Z11" i="88"/>
  <c r="AD28" i="68"/>
  <c r="AA11" i="88"/>
  <c r="AE28" i="68"/>
  <c r="AB11" i="88"/>
  <c r="AC11" i="88"/>
  <c r="E11" i="88"/>
  <c r="C29" i="90"/>
  <c r="C23" i="90"/>
  <c r="C22" i="90"/>
  <c r="C21" i="90"/>
  <c r="C20" i="90"/>
  <c r="C12" i="90"/>
  <c r="C11" i="90"/>
  <c r="C10" i="90"/>
  <c r="C9" i="90"/>
  <c r="B5" i="90"/>
  <c r="K14" i="81"/>
  <c r="C33" i="72"/>
  <c r="C32" i="72"/>
  <c r="C31" i="72"/>
  <c r="C30" i="72"/>
  <c r="C31" i="81"/>
  <c r="C32" i="81"/>
  <c r="C33" i="81"/>
  <c r="C30" i="81"/>
  <c r="A2" i="89"/>
  <c r="A1" i="89"/>
  <c r="AC31" i="72"/>
  <c r="AD31" i="72"/>
  <c r="J14" i="72"/>
  <c r="K14" i="72"/>
  <c r="L14" i="72"/>
  <c r="M14" i="72"/>
  <c r="N14" i="72"/>
  <c r="O14" i="72"/>
  <c r="P14" i="72"/>
  <c r="Q14" i="72"/>
  <c r="R14" i="72"/>
  <c r="S14" i="72"/>
  <c r="T14" i="72"/>
  <c r="U14" i="72"/>
  <c r="V14" i="72"/>
  <c r="W14" i="72"/>
  <c r="X14" i="72"/>
  <c r="Y14" i="72"/>
  <c r="Z14" i="72"/>
  <c r="AA14" i="72"/>
  <c r="AB14" i="72"/>
  <c r="AC14" i="72"/>
  <c r="AD14" i="72"/>
  <c r="AE14" i="72"/>
  <c r="AF14" i="72"/>
  <c r="AG14" i="72"/>
  <c r="I14" i="72"/>
  <c r="K31" i="81"/>
  <c r="L14" i="81"/>
  <c r="M14" i="81"/>
  <c r="N14" i="81"/>
  <c r="O14" i="81"/>
  <c r="P14" i="81"/>
  <c r="Q14" i="81"/>
  <c r="R14" i="81"/>
  <c r="S14" i="81"/>
  <c r="T14" i="81"/>
  <c r="U14" i="81"/>
  <c r="V14" i="81"/>
  <c r="W14" i="81"/>
  <c r="X14" i="81"/>
  <c r="Y14" i="81"/>
  <c r="Z14" i="81"/>
  <c r="AA14" i="81"/>
  <c r="AB14" i="81"/>
  <c r="AC14" i="81"/>
  <c r="AD14" i="81"/>
  <c r="AE14" i="81"/>
  <c r="AF14" i="81"/>
  <c r="AG14" i="81"/>
  <c r="AG32" i="68"/>
  <c r="C31" i="68"/>
  <c r="C32" i="68"/>
  <c r="C33" i="68"/>
  <c r="C30" i="68"/>
  <c r="P33" i="81"/>
  <c r="AF31" i="81"/>
  <c r="S31" i="81"/>
  <c r="S30" i="68"/>
  <c r="AF28" i="68"/>
  <c r="AF99" i="75"/>
  <c r="A2" i="88"/>
  <c r="A1" i="88"/>
  <c r="AC35" i="87"/>
  <c r="AB35" i="87"/>
  <c r="AA35" i="87"/>
  <c r="Z35" i="87"/>
  <c r="Y35" i="87"/>
  <c r="X35" i="87"/>
  <c r="W35" i="87"/>
  <c r="V35" i="87"/>
  <c r="U35" i="87"/>
  <c r="T35" i="87"/>
  <c r="S35" i="87"/>
  <c r="R35" i="87"/>
  <c r="Q35" i="87"/>
  <c r="P35" i="87"/>
  <c r="O35" i="87"/>
  <c r="N35" i="87"/>
  <c r="M35" i="87"/>
  <c r="L35" i="87"/>
  <c r="K35" i="87"/>
  <c r="J35" i="87"/>
  <c r="I35" i="87"/>
  <c r="H35" i="87"/>
  <c r="G35" i="87"/>
  <c r="E35" i="87"/>
  <c r="F35" i="87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M26" i="87"/>
  <c r="L26" i="87"/>
  <c r="K26" i="87"/>
  <c r="J26" i="87"/>
  <c r="I26" i="87"/>
  <c r="H26" i="87"/>
  <c r="G26" i="87"/>
  <c r="F26" i="87"/>
  <c r="E26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M21" i="87"/>
  <c r="L21" i="87"/>
  <c r="K21" i="87"/>
  <c r="J21" i="87"/>
  <c r="I21" i="87"/>
  <c r="H21" i="87"/>
  <c r="G21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M13" i="87"/>
  <c r="L13" i="87"/>
  <c r="K13" i="87"/>
  <c r="J13" i="87"/>
  <c r="I13" i="87"/>
  <c r="H13" i="87"/>
  <c r="G13" i="87"/>
  <c r="F13" i="87"/>
  <c r="E13" i="87"/>
  <c r="A2" i="87"/>
  <c r="A1" i="87"/>
  <c r="A40" i="86"/>
  <c r="I9" i="68"/>
  <c r="H9" i="68"/>
  <c r="H9" i="75"/>
  <c r="H5" i="75"/>
  <c r="C25" i="62"/>
  <c r="A2" i="43"/>
  <c r="C111" i="43"/>
  <c r="C112" i="43"/>
  <c r="C113" i="43"/>
  <c r="C114" i="43"/>
  <c r="C115" i="43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/>
  <c r="E116" i="82"/>
  <c r="D116" i="82"/>
  <c r="C116" i="82"/>
  <c r="A116" i="82"/>
  <c r="G116" i="82"/>
  <c r="E115" i="82"/>
  <c r="D115" i="82"/>
  <c r="C115" i="82"/>
  <c r="A115" i="82"/>
  <c r="G115" i="82"/>
  <c r="E114" i="82"/>
  <c r="D114" i="82"/>
  <c r="C114" i="82"/>
  <c r="A114" i="82"/>
  <c r="G114" i="82"/>
  <c r="E113" i="82"/>
  <c r="D113" i="82"/>
  <c r="C113" i="82"/>
  <c r="A113" i="82"/>
  <c r="G113" i="82"/>
  <c r="E112" i="82"/>
  <c r="D112" i="82"/>
  <c r="C112" i="82"/>
  <c r="A112" i="82"/>
  <c r="G112" i="82"/>
  <c r="E111" i="82"/>
  <c r="D111" i="82"/>
  <c r="C111" i="82"/>
  <c r="A111" i="82"/>
  <c r="G111" i="82"/>
  <c r="E110" i="82"/>
  <c r="D110" i="82"/>
  <c r="C110" i="82"/>
  <c r="A110" i="82"/>
  <c r="G110" i="82"/>
  <c r="E109" i="82"/>
  <c r="D109" i="82"/>
  <c r="E117" i="73"/>
  <c r="D117" i="73"/>
  <c r="C117" i="73"/>
  <c r="A117" i="73"/>
  <c r="G117" i="73"/>
  <c r="E116" i="73"/>
  <c r="D116" i="73"/>
  <c r="C116" i="73"/>
  <c r="A116" i="73"/>
  <c r="G116" i="73"/>
  <c r="E115" i="73"/>
  <c r="D115" i="73"/>
  <c r="C115" i="73"/>
  <c r="A115" i="73"/>
  <c r="G115" i="73"/>
  <c r="E114" i="73"/>
  <c r="D114" i="73"/>
  <c r="C114" i="73"/>
  <c r="A114" i="73"/>
  <c r="G114" i="73"/>
  <c r="E113" i="73"/>
  <c r="D113" i="73"/>
  <c r="C113" i="73"/>
  <c r="A113" i="73"/>
  <c r="G113" i="73"/>
  <c r="E112" i="73"/>
  <c r="D112" i="73"/>
  <c r="C112" i="73"/>
  <c r="A112" i="73"/>
  <c r="G112" i="73"/>
  <c r="E111" i="73"/>
  <c r="D111" i="73"/>
  <c r="C111" i="73"/>
  <c r="A111" i="73"/>
  <c r="G111" i="73"/>
  <c r="E110" i="73"/>
  <c r="D110" i="73"/>
  <c r="C110" i="73"/>
  <c r="A110" i="73"/>
  <c r="G110" i="73"/>
  <c r="E109" i="73"/>
  <c r="D109" i="73"/>
  <c r="E117" i="72"/>
  <c r="D117" i="72"/>
  <c r="C117" i="72"/>
  <c r="A117" i="72"/>
  <c r="G117" i="72"/>
  <c r="E116" i="72"/>
  <c r="D116" i="72"/>
  <c r="C116" i="72"/>
  <c r="A116" i="72"/>
  <c r="G116" i="72"/>
  <c r="E115" i="72"/>
  <c r="D115" i="72"/>
  <c r="C115" i="72"/>
  <c r="A115" i="72"/>
  <c r="G115" i="72"/>
  <c r="E114" i="72"/>
  <c r="D114" i="72"/>
  <c r="C114" i="72"/>
  <c r="A114" i="72"/>
  <c r="G114" i="72"/>
  <c r="E113" i="72"/>
  <c r="D113" i="72"/>
  <c r="C113" i="72"/>
  <c r="A113" i="72"/>
  <c r="G113" i="72"/>
  <c r="E112" i="72"/>
  <c r="D112" i="72"/>
  <c r="C112" i="72"/>
  <c r="A112" i="72"/>
  <c r="G112" i="72"/>
  <c r="E111" i="72"/>
  <c r="D111" i="72"/>
  <c r="C111" i="72"/>
  <c r="A111" i="72"/>
  <c r="G111" i="72"/>
  <c r="E110" i="72"/>
  <c r="D110" i="72"/>
  <c r="C110" i="72"/>
  <c r="A110" i="72"/>
  <c r="G110" i="72"/>
  <c r="E109" i="72"/>
  <c r="D109" i="72"/>
  <c r="E117" i="68"/>
  <c r="D117" i="68"/>
  <c r="C117" i="68"/>
  <c r="A117" i="68"/>
  <c r="G117" i="68"/>
  <c r="E116" i="68"/>
  <c r="D116" i="68"/>
  <c r="C116" i="68"/>
  <c r="A116" i="68"/>
  <c r="G116" i="68"/>
  <c r="E115" i="68"/>
  <c r="D115" i="68"/>
  <c r="C115" i="68"/>
  <c r="A115" i="68"/>
  <c r="G115" i="68"/>
  <c r="E114" i="68"/>
  <c r="D114" i="68"/>
  <c r="C114" i="68"/>
  <c r="A114" i="68"/>
  <c r="G114" i="68"/>
  <c r="E113" i="68"/>
  <c r="D113" i="68"/>
  <c r="C113" i="68"/>
  <c r="A113" i="68"/>
  <c r="G113" i="68"/>
  <c r="E112" i="68"/>
  <c r="D112" i="68"/>
  <c r="C112" i="68"/>
  <c r="A112" i="68"/>
  <c r="G112" i="68"/>
  <c r="E111" i="68"/>
  <c r="D111" i="68"/>
  <c r="C111" i="68"/>
  <c r="A111" i="68"/>
  <c r="G111" i="68"/>
  <c r="E110" i="68"/>
  <c r="D110" i="68"/>
  <c r="C110" i="68"/>
  <c r="A110" i="68"/>
  <c r="G110" i="68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I80" i="73"/>
  <c r="I82" i="73"/>
  <c r="I10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I80" i="72"/>
  <c r="I82" i="72"/>
  <c r="J79" i="81"/>
  <c r="K79" i="81"/>
  <c r="L79" i="81"/>
  <c r="M79" i="81"/>
  <c r="N79" i="81"/>
  <c r="O79" i="81"/>
  <c r="P79" i="81"/>
  <c r="Q79" i="81"/>
  <c r="R79" i="81"/>
  <c r="S79" i="81"/>
  <c r="T79" i="81"/>
  <c r="U79" i="81"/>
  <c r="V79" i="81"/>
  <c r="W79" i="81"/>
  <c r="X79" i="81"/>
  <c r="Y79" i="81"/>
  <c r="Z79" i="81"/>
  <c r="AA79" i="81"/>
  <c r="AB79" i="81"/>
  <c r="AC79" i="81"/>
  <c r="AD79" i="81"/>
  <c r="AE79" i="81"/>
  <c r="AF79" i="81"/>
  <c r="AG79" i="81"/>
  <c r="I79" i="81"/>
  <c r="I78" i="81"/>
  <c r="I77" i="81"/>
  <c r="H9" i="85"/>
  <c r="H98" i="75"/>
  <c r="R108" i="47"/>
  <c r="R109" i="47"/>
  <c r="R110" i="47"/>
  <c r="R111" i="47"/>
  <c r="R112" i="47"/>
  <c r="R113" i="47"/>
  <c r="D66" i="33"/>
  <c r="E16" i="47"/>
  <c r="F9" i="47"/>
  <c r="C22" i="85"/>
  <c r="C20" i="85"/>
  <c r="C18" i="85"/>
  <c r="C16" i="85"/>
  <c r="D76" i="33"/>
  <c r="C67" i="33"/>
  <c r="C89" i="85" a="1"/>
  <c r="C89" i="85"/>
  <c r="F66" i="33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/>
  <c r="D65" i="85"/>
  <c r="B59" i="85"/>
  <c r="D59" i="85"/>
  <c r="B75" i="85"/>
  <c r="D75" i="85"/>
  <c r="B61" i="85"/>
  <c r="D61" i="85"/>
  <c r="B62" i="85"/>
  <c r="D62" i="85"/>
  <c r="K74" i="33"/>
  <c r="D75" i="33"/>
  <c r="H66" i="33"/>
  <c r="I66" i="33"/>
  <c r="J66" i="33"/>
  <c r="G66" i="33"/>
  <c r="B76" i="85"/>
  <c r="D76" i="85"/>
  <c r="B73" i="85"/>
  <c r="D73" i="85"/>
  <c r="B63" i="85"/>
  <c r="D63" i="85"/>
  <c r="B60" i="85"/>
  <c r="D60" i="85"/>
  <c r="B64" i="85"/>
  <c r="D64" i="85"/>
  <c r="B77" i="85"/>
  <c r="D77" i="85"/>
  <c r="B74" i="85"/>
  <c r="D74" i="85"/>
  <c r="B78" i="85"/>
  <c r="D78" i="85"/>
  <c r="B79" i="85"/>
  <c r="D79" i="85"/>
  <c r="B58" i="85"/>
  <c r="D58" i="85"/>
  <c r="B72" i="85"/>
  <c r="D72" i="85"/>
  <c r="C112" i="81"/>
  <c r="C114" i="81"/>
  <c r="C36" i="85"/>
  <c r="C110" i="81"/>
  <c r="C23" i="85"/>
  <c r="C21" i="85"/>
  <c r="C30" i="85"/>
  <c r="C32" i="85"/>
  <c r="C34" i="85"/>
  <c r="C19" i="85"/>
  <c r="C111" i="81"/>
  <c r="C17" i="85"/>
  <c r="C68" i="33"/>
  <c r="C70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/>
  <c r="C33" i="85"/>
  <c r="C73" i="33"/>
  <c r="A6" i="85"/>
  <c r="A2" i="85"/>
  <c r="A1" i="85"/>
  <c r="C71" i="33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/>
  <c r="D92" i="75"/>
  <c r="D9" i="47"/>
  <c r="A6" i="75"/>
  <c r="I6" i="75"/>
  <c r="I6" i="85"/>
  <c r="H6" i="75"/>
  <c r="H6" i="85"/>
  <c r="H11" i="85" s="1" a="1"/>
  <c r="H11" i="85" s="1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R17" i="81"/>
  <c r="Q17" i="81"/>
  <c r="P17" i="81"/>
  <c r="O17" i="81"/>
  <c r="N17" i="81"/>
  <c r="M17" i="81"/>
  <c r="L17" i="81"/>
  <c r="K17" i="81"/>
  <c r="AG31" i="82" a="1"/>
  <c r="AG31" i="82"/>
  <c r="AF31" i="82" a="1"/>
  <c r="AF31" i="82"/>
  <c r="AE31" i="82" a="1"/>
  <c r="AE31" i="82"/>
  <c r="AD31" i="82" a="1"/>
  <c r="AD31" i="82"/>
  <c r="AC31" i="82" a="1"/>
  <c r="AC31" i="82"/>
  <c r="AB31" i="82" a="1"/>
  <c r="AB31" i="82"/>
  <c r="AA31" i="82" a="1"/>
  <c r="AA31" i="82"/>
  <c r="Z31" i="82" a="1"/>
  <c r="Z31" i="82"/>
  <c r="Y31" i="82" a="1"/>
  <c r="Y31" i="82"/>
  <c r="X31" i="82" a="1"/>
  <c r="X31" i="82"/>
  <c r="W31" i="82" a="1"/>
  <c r="W31" i="82"/>
  <c r="V31" i="82" a="1"/>
  <c r="V31" i="82"/>
  <c r="U31" i="82" a="1"/>
  <c r="U31" i="82"/>
  <c r="T31" i="82" a="1"/>
  <c r="T31" i="82"/>
  <c r="S31" i="82" a="1"/>
  <c r="S31" i="82"/>
  <c r="R31" i="82" a="1"/>
  <c r="R31" i="82"/>
  <c r="Q31" i="82" a="1"/>
  <c r="Q31" i="82"/>
  <c r="P31" i="82" a="1"/>
  <c r="P31" i="82"/>
  <c r="O31" i="82" a="1"/>
  <c r="O31" i="82"/>
  <c r="N31" i="82" a="1"/>
  <c r="N31" i="82"/>
  <c r="M31" i="82" a="1"/>
  <c r="M31" i="82"/>
  <c r="L31" i="82" a="1"/>
  <c r="L31" i="82"/>
  <c r="K31" i="82" a="1"/>
  <c r="K31" i="82"/>
  <c r="J31" i="82" a="1"/>
  <c r="J31" i="82"/>
  <c r="I31" i="82" a="1"/>
  <c r="I31" i="82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/>
  <c r="A31" i="75"/>
  <c r="A32" i="75"/>
  <c r="A33" i="75"/>
  <c r="A34" i="75"/>
  <c r="A35" i="75"/>
  <c r="A36" i="75"/>
  <c r="A37" i="75"/>
  <c r="A38" i="75"/>
  <c r="A39" i="75"/>
  <c r="A28" i="75"/>
  <c r="D28" i="75"/>
  <c r="A16" i="75"/>
  <c r="A92" i="75"/>
  <c r="A14" i="75"/>
  <c r="D14" i="75"/>
  <c r="A72" i="75"/>
  <c r="A73" i="75"/>
  <c r="A74" i="75"/>
  <c r="A75" i="75"/>
  <c r="A76" i="75"/>
  <c r="A77" i="75"/>
  <c r="A78" i="75"/>
  <c r="A79" i="75"/>
  <c r="A80" i="75"/>
  <c r="A81" i="75"/>
  <c r="A70" i="75"/>
  <c r="D70" i="75"/>
  <c r="A58" i="75"/>
  <c r="A59" i="75"/>
  <c r="A60" i="75"/>
  <c r="A61" i="75"/>
  <c r="A62" i="75"/>
  <c r="A63" i="75"/>
  <c r="A64" i="75"/>
  <c r="A65" i="75"/>
  <c r="A66" i="75"/>
  <c r="A67" i="75"/>
  <c r="A56" i="75"/>
  <c r="D56" i="75"/>
  <c r="A44" i="75"/>
  <c r="A45" i="75"/>
  <c r="A46" i="75"/>
  <c r="A47" i="75"/>
  <c r="A48" i="75"/>
  <c r="A49" i="75"/>
  <c r="A50" i="75"/>
  <c r="A51" i="75"/>
  <c r="A52" i="75"/>
  <c r="A53" i="75"/>
  <c r="A42" i="75"/>
  <c r="D42" i="75"/>
  <c r="H5" i="85"/>
  <c r="H11" i="75" a="1"/>
  <c r="H11" i="75" s="1"/>
  <c r="G90" i="73" a="1"/>
  <c r="G90" i="73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L17" i="72"/>
  <c r="K17" i="72"/>
  <c r="J17" i="72"/>
  <c r="A17" i="75"/>
  <c r="A18" i="75"/>
  <c r="A19" i="75"/>
  <c r="A20" i="75"/>
  <c r="A21" i="75"/>
  <c r="A22" i="75"/>
  <c r="A23" i="75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/>
  <c r="A25" i="75"/>
  <c r="A99" i="75"/>
  <c r="H99" i="75"/>
  <c r="D91" i="75"/>
  <c r="N7" i="68"/>
  <c r="O7" i="68"/>
  <c r="P7" i="68"/>
  <c r="Q7" i="68"/>
  <c r="R7" i="68"/>
  <c r="S7" i="68"/>
  <c r="T7" i="68"/>
  <c r="U7" i="68"/>
  <c r="V7" i="68"/>
  <c r="W7" i="68"/>
  <c r="X7" i="68"/>
  <c r="Y7" i="68"/>
  <c r="Z7" i="68"/>
  <c r="AA7" i="68"/>
  <c r="AB7" i="68"/>
  <c r="AC7" i="68"/>
  <c r="M7" i="68"/>
  <c r="L7" i="68"/>
  <c r="K7" i="68"/>
  <c r="J7" i="68"/>
  <c r="I7" i="68"/>
  <c r="AC7" i="81"/>
  <c r="AC42" i="81"/>
  <c r="AC7" i="73"/>
  <c r="AC42" i="73"/>
  <c r="AD7" i="68"/>
  <c r="AC7" i="82"/>
  <c r="AC42" i="68"/>
  <c r="AC7" i="72"/>
  <c r="AC42" i="72"/>
  <c r="AC42" i="82"/>
  <c r="AD7" i="81"/>
  <c r="AD42" i="81"/>
  <c r="AD7" i="73"/>
  <c r="AD42" i="73"/>
  <c r="AD42" i="68"/>
  <c r="AE7" i="68"/>
  <c r="AD7" i="82"/>
  <c r="AD7" i="72"/>
  <c r="AD42" i="72"/>
  <c r="AE7" i="81"/>
  <c r="AE42" i="81"/>
  <c r="AF7" i="68"/>
  <c r="AE7" i="82"/>
  <c r="AE42" i="68"/>
  <c r="AE7" i="73"/>
  <c r="AE7" i="72"/>
  <c r="AE42" i="72"/>
  <c r="AD42" i="82"/>
  <c r="G44" i="75"/>
  <c r="C44" i="75"/>
  <c r="G58" i="75"/>
  <c r="C58" i="75"/>
  <c r="G72" i="75"/>
  <c r="C72" i="75"/>
  <c r="AE42" i="73"/>
  <c r="AE42" i="82"/>
  <c r="AF7" i="81"/>
  <c r="AF42" i="81"/>
  <c r="AG7" i="68"/>
  <c r="AF7" i="73"/>
  <c r="AF42" i="73"/>
  <c r="AF7" i="82"/>
  <c r="AF42" i="68"/>
  <c r="AF7" i="72"/>
  <c r="AF42" i="72"/>
  <c r="G30" i="75"/>
  <c r="C30" i="75"/>
  <c r="C16" i="75"/>
  <c r="G16" i="75"/>
  <c r="AG7" i="81"/>
  <c r="AG42" i="81"/>
  <c r="AG7" i="73"/>
  <c r="AG7" i="82"/>
  <c r="AG42" i="68"/>
  <c r="AG7" i="72"/>
  <c r="AG42" i="72"/>
  <c r="AF42" i="82"/>
  <c r="D17" i="75"/>
  <c r="H92" i="75"/>
  <c r="D16" i="75"/>
  <c r="AG42" i="73"/>
  <c r="AG42" i="82"/>
  <c r="AB84" i="68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M67" i="81"/>
  <c r="L67" i="81"/>
  <c r="K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K67" i="72"/>
  <c r="L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a="1"/>
  <c r="I72" i="68"/>
  <c r="J77" i="68"/>
  <c r="I73" i="68" a="1"/>
  <c r="I73" i="68"/>
  <c r="I80" i="68"/>
  <c r="I82" i="68"/>
  <c r="I107" i="68"/>
  <c r="I74" i="68" a="1"/>
  <c r="I74" i="68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a="1"/>
  <c r="I72" i="82"/>
  <c r="I74" i="82" a="1"/>
  <c r="I74" i="82"/>
  <c r="I73" i="82" a="1"/>
  <c r="I73" i="82"/>
  <c r="C13" i="47"/>
  <c r="D43" i="75"/>
  <c r="C64" i="72"/>
  <c r="F13" i="47"/>
  <c r="D35" i="62"/>
  <c r="D13" i="47"/>
  <c r="A4" i="82"/>
  <c r="G92" i="82"/>
  <c r="C35" i="62"/>
  <c r="I80" i="82"/>
  <c r="I82" i="82"/>
  <c r="I107" i="82"/>
  <c r="D44" i="75"/>
  <c r="C34" i="75"/>
  <c r="G29" i="33"/>
  <c r="H29" i="33"/>
  <c r="I29" i="33"/>
  <c r="J29" i="33"/>
  <c r="F29" i="33"/>
  <c r="A7" i="81"/>
  <c r="I6" i="81"/>
  <c r="A6" i="81"/>
  <c r="I73" i="81" a="1"/>
  <c r="I73" i="81"/>
  <c r="J78" i="81"/>
  <c r="I74" i="81" a="1"/>
  <c r="I74" i="81"/>
  <c r="D72" i="75"/>
  <c r="D58" i="75"/>
  <c r="D46" i="75"/>
  <c r="D30" i="75"/>
  <c r="I80" i="81"/>
  <c r="D65" i="75"/>
  <c r="D79" i="75"/>
  <c r="D37" i="75"/>
  <c r="D47" i="75"/>
  <c r="I82" i="81"/>
  <c r="I107" i="8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a="1"/>
  <c r="I74" i="73"/>
  <c r="I72" i="73" a="1"/>
  <c r="I72" i="73"/>
  <c r="J77" i="73"/>
  <c r="J80" i="73"/>
  <c r="J82" i="73"/>
  <c r="J107" i="73"/>
  <c r="I73" i="73" a="1"/>
  <c r="I73" i="73"/>
  <c r="I74" i="72" a="1"/>
  <c r="I74" i="72"/>
  <c r="I73" i="72" a="1"/>
  <c r="I73" i="72"/>
  <c r="J78" i="72"/>
  <c r="D49" i="75"/>
  <c r="D51" i="75"/>
  <c r="D50" i="75"/>
  <c r="D53" i="75"/>
  <c r="D52" i="75"/>
  <c r="D76" i="75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/>
  <c r="G22" i="75"/>
  <c r="G21" i="75"/>
  <c r="G20" i="75"/>
  <c r="G19" i="75"/>
  <c r="G18" i="75"/>
  <c r="G15" i="75"/>
  <c r="J98" i="75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2" i="47"/>
  <c r="I98" i="75"/>
  <c r="F12" i="47"/>
  <c r="D34" i="62"/>
  <c r="D12" i="47"/>
  <c r="A4" i="73"/>
  <c r="G92" i="73"/>
  <c r="C34" i="62"/>
  <c r="J7" i="82"/>
  <c r="J42" i="82"/>
  <c r="K7" i="82"/>
  <c r="K42" i="82"/>
  <c r="L7" i="82"/>
  <c r="L42" i="82"/>
  <c r="M7" i="82"/>
  <c r="M42" i="82"/>
  <c r="N7" i="82"/>
  <c r="N42" i="82"/>
  <c r="I7" i="82"/>
  <c r="I42" i="82"/>
  <c r="L7" i="81"/>
  <c r="L42" i="81"/>
  <c r="N7" i="81"/>
  <c r="N42" i="81"/>
  <c r="M7" i="81"/>
  <c r="M42" i="81"/>
  <c r="K7" i="81"/>
  <c r="K42" i="81"/>
  <c r="I7" i="81"/>
  <c r="I42" i="81"/>
  <c r="J7" i="81"/>
  <c r="J42" i="81"/>
  <c r="N42" i="68"/>
  <c r="N7" i="73"/>
  <c r="N42" i="73"/>
  <c r="N7" i="72"/>
  <c r="N42" i="72"/>
  <c r="M42" i="68"/>
  <c r="M7" i="72"/>
  <c r="M42" i="72"/>
  <c r="M7" i="73"/>
  <c r="M42" i="73"/>
  <c r="K42" i="68"/>
  <c r="K7" i="73"/>
  <c r="K42" i="73"/>
  <c r="K7" i="72"/>
  <c r="K42" i="72"/>
  <c r="L42" i="68"/>
  <c r="L7" i="73"/>
  <c r="L42" i="73"/>
  <c r="L7" i="72"/>
  <c r="L42" i="72"/>
  <c r="I42" i="68"/>
  <c r="I7" i="73"/>
  <c r="I42" i="73"/>
  <c r="I7" i="72"/>
  <c r="I42" i="72"/>
  <c r="J42" i="68"/>
  <c r="J7" i="73"/>
  <c r="J42" i="73"/>
  <c r="J7" i="72"/>
  <c r="J42" i="72"/>
  <c r="O7" i="82"/>
  <c r="O42" i="82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/>
  <c r="J6" i="85"/>
  <c r="J74" i="68" a="1"/>
  <c r="J74" i="68"/>
  <c r="J72" i="68" a="1"/>
  <c r="J72" i="68"/>
  <c r="K77" i="68"/>
  <c r="J73" i="68" a="1"/>
  <c r="J73" i="68"/>
  <c r="J6" i="82"/>
  <c r="K6" i="68"/>
  <c r="K6" i="75"/>
  <c r="K6" i="85"/>
  <c r="J6" i="81"/>
  <c r="J6" i="73"/>
  <c r="J6" i="72"/>
  <c r="O7" i="81"/>
  <c r="O42" i="81"/>
  <c r="O7" i="73"/>
  <c r="O42" i="73"/>
  <c r="O7" i="72"/>
  <c r="O42" i="72"/>
  <c r="P7" i="82"/>
  <c r="P42" i="82"/>
  <c r="O42" i="68"/>
  <c r="K6" i="82"/>
  <c r="K72" i="68" a="1"/>
  <c r="K72" i="68"/>
  <c r="L77" i="68"/>
  <c r="K73" i="68" a="1"/>
  <c r="K73" i="68"/>
  <c r="K74" i="68" a="1"/>
  <c r="K74" i="68"/>
  <c r="J72" i="82" a="1"/>
  <c r="J72" i="82"/>
  <c r="J74" i="82" a="1"/>
  <c r="J74" i="82"/>
  <c r="J73" i="82" a="1"/>
  <c r="J73" i="82"/>
  <c r="J74" i="73" a="1"/>
  <c r="J74" i="73"/>
  <c r="J73" i="73" a="1"/>
  <c r="J73" i="73"/>
  <c r="J72" i="73" a="1"/>
  <c r="J72" i="73"/>
  <c r="K77" i="73"/>
  <c r="K80" i="73"/>
  <c r="K82" i="73"/>
  <c r="J73" i="81" a="1"/>
  <c r="J73" i="81"/>
  <c r="K78" i="81"/>
  <c r="J74" i="81" a="1"/>
  <c r="J74" i="81"/>
  <c r="J73" i="72" a="1"/>
  <c r="J73" i="72"/>
  <c r="K78" i="72"/>
  <c r="J74" i="72" a="1"/>
  <c r="J74" i="72"/>
  <c r="J80" i="68"/>
  <c r="J82" i="68"/>
  <c r="J107" i="68"/>
  <c r="L6" i="68"/>
  <c r="L6" i="75"/>
  <c r="L6" i="85"/>
  <c r="K6" i="81"/>
  <c r="K6" i="73"/>
  <c r="K6" i="72"/>
  <c r="P7" i="81"/>
  <c r="P42" i="81"/>
  <c r="P7" i="73"/>
  <c r="P42" i="73"/>
  <c r="P7" i="72"/>
  <c r="P42" i="72"/>
  <c r="Q7" i="82"/>
  <c r="Q42" i="82"/>
  <c r="P42" i="68"/>
  <c r="K73" i="72" a="1"/>
  <c r="K73" i="72"/>
  <c r="L78" i="72"/>
  <c r="K74" i="72" a="1"/>
  <c r="K74" i="72"/>
  <c r="L72" i="68" a="1"/>
  <c r="L72" i="68"/>
  <c r="M77" i="68"/>
  <c r="L73" i="68" a="1"/>
  <c r="L73" i="68"/>
  <c r="L74" i="68" a="1"/>
  <c r="L74" i="68"/>
  <c r="K74" i="73" a="1"/>
  <c r="K74" i="73"/>
  <c r="K72" i="73" a="1"/>
  <c r="K72" i="73"/>
  <c r="L77" i="73"/>
  <c r="L80" i="73"/>
  <c r="L82" i="73"/>
  <c r="K73" i="73" a="1"/>
  <c r="K73" i="73"/>
  <c r="K73" i="81" a="1"/>
  <c r="K73" i="81"/>
  <c r="L78" i="81"/>
  <c r="K74" i="81" a="1"/>
  <c r="K74" i="81"/>
  <c r="K73" i="82" a="1"/>
  <c r="K73" i="82"/>
  <c r="K72" i="82" a="1"/>
  <c r="K72" i="82"/>
  <c r="K80" i="82"/>
  <c r="K82" i="82"/>
  <c r="K107" i="82"/>
  <c r="K74" i="82" a="1"/>
  <c r="K74" i="82"/>
  <c r="K80" i="68"/>
  <c r="K82" i="68"/>
  <c r="K107" i="68"/>
  <c r="J80" i="82"/>
  <c r="J82" i="82"/>
  <c r="J107" i="82"/>
  <c r="L6" i="82"/>
  <c r="M6" i="68"/>
  <c r="M6" i="75"/>
  <c r="M6" i="85"/>
  <c r="L6" i="81"/>
  <c r="L6" i="72"/>
  <c r="L6" i="73"/>
  <c r="Q7" i="81"/>
  <c r="Q42" i="81"/>
  <c r="Q7" i="73"/>
  <c r="Q42" i="73"/>
  <c r="Q7" i="72"/>
  <c r="Q42" i="72"/>
  <c r="R7" i="82"/>
  <c r="R42" i="82"/>
  <c r="Q42" i="68"/>
  <c r="L74" i="82" a="1"/>
  <c r="L74" i="82"/>
  <c r="L72" i="82" a="1"/>
  <c r="L72" i="82"/>
  <c r="L73" i="82" a="1"/>
  <c r="L73" i="82"/>
  <c r="M72" i="68" a="1"/>
  <c r="M72" i="68"/>
  <c r="N77" i="68"/>
  <c r="M74" i="68" a="1"/>
  <c r="M74" i="68"/>
  <c r="M73" i="68" a="1"/>
  <c r="M73" i="68"/>
  <c r="L72" i="73" a="1"/>
  <c r="L72" i="73"/>
  <c r="M77" i="73"/>
  <c r="M80" i="73"/>
  <c r="M82" i="73"/>
  <c r="M107" i="73"/>
  <c r="L73" i="73" a="1"/>
  <c r="L73" i="73"/>
  <c r="L74" i="73" a="1"/>
  <c r="L74" i="73"/>
  <c r="L73" i="72" a="1"/>
  <c r="L73" i="72"/>
  <c r="M78" i="72"/>
  <c r="L74" i="72" a="1"/>
  <c r="L74" i="72"/>
  <c r="L74" i="81" a="1"/>
  <c r="L74" i="81"/>
  <c r="L73" i="81" a="1"/>
  <c r="L73" i="81"/>
  <c r="M78" i="81"/>
  <c r="L80" i="68"/>
  <c r="L82" i="68"/>
  <c r="L107" i="68"/>
  <c r="M6" i="82"/>
  <c r="N6" i="68"/>
  <c r="N6" i="75"/>
  <c r="N6" i="85"/>
  <c r="M6" i="81"/>
  <c r="M6" i="72"/>
  <c r="M6" i="73"/>
  <c r="R7" i="81"/>
  <c r="R42" i="81"/>
  <c r="R7" i="73"/>
  <c r="R42" i="73"/>
  <c r="R7" i="72"/>
  <c r="R42" i="72"/>
  <c r="S7" i="82"/>
  <c r="S42" i="82"/>
  <c r="R42" i="68"/>
  <c r="M74" i="82" a="1"/>
  <c r="M74" i="82"/>
  <c r="M72" i="82" a="1"/>
  <c r="M72" i="82"/>
  <c r="M73" i="82" a="1"/>
  <c r="M73" i="82"/>
  <c r="M72" i="73" a="1"/>
  <c r="M72" i="73"/>
  <c r="N77" i="73"/>
  <c r="N80" i="73"/>
  <c r="N82" i="73"/>
  <c r="N107" i="73"/>
  <c r="M73" i="73" a="1"/>
  <c r="M73" i="73"/>
  <c r="M74" i="73" a="1"/>
  <c r="M74" i="73"/>
  <c r="M74" i="81" a="1"/>
  <c r="M74" i="81"/>
  <c r="M73" i="81" a="1"/>
  <c r="M73" i="81"/>
  <c r="N78" i="81"/>
  <c r="M73" i="72" a="1"/>
  <c r="M73" i="72"/>
  <c r="N78" i="72"/>
  <c r="M74" i="72" a="1"/>
  <c r="M74" i="72"/>
  <c r="N74" i="68" a="1"/>
  <c r="N74" i="68"/>
  <c r="N73" i="68" a="1"/>
  <c r="N73" i="68"/>
  <c r="N72" i="68" a="1"/>
  <c r="N72" i="68"/>
  <c r="O77" i="68"/>
  <c r="M80" i="68"/>
  <c r="M82" i="68"/>
  <c r="M107" i="68"/>
  <c r="L80" i="82"/>
  <c r="L82" i="82"/>
  <c r="L107" i="82"/>
  <c r="N6" i="82"/>
  <c r="O6" i="68"/>
  <c r="O6" i="75"/>
  <c r="O6" i="85"/>
  <c r="N6" i="81"/>
  <c r="N6" i="72"/>
  <c r="N6" i="73"/>
  <c r="S7" i="81"/>
  <c r="S42" i="81"/>
  <c r="S7" i="73"/>
  <c r="S42" i="73"/>
  <c r="S7" i="72"/>
  <c r="S42" i="72"/>
  <c r="T7" i="82"/>
  <c r="T42" i="82"/>
  <c r="S42" i="68"/>
  <c r="N73" i="72" a="1"/>
  <c r="N73" i="72"/>
  <c r="O78" i="72"/>
  <c r="N74" i="72" a="1"/>
  <c r="N74" i="72"/>
  <c r="N74" i="73" a="1"/>
  <c r="N74" i="73"/>
  <c r="N72" i="73" a="1"/>
  <c r="N72" i="73"/>
  <c r="O77" i="73"/>
  <c r="O80" i="73"/>
  <c r="O82" i="73"/>
  <c r="O107" i="73"/>
  <c r="N73" i="73" a="1"/>
  <c r="N73" i="73"/>
  <c r="N73" i="81" a="1"/>
  <c r="N73" i="81"/>
  <c r="O78" i="81"/>
  <c r="N74" i="81" a="1"/>
  <c r="N74" i="81"/>
  <c r="O72" i="68" a="1"/>
  <c r="O72" i="68"/>
  <c r="P77" i="68"/>
  <c r="O74" i="68" a="1"/>
  <c r="O74" i="68"/>
  <c r="O73" i="68" a="1"/>
  <c r="O73" i="68"/>
  <c r="N73" i="82" a="1"/>
  <c r="N73" i="82"/>
  <c r="N74" i="82" a="1"/>
  <c r="N74" i="82"/>
  <c r="N72" i="82" a="1"/>
  <c r="N72" i="82"/>
  <c r="N80" i="68"/>
  <c r="N82" i="68"/>
  <c r="N107" i="68"/>
  <c r="M80" i="82"/>
  <c r="M82" i="82"/>
  <c r="M107" i="82"/>
  <c r="O6" i="82"/>
  <c r="P6" i="68"/>
  <c r="P6" i="75"/>
  <c r="P6" i="85"/>
  <c r="O6" i="81"/>
  <c r="O6" i="72"/>
  <c r="O6" i="73"/>
  <c r="T7" i="81"/>
  <c r="T42" i="81"/>
  <c r="T7" i="73"/>
  <c r="T42" i="73"/>
  <c r="T7" i="72"/>
  <c r="T42" i="72"/>
  <c r="T42" i="68"/>
  <c r="U7" i="82"/>
  <c r="U42" i="82"/>
  <c r="O74" i="72" a="1"/>
  <c r="O74" i="72"/>
  <c r="O73" i="72" a="1"/>
  <c r="O73" i="72"/>
  <c r="P78" i="72"/>
  <c r="O74" i="81" a="1"/>
  <c r="O74" i="81"/>
  <c r="O73" i="81" a="1"/>
  <c r="O73" i="81"/>
  <c r="P78" i="81"/>
  <c r="O73" i="73" a="1"/>
  <c r="O73" i="73"/>
  <c r="O72" i="73" a="1"/>
  <c r="O72" i="73"/>
  <c r="P77" i="73"/>
  <c r="P80" i="73"/>
  <c r="P82" i="73"/>
  <c r="P107" i="73"/>
  <c r="O74" i="73" a="1"/>
  <c r="O74" i="73"/>
  <c r="P73" i="68" a="1"/>
  <c r="P73" i="68"/>
  <c r="P74" i="68" a="1"/>
  <c r="P74" i="68"/>
  <c r="P72" i="68" a="1"/>
  <c r="P72" i="68"/>
  <c r="Q77" i="68"/>
  <c r="O72" i="82" a="1"/>
  <c r="O72" i="82"/>
  <c r="O73" i="82" a="1"/>
  <c r="O73" i="82"/>
  <c r="O74" i="82" a="1"/>
  <c r="O74" i="82"/>
  <c r="O80" i="68"/>
  <c r="O82" i="68"/>
  <c r="O107" i="68"/>
  <c r="N80" i="82"/>
  <c r="N82" i="82"/>
  <c r="N107" i="82"/>
  <c r="P6" i="82"/>
  <c r="Q6" i="68"/>
  <c r="Q6" i="75"/>
  <c r="Q6" i="85"/>
  <c r="P6" i="81"/>
  <c r="P6" i="72"/>
  <c r="P6" i="73"/>
  <c r="U7" i="81"/>
  <c r="U42" i="81"/>
  <c r="U7" i="72"/>
  <c r="U42" i="72"/>
  <c r="U7" i="73"/>
  <c r="U42" i="73"/>
  <c r="U42" i="68"/>
  <c r="V7" i="82"/>
  <c r="V42" i="82"/>
  <c r="P73" i="72" a="1"/>
  <c r="P73" i="72"/>
  <c r="Q78" i="72"/>
  <c r="P74" i="72" a="1"/>
  <c r="P74" i="72"/>
  <c r="P74" i="81" a="1"/>
  <c r="P74" i="81"/>
  <c r="P73" i="81" a="1"/>
  <c r="P73" i="81"/>
  <c r="Q78" i="81"/>
  <c r="P74" i="73" a="1"/>
  <c r="P74" i="73"/>
  <c r="P73" i="73" a="1"/>
  <c r="P73" i="73"/>
  <c r="P72" i="73" a="1"/>
  <c r="P72" i="73"/>
  <c r="Q77" i="73"/>
  <c r="Q80" i="73"/>
  <c r="Q82" i="73"/>
  <c r="P74" i="82" a="1"/>
  <c r="P74" i="82"/>
  <c r="P73" i="82" a="1"/>
  <c r="P73" i="82"/>
  <c r="P72" i="82" a="1"/>
  <c r="P72" i="82"/>
  <c r="Q72" i="68" a="1"/>
  <c r="Q72" i="68"/>
  <c r="R77" i="68"/>
  <c r="Q74" i="68" a="1"/>
  <c r="Q74" i="68"/>
  <c r="Q73" i="68" a="1"/>
  <c r="Q73" i="68"/>
  <c r="P80" i="68"/>
  <c r="P82" i="68"/>
  <c r="P107" i="68"/>
  <c r="O80" i="82"/>
  <c r="O82" i="82"/>
  <c r="O107" i="82"/>
  <c r="Q6" i="82"/>
  <c r="R6" i="68"/>
  <c r="R6" i="75"/>
  <c r="R6" i="85"/>
  <c r="Q6" i="81"/>
  <c r="Q6" i="73"/>
  <c r="Q6" i="72"/>
  <c r="V7" i="81"/>
  <c r="V42" i="81"/>
  <c r="V7" i="73"/>
  <c r="V42" i="73"/>
  <c r="V7" i="72"/>
  <c r="V42" i="72"/>
  <c r="V42" i="68"/>
  <c r="W7" i="82"/>
  <c r="W42" i="82"/>
  <c r="Q73" i="72" a="1"/>
  <c r="Q73" i="72"/>
  <c r="R78" i="72"/>
  <c r="Q74" i="72" a="1"/>
  <c r="Q74" i="72"/>
  <c r="Q72" i="73" a="1"/>
  <c r="Q72" i="73"/>
  <c r="R77" i="73"/>
  <c r="R80" i="73"/>
  <c r="R82" i="73"/>
  <c r="R107" i="73"/>
  <c r="Q74" i="73" a="1"/>
  <c r="Q74" i="73"/>
  <c r="Q73" i="73" a="1"/>
  <c r="Q73" i="73"/>
  <c r="Q73" i="82" a="1"/>
  <c r="Q73" i="82"/>
  <c r="Q72" i="82" a="1"/>
  <c r="Q72" i="82"/>
  <c r="Q74" i="82" a="1"/>
  <c r="Q74" i="82"/>
  <c r="Q73" i="81" a="1"/>
  <c r="Q73" i="81"/>
  <c r="R78" i="81"/>
  <c r="Q74" i="81" a="1"/>
  <c r="Q74" i="81"/>
  <c r="R74" i="68" a="1"/>
  <c r="R74" i="68"/>
  <c r="R72" i="68" a="1"/>
  <c r="R72" i="68"/>
  <c r="S77" i="68"/>
  <c r="R73" i="68" a="1"/>
  <c r="R73" i="68"/>
  <c r="Q80" i="68"/>
  <c r="Q82" i="68"/>
  <c r="Q107" i="68"/>
  <c r="P80" i="82"/>
  <c r="P82" i="82"/>
  <c r="P107" i="82"/>
  <c r="R6" i="82"/>
  <c r="S6" i="68"/>
  <c r="S6" i="75"/>
  <c r="S6" i="85"/>
  <c r="R6" i="81"/>
  <c r="R6" i="73"/>
  <c r="R6" i="72"/>
  <c r="W7" i="81"/>
  <c r="W42" i="81"/>
  <c r="W7" i="73"/>
  <c r="W42" i="73"/>
  <c r="W7" i="72"/>
  <c r="W42" i="72"/>
  <c r="W42" i="68"/>
  <c r="X7" i="82"/>
  <c r="X42" i="82"/>
  <c r="R72" i="82" a="1"/>
  <c r="R72" i="82"/>
  <c r="R73" i="82" a="1"/>
  <c r="R73" i="82"/>
  <c r="R74" i="82" a="1"/>
  <c r="R74" i="82"/>
  <c r="R72" i="73" a="1"/>
  <c r="R72" i="73"/>
  <c r="S77" i="73"/>
  <c r="S80" i="73"/>
  <c r="S82" i="73"/>
  <c r="S107" i="73"/>
  <c r="R74" i="73" a="1"/>
  <c r="R74" i="73"/>
  <c r="R73" i="73" a="1"/>
  <c r="R73" i="73"/>
  <c r="R73" i="81" a="1"/>
  <c r="R73" i="81"/>
  <c r="S78" i="81"/>
  <c r="R74" i="81" a="1"/>
  <c r="R74" i="81"/>
  <c r="R73" i="72" a="1"/>
  <c r="R73" i="72"/>
  <c r="S78" i="72"/>
  <c r="R74" i="72" a="1"/>
  <c r="R74" i="72"/>
  <c r="S72" i="68" a="1"/>
  <c r="S72" i="68"/>
  <c r="T77" i="68"/>
  <c r="S74" i="68" a="1"/>
  <c r="S74" i="68"/>
  <c r="S73" i="68" a="1"/>
  <c r="S73" i="68"/>
  <c r="R80" i="68"/>
  <c r="Q80" i="82"/>
  <c r="Q82" i="82"/>
  <c r="Q107" i="82"/>
  <c r="S6" i="82"/>
  <c r="T6" i="68"/>
  <c r="T6" i="75"/>
  <c r="T6" i="85"/>
  <c r="S6" i="81"/>
  <c r="S6" i="73"/>
  <c r="S6" i="72"/>
  <c r="X7" i="81"/>
  <c r="X42" i="81"/>
  <c r="X7" i="73"/>
  <c r="X42" i="73"/>
  <c r="X7" i="72"/>
  <c r="X42" i="72"/>
  <c r="X42" i="68"/>
  <c r="Y7" i="82"/>
  <c r="Y42" i="82"/>
  <c r="R82" i="68"/>
  <c r="R107" i="68"/>
  <c r="S74" i="82" a="1"/>
  <c r="S74" i="82"/>
  <c r="S73" i="82" a="1"/>
  <c r="S73" i="82"/>
  <c r="S72" i="82" a="1"/>
  <c r="S72" i="82"/>
  <c r="S74" i="72" a="1"/>
  <c r="S74" i="72"/>
  <c r="S73" i="72" a="1"/>
  <c r="S73" i="72"/>
  <c r="T78" i="72"/>
  <c r="S72" i="73" a="1"/>
  <c r="S72" i="73"/>
  <c r="T77" i="73"/>
  <c r="T80" i="73"/>
  <c r="T82" i="73"/>
  <c r="T107" i="73"/>
  <c r="S74" i="73" a="1"/>
  <c r="S74" i="73"/>
  <c r="S73" i="73" a="1"/>
  <c r="S73" i="73"/>
  <c r="S73" i="81" a="1"/>
  <c r="S73" i="81"/>
  <c r="T78" i="81"/>
  <c r="S74" i="81" a="1"/>
  <c r="S74" i="81"/>
  <c r="T73" i="68" a="1"/>
  <c r="T73" i="68"/>
  <c r="T74" i="68" a="1"/>
  <c r="T74" i="68"/>
  <c r="T72" i="68" a="1"/>
  <c r="T72" i="68"/>
  <c r="U77" i="68"/>
  <c r="S80" i="68"/>
  <c r="R80" i="82"/>
  <c r="T6" i="82"/>
  <c r="U6" i="68"/>
  <c r="U6" i="75"/>
  <c r="U6" i="85"/>
  <c r="T6" i="81"/>
  <c r="T6" i="72"/>
  <c r="T6" i="73"/>
  <c r="Y7" i="81"/>
  <c r="Y42" i="81"/>
  <c r="Y7" i="73"/>
  <c r="Y42" i="73"/>
  <c r="Y7" i="72"/>
  <c r="Y42" i="72"/>
  <c r="Y42" i="68"/>
  <c r="Z7" i="82"/>
  <c r="Z42" i="82"/>
  <c r="R82" i="82"/>
  <c r="R107" i="82"/>
  <c r="S82" i="68"/>
  <c r="S107" i="68"/>
  <c r="U72" i="68" a="1"/>
  <c r="U72" i="68"/>
  <c r="V77" i="68"/>
  <c r="U74" i="68" a="1"/>
  <c r="U74" i="68"/>
  <c r="U73" i="68" a="1"/>
  <c r="U73" i="68"/>
  <c r="T74" i="73" a="1"/>
  <c r="T74" i="73"/>
  <c r="T72" i="73" a="1"/>
  <c r="T72" i="73"/>
  <c r="U77" i="73"/>
  <c r="U80" i="73"/>
  <c r="U82" i="73"/>
  <c r="U107" i="73"/>
  <c r="T73" i="73" a="1"/>
  <c r="T73" i="73"/>
  <c r="T73" i="72" a="1"/>
  <c r="T73" i="72"/>
  <c r="U78" i="72"/>
  <c r="T74" i="72" a="1"/>
  <c r="T74" i="72"/>
  <c r="T73" i="81" a="1"/>
  <c r="T73" i="81"/>
  <c r="U78" i="81"/>
  <c r="T74" i="81" a="1"/>
  <c r="T74" i="81"/>
  <c r="T72" i="82" a="1"/>
  <c r="T72" i="82"/>
  <c r="T73" i="82" a="1"/>
  <c r="T73" i="82"/>
  <c r="T74" i="82" a="1"/>
  <c r="T74" i="82"/>
  <c r="T80" i="68"/>
  <c r="S80" i="82"/>
  <c r="U6" i="82"/>
  <c r="G90" i="82" a="1"/>
  <c r="G90" i="82"/>
  <c r="V6" i="68"/>
  <c r="V6" i="75"/>
  <c r="V6" i="85"/>
  <c r="U6" i="81"/>
  <c r="U6" i="72"/>
  <c r="U6" i="73"/>
  <c r="Z7" i="81"/>
  <c r="Z42" i="81"/>
  <c r="Z7" i="73"/>
  <c r="Z42" i="73"/>
  <c r="Z7" i="72"/>
  <c r="Z42" i="72"/>
  <c r="Z42" i="68"/>
  <c r="AA7" i="82"/>
  <c r="AA42" i="82"/>
  <c r="S82" i="82"/>
  <c r="S107" i="82"/>
  <c r="T82" i="68"/>
  <c r="T107" i="68"/>
  <c r="U74" i="73" a="1"/>
  <c r="U74" i="73"/>
  <c r="U72" i="73" a="1"/>
  <c r="U72" i="73"/>
  <c r="V77" i="73"/>
  <c r="V80" i="73"/>
  <c r="V82" i="73"/>
  <c r="V107" i="73"/>
  <c r="U73" i="73" a="1"/>
  <c r="U73" i="73"/>
  <c r="U74" i="72" a="1"/>
  <c r="U74" i="72"/>
  <c r="U73" i="72" a="1"/>
  <c r="U73" i="72"/>
  <c r="V78" i="72"/>
  <c r="U74" i="82" a="1"/>
  <c r="U74" i="82"/>
  <c r="U73" i="82" a="1"/>
  <c r="U73" i="82"/>
  <c r="U72" i="82" a="1"/>
  <c r="U72" i="82"/>
  <c r="U73" i="81" a="1"/>
  <c r="U73" i="81"/>
  <c r="V78" i="81"/>
  <c r="U74" i="81" a="1"/>
  <c r="U74" i="81"/>
  <c r="V72" i="68" a="1"/>
  <c r="V72" i="68"/>
  <c r="W77" i="68"/>
  <c r="V73" i="68" a="1"/>
  <c r="V73" i="68"/>
  <c r="V74" i="68" a="1"/>
  <c r="V74" i="68"/>
  <c r="U80" i="68"/>
  <c r="T80" i="82"/>
  <c r="V6" i="82"/>
  <c r="W6" i="68"/>
  <c r="W6" i="75"/>
  <c r="W6" i="85"/>
  <c r="V6" i="81"/>
  <c r="V6" i="72"/>
  <c r="V6" i="73"/>
  <c r="AA7" i="81"/>
  <c r="AA42" i="81"/>
  <c r="AA7" i="73"/>
  <c r="AA42" i="73"/>
  <c r="AA7" i="72"/>
  <c r="AA42" i="72"/>
  <c r="AA42" i="68"/>
  <c r="AB7" i="82"/>
  <c r="AB42" i="82"/>
  <c r="T82" i="82"/>
  <c r="T107" i="82"/>
  <c r="U82" i="68"/>
  <c r="U107" i="68"/>
  <c r="V73" i="72" a="1"/>
  <c r="V73" i="72"/>
  <c r="W78" i="72"/>
  <c r="V74" i="72" a="1"/>
  <c r="V74" i="72"/>
  <c r="V72" i="82" a="1"/>
  <c r="V72" i="82"/>
  <c r="V73" i="82" a="1"/>
  <c r="V73" i="82"/>
  <c r="V74" i="82" a="1"/>
  <c r="V74" i="82"/>
  <c r="V73" i="73" a="1"/>
  <c r="V73" i="73"/>
  <c r="V72" i="73" a="1"/>
  <c r="V72" i="73"/>
  <c r="W77" i="73"/>
  <c r="W80" i="73"/>
  <c r="W82" i="73"/>
  <c r="W107" i="73"/>
  <c r="V74" i="73" a="1"/>
  <c r="V74" i="73"/>
  <c r="V74" i="81" a="1"/>
  <c r="V74" i="81"/>
  <c r="V73" i="81" a="1"/>
  <c r="V73" i="81"/>
  <c r="W78" i="81"/>
  <c r="W73" i="68" a="1"/>
  <c r="W73" i="68"/>
  <c r="W74" i="68" a="1"/>
  <c r="W74" i="68"/>
  <c r="W72" i="68" a="1"/>
  <c r="W72" i="68"/>
  <c r="X77" i="68"/>
  <c r="V80" i="68"/>
  <c r="V82" i="68"/>
  <c r="V107" i="68"/>
  <c r="U80" i="82"/>
  <c r="W6" i="82"/>
  <c r="X6" i="68"/>
  <c r="X6" i="75"/>
  <c r="W6" i="81"/>
  <c r="W6" i="72"/>
  <c r="W6" i="73"/>
  <c r="AB7" i="81"/>
  <c r="AB42" i="81"/>
  <c r="AB7" i="73"/>
  <c r="AB42" i="73"/>
  <c r="AB7" i="72"/>
  <c r="AB42" i="72"/>
  <c r="AB42" i="68"/>
  <c r="U82" i="82"/>
  <c r="U107" i="82"/>
  <c r="X6" i="85"/>
  <c r="W74" i="82" a="1"/>
  <c r="W74" i="82"/>
  <c r="W73" i="82" a="1"/>
  <c r="W73" i="82"/>
  <c r="W72" i="82" a="1"/>
  <c r="W72" i="82"/>
  <c r="W73" i="72" a="1"/>
  <c r="W73" i="72"/>
  <c r="X78" i="72"/>
  <c r="W74" i="72" a="1"/>
  <c r="W74" i="72"/>
  <c r="W73" i="81" a="1"/>
  <c r="W73" i="81"/>
  <c r="X78" i="81"/>
  <c r="W74" i="81" a="1"/>
  <c r="W74" i="81"/>
  <c r="X73" i="68" a="1"/>
  <c r="X73" i="68"/>
  <c r="X72" i="68" a="1"/>
  <c r="X72" i="68"/>
  <c r="Y77" i="68"/>
  <c r="X74" i="68" a="1"/>
  <c r="X74" i="68"/>
  <c r="W72" i="73" a="1"/>
  <c r="W72" i="73"/>
  <c r="X77" i="73"/>
  <c r="W74" i="73" a="1"/>
  <c r="W74" i="73"/>
  <c r="W73" i="73" a="1"/>
  <c r="W73" i="73"/>
  <c r="W80" i="68"/>
  <c r="W82" i="68"/>
  <c r="W107" i="68"/>
  <c r="V80" i="82"/>
  <c r="V82" i="82"/>
  <c r="V107" i="82"/>
  <c r="X6" i="82"/>
  <c r="Y6" i="68"/>
  <c r="Y6" i="75"/>
  <c r="X6" i="81"/>
  <c r="X6" i="72"/>
  <c r="X6" i="73"/>
  <c r="Y6" i="85"/>
  <c r="X74" i="82" a="1"/>
  <c r="X74" i="82"/>
  <c r="X72" i="82" a="1"/>
  <c r="X72" i="82"/>
  <c r="X73" i="82" a="1"/>
  <c r="X73" i="82"/>
  <c r="X74" i="73" a="1"/>
  <c r="X74" i="73"/>
  <c r="X73" i="73" a="1"/>
  <c r="X73" i="73"/>
  <c r="X72" i="73" a="1"/>
  <c r="X72" i="73"/>
  <c r="Y77" i="73"/>
  <c r="Y80" i="73"/>
  <c r="Y82" i="73"/>
  <c r="Y107" i="73"/>
  <c r="X73" i="72" a="1"/>
  <c r="X73" i="72"/>
  <c r="Y78" i="72"/>
  <c r="X74" i="72" a="1"/>
  <c r="X74" i="72"/>
  <c r="Y74" i="68" a="1"/>
  <c r="Y74" i="68"/>
  <c r="Y73" i="68" a="1"/>
  <c r="Y73" i="68"/>
  <c r="Y72" i="68" a="1"/>
  <c r="Y72" i="68"/>
  <c r="Z77" i="68"/>
  <c r="X74" i="81" a="1"/>
  <c r="X74" i="81"/>
  <c r="X73" i="81" a="1"/>
  <c r="X73" i="81"/>
  <c r="Y78" i="81"/>
  <c r="X80" i="68"/>
  <c r="X82" i="68"/>
  <c r="X107" i="68"/>
  <c r="W80" i="82"/>
  <c r="W82" i="82"/>
  <c r="W107" i="82"/>
  <c r="Y6" i="82"/>
  <c r="Z6" i="68"/>
  <c r="Z6" i="75"/>
  <c r="Y6" i="81"/>
  <c r="Y6" i="73"/>
  <c r="Y6" i="72"/>
  <c r="Z6" i="85"/>
  <c r="Y72" i="82" a="1"/>
  <c r="Y72" i="82"/>
  <c r="Y73" i="82" a="1"/>
  <c r="Y73" i="82"/>
  <c r="Y74" i="82" a="1"/>
  <c r="Y74" i="82"/>
  <c r="Y73" i="72" a="1"/>
  <c r="Y73" i="72"/>
  <c r="Z78" i="72"/>
  <c r="Y74" i="72" a="1"/>
  <c r="Y74" i="72"/>
  <c r="Y72" i="73" a="1"/>
  <c r="Y72" i="73"/>
  <c r="Z77" i="73"/>
  <c r="Z80" i="73"/>
  <c r="Z82" i="73"/>
  <c r="Z107" i="73"/>
  <c r="Y73" i="73" a="1"/>
  <c r="Y73" i="73"/>
  <c r="Y74" i="73" a="1"/>
  <c r="Y74" i="73"/>
  <c r="Y73" i="81" a="1"/>
  <c r="Y73" i="81"/>
  <c r="Z78" i="81"/>
  <c r="Y74" i="81" a="1"/>
  <c r="Y74" i="81"/>
  <c r="Z72" i="68" a="1"/>
  <c r="Z72" i="68"/>
  <c r="AA77" i="68"/>
  <c r="Z73" i="68" a="1"/>
  <c r="Z73" i="68"/>
  <c r="Z74" i="68" a="1"/>
  <c r="Z74" i="68"/>
  <c r="Y80" i="68"/>
  <c r="Y82" i="68"/>
  <c r="Y107" i="68"/>
  <c r="X80" i="73"/>
  <c r="X82" i="73"/>
  <c r="X107" i="73"/>
  <c r="X80" i="82"/>
  <c r="X82" i="82"/>
  <c r="X107" i="82"/>
  <c r="Z6" i="82"/>
  <c r="AA6" i="68"/>
  <c r="AA6" i="75"/>
  <c r="Z6" i="81"/>
  <c r="Z6" i="73"/>
  <c r="Z6" i="72"/>
  <c r="AA6" i="85"/>
  <c r="Z74" i="72" a="1"/>
  <c r="Z74" i="72"/>
  <c r="Z73" i="72" a="1"/>
  <c r="Z73" i="72"/>
  <c r="AA78" i="72"/>
  <c r="Z72" i="82" a="1"/>
  <c r="Z72" i="82"/>
  <c r="Z73" i="82" a="1"/>
  <c r="Z73" i="82"/>
  <c r="Z74" i="82" a="1"/>
  <c r="Z74" i="82"/>
  <c r="Z74" i="73" a="1"/>
  <c r="Z74" i="73"/>
  <c r="Z72" i="73" a="1"/>
  <c r="Z72" i="73"/>
  <c r="AA77" i="73"/>
  <c r="AA80" i="73"/>
  <c r="AA82" i="73"/>
  <c r="AA107" i="73"/>
  <c r="Z73" i="73" a="1"/>
  <c r="Z73" i="73"/>
  <c r="Z74" i="81" a="1"/>
  <c r="Z74" i="81"/>
  <c r="Z73" i="81" a="1"/>
  <c r="Z73" i="81"/>
  <c r="AA78" i="81"/>
  <c r="AA72" i="68" a="1"/>
  <c r="AA72" i="68"/>
  <c r="AB77" i="68"/>
  <c r="AA73" i="68" a="1"/>
  <c r="AA73" i="68"/>
  <c r="AA74" i="68" a="1"/>
  <c r="AA74" i="68"/>
  <c r="Z80" i="68"/>
  <c r="Z82" i="68"/>
  <c r="Z107" i="68"/>
  <c r="Y80" i="82"/>
  <c r="Y82" i="82"/>
  <c r="Y107" i="82"/>
  <c r="AA6" i="82"/>
  <c r="AB6" i="68"/>
  <c r="AB6" i="75"/>
  <c r="AA6" i="81"/>
  <c r="AA6" i="73"/>
  <c r="AA6" i="72"/>
  <c r="AB6" i="85"/>
  <c r="AA72" i="73" a="1"/>
  <c r="AA72" i="73"/>
  <c r="AB77" i="73"/>
  <c r="AB80" i="73"/>
  <c r="AB82" i="73"/>
  <c r="AB107" i="73"/>
  <c r="AA74" i="73" a="1"/>
  <c r="AA74" i="73"/>
  <c r="AA73" i="73" a="1"/>
  <c r="AA73" i="73"/>
  <c r="AA73" i="81" a="1"/>
  <c r="AA73" i="81"/>
  <c r="AB78" i="81"/>
  <c r="AA74" i="81" a="1"/>
  <c r="AA74" i="81"/>
  <c r="AC6" i="68"/>
  <c r="AB74" i="68" a="1"/>
  <c r="AB74" i="68"/>
  <c r="AB73" i="68" a="1"/>
  <c r="AB73" i="68"/>
  <c r="AB72" i="68" a="1"/>
  <c r="AB72" i="68"/>
  <c r="AC77" i="68"/>
  <c r="AA74" i="72" a="1"/>
  <c r="AA74" i="72"/>
  <c r="AA73" i="72" a="1"/>
  <c r="AA73" i="72"/>
  <c r="AB78" i="72"/>
  <c r="AA74" i="82" a="1"/>
  <c r="AA74" i="82"/>
  <c r="AA73" i="82" a="1"/>
  <c r="AA73" i="82"/>
  <c r="AA72" i="82" a="1"/>
  <c r="AA72" i="82"/>
  <c r="AA80" i="68"/>
  <c r="AA82" i="68"/>
  <c r="AA107" i="68"/>
  <c r="Z80" i="82"/>
  <c r="Z82" i="82"/>
  <c r="Z107" i="82"/>
  <c r="AB6" i="82"/>
  <c r="AB6" i="81"/>
  <c r="AB6" i="72"/>
  <c r="AB6" i="73"/>
  <c r="AC6" i="73"/>
  <c r="AC6" i="75"/>
  <c r="AC6" i="82"/>
  <c r="AC73" i="82" a="1"/>
  <c r="AC73" i="82"/>
  <c r="AC72" i="73" a="1"/>
  <c r="AC72" i="73"/>
  <c r="AC74" i="73" a="1"/>
  <c r="AC74" i="73"/>
  <c r="AC73" i="73" a="1"/>
  <c r="AC73" i="73"/>
  <c r="AC6" i="72"/>
  <c r="AB74" i="82" a="1"/>
  <c r="AB74" i="82"/>
  <c r="AB73" i="82" a="1"/>
  <c r="AB73" i="82"/>
  <c r="AB72" i="82" a="1"/>
  <c r="AB72" i="82"/>
  <c r="AC72" i="82" a="1"/>
  <c r="AC72" i="82"/>
  <c r="AC80" i="82"/>
  <c r="AC82" i="82"/>
  <c r="AC107" i="82"/>
  <c r="AC74" i="82" a="1"/>
  <c r="AC74" i="82"/>
  <c r="AC72" i="68" a="1"/>
  <c r="AC72" i="68"/>
  <c r="AD77" i="68"/>
  <c r="AC74" i="68" a="1"/>
  <c r="AC74" i="68"/>
  <c r="AC73" i="68" a="1"/>
  <c r="AC73" i="68"/>
  <c r="AC80" i="68"/>
  <c r="AC82" i="68"/>
  <c r="AC107" i="68"/>
  <c r="AC6" i="81"/>
  <c r="AB74" i="73" a="1"/>
  <c r="AB74" i="73"/>
  <c r="AB73" i="73" a="1"/>
  <c r="AB73" i="73"/>
  <c r="AB72" i="73" a="1"/>
  <c r="AB72" i="73"/>
  <c r="AC77" i="73"/>
  <c r="AC80" i="73"/>
  <c r="AC82" i="73"/>
  <c r="AC107" i="73"/>
  <c r="AD6" i="68"/>
  <c r="AB74" i="72" a="1"/>
  <c r="AB74" i="72"/>
  <c r="AB73" i="72" a="1"/>
  <c r="AB73" i="72"/>
  <c r="AC78" i="72"/>
  <c r="AB74" i="81" a="1"/>
  <c r="AB74" i="81"/>
  <c r="AB73" i="81" a="1"/>
  <c r="AB73" i="81"/>
  <c r="AC78" i="81"/>
  <c r="AB80" i="68"/>
  <c r="AB82" i="68"/>
  <c r="AB107" i="68"/>
  <c r="AD6" i="73"/>
  <c r="AA80" i="82"/>
  <c r="AA82" i="82"/>
  <c r="AA107" i="82"/>
  <c r="I9" i="85"/>
  <c r="AD77" i="73"/>
  <c r="AC6" i="85"/>
  <c r="AE6" i="68"/>
  <c r="AE6" i="75"/>
  <c r="AD6" i="75"/>
  <c r="AD6" i="81"/>
  <c r="AD73" i="81" a="1"/>
  <c r="AD73" i="81"/>
  <c r="AE78" i="81"/>
  <c r="AD6" i="82"/>
  <c r="AD73" i="82" a="1"/>
  <c r="AD73" i="82"/>
  <c r="AD6" i="72"/>
  <c r="AD74" i="72" a="1"/>
  <c r="AD74" i="72"/>
  <c r="AC73" i="81" a="1"/>
  <c r="AC73" i="81"/>
  <c r="AD78" i="81"/>
  <c r="AC74" i="81" a="1"/>
  <c r="AC74" i="81"/>
  <c r="AE74" i="68" a="1"/>
  <c r="AE74" i="68"/>
  <c r="AE72" i="68" a="1"/>
  <c r="AE72" i="68"/>
  <c r="AF77" i="68"/>
  <c r="AE73" i="68" a="1"/>
  <c r="AE73" i="68"/>
  <c r="AC73" i="72" a="1"/>
  <c r="AC73" i="72"/>
  <c r="AD78" i="72"/>
  <c r="AC74" i="72" a="1"/>
  <c r="AC74" i="72"/>
  <c r="AD73" i="73" a="1"/>
  <c r="AD73" i="73"/>
  <c r="AD74" i="73" a="1"/>
  <c r="AD74" i="73"/>
  <c r="AD72" i="73" a="1"/>
  <c r="AD72" i="73"/>
  <c r="AE77" i="73"/>
  <c r="AE80" i="73"/>
  <c r="AE82" i="73"/>
  <c r="AE107" i="73"/>
  <c r="AD73" i="68" a="1"/>
  <c r="AD73" i="68"/>
  <c r="AD80" i="68"/>
  <c r="AD82" i="68"/>
  <c r="AD107" i="68"/>
  <c r="AD72" i="68" a="1"/>
  <c r="AD72" i="68"/>
  <c r="AE77" i="68"/>
  <c r="AD74" i="68" a="1"/>
  <c r="AD74" i="68"/>
  <c r="AE6" i="73"/>
  <c r="AF6" i="68"/>
  <c r="AF6" i="75"/>
  <c r="AE6" i="81"/>
  <c r="AE6" i="72"/>
  <c r="AE6" i="82"/>
  <c r="AB80" i="82"/>
  <c r="AB82" i="82"/>
  <c r="AB107" i="82"/>
  <c r="I9" i="75"/>
  <c r="I5" i="75"/>
  <c r="I9" i="82"/>
  <c r="I9" i="81"/>
  <c r="I9" i="73"/>
  <c r="I9" i="72"/>
  <c r="J9" i="68"/>
  <c r="AD80" i="73"/>
  <c r="AD82" i="73"/>
  <c r="AD107" i="73"/>
  <c r="AE80" i="68"/>
  <c r="AE82" i="68"/>
  <c r="AE107" i="68"/>
  <c r="J9" i="85"/>
  <c r="AF6" i="85"/>
  <c r="AE6" i="85"/>
  <c r="AD6" i="85"/>
  <c r="AD74" i="82" a="1"/>
  <c r="AD74" i="82"/>
  <c r="AD74" i="81" a="1"/>
  <c r="AD74" i="81"/>
  <c r="AD73" i="72" a="1"/>
  <c r="AD73" i="72"/>
  <c r="AE78" i="72"/>
  <c r="AD72" i="82" a="1"/>
  <c r="AD72" i="82"/>
  <c r="AD80" i="82"/>
  <c r="AD82" i="82"/>
  <c r="AD107" i="82"/>
  <c r="AE74" i="82" a="1"/>
  <c r="AE74" i="82"/>
  <c r="AE72" i="82" a="1"/>
  <c r="AE72" i="82"/>
  <c r="AE80" i="82"/>
  <c r="AE82" i="82"/>
  <c r="AE107" i="82"/>
  <c r="AE73" i="82" a="1"/>
  <c r="AE73" i="82"/>
  <c r="AE74" i="81" a="1"/>
  <c r="AE74" i="81"/>
  <c r="AE73" i="81" a="1"/>
  <c r="AE73" i="81"/>
  <c r="AF78" i="81"/>
  <c r="AF73" i="68" a="1"/>
  <c r="AF73" i="68"/>
  <c r="AF80" i="68"/>
  <c r="AF82" i="68"/>
  <c r="AF107" i="68"/>
  <c r="AF72" i="68" a="1"/>
  <c r="AF72" i="68"/>
  <c r="AG77" i="68"/>
  <c r="AF74" i="68" a="1"/>
  <c r="AF74" i="68"/>
  <c r="AE73" i="73" a="1"/>
  <c r="AE73" i="73"/>
  <c r="AE72" i="73" a="1"/>
  <c r="AE72" i="73"/>
  <c r="AF77" i="73"/>
  <c r="AF80" i="73"/>
  <c r="AF82" i="73"/>
  <c r="AF107" i="73"/>
  <c r="AE74" i="73" a="1"/>
  <c r="AE74" i="73"/>
  <c r="AE74" i="72" a="1"/>
  <c r="AE74" i="72"/>
  <c r="AE73" i="72" a="1"/>
  <c r="AE73" i="72"/>
  <c r="AF78" i="72"/>
  <c r="AF6" i="73"/>
  <c r="AG6" i="68"/>
  <c r="AG6" i="75"/>
  <c r="AF6" i="81"/>
  <c r="AF6" i="72"/>
  <c r="AF6" i="82"/>
  <c r="I88" i="75"/>
  <c r="I97" i="75"/>
  <c r="J9" i="75"/>
  <c r="J9" i="82"/>
  <c r="J9" i="81"/>
  <c r="J9" i="72"/>
  <c r="J9" i="73"/>
  <c r="K9" i="68"/>
  <c r="K9" i="85"/>
  <c r="AG6" i="85"/>
  <c r="AF72" i="82" a="1"/>
  <c r="AF72" i="82"/>
  <c r="AF80" i="82"/>
  <c r="AF82" i="82"/>
  <c r="AF107" i="82"/>
  <c r="AF74" i="82" a="1"/>
  <c r="AF74" i="82"/>
  <c r="AF73" i="82" a="1"/>
  <c r="AF73" i="82"/>
  <c r="AF74" i="72" a="1"/>
  <c r="AF74" i="72"/>
  <c r="AF73" i="72" a="1"/>
  <c r="AF73" i="72"/>
  <c r="AG78" i="72"/>
  <c r="AF73" i="81" a="1"/>
  <c r="AF73" i="81"/>
  <c r="AG78" i="81"/>
  <c r="AF74" i="81" a="1"/>
  <c r="AF74" i="81"/>
  <c r="AG74" i="68" a="1"/>
  <c r="AG74" i="68"/>
  <c r="AG73" i="68" a="1"/>
  <c r="AG73" i="68"/>
  <c r="AG80" i="68"/>
  <c r="AG82" i="68"/>
  <c r="AG107" i="68"/>
  <c r="AG72" i="68" a="1"/>
  <c r="AG72" i="68"/>
  <c r="AF74" i="73" a="1"/>
  <c r="AF74" i="73"/>
  <c r="AF73" i="73" a="1"/>
  <c r="AF73" i="73"/>
  <c r="AF72" i="73" a="1"/>
  <c r="AF72" i="73"/>
  <c r="AG77" i="73"/>
  <c r="AG80" i="73"/>
  <c r="AG82" i="73"/>
  <c r="AG107" i="73"/>
  <c r="AG6" i="73"/>
  <c r="AG6" i="81"/>
  <c r="AG6" i="72"/>
  <c r="AG6" i="82"/>
  <c r="J88" i="75"/>
  <c r="J97" i="75"/>
  <c r="K9" i="75"/>
  <c r="K9" i="82"/>
  <c r="K9" i="81"/>
  <c r="L9" i="68"/>
  <c r="K9" i="72"/>
  <c r="K9" i="73"/>
  <c r="L9" i="85"/>
  <c r="AG74" i="82" a="1"/>
  <c r="AG74" i="82"/>
  <c r="AG72" i="82" a="1"/>
  <c r="AG72" i="82"/>
  <c r="AG80" i="82"/>
  <c r="AG82" i="82"/>
  <c r="AG107" i="82"/>
  <c r="AG73" i="82" a="1"/>
  <c r="AG73" i="82"/>
  <c r="AG73" i="72" a="1"/>
  <c r="AG73" i="72"/>
  <c r="AG74" i="72" a="1"/>
  <c r="AG74" i="72"/>
  <c r="AG73" i="81" a="1"/>
  <c r="AG73" i="81"/>
  <c r="AG74" i="81" a="1"/>
  <c r="AG74" i="81"/>
  <c r="AG73" i="73" a="1"/>
  <c r="AG73" i="73"/>
  <c r="AG74" i="73" a="1"/>
  <c r="AG74" i="73"/>
  <c r="AG72" i="73" a="1"/>
  <c r="AG72" i="73"/>
  <c r="K88" i="75"/>
  <c r="K97" i="75"/>
  <c r="L9" i="75"/>
  <c r="L9" i="82"/>
  <c r="L9" i="81"/>
  <c r="M9" i="68"/>
  <c r="L9" i="73"/>
  <c r="L9" i="72"/>
  <c r="M9" i="85"/>
  <c r="L88" i="75"/>
  <c r="L97" i="75"/>
  <c r="M9" i="75"/>
  <c r="M9" i="82"/>
  <c r="M9" i="81"/>
  <c r="N9" i="68"/>
  <c r="M9" i="73"/>
  <c r="M9" i="72"/>
  <c r="N9" i="85"/>
  <c r="M88" i="75"/>
  <c r="M97" i="75"/>
  <c r="N9" i="75"/>
  <c r="N9" i="82"/>
  <c r="N9" i="81"/>
  <c r="O9" i="68"/>
  <c r="N9" i="73"/>
  <c r="N9" i="72"/>
  <c r="O9" i="85"/>
  <c r="N88" i="75"/>
  <c r="N97" i="75"/>
  <c r="O9" i="75"/>
  <c r="O9" i="82"/>
  <c r="O9" i="81"/>
  <c r="P9" i="68"/>
  <c r="O9" i="73"/>
  <c r="O9" i="72"/>
  <c r="P9" i="85"/>
  <c r="O88" i="75"/>
  <c r="O97" i="75"/>
  <c r="P9" i="75"/>
  <c r="P9" i="82"/>
  <c r="P9" i="81"/>
  <c r="Q9" i="68"/>
  <c r="P9" i="73"/>
  <c r="P9" i="72"/>
  <c r="Q9" i="85"/>
  <c r="P88" i="75"/>
  <c r="P97" i="75"/>
  <c r="Q9" i="75"/>
  <c r="Q9" i="82"/>
  <c r="Q9" i="81"/>
  <c r="R9" i="68"/>
  <c r="Q9" i="73"/>
  <c r="Q9" i="72"/>
  <c r="R9" i="85"/>
  <c r="Q88" i="75"/>
  <c r="Q97" i="75"/>
  <c r="R9" i="75"/>
  <c r="R9" i="82"/>
  <c r="R9" i="81"/>
  <c r="S9" i="68"/>
  <c r="R9" i="72"/>
  <c r="R9" i="73"/>
  <c r="S9" i="85"/>
  <c r="R88" i="75"/>
  <c r="R97" i="75"/>
  <c r="S9" i="75"/>
  <c r="S9" i="82"/>
  <c r="S9" i="81"/>
  <c r="T9" i="68"/>
  <c r="S9" i="72"/>
  <c r="S9" i="73"/>
  <c r="T9" i="85"/>
  <c r="S88" i="75"/>
  <c r="S97" i="75"/>
  <c r="T9" i="75"/>
  <c r="T9" i="82"/>
  <c r="T9" i="81"/>
  <c r="U9" i="68"/>
  <c r="T9" i="73"/>
  <c r="T9" i="72"/>
  <c r="U9" i="85"/>
  <c r="T88" i="75"/>
  <c r="T97" i="75"/>
  <c r="U9" i="75"/>
  <c r="U9" i="82"/>
  <c r="U9" i="81"/>
  <c r="V9" i="68"/>
  <c r="U9" i="72"/>
  <c r="U9" i="73"/>
  <c r="V9" i="85"/>
  <c r="U88" i="75"/>
  <c r="U97" i="75"/>
  <c r="V9" i="75"/>
  <c r="V9" i="82"/>
  <c r="V9" i="81"/>
  <c r="W9" i="68"/>
  <c r="V9" i="73"/>
  <c r="V9" i="72"/>
  <c r="W9" i="85"/>
  <c r="V88" i="75"/>
  <c r="V97" i="75"/>
  <c r="W9" i="75"/>
  <c r="W9" i="82"/>
  <c r="W9" i="81"/>
  <c r="X9" i="68"/>
  <c r="W9" i="73"/>
  <c r="W9" i="72"/>
  <c r="X9" i="85"/>
  <c r="W88" i="75"/>
  <c r="W97" i="75"/>
  <c r="X9" i="75"/>
  <c r="X9" i="82"/>
  <c r="X9" i="81"/>
  <c r="Y9" i="68"/>
  <c r="X9" i="73"/>
  <c r="X9" i="72"/>
  <c r="Y9" i="85"/>
  <c r="X88" i="75"/>
  <c r="X97" i="75"/>
  <c r="Y9" i="75"/>
  <c r="Y9" i="82"/>
  <c r="Y9" i="81"/>
  <c r="Z9" i="68"/>
  <c r="Y9" i="73"/>
  <c r="Y9" i="72"/>
  <c r="Z9" i="85"/>
  <c r="Y88" i="75"/>
  <c r="Y97" i="75"/>
  <c r="Z9" i="75"/>
  <c r="Z9" i="82"/>
  <c r="Z9" i="81"/>
  <c r="AA9" i="68"/>
  <c r="Z9" i="72"/>
  <c r="Z9" i="73"/>
  <c r="AA9" i="85"/>
  <c r="Z88" i="75"/>
  <c r="Z97" i="75"/>
  <c r="AA9" i="75"/>
  <c r="AA9" i="82"/>
  <c r="AA9" i="81"/>
  <c r="AB9" i="68"/>
  <c r="AA9" i="72"/>
  <c r="AA9" i="73"/>
  <c r="AB9" i="85"/>
  <c r="AC9" i="68"/>
  <c r="AA88" i="75"/>
  <c r="AA97" i="75"/>
  <c r="AB9" i="75"/>
  <c r="AB9" i="82"/>
  <c r="AB9" i="81"/>
  <c r="AB9" i="73"/>
  <c r="AB9" i="72"/>
  <c r="AC9" i="85"/>
  <c r="AC9" i="75"/>
  <c r="AC88" i="75"/>
  <c r="AC97" i="75"/>
  <c r="AC9" i="72"/>
  <c r="AC9" i="73"/>
  <c r="AD9" i="68"/>
  <c r="AC9" i="81"/>
  <c r="AC9" i="82"/>
  <c r="AB88" i="75"/>
  <c r="AB97" i="75"/>
  <c r="AD9" i="85"/>
  <c r="AD9" i="82"/>
  <c r="AD9" i="72"/>
  <c r="AD9" i="75"/>
  <c r="AD9" i="73"/>
  <c r="AD9" i="81"/>
  <c r="AE9" i="68"/>
  <c r="C94" i="43"/>
  <c r="C95" i="43"/>
  <c r="C96" i="43"/>
  <c r="C97" i="43"/>
  <c r="C98" i="43"/>
  <c r="C99" i="43"/>
  <c r="C100" i="43"/>
  <c r="C101" i="43"/>
  <c r="A44" i="47"/>
  <c r="A45" i="47"/>
  <c r="A46" i="47"/>
  <c r="A47" i="47"/>
  <c r="A48" i="47"/>
  <c r="A49" i="47"/>
  <c r="A50" i="47"/>
  <c r="A51" i="47"/>
  <c r="A52" i="47"/>
  <c r="A53" i="47"/>
  <c r="A54" i="47"/>
  <c r="A55" i="47"/>
  <c r="AE9" i="85"/>
  <c r="AD88" i="75"/>
  <c r="AD97" i="75"/>
  <c r="AE9" i="81"/>
  <c r="AE9" i="82"/>
  <c r="AE9" i="75"/>
  <c r="AE88" i="75"/>
  <c r="AE97" i="75"/>
  <c r="AE9" i="72"/>
  <c r="AE9" i="73"/>
  <c r="AF9" i="68"/>
  <c r="G8" i="33"/>
  <c r="AF9" i="85"/>
  <c r="AF9" i="82"/>
  <c r="AF9" i="81"/>
  <c r="AF9" i="75"/>
  <c r="AF9" i="72"/>
  <c r="AF9" i="73"/>
  <c r="AG9" i="68"/>
  <c r="AG9" i="85"/>
  <c r="AF88" i="75"/>
  <c r="AF97" i="75"/>
  <c r="AG9" i="82"/>
  <c r="AG9" i="75"/>
  <c r="AG9" i="81"/>
  <c r="AG9" i="73"/>
  <c r="AG9" i="72"/>
  <c r="AG88" i="75"/>
  <c r="AG97" i="75"/>
  <c r="E46" i="81"/>
  <c r="E47" i="81"/>
  <c r="E49" i="81"/>
  <c r="E50" i="73"/>
  <c r="E49" i="72"/>
  <c r="E46" i="68"/>
  <c r="E48" i="72"/>
  <c r="E52" i="73"/>
  <c r="E52" i="68"/>
  <c r="E46" i="82"/>
  <c r="E48" i="81"/>
  <c r="E49" i="73"/>
  <c r="E51" i="72"/>
  <c r="E50" i="81"/>
  <c r="E49" i="82"/>
  <c r="E47" i="72"/>
  <c r="E51" i="68"/>
  <c r="E52" i="72"/>
  <c r="E47" i="68"/>
  <c r="E50" i="72"/>
  <c r="E52" i="82"/>
  <c r="E48" i="73"/>
  <c r="E50" i="68"/>
  <c r="E48" i="68"/>
  <c r="E51" i="73"/>
  <c r="E51" i="82"/>
  <c r="E47" i="73"/>
  <c r="E46" i="72"/>
  <c r="E49" i="68"/>
  <c r="E46" i="73"/>
  <c r="E51" i="81"/>
  <c r="E50" i="82"/>
  <c r="E52" i="81"/>
  <c r="E48" i="82"/>
  <c r="E47" i="82"/>
  <c r="C14" i="43" a="1"/>
  <c r="G27" i="43"/>
  <c r="E22" i="62"/>
  <c r="F22" i="62"/>
  <c r="F23" i="62"/>
  <c r="E18" i="87"/>
  <c r="H90" i="43"/>
  <c r="F20" i="87"/>
  <c r="E20" i="87"/>
  <c r="B30" i="87"/>
  <c r="B31" i="88"/>
  <c r="B16" i="87"/>
  <c r="B19" i="88"/>
  <c r="G34" i="82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E45" i="82"/>
  <c r="E45" i="73"/>
  <c r="E45" i="81"/>
  <c r="E45" i="68"/>
  <c r="E45" i="72"/>
  <c r="G64" i="73"/>
  <c r="G64" i="68"/>
  <c r="C14" i="43"/>
  <c r="I14" i="81"/>
  <c r="E21" i="87"/>
  <c r="J14" i="81"/>
  <c r="F21" i="87"/>
  <c r="C3" i="73"/>
  <c r="C3" i="82"/>
  <c r="C3" i="81"/>
  <c r="C3" i="72"/>
  <c r="Z57" i="73" a="1"/>
  <c r="Z57" i="73"/>
  <c r="K57" i="73" a="1"/>
  <c r="K57" i="73"/>
  <c r="Y57" i="73" a="1"/>
  <c r="Y57" i="73"/>
  <c r="W57" i="73" a="1"/>
  <c r="W57" i="73"/>
  <c r="J57" i="73" a="1"/>
  <c r="J57" i="73"/>
  <c r="S57" i="73" a="1"/>
  <c r="S57" i="73"/>
  <c r="I57" i="73" a="1"/>
  <c r="I57" i="73"/>
  <c r="AG57" i="73" a="1"/>
  <c r="AG57" i="73"/>
  <c r="AE57" i="73" a="1"/>
  <c r="AE57" i="73"/>
  <c r="AA57" i="73" a="1"/>
  <c r="AA57" i="73"/>
  <c r="Q57" i="73" a="1"/>
  <c r="Q57" i="73"/>
  <c r="R57" i="73" a="1"/>
  <c r="R57" i="73"/>
  <c r="O57" i="73" a="1"/>
  <c r="O57" i="73"/>
  <c r="AC57" i="73" a="1"/>
  <c r="AC57" i="73"/>
  <c r="AD57" i="73" a="1"/>
  <c r="AD57" i="73"/>
  <c r="AF57" i="73" a="1"/>
  <c r="AF57" i="73"/>
  <c r="L57" i="73" a="1"/>
  <c r="L57" i="73"/>
  <c r="M57" i="73" a="1"/>
  <c r="M57" i="73"/>
  <c r="N57" i="73" a="1"/>
  <c r="N57" i="73"/>
  <c r="P57" i="73" a="1"/>
  <c r="P57" i="73"/>
  <c r="T57" i="73" a="1"/>
  <c r="T57" i="73"/>
  <c r="U57" i="73" a="1"/>
  <c r="U57" i="73"/>
  <c r="V57" i="73" a="1"/>
  <c r="V57" i="73"/>
  <c r="X57" i="73" a="1"/>
  <c r="X57" i="73"/>
  <c r="AB57" i="73" a="1"/>
  <c r="AB57" i="73"/>
  <c r="W57" i="81" a="1"/>
  <c r="W57" i="81"/>
  <c r="S57" i="81" a="1"/>
  <c r="S57" i="81"/>
  <c r="Q57" i="81" a="1"/>
  <c r="Q57" i="81"/>
  <c r="O57" i="81" a="1"/>
  <c r="O57" i="81"/>
  <c r="AG57" i="81" a="1"/>
  <c r="AG57" i="81"/>
  <c r="K57" i="81" a="1"/>
  <c r="K57" i="81"/>
  <c r="AE57" i="81" a="1"/>
  <c r="AE57" i="81"/>
  <c r="I57" i="81" a="1"/>
  <c r="I57" i="81"/>
  <c r="AA57" i="81" a="1"/>
  <c r="AA57" i="81"/>
  <c r="Y57" i="81" a="1"/>
  <c r="Y57" i="81"/>
  <c r="AC57" i="81" a="1"/>
  <c r="AC57" i="81"/>
  <c r="AD57" i="81" a="1"/>
  <c r="AD57" i="81"/>
  <c r="AF57" i="81" a="1"/>
  <c r="AF57" i="81"/>
  <c r="M57" i="81" a="1"/>
  <c r="M57" i="81"/>
  <c r="L57" i="81" a="1"/>
  <c r="L57" i="81"/>
  <c r="N57" i="81" a="1"/>
  <c r="N57" i="81"/>
  <c r="J57" i="81" a="1"/>
  <c r="J57" i="81"/>
  <c r="P57" i="81" a="1"/>
  <c r="P57" i="81"/>
  <c r="R57" i="81" a="1"/>
  <c r="R57" i="81"/>
  <c r="T57" i="81" a="1"/>
  <c r="T57" i="81"/>
  <c r="U57" i="81" a="1"/>
  <c r="U57" i="81"/>
  <c r="V57" i="81" a="1"/>
  <c r="V57" i="81"/>
  <c r="X57" i="81" a="1"/>
  <c r="X57" i="81"/>
  <c r="Z57" i="81" a="1"/>
  <c r="Z57" i="81"/>
  <c r="AB57" i="81" a="1"/>
  <c r="AB57" i="81"/>
  <c r="W57" i="82" a="1"/>
  <c r="W57" i="82"/>
  <c r="Q57" i="82" a="1"/>
  <c r="Q57" i="82"/>
  <c r="O57" i="82" a="1"/>
  <c r="O57" i="82"/>
  <c r="I57" i="82" a="1"/>
  <c r="I57" i="82"/>
  <c r="I85" i="82"/>
  <c r="AG57" i="82" a="1"/>
  <c r="AG57" i="82"/>
  <c r="AG85" i="82"/>
  <c r="AE57" i="82" a="1"/>
  <c r="AE57" i="82"/>
  <c r="AE85" i="82"/>
  <c r="Y57" i="82" a="1"/>
  <c r="Y57" i="82"/>
  <c r="AC57" i="82" a="1"/>
  <c r="AC57" i="82"/>
  <c r="AC85" i="82"/>
  <c r="AD57" i="82" a="1"/>
  <c r="AD57" i="82"/>
  <c r="AD85" i="82"/>
  <c r="AF57" i="82" a="1"/>
  <c r="AF57" i="82"/>
  <c r="AF85" i="82"/>
  <c r="K57" i="82" a="1"/>
  <c r="K57" i="82"/>
  <c r="N57" i="82" a="1"/>
  <c r="N57" i="82"/>
  <c r="L57" i="82" a="1"/>
  <c r="L57" i="82"/>
  <c r="J57" i="82" a="1"/>
  <c r="J57" i="82"/>
  <c r="M57" i="82" a="1"/>
  <c r="M57" i="82"/>
  <c r="P57" i="82" a="1"/>
  <c r="P57" i="82"/>
  <c r="R57" i="82" a="1"/>
  <c r="R57" i="82"/>
  <c r="S57" i="82" a="1"/>
  <c r="S57" i="82"/>
  <c r="T57" i="82" a="1"/>
  <c r="T57" i="82"/>
  <c r="U57" i="82" a="1"/>
  <c r="U57" i="82"/>
  <c r="V57" i="82" a="1"/>
  <c r="V57" i="82"/>
  <c r="X57" i="82" a="1"/>
  <c r="X57" i="82"/>
  <c r="Z57" i="82" a="1"/>
  <c r="Z57" i="82"/>
  <c r="AA57" i="82" a="1"/>
  <c r="AA57" i="82"/>
  <c r="AB57" i="82" a="1"/>
  <c r="AB57" i="82"/>
  <c r="AC57" i="72" a="1"/>
  <c r="AC57" i="72"/>
  <c r="AD57" i="72" a="1"/>
  <c r="AD57" i="72"/>
  <c r="AE57" i="72" a="1"/>
  <c r="AE57" i="72"/>
  <c r="AF57" i="72" a="1"/>
  <c r="AF57" i="72"/>
  <c r="AG57" i="72" a="1"/>
  <c r="AG57" i="72"/>
  <c r="AC57" i="68" a="1"/>
  <c r="AC57" i="68"/>
  <c r="AC85" i="68"/>
  <c r="AC108" i="68"/>
  <c r="AD57" i="68" a="1"/>
  <c r="AD57" i="68"/>
  <c r="AD85" i="68"/>
  <c r="AD108" i="68"/>
  <c r="AE57" i="68" a="1"/>
  <c r="AE57" i="68"/>
  <c r="AE85" i="68"/>
  <c r="AE108" i="68"/>
  <c r="AF57" i="68" a="1"/>
  <c r="AF57" i="68"/>
  <c r="AF85" i="68"/>
  <c r="AF108" i="68"/>
  <c r="AG57" i="68" a="1"/>
  <c r="AG57" i="68"/>
  <c r="AG85" i="68"/>
  <c r="AG108" i="68"/>
  <c r="X57" i="72" a="1"/>
  <c r="X57" i="72"/>
  <c r="S57" i="72" a="1"/>
  <c r="S57" i="72"/>
  <c r="J57" i="72" a="1"/>
  <c r="J57" i="72"/>
  <c r="R57" i="72" a="1"/>
  <c r="R57" i="72"/>
  <c r="P57" i="72" a="1"/>
  <c r="P57" i="72"/>
  <c r="O57" i="72" a="1"/>
  <c r="O57" i="72"/>
  <c r="Z57" i="72" a="1"/>
  <c r="Z57" i="72"/>
  <c r="L57" i="72" a="1"/>
  <c r="L57" i="72"/>
  <c r="K57" i="72" a="1"/>
  <c r="K57" i="72"/>
  <c r="N57" i="72" a="1"/>
  <c r="N57" i="72"/>
  <c r="I57" i="72" a="1"/>
  <c r="I57" i="72"/>
  <c r="M57" i="72" a="1"/>
  <c r="M57" i="72"/>
  <c r="Q57" i="72" a="1"/>
  <c r="Q57" i="72"/>
  <c r="T57" i="72" a="1"/>
  <c r="T57" i="72"/>
  <c r="U57" i="72" a="1"/>
  <c r="U57" i="72"/>
  <c r="V57" i="72" a="1"/>
  <c r="V57" i="72"/>
  <c r="W57" i="72" a="1"/>
  <c r="W57" i="72"/>
  <c r="Y57" i="72" a="1"/>
  <c r="Y57" i="72"/>
  <c r="AA57" i="72" a="1"/>
  <c r="AA57" i="72"/>
  <c r="AB57" i="72" a="1"/>
  <c r="AB57" i="72"/>
  <c r="D13" i="33"/>
  <c r="Q57" i="68" a="1"/>
  <c r="Q57" i="68"/>
  <c r="Q85" i="68"/>
  <c r="Q108" i="68"/>
  <c r="W57" i="68" a="1"/>
  <c r="W57" i="68"/>
  <c r="W85" i="68"/>
  <c r="W108" i="68"/>
  <c r="U57" i="68" a="1"/>
  <c r="U57" i="68"/>
  <c r="U85" i="68"/>
  <c r="U108" i="68"/>
  <c r="P57" i="68" a="1"/>
  <c r="P57" i="68"/>
  <c r="P85" i="68"/>
  <c r="P108" i="68"/>
  <c r="X57" i="68" a="1"/>
  <c r="X57" i="68"/>
  <c r="X85" i="68"/>
  <c r="X108" i="68"/>
  <c r="AB57" i="68" a="1"/>
  <c r="AB57" i="68"/>
  <c r="AB85" i="68"/>
  <c r="AB108" i="68"/>
  <c r="I57" i="68" a="1"/>
  <c r="I57" i="68"/>
  <c r="I85" i="68"/>
  <c r="I108" i="68"/>
  <c r="O57" i="68" a="1"/>
  <c r="O57" i="68"/>
  <c r="O85" i="68"/>
  <c r="O108" i="68"/>
  <c r="Y57" i="68" a="1"/>
  <c r="Y57" i="68"/>
  <c r="Y85" i="68"/>
  <c r="Y108" i="68"/>
  <c r="N57" i="68" a="1"/>
  <c r="N57" i="68"/>
  <c r="N85" i="68"/>
  <c r="N108" i="68"/>
  <c r="T57" i="68" a="1"/>
  <c r="T57" i="68"/>
  <c r="T85" i="68"/>
  <c r="T108" i="68"/>
  <c r="Z57" i="68" a="1"/>
  <c r="Z57" i="68"/>
  <c r="Z85" i="68"/>
  <c r="Z108" i="68"/>
  <c r="M57" i="68" a="1"/>
  <c r="M57" i="68"/>
  <c r="M85" i="68"/>
  <c r="M108" i="68"/>
  <c r="R57" i="68" a="1"/>
  <c r="R57" i="68"/>
  <c r="R85" i="68"/>
  <c r="R108" i="68"/>
  <c r="AA57" i="68" a="1"/>
  <c r="AA57" i="68"/>
  <c r="AA85" i="68"/>
  <c r="AA108" i="68"/>
  <c r="L57" i="68" a="1"/>
  <c r="L57" i="68"/>
  <c r="L85" i="68"/>
  <c r="L108" i="68"/>
  <c r="K57" i="68" a="1"/>
  <c r="K57" i="68"/>
  <c r="K85" i="68"/>
  <c r="K108" i="68"/>
  <c r="S57" i="68" a="1"/>
  <c r="S57" i="68"/>
  <c r="S85" i="68"/>
  <c r="S108" i="68"/>
  <c r="J57" i="68" a="1"/>
  <c r="J57" i="68"/>
  <c r="J85" i="68"/>
  <c r="J108" i="68"/>
  <c r="V57" i="68" a="1"/>
  <c r="V57" i="68"/>
  <c r="V85" i="68"/>
  <c r="V108" i="68"/>
  <c r="D10" i="33"/>
  <c r="D11" i="33"/>
  <c r="D9" i="33"/>
  <c r="D12" i="33"/>
  <c r="H95" i="43"/>
  <c r="H96" i="43"/>
  <c r="H97" i="43"/>
  <c r="H98" i="43"/>
  <c r="H99" i="43"/>
  <c r="H100" i="43"/>
  <c r="H101" i="43"/>
  <c r="H94" i="43"/>
  <c r="J17" i="81"/>
  <c r="J67" i="81"/>
  <c r="I17" i="81"/>
  <c r="I67" i="81"/>
  <c r="U85" i="72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AG87" i="68"/>
  <c r="AG106" i="68"/>
  <c r="AF87" i="68"/>
  <c r="AF106" i="68"/>
  <c r="AE87" i="68"/>
  <c r="AE106" i="68"/>
  <c r="AD87" i="68"/>
  <c r="AD106" i="68"/>
  <c r="AC87" i="68"/>
  <c r="AC106" i="68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I72" i="81" a="1"/>
  <c r="I72" i="81"/>
  <c r="J77" i="81"/>
  <c r="J80" i="81"/>
  <c r="J82" i="81"/>
  <c r="J107" i="81"/>
  <c r="J72" i="81" a="1"/>
  <c r="J72" i="81"/>
  <c r="K77" i="81"/>
  <c r="K80" i="81"/>
  <c r="K82" i="81"/>
  <c r="K107" i="81"/>
  <c r="K72" i="81" a="1"/>
  <c r="K72" i="81"/>
  <c r="L77" i="81"/>
  <c r="L80" i="81"/>
  <c r="L82" i="81"/>
  <c r="L107" i="81"/>
  <c r="L72" i="81" a="1"/>
  <c r="L72" i="81"/>
  <c r="M77" i="81"/>
  <c r="M80" i="81"/>
  <c r="M82" i="81"/>
  <c r="M107" i="81"/>
  <c r="M72" i="81" a="1"/>
  <c r="M72" i="81"/>
  <c r="N77" i="81"/>
  <c r="N80" i="81"/>
  <c r="N82" i="81"/>
  <c r="N107" i="81"/>
  <c r="N72" i="81" a="1"/>
  <c r="N72" i="81"/>
  <c r="O77" i="81"/>
  <c r="O80" i="81"/>
  <c r="O82" i="81"/>
  <c r="O107" i="81"/>
  <c r="O72" i="81" a="1"/>
  <c r="O72" i="81"/>
  <c r="P77" i="81"/>
  <c r="P80" i="81"/>
  <c r="P82" i="81"/>
  <c r="P107" i="81"/>
  <c r="P72" i="81" a="1"/>
  <c r="P72" i="81"/>
  <c r="Q77" i="81"/>
  <c r="Q80" i="81"/>
  <c r="Q82" i="81"/>
  <c r="Q107" i="81"/>
  <c r="Q72" i="81" a="1"/>
  <c r="Q72" i="81"/>
  <c r="R77" i="81"/>
  <c r="R80" i="81"/>
  <c r="R82" i="81"/>
  <c r="R107" i="81"/>
  <c r="R72" i="81" a="1"/>
  <c r="R72" i="81"/>
  <c r="S77" i="81"/>
  <c r="S80" i="81"/>
  <c r="S82" i="81"/>
  <c r="S107" i="81"/>
  <c r="S72" i="81" a="1"/>
  <c r="S72" i="81"/>
  <c r="T77" i="81"/>
  <c r="T80" i="81"/>
  <c r="T82" i="81"/>
  <c r="T107" i="81"/>
  <c r="T72" i="81" a="1"/>
  <c r="T72" i="81"/>
  <c r="U77" i="81"/>
  <c r="U80" i="81"/>
  <c r="U82" i="81"/>
  <c r="U107" i="81"/>
  <c r="U72" i="81" a="1"/>
  <c r="U72" i="81"/>
  <c r="V77" i="81"/>
  <c r="V80" i="81"/>
  <c r="V82" i="81"/>
  <c r="V107" i="81"/>
  <c r="V72" i="81" a="1"/>
  <c r="V72" i="81"/>
  <c r="W77" i="81"/>
  <c r="W80" i="81"/>
  <c r="W82" i="81"/>
  <c r="W107" i="81"/>
  <c r="W72" i="81" a="1"/>
  <c r="W72" i="81"/>
  <c r="X77" i="81"/>
  <c r="X80" i="81"/>
  <c r="X82" i="81"/>
  <c r="X107" i="81"/>
  <c r="X72" i="81" a="1"/>
  <c r="X72" i="81"/>
  <c r="Y77" i="81"/>
  <c r="Y80" i="81"/>
  <c r="Y82" i="81"/>
  <c r="Y107" i="81"/>
  <c r="Y72" i="81" a="1"/>
  <c r="Y72" i="81"/>
  <c r="Z77" i="81"/>
  <c r="Z80" i="81"/>
  <c r="Z82" i="81"/>
  <c r="Z107" i="81"/>
  <c r="Z72" i="81" a="1"/>
  <c r="Z72" i="81"/>
  <c r="AA77" i="81"/>
  <c r="AA80" i="81"/>
  <c r="AA82" i="81"/>
  <c r="AA107" i="81"/>
  <c r="AA72" i="81" a="1"/>
  <c r="AA72" i="81"/>
  <c r="AB77" i="81"/>
  <c r="AB80" i="81"/>
  <c r="AB82" i="81"/>
  <c r="AB107" i="81"/>
  <c r="AB72" i="81" a="1"/>
  <c r="AB72" i="81"/>
  <c r="AC77" i="81"/>
  <c r="AC80" i="81"/>
  <c r="AC82" i="81"/>
  <c r="AC107" i="81"/>
  <c r="AC72" i="81" a="1"/>
  <c r="AC72" i="81"/>
  <c r="AD77" i="81"/>
  <c r="AD80" i="81"/>
  <c r="AD82" i="81"/>
  <c r="AD107" i="81"/>
  <c r="AD72" i="81" a="1"/>
  <c r="AD72" i="81"/>
  <c r="AE77" i="81"/>
  <c r="AE80" i="81"/>
  <c r="AE82" i="81"/>
  <c r="AE107" i="81"/>
  <c r="AE72" i="81" a="1"/>
  <c r="AE72" i="81"/>
  <c r="AF77" i="81"/>
  <c r="AF80" i="81"/>
  <c r="AF82" i="81"/>
  <c r="AF107" i="81"/>
  <c r="AF72" i="81" a="1"/>
  <c r="AF72" i="81"/>
  <c r="AG77" i="81"/>
  <c r="AG80" i="81"/>
  <c r="AG82" i="81"/>
  <c r="AG107" i="81"/>
  <c r="AG72" i="81" a="1"/>
  <c r="AG72" i="81"/>
  <c r="C10" i="47"/>
  <c r="G90" i="81" a="1"/>
  <c r="G90" i="81"/>
  <c r="G92" i="81"/>
  <c r="C32" i="62"/>
  <c r="AG117" i="68" a="1"/>
  <c r="AG117" i="68"/>
  <c r="AG116" i="68" a="1"/>
  <c r="AG116" i="68"/>
  <c r="AG115" i="68" a="1"/>
  <c r="AG115" i="68"/>
  <c r="AG113" i="68" a="1"/>
  <c r="AG113" i="68"/>
  <c r="AG110" i="68" a="1"/>
  <c r="AG110" i="68"/>
  <c r="AG111" i="68" a="1"/>
  <c r="AG111" i="68"/>
  <c r="AG112" i="68" a="1"/>
  <c r="AG112" i="68"/>
  <c r="AG114" i="68" a="1"/>
  <c r="AG114" i="68"/>
  <c r="AF117" i="68" a="1"/>
  <c r="AF117" i="68"/>
  <c r="AF113" i="68" a="1"/>
  <c r="AF113" i="68"/>
  <c r="AF116" i="68" a="1"/>
  <c r="AF116" i="68"/>
  <c r="AF115" i="68" a="1"/>
  <c r="AF115" i="68"/>
  <c r="AF114" i="68" a="1"/>
  <c r="AF114" i="68"/>
  <c r="AF112" i="68" a="1"/>
  <c r="AF112" i="68"/>
  <c r="AF111" i="68" a="1"/>
  <c r="AF111" i="68"/>
  <c r="AF110" i="68" a="1"/>
  <c r="AF110" i="68"/>
  <c r="AE113" i="68" a="1"/>
  <c r="AE113" i="68"/>
  <c r="AE117" i="68" a="1"/>
  <c r="AE117" i="68"/>
  <c r="AE116" i="68" a="1"/>
  <c r="AE116" i="68"/>
  <c r="AE115" i="68" a="1"/>
  <c r="AE115" i="68"/>
  <c r="AE114" i="68" a="1"/>
  <c r="AE114" i="68"/>
  <c r="AE111" i="68" a="1"/>
  <c r="AE111" i="68"/>
  <c r="AE112" i="68" a="1"/>
  <c r="AE112" i="68"/>
  <c r="AE110" i="68" a="1"/>
  <c r="AE110" i="68"/>
  <c r="AC112" i="68" a="1"/>
  <c r="AC112" i="68"/>
  <c r="AC115" i="68" a="1"/>
  <c r="AC115" i="68"/>
  <c r="AC116" i="68" a="1"/>
  <c r="AC116" i="68"/>
  <c r="AC113" i="68" a="1"/>
  <c r="AC113" i="68"/>
  <c r="AC117" i="68" a="1"/>
  <c r="AC117" i="68"/>
  <c r="AC111" i="68" a="1"/>
  <c r="AC111" i="68"/>
  <c r="AC114" i="68" a="1"/>
  <c r="AC114" i="68"/>
  <c r="AC110" i="68" a="1"/>
  <c r="AC110" i="68"/>
  <c r="AD112" i="68" a="1"/>
  <c r="AD112" i="68"/>
  <c r="AD115" i="68" a="1"/>
  <c r="AD115" i="68"/>
  <c r="AD110" i="68" a="1"/>
  <c r="AD110" i="68"/>
  <c r="AD113" i="68" a="1"/>
  <c r="AD113" i="68"/>
  <c r="AD116" i="68" a="1"/>
  <c r="AD116" i="68"/>
  <c r="AD117" i="68" a="1"/>
  <c r="AD117" i="68"/>
  <c r="AD114" i="68" a="1"/>
  <c r="AD114" i="68"/>
  <c r="AD111" i="68" a="1"/>
  <c r="AD111" i="68"/>
  <c r="X87" i="68"/>
  <c r="X106" i="68"/>
  <c r="M87" i="68"/>
  <c r="M106" i="68"/>
  <c r="K87" i="68"/>
  <c r="K106" i="68"/>
  <c r="U87" i="68"/>
  <c r="U106" i="68"/>
  <c r="Q87" i="68"/>
  <c r="Q106" i="68"/>
  <c r="Z87" i="68"/>
  <c r="Z106" i="68"/>
  <c r="Y87" i="68"/>
  <c r="Y106" i="68"/>
  <c r="N87" i="68"/>
  <c r="N106" i="68"/>
  <c r="AA87" i="68"/>
  <c r="AA106" i="68"/>
  <c r="V87" i="68"/>
  <c r="V106" i="68"/>
  <c r="P87" i="68"/>
  <c r="P106" i="68"/>
  <c r="L87" i="68"/>
  <c r="L106" i="68"/>
  <c r="O87" i="68"/>
  <c r="O106" i="68"/>
  <c r="R87" i="68"/>
  <c r="R106" i="68"/>
  <c r="S87" i="68"/>
  <c r="S106" i="68"/>
  <c r="T87" i="68"/>
  <c r="T106" i="68"/>
  <c r="W87" i="68"/>
  <c r="W106" i="68"/>
  <c r="AB87" i="68"/>
  <c r="AB106" i="68"/>
  <c r="F10" i="47"/>
  <c r="D32" i="62"/>
  <c r="D10" i="47"/>
  <c r="A4" i="81"/>
  <c r="P117" i="68" a="1"/>
  <c r="P117" i="68"/>
  <c r="P111" i="68" a="1"/>
  <c r="P111" i="68"/>
  <c r="P112" i="68" a="1"/>
  <c r="P112" i="68"/>
  <c r="P114" i="68" a="1"/>
  <c r="P114" i="68"/>
  <c r="P116" i="68" a="1"/>
  <c r="P116" i="68"/>
  <c r="P110" i="68" a="1"/>
  <c r="P110" i="68"/>
  <c r="P113" i="68" a="1"/>
  <c r="P113" i="68"/>
  <c r="P115" i="68" a="1"/>
  <c r="P115" i="68"/>
  <c r="AA112" i="68" a="1"/>
  <c r="AA112" i="68"/>
  <c r="AA114" i="68" a="1"/>
  <c r="AA114" i="68"/>
  <c r="AA110" i="68" a="1"/>
  <c r="AA110" i="68"/>
  <c r="AA113" i="68" a="1"/>
  <c r="AA113" i="68"/>
  <c r="AA111" i="68" a="1"/>
  <c r="AA111" i="68"/>
  <c r="AA115" i="68" a="1"/>
  <c r="AA115" i="68"/>
  <c r="AA117" i="68" a="1"/>
  <c r="AA117" i="68"/>
  <c r="AA116" i="68" a="1"/>
  <c r="AA116" i="68"/>
  <c r="W116" i="68" a="1"/>
  <c r="W116" i="68"/>
  <c r="W113" i="68" a="1"/>
  <c r="W113" i="68"/>
  <c r="W110" i="68" a="1"/>
  <c r="W110" i="68"/>
  <c r="W117" i="68" a="1"/>
  <c r="W117" i="68"/>
  <c r="W111" i="68" a="1"/>
  <c r="W111" i="68"/>
  <c r="W112" i="68" a="1"/>
  <c r="W112" i="68"/>
  <c r="W115" i="68" a="1"/>
  <c r="W115" i="68"/>
  <c r="W114" i="68" a="1"/>
  <c r="W114" i="68"/>
  <c r="S117" i="68" a="1"/>
  <c r="S117" i="68"/>
  <c r="S111" i="68" a="1"/>
  <c r="S111" i="68"/>
  <c r="S114" i="68" a="1"/>
  <c r="S114" i="68"/>
  <c r="S112" i="68" a="1"/>
  <c r="S112" i="68"/>
  <c r="S115" i="68" a="1"/>
  <c r="S115" i="68"/>
  <c r="S116" i="68" a="1"/>
  <c r="S116" i="68"/>
  <c r="S113" i="68" a="1"/>
  <c r="S113" i="68"/>
  <c r="S110" i="68" a="1"/>
  <c r="S110" i="68"/>
  <c r="R117" i="68" a="1"/>
  <c r="R117" i="68"/>
  <c r="R111" i="68" a="1"/>
  <c r="R111" i="68"/>
  <c r="R114" i="68" a="1"/>
  <c r="R114" i="68"/>
  <c r="R112" i="68" a="1"/>
  <c r="R112" i="68"/>
  <c r="R115" i="68" a="1"/>
  <c r="R115" i="68"/>
  <c r="R116" i="68" a="1"/>
  <c r="R116" i="68"/>
  <c r="R110" i="68" a="1"/>
  <c r="R110" i="68"/>
  <c r="R113" i="68" a="1"/>
  <c r="R113" i="68"/>
  <c r="O117" i="68" a="1"/>
  <c r="O117" i="68"/>
  <c r="O111" i="68" a="1"/>
  <c r="O111" i="68"/>
  <c r="O115" i="68" a="1"/>
  <c r="O115" i="68"/>
  <c r="O112" i="68" a="1"/>
  <c r="O112" i="68"/>
  <c r="O113" i="68" a="1"/>
  <c r="O113" i="68"/>
  <c r="O114" i="68" a="1"/>
  <c r="O114" i="68"/>
  <c r="O116" i="68" a="1"/>
  <c r="O116" i="68"/>
  <c r="O110" i="68" a="1"/>
  <c r="O110" i="68"/>
  <c r="L115" i="68" a="1"/>
  <c r="L115" i="68"/>
  <c r="L112" i="68" a="1"/>
  <c r="L112" i="68"/>
  <c r="L116" i="68" a="1"/>
  <c r="L116" i="68"/>
  <c r="L113" i="68" a="1"/>
  <c r="L113" i="68"/>
  <c r="L111" i="68" a="1"/>
  <c r="L111" i="68"/>
  <c r="L117" i="68" a="1"/>
  <c r="L117" i="68"/>
  <c r="L114" i="68" a="1"/>
  <c r="L114" i="68"/>
  <c r="L110" i="68" a="1"/>
  <c r="L110" i="68"/>
  <c r="N115" i="68" a="1"/>
  <c r="N115" i="68"/>
  <c r="N112" i="68" a="1"/>
  <c r="N112" i="68"/>
  <c r="N117" i="68" a="1"/>
  <c r="N117" i="68"/>
  <c r="N111" i="68" a="1"/>
  <c r="N111" i="68"/>
  <c r="N110" i="68" a="1"/>
  <c r="N110" i="68"/>
  <c r="N116" i="68" a="1"/>
  <c r="N116" i="68"/>
  <c r="N114" i="68" a="1"/>
  <c r="N114" i="68"/>
  <c r="N113" i="68" a="1"/>
  <c r="N113" i="68"/>
  <c r="Y116" i="68" a="1"/>
  <c r="Y116" i="68"/>
  <c r="Y113" i="68" a="1"/>
  <c r="Y113" i="68"/>
  <c r="Y110" i="68" a="1"/>
  <c r="Y110" i="68"/>
  <c r="Y117" i="68" a="1"/>
  <c r="Y117" i="68"/>
  <c r="Y111" i="68" a="1"/>
  <c r="Y111" i="68"/>
  <c r="Y112" i="68" a="1"/>
  <c r="Y112" i="68"/>
  <c r="Y115" i="68" a="1"/>
  <c r="Y115" i="68"/>
  <c r="Y114" i="68" a="1"/>
  <c r="Y114" i="68"/>
  <c r="Q117" i="68" a="1"/>
  <c r="Q117" i="68"/>
  <c r="Q111" i="68" a="1"/>
  <c r="Q111" i="68"/>
  <c r="Q115" i="68" a="1"/>
  <c r="Q115" i="68"/>
  <c r="Q112" i="68" a="1"/>
  <c r="Q112" i="68"/>
  <c r="Q114" i="68" a="1"/>
  <c r="Q114" i="68"/>
  <c r="Q116" i="68" a="1"/>
  <c r="Q116" i="68"/>
  <c r="Q110" i="68" a="1"/>
  <c r="Q110" i="68"/>
  <c r="Q113" i="68" a="1"/>
  <c r="Q113" i="68"/>
  <c r="K115" i="68" a="1"/>
  <c r="K115" i="68"/>
  <c r="K112" i="68" a="1"/>
  <c r="K112" i="68"/>
  <c r="K116" i="68" a="1"/>
  <c r="K116" i="68"/>
  <c r="K110" i="68" a="1"/>
  <c r="K110" i="68"/>
  <c r="K113" i="68" a="1"/>
  <c r="K113" i="68"/>
  <c r="K111" i="68" a="1"/>
  <c r="K111" i="68"/>
  <c r="K117" i="68" a="1"/>
  <c r="K117" i="68"/>
  <c r="K114" i="68" a="1"/>
  <c r="K114" i="68"/>
  <c r="M115" i="68" a="1"/>
  <c r="M115" i="68"/>
  <c r="M112" i="68" a="1"/>
  <c r="M112" i="68"/>
  <c r="M116" i="68" a="1"/>
  <c r="M116" i="68"/>
  <c r="M113" i="68" a="1"/>
  <c r="M113" i="68"/>
  <c r="M111" i="68" a="1"/>
  <c r="M111" i="68"/>
  <c r="M117" i="68" a="1"/>
  <c r="M117" i="68"/>
  <c r="M114" i="68" a="1"/>
  <c r="M114" i="68"/>
  <c r="M110" i="68" a="1"/>
  <c r="M110" i="68"/>
  <c r="U113" i="68" a="1"/>
  <c r="U113" i="68"/>
  <c r="U110" i="68" a="1"/>
  <c r="U110" i="68"/>
  <c r="U115" i="68" a="1"/>
  <c r="U115" i="68"/>
  <c r="U111" i="68" a="1"/>
  <c r="U111" i="68"/>
  <c r="U116" i="68" a="1"/>
  <c r="U116" i="68"/>
  <c r="U112" i="68" a="1"/>
  <c r="U112" i="68"/>
  <c r="U117" i="68" a="1"/>
  <c r="U117" i="68"/>
  <c r="U114" i="68" a="1"/>
  <c r="U114" i="68"/>
  <c r="X116" i="68" a="1"/>
  <c r="X116" i="68"/>
  <c r="X113" i="68" a="1"/>
  <c r="X113" i="68"/>
  <c r="X110" i="68" a="1"/>
  <c r="X110" i="68"/>
  <c r="X114" i="68" a="1"/>
  <c r="X114" i="68"/>
  <c r="X111" i="68" a="1"/>
  <c r="X111" i="68"/>
  <c r="X112" i="68" a="1"/>
  <c r="X112" i="68"/>
  <c r="X115" i="68" a="1"/>
  <c r="X115" i="68"/>
  <c r="X117" i="68" a="1"/>
  <c r="X117" i="68"/>
  <c r="AB112" i="68" a="1"/>
  <c r="AB112" i="68"/>
  <c r="AB115" i="68" a="1"/>
  <c r="AB115" i="68"/>
  <c r="AB116" i="68" a="1"/>
  <c r="AB116" i="68"/>
  <c r="AB110" i="68" a="1"/>
  <c r="AB110" i="68"/>
  <c r="AB113" i="68" a="1"/>
  <c r="AB113" i="68"/>
  <c r="AB117" i="68" a="1"/>
  <c r="AB117" i="68"/>
  <c r="AB111" i="68" a="1"/>
  <c r="AB111" i="68"/>
  <c r="AB114" i="68" a="1"/>
  <c r="AB114" i="68"/>
  <c r="T114" i="68" a="1"/>
  <c r="T114" i="68"/>
  <c r="T112" i="68" a="1"/>
  <c r="T112" i="68"/>
  <c r="T117" i="68" a="1"/>
  <c r="T117" i="68"/>
  <c r="T115" i="68" a="1"/>
  <c r="T115" i="68"/>
  <c r="T113" i="68" a="1"/>
  <c r="T113" i="68"/>
  <c r="T116" i="68" a="1"/>
  <c r="T116" i="68"/>
  <c r="T110" i="68" a="1"/>
  <c r="T110" i="68"/>
  <c r="T111" i="68" a="1"/>
  <c r="T111" i="68"/>
  <c r="V116" i="68" a="1"/>
  <c r="V116" i="68"/>
  <c r="V113" i="68" a="1"/>
  <c r="V113" i="68"/>
  <c r="V110" i="68" a="1"/>
  <c r="V110" i="68"/>
  <c r="V115" i="68" a="1"/>
  <c r="V115" i="68"/>
  <c r="V114" i="68" a="1"/>
  <c r="V114" i="68"/>
  <c r="V111" i="68" a="1"/>
  <c r="V111" i="68"/>
  <c r="V117" i="68" a="1"/>
  <c r="V117" i="68"/>
  <c r="V112" i="68" a="1"/>
  <c r="V112" i="68"/>
  <c r="Z116" i="68" a="1"/>
  <c r="Z116" i="68"/>
  <c r="Z113" i="68" a="1"/>
  <c r="Z113" i="68"/>
  <c r="Z112" i="68" a="1"/>
  <c r="Z112" i="68"/>
  <c r="Z117" i="68" a="1"/>
  <c r="Z117" i="68"/>
  <c r="Z111" i="68" a="1"/>
  <c r="Z111" i="68"/>
  <c r="Z110" i="68" a="1"/>
  <c r="Z110" i="68"/>
  <c r="Z115" i="68" a="1"/>
  <c r="Z115" i="68"/>
  <c r="Z114" i="68" a="1"/>
  <c r="Z114" i="68"/>
  <c r="J87" i="68"/>
  <c r="J106" i="68"/>
  <c r="I87" i="68"/>
  <c r="I106" i="68"/>
  <c r="A1" i="43"/>
  <c r="A1" i="33"/>
  <c r="J115" i="68" a="1"/>
  <c r="J115" i="68"/>
  <c r="J112" i="68" a="1"/>
  <c r="J112" i="68"/>
  <c r="J113" i="68" a="1"/>
  <c r="J113" i="68"/>
  <c r="J116" i="68" a="1"/>
  <c r="J116" i="68"/>
  <c r="J110" i="68" a="1"/>
  <c r="J110" i="68"/>
  <c r="J111" i="68" a="1"/>
  <c r="J111" i="68"/>
  <c r="J117" i="68" a="1"/>
  <c r="J117" i="68"/>
  <c r="J114" i="68" a="1"/>
  <c r="J114" i="68"/>
  <c r="I115" i="68" a="1"/>
  <c r="I115" i="68"/>
  <c r="I112" i="68" a="1"/>
  <c r="I112" i="68"/>
  <c r="I114" i="68" a="1"/>
  <c r="I114" i="68"/>
  <c r="I116" i="68" a="1"/>
  <c r="I116" i="68"/>
  <c r="I110" i="68" a="1"/>
  <c r="I110" i="68"/>
  <c r="I117" i="68" a="1"/>
  <c r="I117" i="68"/>
  <c r="I111" i="68" a="1"/>
  <c r="I111" i="68"/>
  <c r="I113" i="68" a="1"/>
  <c r="I113" i="68"/>
  <c r="A2" i="47"/>
  <c r="A1" i="47"/>
  <c r="A2" i="62"/>
  <c r="A1" i="62"/>
  <c r="D21" i="62"/>
  <c r="D22" i="62"/>
  <c r="D23" i="62"/>
  <c r="G71" i="43"/>
  <c r="G70" i="43"/>
  <c r="Q30" i="82" a="1"/>
  <c r="Q30" i="82"/>
  <c r="AF30" i="82" a="1"/>
  <c r="AF30" i="82"/>
  <c r="W30" i="82" a="1"/>
  <c r="W30" i="82"/>
  <c r="Y30" i="82" a="1"/>
  <c r="Y30" i="82"/>
  <c r="AC30" i="82" a="1"/>
  <c r="AC30" i="82"/>
  <c r="X30" i="82" a="1"/>
  <c r="X30" i="82"/>
  <c r="T30" i="82" a="1"/>
  <c r="T30" i="82"/>
  <c r="AG30" i="82" a="1"/>
  <c r="AG30" i="82"/>
  <c r="P30" i="82" a="1"/>
  <c r="P30" i="82"/>
  <c r="O30" i="82" a="1"/>
  <c r="O30" i="82"/>
  <c r="L30" i="82" a="1"/>
  <c r="L30" i="82"/>
  <c r="I30" i="82" a="1"/>
  <c r="I30" i="82"/>
  <c r="AB30" i="82" a="1"/>
  <c r="AB30" i="82"/>
  <c r="J30" i="82" a="1"/>
  <c r="J30" i="82"/>
  <c r="U30" i="82" a="1"/>
  <c r="U30" i="82"/>
  <c r="N30" i="82" a="1"/>
  <c r="N30" i="82"/>
  <c r="AE30" i="82" a="1"/>
  <c r="AE30" i="82"/>
  <c r="V30" i="82" a="1"/>
  <c r="V30" i="82"/>
  <c r="AA30" i="82" a="1"/>
  <c r="AA30" i="82"/>
  <c r="M30" i="82" a="1"/>
  <c r="M30" i="82"/>
  <c r="AD30" i="82" a="1"/>
  <c r="AD30" i="82"/>
  <c r="K30" i="82" a="1"/>
  <c r="K30" i="82"/>
  <c r="Z30" i="82" a="1"/>
  <c r="Z30" i="82"/>
  <c r="S30" i="82" a="1"/>
  <c r="S30" i="82"/>
  <c r="R30" i="82" a="1"/>
  <c r="R30" i="82"/>
  <c r="E28" i="73"/>
  <c r="E28" i="81"/>
  <c r="E28" i="72"/>
  <c r="E28" i="68"/>
  <c r="E28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I21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2" i="90"/>
  <c r="AC14" i="85"/>
  <c r="K21" i="75"/>
  <c r="AA20" i="75"/>
  <c r="AC18" i="75"/>
  <c r="AC22" i="75"/>
  <c r="U14" i="85"/>
  <c r="T19" i="75"/>
  <c r="T20" i="75"/>
  <c r="I18" i="75"/>
  <c r="Q14" i="85"/>
  <c r="AA19" i="75"/>
  <c r="U20" i="75"/>
  <c r="I15" i="75"/>
  <c r="AA14" i="85"/>
  <c r="Z18" i="75"/>
  <c r="Z22" i="75"/>
  <c r="X19" i="75"/>
  <c r="Q20" i="75"/>
  <c r="Q22" i="75"/>
  <c r="AG19" i="75"/>
  <c r="I20" i="75"/>
  <c r="Y14" i="85"/>
  <c r="S14" i="85"/>
  <c r="U18" i="75"/>
  <c r="R18" i="75"/>
  <c r="AD19" i="75"/>
  <c r="AD22" i="75"/>
  <c r="L18" i="75"/>
  <c r="AE20" i="75"/>
  <c r="AE22" i="75"/>
  <c r="AB18" i="75"/>
  <c r="AB22" i="75"/>
  <c r="U19" i="75"/>
  <c r="M20" i="75"/>
  <c r="M22" i="75"/>
  <c r="AF20" i="75"/>
  <c r="I19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X99" i="75"/>
  <c r="W14" i="85"/>
  <c r="W20" i="75"/>
  <c r="W22" i="75"/>
  <c r="O19" i="75"/>
  <c r="X21" i="75"/>
  <c r="N18" i="75"/>
  <c r="N22" i="75"/>
  <c r="P14" i="85"/>
  <c r="Y18" i="75"/>
  <c r="AA21" i="75"/>
  <c r="Y20" i="75"/>
  <c r="AG18" i="75"/>
  <c r="Z14" i="85"/>
  <c r="R14" i="85"/>
  <c r="AG20" i="75"/>
  <c r="R20" i="75"/>
  <c r="S19" i="75"/>
  <c r="S22" i="75"/>
  <c r="R21" i="75"/>
  <c r="O18" i="75"/>
  <c r="X14" i="85"/>
  <c r="T18" i="75"/>
  <c r="L21" i="75"/>
  <c r="P20" i="75"/>
  <c r="P22" i="75"/>
  <c r="AF21" i="75"/>
  <c r="J14" i="85"/>
  <c r="F28" i="82"/>
  <c r="F28" i="68"/>
  <c r="F28" i="72"/>
  <c r="F28" i="81"/>
  <c r="F28" i="73"/>
  <c r="K22" i="75"/>
  <c r="V22" i="75"/>
  <c r="J22" i="75"/>
  <c r="I22" i="75"/>
  <c r="AA22" i="75"/>
  <c r="U22" i="75"/>
  <c r="L22" i="75"/>
  <c r="X22" i="75"/>
  <c r="T22" i="75"/>
  <c r="AF22" i="75"/>
  <c r="AG22" i="75"/>
  <c r="Y22" i="75"/>
  <c r="O22" i="75"/>
  <c r="R22" i="75"/>
  <c r="R36" i="82"/>
  <c r="R70" i="75"/>
  <c r="I36" i="82"/>
  <c r="I70" i="75"/>
  <c r="AA36" i="82"/>
  <c r="AA70" i="75"/>
  <c r="J36" i="82"/>
  <c r="J70" i="75"/>
  <c r="AB36" i="82"/>
  <c r="AB70" i="75"/>
  <c r="U36" i="82"/>
  <c r="U70" i="75"/>
  <c r="P36" i="82"/>
  <c r="P70" i="75"/>
  <c r="AE36" i="82"/>
  <c r="AE70" i="75"/>
  <c r="T36" i="82"/>
  <c r="T70" i="75"/>
  <c r="AF36" i="82"/>
  <c r="AF70" i="75"/>
  <c r="M36" i="82"/>
  <c r="M70" i="75"/>
  <c r="K56" i="75"/>
  <c r="L36" i="82"/>
  <c r="L70" i="75"/>
  <c r="O36" i="82"/>
  <c r="O70" i="75"/>
  <c r="AG36" i="82"/>
  <c r="AG70" i="75"/>
  <c r="N36" i="82"/>
  <c r="N70" i="75"/>
  <c r="K36" i="82"/>
  <c r="K70" i="75"/>
  <c r="AC36" i="82"/>
  <c r="AC70" i="75"/>
  <c r="X36" i="82"/>
  <c r="X70" i="75"/>
  <c r="Y36" i="82"/>
  <c r="Y70" i="75"/>
  <c r="Z36" i="82"/>
  <c r="Z70" i="75"/>
  <c r="V36" i="82"/>
  <c r="V70" i="75"/>
  <c r="Q36" i="82"/>
  <c r="Q70" i="75"/>
  <c r="AD36" i="82"/>
  <c r="AD70" i="75"/>
  <c r="S36" i="82"/>
  <c r="S70" i="75"/>
  <c r="W36" i="82"/>
  <c r="W70" i="75"/>
  <c r="C64" i="81"/>
  <c r="C64" i="73"/>
  <c r="C15" i="75"/>
  <c r="D15" i="75"/>
  <c r="D57" i="75"/>
  <c r="D60" i="75"/>
  <c r="C18" i="75"/>
  <c r="D18" i="75"/>
  <c r="D74" i="75"/>
  <c r="D63" i="75"/>
  <c r="D61" i="75"/>
  <c r="D64" i="75"/>
  <c r="D36" i="75"/>
  <c r="D78" i="75"/>
  <c r="D22" i="75"/>
  <c r="D71" i="75"/>
  <c r="C29" i="75"/>
  <c r="D29" i="75"/>
  <c r="C35" i="75"/>
  <c r="D35" i="75"/>
  <c r="D77" i="75"/>
  <c r="C21" i="75"/>
  <c r="D21" i="75"/>
  <c r="C33" i="75"/>
  <c r="D33" i="75"/>
  <c r="C19" i="75"/>
  <c r="D19" i="75"/>
  <c r="D75" i="75"/>
  <c r="C32" i="75"/>
  <c r="D32" i="75"/>
  <c r="H13" i="33"/>
  <c r="I13" i="33"/>
  <c r="G13" i="33"/>
  <c r="D28" i="85"/>
  <c r="B22" i="85"/>
  <c r="D22" i="85"/>
  <c r="B21" i="85"/>
  <c r="D21" i="85"/>
  <c r="G115" i="81"/>
  <c r="B46" i="85"/>
  <c r="D46" i="85"/>
  <c r="G116" i="81"/>
  <c r="B17" i="85"/>
  <c r="D17" i="85"/>
  <c r="B36" i="85"/>
  <c r="B19" i="85"/>
  <c r="D19" i="85"/>
  <c r="B20" i="85"/>
  <c r="D20" i="85"/>
  <c r="G113" i="81"/>
  <c r="B23" i="85"/>
  <c r="D23" i="85"/>
  <c r="B18" i="85"/>
  <c r="D18" i="85"/>
  <c r="B33" i="85"/>
  <c r="B49" i="85"/>
  <c r="D49" i="85"/>
  <c r="G114" i="81"/>
  <c r="B34" i="85"/>
  <c r="B35" i="85"/>
  <c r="D35" i="85"/>
  <c r="B51" i="85"/>
  <c r="D51" i="85"/>
  <c r="G112" i="81"/>
  <c r="G117" i="81"/>
  <c r="B47" i="85"/>
  <c r="D47" i="85"/>
  <c r="B37" i="85"/>
  <c r="D37" i="85"/>
  <c r="G111" i="81"/>
  <c r="B31" i="85"/>
  <c r="B32" i="85"/>
  <c r="B16" i="85"/>
  <c r="D16" i="85"/>
  <c r="B45" i="85"/>
  <c r="D45" i="85"/>
  <c r="B50" i="85"/>
  <c r="D50" i="85"/>
  <c r="D33" i="85"/>
  <c r="G110" i="81"/>
  <c r="B30" i="85"/>
  <c r="B48" i="85"/>
  <c r="D48" i="85"/>
  <c r="B44" i="85"/>
  <c r="D44" i="85"/>
  <c r="D31" i="85"/>
  <c r="D32" i="85"/>
  <c r="D34" i="85"/>
  <c r="D36" i="85"/>
  <c r="D30" i="85"/>
  <c r="AF14" i="75"/>
  <c r="G53" i="88"/>
  <c r="L28" i="88"/>
  <c r="O99" i="75"/>
  <c r="O14" i="75"/>
  <c r="Y14" i="75"/>
  <c r="Y99" i="75"/>
  <c r="M99" i="75"/>
  <c r="M14" i="75"/>
  <c r="K36" i="73"/>
  <c r="N14" i="75"/>
  <c r="AF36" i="73"/>
  <c r="L36" i="73"/>
  <c r="J53" i="88"/>
  <c r="U36" i="68"/>
  <c r="U16" i="75"/>
  <c r="U92" i="75"/>
  <c r="AB28" i="88"/>
  <c r="T40" i="88"/>
  <c r="I32" i="68"/>
  <c r="K14" i="75"/>
  <c r="M16" i="88"/>
  <c r="R40" i="88"/>
  <c r="W53" i="88"/>
  <c r="I28" i="88"/>
  <c r="M28" i="88"/>
  <c r="AA14" i="75"/>
  <c r="AA99" i="75"/>
  <c r="Z99" i="75"/>
  <c r="Z14" i="75"/>
  <c r="L99" i="75"/>
  <c r="L14" i="75"/>
  <c r="AE99" i="75"/>
  <c r="AE14" i="75"/>
  <c r="AD99" i="75"/>
  <c r="AD14" i="75"/>
  <c r="R99" i="75"/>
  <c r="R14" i="75"/>
  <c r="AC99" i="75"/>
  <c r="AC14" i="75"/>
  <c r="AB14" i="75"/>
  <c r="AB99" i="75"/>
  <c r="Z28" i="88"/>
  <c r="P36" i="68"/>
  <c r="P16" i="75"/>
  <c r="P92" i="75"/>
  <c r="X28" i="88"/>
  <c r="P99" i="75"/>
  <c r="M33" i="81"/>
  <c r="M36" i="81"/>
  <c r="M64" i="81"/>
  <c r="M84" i="81"/>
  <c r="AA36" i="72"/>
  <c r="K16" i="88"/>
  <c r="AA36" i="81"/>
  <c r="Y36" i="73"/>
  <c r="Y64" i="73"/>
  <c r="Y84" i="73"/>
  <c r="Y87" i="73"/>
  <c r="Y106" i="73"/>
  <c r="U14" i="75"/>
  <c r="AC36" i="68"/>
  <c r="AC16" i="75"/>
  <c r="AC92" i="75"/>
  <c r="AB16" i="88"/>
  <c r="Q36" i="73"/>
  <c r="T14" i="75"/>
  <c r="X28" i="72"/>
  <c r="X42" i="75"/>
  <c r="AB36" i="68"/>
  <c r="AB16" i="75"/>
  <c r="AB92" i="75"/>
  <c r="O28" i="88"/>
  <c r="K28" i="88"/>
  <c r="T36" i="68"/>
  <c r="T64" i="82"/>
  <c r="T84" i="82"/>
  <c r="T108" i="82"/>
  <c r="Q99" i="75"/>
  <c r="W16" i="88"/>
  <c r="N16" i="88"/>
  <c r="T16" i="88"/>
  <c r="Q30" i="81"/>
  <c r="E37" i="88"/>
  <c r="I31" i="72"/>
  <c r="Y36" i="68"/>
  <c r="Y64" i="82"/>
  <c r="Y84" i="82"/>
  <c r="M36" i="68"/>
  <c r="L16" i="88"/>
  <c r="N28" i="73"/>
  <c r="N56" i="75"/>
  <c r="AA28" i="88"/>
  <c r="AB36" i="73"/>
  <c r="AB64" i="73"/>
  <c r="AB84" i="73"/>
  <c r="AB87" i="73"/>
  <c r="AB106" i="73"/>
  <c r="S53" i="88"/>
  <c r="P36" i="81"/>
  <c r="P64" i="81"/>
  <c r="P84" i="81"/>
  <c r="I16" i="88"/>
  <c r="V28" i="88"/>
  <c r="J28" i="88"/>
  <c r="V36" i="73"/>
  <c r="N28" i="81"/>
  <c r="N28" i="75"/>
  <c r="O31" i="81"/>
  <c r="O36" i="81"/>
  <c r="R16" i="88"/>
  <c r="U36" i="73"/>
  <c r="I31" i="68"/>
  <c r="AA33" i="68"/>
  <c r="AA36" i="68"/>
  <c r="AC16" i="88"/>
  <c r="Q16" i="88"/>
  <c r="R28" i="88"/>
  <c r="T36" i="73"/>
  <c r="X36" i="68"/>
  <c r="X64" i="82"/>
  <c r="X84" i="82"/>
  <c r="M36" i="73"/>
  <c r="G16" i="88"/>
  <c r="X36" i="81"/>
  <c r="U16" i="88"/>
  <c r="W36" i="81"/>
  <c r="AG36" i="81"/>
  <c r="P16" i="88"/>
  <c r="I53" i="88"/>
  <c r="P53" i="88"/>
  <c r="O53" i="88"/>
  <c r="Z53" i="88"/>
  <c r="R36" i="73"/>
  <c r="H53" i="88"/>
  <c r="W33" i="73"/>
  <c r="W36" i="73"/>
  <c r="K53" i="88"/>
  <c r="AC36" i="72"/>
  <c r="W40" i="88"/>
  <c r="K36" i="81"/>
  <c r="AF33" i="81"/>
  <c r="AF36" i="81"/>
  <c r="AE33" i="81"/>
  <c r="AE36" i="81"/>
  <c r="S28" i="88"/>
  <c r="AD33" i="81"/>
  <c r="AD36" i="81"/>
  <c r="H28" i="88"/>
  <c r="G28" i="88"/>
  <c r="Y16" i="75"/>
  <c r="Y92" i="75"/>
  <c r="K33" i="68"/>
  <c r="K36" i="68"/>
  <c r="AE36" i="68"/>
  <c r="AE64" i="82"/>
  <c r="AE84" i="82"/>
  <c r="AD36" i="68"/>
  <c r="AD16" i="75"/>
  <c r="AD92" i="75"/>
  <c r="AA16" i="88"/>
  <c r="N36" i="68"/>
  <c r="E52" i="88"/>
  <c r="I33" i="73"/>
  <c r="AF36" i="68"/>
  <c r="L36" i="68"/>
  <c r="D98" i="75"/>
  <c r="E39" i="88"/>
  <c r="I33" i="72"/>
  <c r="Z36" i="68"/>
  <c r="Z64" i="82"/>
  <c r="Z84" i="82"/>
  <c r="X16" i="88"/>
  <c r="E16" i="88"/>
  <c r="O16" i="88"/>
  <c r="V16" i="88"/>
  <c r="Z16" i="88"/>
  <c r="Y16" i="88"/>
  <c r="F16" i="88"/>
  <c r="Q36" i="68"/>
  <c r="Q64" i="82"/>
  <c r="Q84" i="82"/>
  <c r="E28" i="88"/>
  <c r="N28" i="88"/>
  <c r="F28" i="88"/>
  <c r="AB33" i="81"/>
  <c r="AB36" i="81"/>
  <c r="I36" i="81"/>
  <c r="V33" i="81"/>
  <c r="V36" i="81"/>
  <c r="W28" i="88"/>
  <c r="Y36" i="81"/>
  <c r="Y64" i="81"/>
  <c r="Y84" i="81"/>
  <c r="Q36" i="81"/>
  <c r="Q28" i="88"/>
  <c r="Y28" i="88"/>
  <c r="X36" i="73"/>
  <c r="R53" i="88"/>
  <c r="AC53" i="88"/>
  <c r="U53" i="88"/>
  <c r="AD36" i="73"/>
  <c r="Q53" i="88"/>
  <c r="AB53" i="88"/>
  <c r="AA53" i="88"/>
  <c r="M53" i="88"/>
  <c r="F53" i="88"/>
  <c r="AE36" i="73"/>
  <c r="L53" i="88"/>
  <c r="T53" i="88"/>
  <c r="J36" i="73"/>
  <c r="S36" i="73"/>
  <c r="Q107" i="73"/>
  <c r="L107" i="73"/>
  <c r="K107" i="73"/>
  <c r="AE36" i="72"/>
  <c r="W36" i="72"/>
  <c r="W42" i="75"/>
  <c r="U36" i="72"/>
  <c r="U42" i="75"/>
  <c r="AG36" i="72"/>
  <c r="AG42" i="75"/>
  <c r="L36" i="72"/>
  <c r="J36" i="72"/>
  <c r="T36" i="72"/>
  <c r="P36" i="72"/>
  <c r="Y40" i="88"/>
  <c r="Z36" i="72"/>
  <c r="O40" i="88"/>
  <c r="AA40" i="88"/>
  <c r="P40" i="88"/>
  <c r="AE42" i="75"/>
  <c r="N36" i="72"/>
  <c r="M36" i="72"/>
  <c r="I40" i="88"/>
  <c r="V28" i="72"/>
  <c r="AC40" i="88"/>
  <c r="X40" i="88"/>
  <c r="J40" i="88"/>
  <c r="AB40" i="88"/>
  <c r="N40" i="88"/>
  <c r="S28" i="72"/>
  <c r="S42" i="75"/>
  <c r="K40" i="88"/>
  <c r="M40" i="88"/>
  <c r="V40" i="88"/>
  <c r="H40" i="88"/>
  <c r="Z40" i="88"/>
  <c r="U40" i="88"/>
  <c r="G40" i="88"/>
  <c r="I17" i="72"/>
  <c r="I67" i="72"/>
  <c r="I107" i="72"/>
  <c r="S99" i="75"/>
  <c r="S36" i="68"/>
  <c r="S14" i="75"/>
  <c r="AB28" i="75"/>
  <c r="AC56" i="75"/>
  <c r="AC36" i="73"/>
  <c r="Z36" i="73"/>
  <c r="Z56" i="75"/>
  <c r="M64" i="82"/>
  <c r="M84" i="82"/>
  <c r="AG36" i="73"/>
  <c r="W56" i="75"/>
  <c r="J99" i="75"/>
  <c r="J36" i="68"/>
  <c r="J14" i="75"/>
  <c r="L36" i="81"/>
  <c r="AD36" i="72"/>
  <c r="O36" i="72"/>
  <c r="K36" i="72"/>
  <c r="W36" i="68"/>
  <c r="W14" i="75"/>
  <c r="T36" i="81"/>
  <c r="E49" i="88"/>
  <c r="I30" i="73"/>
  <c r="E36" i="88"/>
  <c r="I30" i="72"/>
  <c r="AA33" i="73"/>
  <c r="AA36" i="73"/>
  <c r="S40" i="88"/>
  <c r="V28" i="68"/>
  <c r="U30" i="81"/>
  <c r="U36" i="81"/>
  <c r="L40" i="88"/>
  <c r="R28" i="81"/>
  <c r="AF30" i="72"/>
  <c r="AF36" i="72"/>
  <c r="P28" i="73"/>
  <c r="N53" i="88"/>
  <c r="X53" i="88"/>
  <c r="F40" i="88"/>
  <c r="U28" i="88"/>
  <c r="I28" i="68"/>
  <c r="J31" i="81"/>
  <c r="J36" i="81"/>
  <c r="O30" i="73"/>
  <c r="O36" i="73"/>
  <c r="H16" i="88"/>
  <c r="S28" i="81"/>
  <c r="T28" i="88"/>
  <c r="O32" i="68"/>
  <c r="O36" i="68"/>
  <c r="AC28" i="88"/>
  <c r="R30" i="68"/>
  <c r="R36" i="68"/>
  <c r="AC28" i="81"/>
  <c r="Q33" i="72"/>
  <c r="Q36" i="72"/>
  <c r="R30" i="72"/>
  <c r="R36" i="72"/>
  <c r="E48" i="88"/>
  <c r="V53" i="88"/>
  <c r="Y53" i="88"/>
  <c r="J16" i="88"/>
  <c r="E35" i="88"/>
  <c r="Q40" i="88"/>
  <c r="AG28" i="68"/>
  <c r="Y28" i="72"/>
  <c r="AB28" i="72"/>
  <c r="P28" i="88"/>
  <c r="Z28" i="81"/>
  <c r="E51" i="88"/>
  <c r="I32" i="73"/>
  <c r="S16" i="88"/>
  <c r="X36" i="72"/>
  <c r="Q64" i="81"/>
  <c r="Q84" i="81"/>
  <c r="AB64" i="82"/>
  <c r="AB84" i="82"/>
  <c r="AB87" i="82"/>
  <c r="AB106" i="82"/>
  <c r="Q16" i="75"/>
  <c r="Q92" i="75"/>
  <c r="N36" i="73"/>
  <c r="L64" i="73"/>
  <c r="L84" i="73"/>
  <c r="L108" i="73"/>
  <c r="Y87" i="82"/>
  <c r="Y106" i="82"/>
  <c r="Y108" i="82"/>
  <c r="Y112" i="82" a="1"/>
  <c r="Y112" i="82"/>
  <c r="K64" i="73"/>
  <c r="K84" i="73"/>
  <c r="K108" i="73"/>
  <c r="M64" i="73"/>
  <c r="M84" i="73"/>
  <c r="M87" i="73"/>
  <c r="M106" i="73"/>
  <c r="T64" i="73"/>
  <c r="T84" i="73"/>
  <c r="T87" i="73"/>
  <c r="T106" i="73"/>
  <c r="AF64" i="81"/>
  <c r="AF84" i="81"/>
  <c r="AF108" i="81"/>
  <c r="AA64" i="81"/>
  <c r="AA84" i="81"/>
  <c r="AA108" i="81"/>
  <c r="U64" i="73"/>
  <c r="U84" i="73"/>
  <c r="U64" i="82"/>
  <c r="U84" i="82"/>
  <c r="U108" i="82"/>
  <c r="AC64" i="73"/>
  <c r="AC84" i="73"/>
  <c r="AC87" i="73"/>
  <c r="AC106" i="73"/>
  <c r="N64" i="73"/>
  <c r="N84" i="73"/>
  <c r="N108" i="73"/>
  <c r="M16" i="75"/>
  <c r="M92" i="75"/>
  <c r="Y108" i="73"/>
  <c r="Y113" i="73" a="1"/>
  <c r="Y113" i="73"/>
  <c r="N36" i="81"/>
  <c r="N64" i="81"/>
  <c r="N84" i="81"/>
  <c r="T16" i="75"/>
  <c r="T92" i="75"/>
  <c r="AE16" i="75"/>
  <c r="AE92" i="75"/>
  <c r="X64" i="73"/>
  <c r="X84" i="73"/>
  <c r="X108" i="73"/>
  <c r="K64" i="81"/>
  <c r="K84" i="81"/>
  <c r="K108" i="81"/>
  <c r="K16" i="75"/>
  <c r="K92" i="75"/>
  <c r="Q64" i="73"/>
  <c r="Q84" i="73"/>
  <c r="K64" i="82"/>
  <c r="K84" i="82"/>
  <c r="K87" i="82"/>
  <c r="K106" i="82"/>
  <c r="P64" i="82"/>
  <c r="P84" i="82"/>
  <c r="P108" i="82"/>
  <c r="AE64" i="73"/>
  <c r="AE84" i="73"/>
  <c r="AE108" i="73"/>
  <c r="T64" i="81"/>
  <c r="T84" i="81"/>
  <c r="T87" i="81"/>
  <c r="T106" i="81"/>
  <c r="AD64" i="81"/>
  <c r="AD84" i="81"/>
  <c r="AD87" i="81"/>
  <c r="AD106" i="81"/>
  <c r="X64" i="81"/>
  <c r="X84" i="81"/>
  <c r="X108" i="81"/>
  <c r="AC64" i="82"/>
  <c r="AC84" i="82"/>
  <c r="AC87" i="82"/>
  <c r="AC106" i="82"/>
  <c r="L87" i="73"/>
  <c r="L106" i="73"/>
  <c r="L116" i="73" a="1"/>
  <c r="L116" i="73"/>
  <c r="AD64" i="82"/>
  <c r="AD84" i="82"/>
  <c r="AD108" i="82"/>
  <c r="T87" i="82"/>
  <c r="T106" i="82"/>
  <c r="T115" i="82" a="1"/>
  <c r="T115" i="82"/>
  <c r="S36" i="72"/>
  <c r="S64" i="72"/>
  <c r="S84" i="72"/>
  <c r="X16" i="75"/>
  <c r="X92" i="75"/>
  <c r="AD64" i="73"/>
  <c r="AD84" i="73"/>
  <c r="AD108" i="73"/>
  <c r="AB108" i="73"/>
  <c r="AB113" i="73" a="1"/>
  <c r="AB113" i="73"/>
  <c r="Q108" i="73"/>
  <c r="Q87" i="73"/>
  <c r="Q106" i="73"/>
  <c r="Q117" i="73" a="1"/>
  <c r="Q117" i="73"/>
  <c r="Z64" i="73"/>
  <c r="Z84" i="73"/>
  <c r="Z87" i="73"/>
  <c r="Z106" i="73"/>
  <c r="Z16" i="75"/>
  <c r="Z92" i="75"/>
  <c r="AF64" i="82"/>
  <c r="AF84" i="82"/>
  <c r="AF16" i="75"/>
  <c r="AF92" i="75"/>
  <c r="L64" i="82"/>
  <c r="L84" i="82"/>
  <c r="L16" i="75"/>
  <c r="L92" i="75"/>
  <c r="N64" i="82"/>
  <c r="N84" i="82"/>
  <c r="AF64" i="73"/>
  <c r="AF84" i="73"/>
  <c r="AA64" i="82"/>
  <c r="AA84" i="82"/>
  <c r="AA16" i="75"/>
  <c r="AA92" i="75"/>
  <c r="N16" i="75"/>
  <c r="N92" i="75"/>
  <c r="V36" i="72"/>
  <c r="V42" i="75"/>
  <c r="C11" i="47"/>
  <c r="G90" i="72" a="1"/>
  <c r="G90" i="72"/>
  <c r="G92" i="72"/>
  <c r="C33" i="62"/>
  <c r="Y72" i="72" a="1"/>
  <c r="Y72" i="72"/>
  <c r="Z77" i="72"/>
  <c r="Z80" i="72"/>
  <c r="Z82" i="72"/>
  <c r="Z72" i="72" a="1"/>
  <c r="Z72" i="72"/>
  <c r="AA77" i="72"/>
  <c r="AA80" i="72"/>
  <c r="AA82" i="72"/>
  <c r="L72" i="72" a="1"/>
  <c r="L72" i="72"/>
  <c r="M77" i="72"/>
  <c r="M80" i="72"/>
  <c r="M82" i="72"/>
  <c r="X72" i="72" a="1"/>
  <c r="X72" i="72"/>
  <c r="Y77" i="72"/>
  <c r="Y80" i="72"/>
  <c r="Y82" i="72"/>
  <c r="Q72" i="72" a="1"/>
  <c r="Q72" i="72"/>
  <c r="R77" i="72"/>
  <c r="R80" i="72"/>
  <c r="R82" i="72"/>
  <c r="I72" i="72" a="1"/>
  <c r="I72" i="72"/>
  <c r="J77" i="72"/>
  <c r="J80" i="72"/>
  <c r="J82" i="72"/>
  <c r="U72" i="72" a="1"/>
  <c r="U72" i="72"/>
  <c r="V77" i="72"/>
  <c r="V80" i="72"/>
  <c r="V82" i="72"/>
  <c r="W72" i="72" a="1"/>
  <c r="W72" i="72"/>
  <c r="X77" i="72"/>
  <c r="X80" i="72"/>
  <c r="X82" i="72"/>
  <c r="AC72" i="72" a="1"/>
  <c r="AC72" i="72"/>
  <c r="AD77" i="72"/>
  <c r="AD80" i="72"/>
  <c r="AD82" i="72"/>
  <c r="AE72" i="72" a="1"/>
  <c r="AE72" i="72"/>
  <c r="AF77" i="72"/>
  <c r="AF80" i="72"/>
  <c r="AF82" i="72"/>
  <c r="AF72" i="72" a="1"/>
  <c r="AF72" i="72"/>
  <c r="AG77" i="72"/>
  <c r="AG80" i="72"/>
  <c r="AG82" i="72"/>
  <c r="K72" i="72" a="1"/>
  <c r="K72" i="72"/>
  <c r="L77" i="72"/>
  <c r="L80" i="72"/>
  <c r="L82" i="72"/>
  <c r="J72" i="72" a="1"/>
  <c r="J72" i="72"/>
  <c r="K77" i="72"/>
  <c r="K80" i="72"/>
  <c r="K82" i="72"/>
  <c r="T72" i="72" a="1"/>
  <c r="T72" i="72"/>
  <c r="U77" i="72"/>
  <c r="U80" i="72"/>
  <c r="U82" i="72"/>
  <c r="M72" i="72" a="1"/>
  <c r="M72" i="72"/>
  <c r="N77" i="72"/>
  <c r="N80" i="72"/>
  <c r="N82" i="72"/>
  <c r="P72" i="72" a="1"/>
  <c r="P72" i="72"/>
  <c r="Q77" i="72"/>
  <c r="Q80" i="72"/>
  <c r="Q82" i="72"/>
  <c r="V72" i="72" a="1"/>
  <c r="V72" i="72"/>
  <c r="W77" i="72"/>
  <c r="W80" i="72"/>
  <c r="W82" i="72"/>
  <c r="S72" i="72" a="1"/>
  <c r="S72" i="72"/>
  <c r="T77" i="72"/>
  <c r="T80" i="72"/>
  <c r="T82" i="72"/>
  <c r="AG72" i="72" a="1"/>
  <c r="AG72" i="72"/>
  <c r="AD72" i="72" a="1"/>
  <c r="AD72" i="72"/>
  <c r="AE77" i="72"/>
  <c r="AE80" i="72"/>
  <c r="AE82" i="72"/>
  <c r="AA72" i="72" a="1"/>
  <c r="AA72" i="72"/>
  <c r="AB77" i="72"/>
  <c r="AB80" i="72"/>
  <c r="AB82" i="72"/>
  <c r="N72" i="72" a="1"/>
  <c r="N72" i="72"/>
  <c r="O77" i="72"/>
  <c r="O80" i="72"/>
  <c r="O82" i="72"/>
  <c r="O72" i="72" a="1"/>
  <c r="O72" i="72"/>
  <c r="P77" i="72"/>
  <c r="P80" i="72"/>
  <c r="P82" i="72"/>
  <c r="R72" i="72" a="1"/>
  <c r="R72" i="72"/>
  <c r="S77" i="72"/>
  <c r="S80" i="72"/>
  <c r="S82" i="72"/>
  <c r="AB72" i="72" a="1"/>
  <c r="AB72" i="72"/>
  <c r="AC77" i="72"/>
  <c r="AC80" i="72"/>
  <c r="AC82" i="72"/>
  <c r="O64" i="73"/>
  <c r="O84" i="73"/>
  <c r="O64" i="82"/>
  <c r="O84" i="82"/>
  <c r="O64" i="81"/>
  <c r="O84" i="81"/>
  <c r="O16" i="75"/>
  <c r="O92" i="75"/>
  <c r="Y108" i="81"/>
  <c r="Y87" i="81"/>
  <c r="Y106" i="81"/>
  <c r="L64" i="81"/>
  <c r="L84" i="81"/>
  <c r="I28" i="73"/>
  <c r="E53" i="88"/>
  <c r="X108" i="82"/>
  <c r="X87" i="82"/>
  <c r="X106" i="82"/>
  <c r="P108" i="81"/>
  <c r="P87" i="81"/>
  <c r="P106" i="81"/>
  <c r="Y117" i="82" a="1"/>
  <c r="Y117" i="82"/>
  <c r="Y116" i="82" a="1"/>
  <c r="Y116" i="82"/>
  <c r="Y115" i="82" a="1"/>
  <c r="Y115" i="82"/>
  <c r="Y114" i="82" a="1"/>
  <c r="Y114" i="82"/>
  <c r="Y113" i="82" a="1"/>
  <c r="Y113" i="82"/>
  <c r="AD87" i="73"/>
  <c r="AD106" i="73"/>
  <c r="AC36" i="81"/>
  <c r="AC28" i="75"/>
  <c r="P36" i="73"/>
  <c r="P56" i="75"/>
  <c r="Q108" i="81"/>
  <c r="Q87" i="81"/>
  <c r="Q106" i="81"/>
  <c r="AB115" i="73" a="1"/>
  <c r="AB115" i="73"/>
  <c r="AB116" i="73" a="1"/>
  <c r="AB116" i="73"/>
  <c r="AB117" i="73" a="1"/>
  <c r="AB117" i="73"/>
  <c r="AB112" i="73" a="1"/>
  <c r="AB112" i="73"/>
  <c r="AC108" i="73"/>
  <c r="Z87" i="82"/>
  <c r="Z106" i="82"/>
  <c r="Z108" i="82"/>
  <c r="M108" i="82"/>
  <c r="M87" i="82"/>
  <c r="M106" i="82"/>
  <c r="R64" i="82"/>
  <c r="R84" i="82"/>
  <c r="R64" i="73"/>
  <c r="R84" i="73"/>
  <c r="R16" i="75"/>
  <c r="R92" i="75"/>
  <c r="AB42" i="75"/>
  <c r="AB36" i="72"/>
  <c r="U108" i="73"/>
  <c r="U87" i="73"/>
  <c r="U106" i="73"/>
  <c r="Z36" i="81"/>
  <c r="Z28" i="75"/>
  <c r="AF64" i="72"/>
  <c r="AF84" i="72"/>
  <c r="W64" i="73"/>
  <c r="W84" i="73"/>
  <c r="W64" i="81"/>
  <c r="W84" i="81"/>
  <c r="W64" i="82"/>
  <c r="W84" i="82"/>
  <c r="W16" i="75"/>
  <c r="W92" i="75"/>
  <c r="AB108" i="82"/>
  <c r="Y42" i="75"/>
  <c r="Y36" i="72"/>
  <c r="AB64" i="81"/>
  <c r="AB84" i="81"/>
  <c r="U64" i="81"/>
  <c r="U84" i="81"/>
  <c r="E40" i="88"/>
  <c r="I28" i="72"/>
  <c r="Q108" i="82"/>
  <c r="Q87" i="82"/>
  <c r="Q106" i="82"/>
  <c r="S36" i="81"/>
  <c r="S28" i="75"/>
  <c r="AE108" i="82"/>
  <c r="AE87" i="82"/>
  <c r="AE106" i="82"/>
  <c r="S64" i="82"/>
  <c r="S84" i="82"/>
  <c r="S64" i="73"/>
  <c r="S84" i="73"/>
  <c r="S16" i="75"/>
  <c r="S92" i="75"/>
  <c r="AA64" i="73"/>
  <c r="AA84" i="73"/>
  <c r="J64" i="73"/>
  <c r="J84" i="73"/>
  <c r="J16" i="75"/>
  <c r="J92" i="75"/>
  <c r="J64" i="82"/>
  <c r="J84" i="82"/>
  <c r="J64" i="81"/>
  <c r="J84" i="81"/>
  <c r="I99" i="75"/>
  <c r="I36" i="68"/>
  <c r="I14" i="75"/>
  <c r="AE64" i="81"/>
  <c r="AE84" i="81"/>
  <c r="R36" i="81"/>
  <c r="R28" i="75"/>
  <c r="AG36" i="68"/>
  <c r="AG14" i="75"/>
  <c r="AG99" i="75"/>
  <c r="V99" i="75"/>
  <c r="V36" i="68"/>
  <c r="V14" i="75"/>
  <c r="Y117" i="73" a="1"/>
  <c r="Y117" i="73"/>
  <c r="Y116" i="73" a="1"/>
  <c r="Y116" i="73"/>
  <c r="Y111" i="73" a="1"/>
  <c r="Y111" i="73"/>
  <c r="Y115" i="73" a="1"/>
  <c r="Y115" i="73"/>
  <c r="K64" i="72"/>
  <c r="K84" i="72"/>
  <c r="M87" i="81"/>
  <c r="M106" i="81"/>
  <c r="M108" i="81"/>
  <c r="AB111" i="73" a="1"/>
  <c r="AB111" i="73"/>
  <c r="AC108" i="82"/>
  <c r="Y111" i="82" a="1"/>
  <c r="Y111" i="82"/>
  <c r="AA87" i="81"/>
  <c r="AA106" i="81"/>
  <c r="AA113" i="81" a="1"/>
  <c r="AA113" i="81"/>
  <c r="AF87" i="81"/>
  <c r="AF106" i="81"/>
  <c r="AF116" i="81" a="1"/>
  <c r="AF116" i="81"/>
  <c r="K87" i="73"/>
  <c r="K106" i="73"/>
  <c r="K114" i="73" a="1"/>
  <c r="K114" i="73"/>
  <c r="M108" i="73"/>
  <c r="M110" i="73" a="1"/>
  <c r="M110" i="73"/>
  <c r="Y110" i="82" a="1"/>
  <c r="Y110" i="82"/>
  <c r="AB114" i="73" a="1"/>
  <c r="AB114" i="73"/>
  <c r="P87" i="82"/>
  <c r="P106" i="82"/>
  <c r="P110" i="82" a="1"/>
  <c r="P110" i="82"/>
  <c r="U87" i="82"/>
  <c r="U106" i="82"/>
  <c r="U113" i="82" a="1"/>
  <c r="U113" i="82"/>
  <c r="N87" i="73"/>
  <c r="N106" i="73"/>
  <c r="N110" i="73" a="1"/>
  <c r="N110" i="73"/>
  <c r="AB110" i="73" a="1"/>
  <c r="AB110" i="73"/>
  <c r="K108" i="82"/>
  <c r="K114" i="82" a="1"/>
  <c r="K114" i="82"/>
  <c r="L113" i="73" a="1"/>
  <c r="L113" i="73"/>
  <c r="T108" i="73"/>
  <c r="T110" i="73" a="1"/>
  <c r="T110" i="73"/>
  <c r="Q114" i="73" a="1"/>
  <c r="Q114" i="73"/>
  <c r="AD87" i="82"/>
  <c r="AD106" i="82"/>
  <c r="AD116" i="82" a="1"/>
  <c r="AD116" i="82"/>
  <c r="T112" i="82" a="1"/>
  <c r="T112" i="82"/>
  <c r="L114" i="73" a="1"/>
  <c r="L114" i="73"/>
  <c r="T116" i="82" a="1"/>
  <c r="T116" i="82"/>
  <c r="Y110" i="73" a="1"/>
  <c r="Y110" i="73"/>
  <c r="Y112" i="73" a="1"/>
  <c r="Y112" i="73"/>
  <c r="AE87" i="73"/>
  <c r="AE106" i="73"/>
  <c r="AE112" i="73" a="1"/>
  <c r="AE112" i="73"/>
  <c r="Y114" i="73" a="1"/>
  <c r="Y114" i="73"/>
  <c r="L110" i="73" a="1"/>
  <c r="L110" i="73"/>
  <c r="L112" i="73" a="1"/>
  <c r="L112" i="73"/>
  <c r="AD108" i="81"/>
  <c r="AD111" i="81" a="1"/>
  <c r="AD111" i="81"/>
  <c r="L111" i="73" a="1"/>
  <c r="L111" i="73"/>
  <c r="T111" i="82" a="1"/>
  <c r="T111" i="82"/>
  <c r="X87" i="81"/>
  <c r="X106" i="81"/>
  <c r="X114" i="81" a="1"/>
  <c r="X114" i="81"/>
  <c r="Q110" i="73" a="1"/>
  <c r="Q110" i="73"/>
  <c r="T108" i="81"/>
  <c r="T112" i="81" a="1"/>
  <c r="T112" i="81"/>
  <c r="T110" i="82" a="1"/>
  <c r="T110" i="82"/>
  <c r="Q113" i="73" a="1"/>
  <c r="Q113" i="73"/>
  <c r="K87" i="81"/>
  <c r="K106" i="81"/>
  <c r="T117" i="82" a="1"/>
  <c r="T117" i="82"/>
  <c r="T114" i="82" a="1"/>
  <c r="T114" i="82"/>
  <c r="X87" i="73"/>
  <c r="X106" i="73"/>
  <c r="X116" i="73" a="1"/>
  <c r="X116" i="73"/>
  <c r="Q112" i="73" a="1"/>
  <c r="Q112" i="73"/>
  <c r="T113" i="82" a="1"/>
  <c r="T113" i="82"/>
  <c r="L117" i="73" a="1"/>
  <c r="L117" i="73"/>
  <c r="Z108" i="73"/>
  <c r="Z114" i="73" a="1"/>
  <c r="Z114" i="73"/>
  <c r="L115" i="73" a="1"/>
  <c r="L115" i="73"/>
  <c r="L87" i="82"/>
  <c r="L106" i="82"/>
  <c r="L108" i="82"/>
  <c r="Q116" i="73" a="1"/>
  <c r="Q116" i="73"/>
  <c r="K116" i="73" a="1"/>
  <c r="K116" i="73"/>
  <c r="K112" i="73" a="1"/>
  <c r="K112" i="73"/>
  <c r="AF87" i="73"/>
  <c r="AF106" i="73"/>
  <c r="AF108" i="73"/>
  <c r="N108" i="82"/>
  <c r="N87" i="82"/>
  <c r="N106" i="82"/>
  <c r="AA87" i="82"/>
  <c r="AA106" i="82"/>
  <c r="AA108" i="82"/>
  <c r="N87" i="81"/>
  <c r="N106" i="81"/>
  <c r="N108" i="81"/>
  <c r="D99" i="75"/>
  <c r="AF108" i="82"/>
  <c r="AF87" i="82"/>
  <c r="AF106" i="82"/>
  <c r="Q115" i="73" a="1"/>
  <c r="Q115" i="73"/>
  <c r="Q111" i="73" a="1"/>
  <c r="Q111" i="73"/>
  <c r="AE107" i="72"/>
  <c r="U107" i="72"/>
  <c r="F11" i="47"/>
  <c r="C88" i="85" a="1"/>
  <c r="D11" i="47"/>
  <c r="A4" i="72"/>
  <c r="L64" i="72"/>
  <c r="L84" i="72"/>
  <c r="L87" i="72"/>
  <c r="L106" i="72"/>
  <c r="D33" i="62"/>
  <c r="C38" i="62" a="1"/>
  <c r="C38" i="62"/>
  <c r="X64" i="72"/>
  <c r="X84" i="72"/>
  <c r="X87" i="72"/>
  <c r="X106" i="72"/>
  <c r="AE64" i="72"/>
  <c r="AE84" i="72"/>
  <c r="AE87" i="72"/>
  <c r="AE106" i="72"/>
  <c r="M64" i="72"/>
  <c r="M84" i="72"/>
  <c r="M87" i="72"/>
  <c r="M106" i="72"/>
  <c r="AA64" i="72"/>
  <c r="AA84" i="72"/>
  <c r="AA87" i="72"/>
  <c r="AA106" i="72"/>
  <c r="AA116" i="72" a="1"/>
  <c r="AA116" i="72"/>
  <c r="T64" i="72"/>
  <c r="T84" i="72"/>
  <c r="AC64" i="72"/>
  <c r="AC84" i="72"/>
  <c r="P64" i="72"/>
  <c r="P84" i="72"/>
  <c r="U64" i="72"/>
  <c r="U84" i="72"/>
  <c r="N64" i="72"/>
  <c r="N84" i="72"/>
  <c r="N87" i="72"/>
  <c r="N106" i="72"/>
  <c r="N116" i="72" a="1"/>
  <c r="N116" i="72"/>
  <c r="Z64" i="72"/>
  <c r="Z84" i="72"/>
  <c r="K107" i="72"/>
  <c r="T107" i="72"/>
  <c r="AA107" i="72"/>
  <c r="N107" i="72"/>
  <c r="L107" i="72"/>
  <c r="R64" i="72"/>
  <c r="R84" i="72"/>
  <c r="AC107" i="72"/>
  <c r="AG107" i="72"/>
  <c r="R107" i="72"/>
  <c r="Z107" i="72"/>
  <c r="AD64" i="72"/>
  <c r="AD84" i="72"/>
  <c r="AD108" i="72"/>
  <c r="O64" i="72"/>
  <c r="O84" i="72"/>
  <c r="S107" i="72"/>
  <c r="AF107" i="72"/>
  <c r="J107" i="72"/>
  <c r="W107" i="72"/>
  <c r="Q107" i="72"/>
  <c r="Q64" i="72"/>
  <c r="Q84" i="72"/>
  <c r="Q108" i="72"/>
  <c r="P107" i="72"/>
  <c r="AD107" i="72"/>
  <c r="M107" i="72"/>
  <c r="J64" i="72"/>
  <c r="J84" i="72"/>
  <c r="J108" i="72"/>
  <c r="O107" i="72"/>
  <c r="X107" i="72"/>
  <c r="Y107" i="72"/>
  <c r="W64" i="72"/>
  <c r="W84" i="72"/>
  <c r="W108" i="72"/>
  <c r="AB107" i="72"/>
  <c r="V107" i="72"/>
  <c r="AE108" i="81"/>
  <c r="AE87" i="81"/>
  <c r="AE106" i="81"/>
  <c r="AF87" i="72"/>
  <c r="AF106" i="72"/>
  <c r="AF108" i="72"/>
  <c r="M111" i="82" a="1"/>
  <c r="M111" i="82"/>
  <c r="M114" i="82" a="1"/>
  <c r="M114" i="82"/>
  <c r="M112" i="82" a="1"/>
  <c r="M112" i="82"/>
  <c r="M115" i="82" a="1"/>
  <c r="M115" i="82"/>
  <c r="M117" i="82" a="1"/>
  <c r="M117" i="82"/>
  <c r="M110" i="82" a="1"/>
  <c r="M110" i="82"/>
  <c r="M113" i="82" a="1"/>
  <c r="M113" i="82"/>
  <c r="M116" i="82" a="1"/>
  <c r="M116" i="82"/>
  <c r="Y115" i="81" a="1"/>
  <c r="Y115" i="81"/>
  <c r="Y116" i="81" a="1"/>
  <c r="Y116" i="81"/>
  <c r="Y113" i="81" a="1"/>
  <c r="Y113" i="81"/>
  <c r="Y110" i="81" a="1"/>
  <c r="Y110" i="81"/>
  <c r="Y114" i="81" a="1"/>
  <c r="Y114" i="81"/>
  <c r="Y111" i="81" a="1"/>
  <c r="Y111" i="81"/>
  <c r="Y117" i="81" a="1"/>
  <c r="Y117" i="81"/>
  <c r="Y112" i="81" a="1"/>
  <c r="Y112" i="81"/>
  <c r="X117" i="82" a="1"/>
  <c r="X117" i="82"/>
  <c r="X116" i="82" a="1"/>
  <c r="X116" i="82"/>
  <c r="X115" i="82" a="1"/>
  <c r="X115" i="82"/>
  <c r="X111" i="82" a="1"/>
  <c r="X111" i="82"/>
  <c r="X112" i="82" a="1"/>
  <c r="X112" i="82"/>
  <c r="X114" i="82" a="1"/>
  <c r="X114" i="82"/>
  <c r="X110" i="82" a="1"/>
  <c r="X110" i="82"/>
  <c r="X113" i="82" a="1"/>
  <c r="X113" i="82"/>
  <c r="AB64" i="72"/>
  <c r="AB84" i="72"/>
  <c r="W108" i="81"/>
  <c r="W87" i="81"/>
  <c r="W106" i="81"/>
  <c r="U114" i="82" a="1"/>
  <c r="U114" i="82"/>
  <c r="U110" i="82" a="1"/>
  <c r="U110" i="82"/>
  <c r="S87" i="73"/>
  <c r="S106" i="73"/>
  <c r="S108" i="73"/>
  <c r="I36" i="72"/>
  <c r="I64" i="72"/>
  <c r="I84" i="72"/>
  <c r="I42" i="75"/>
  <c r="AD117" i="81" a="1"/>
  <c r="AD117" i="81"/>
  <c r="AD115" i="81" a="1"/>
  <c r="AD115" i="81"/>
  <c r="AD116" i="81" a="1"/>
  <c r="AD116" i="81"/>
  <c r="S108" i="72"/>
  <c r="S87" i="72"/>
  <c r="S106" i="72"/>
  <c r="AB87" i="81"/>
  <c r="AB106" i="81"/>
  <c r="AB108" i="81"/>
  <c r="M117" i="81" a="1"/>
  <c r="M117" i="81"/>
  <c r="M115" i="81" a="1"/>
  <c r="M115" i="81"/>
  <c r="M113" i="81" a="1"/>
  <c r="M113" i="81"/>
  <c r="M110" i="81" a="1"/>
  <c r="M110" i="81"/>
  <c r="M116" i="81" a="1"/>
  <c r="M116" i="81"/>
  <c r="M114" i="81" a="1"/>
  <c r="M114" i="81"/>
  <c r="M111" i="81" a="1"/>
  <c r="M111" i="81"/>
  <c r="M112" i="81" a="1"/>
  <c r="M112" i="81"/>
  <c r="S87" i="82"/>
  <c r="S106" i="82"/>
  <c r="S108" i="82"/>
  <c r="AA116" i="81" a="1"/>
  <c r="AA116" i="81"/>
  <c r="AA114" i="81" a="1"/>
  <c r="AA114" i="81"/>
  <c r="AA117" i="81" a="1"/>
  <c r="AA117" i="81"/>
  <c r="AA111" i="81" a="1"/>
  <c r="AA111" i="81"/>
  <c r="AA115" i="81" a="1"/>
  <c r="AA115" i="81"/>
  <c r="Q116" i="82" a="1"/>
  <c r="Q116" i="82"/>
  <c r="Q113" i="82" a="1"/>
  <c r="Q113" i="82"/>
  <c r="Q111" i="82" a="1"/>
  <c r="Q111" i="82"/>
  <c r="Q112" i="82" a="1"/>
  <c r="Q112" i="82"/>
  <c r="Q117" i="82" a="1"/>
  <c r="Q117" i="82"/>
  <c r="Q115" i="82" a="1"/>
  <c r="Q115" i="82"/>
  <c r="Q114" i="82" a="1"/>
  <c r="Q114" i="82"/>
  <c r="Q110" i="82" a="1"/>
  <c r="Q110" i="82"/>
  <c r="U108" i="81"/>
  <c r="U87" i="81"/>
  <c r="U106" i="81"/>
  <c r="AF110" i="81" a="1"/>
  <c r="AF110" i="81"/>
  <c r="AF114" i="81" a="1"/>
  <c r="AF114" i="81"/>
  <c r="AF112" i="81" a="1"/>
  <c r="AF112" i="81"/>
  <c r="AF117" i="81" a="1"/>
  <c r="AF117" i="81"/>
  <c r="P64" i="73"/>
  <c r="P84" i="73"/>
  <c r="X117" i="81" a="1"/>
  <c r="X117" i="81"/>
  <c r="W108" i="73"/>
  <c r="W87" i="73"/>
  <c r="W106" i="73"/>
  <c r="V64" i="81"/>
  <c r="V84" i="81"/>
  <c r="V64" i="73"/>
  <c r="V84" i="73"/>
  <c r="V16" i="75"/>
  <c r="V92" i="75"/>
  <c r="V64" i="82"/>
  <c r="V84" i="82"/>
  <c r="V64" i="72"/>
  <c r="V84" i="72"/>
  <c r="K108" i="72"/>
  <c r="K87" i="72"/>
  <c r="K106" i="72"/>
  <c r="S64" i="81"/>
  <c r="S84" i="81"/>
  <c r="AD112" i="82" a="1"/>
  <c r="AD112" i="82"/>
  <c r="K117" i="82" a="1"/>
  <c r="K117" i="82"/>
  <c r="K115" i="82" a="1"/>
  <c r="K115" i="82"/>
  <c r="K116" i="82" a="1"/>
  <c r="K116" i="82"/>
  <c r="I36" i="73"/>
  <c r="I56" i="75"/>
  <c r="AC113" i="73" a="1"/>
  <c r="AC113" i="73"/>
  <c r="AC110" i="73" a="1"/>
  <c r="AC110" i="73"/>
  <c r="AC116" i="73" a="1"/>
  <c r="AC116" i="73"/>
  <c r="AC112" i="73" a="1"/>
  <c r="AC112" i="73"/>
  <c r="AC114" i="73" a="1"/>
  <c r="AC114" i="73"/>
  <c r="AC115" i="73" a="1"/>
  <c r="AC115" i="73"/>
  <c r="AC111" i="73" a="1"/>
  <c r="AC111" i="73"/>
  <c r="AC117" i="73" a="1"/>
  <c r="AC117" i="73"/>
  <c r="Y64" i="72"/>
  <c r="Y84" i="72"/>
  <c r="Z116" i="73" a="1"/>
  <c r="Z116" i="73"/>
  <c r="Z115" i="73" a="1"/>
  <c r="Z115" i="73"/>
  <c r="Z117" i="73" a="1"/>
  <c r="Z117" i="73"/>
  <c r="T117" i="73" a="1"/>
  <c r="T117" i="73"/>
  <c r="T116" i="73" a="1"/>
  <c r="T116" i="73"/>
  <c r="T115" i="73" a="1"/>
  <c r="T115" i="73"/>
  <c r="Z111" i="82" a="1"/>
  <c r="Z111" i="82"/>
  <c r="Z115" i="82" a="1"/>
  <c r="Z115" i="82"/>
  <c r="Z112" i="82" a="1"/>
  <c r="Z112" i="82"/>
  <c r="Z110" i="82" a="1"/>
  <c r="Z110" i="82"/>
  <c r="Z117" i="82" a="1"/>
  <c r="Z117" i="82"/>
  <c r="Z113" i="82" a="1"/>
  <c r="Z113" i="82"/>
  <c r="Z116" i="82" a="1"/>
  <c r="Z116" i="82"/>
  <c r="Z114" i="82" a="1"/>
  <c r="Z114" i="82"/>
  <c r="P111" i="81" a="1"/>
  <c r="P111" i="81"/>
  <c r="P110" i="81" a="1"/>
  <c r="P110" i="81"/>
  <c r="P113" i="81" a="1"/>
  <c r="P113" i="81"/>
  <c r="P114" i="81" a="1"/>
  <c r="P114" i="81"/>
  <c r="P117" i="81" a="1"/>
  <c r="P117" i="81"/>
  <c r="P115" i="81" a="1"/>
  <c r="P115" i="81"/>
  <c r="P116" i="81" a="1"/>
  <c r="P116" i="81"/>
  <c r="P112" i="81" a="1"/>
  <c r="P112" i="81"/>
  <c r="O108" i="81"/>
  <c r="O87" i="81"/>
  <c r="O106" i="81"/>
  <c r="J108" i="81"/>
  <c r="J87" i="81"/>
  <c r="J106" i="81"/>
  <c r="U113" i="73" a="1"/>
  <c r="U113" i="73"/>
  <c r="U112" i="73" a="1"/>
  <c r="U112" i="73"/>
  <c r="U116" i="73" a="1"/>
  <c r="U116" i="73"/>
  <c r="U117" i="73" a="1"/>
  <c r="U117" i="73"/>
  <c r="U110" i="73" a="1"/>
  <c r="U110" i="73"/>
  <c r="U111" i="73" a="1"/>
  <c r="U111" i="73"/>
  <c r="U114" i="73" a="1"/>
  <c r="U114" i="73"/>
  <c r="U115" i="73" a="1"/>
  <c r="U115" i="73"/>
  <c r="R64" i="81"/>
  <c r="R84" i="81"/>
  <c r="O108" i="82"/>
  <c r="O87" i="82"/>
  <c r="O106" i="82"/>
  <c r="AA87" i="73"/>
  <c r="AA106" i="73"/>
  <c r="AA108" i="73"/>
  <c r="W108" i="82"/>
  <c r="W87" i="82"/>
  <c r="W106" i="82"/>
  <c r="I64" i="82"/>
  <c r="I84" i="82"/>
  <c r="I16" i="75"/>
  <c r="I64" i="81"/>
  <c r="I84" i="81"/>
  <c r="Z64" i="81"/>
  <c r="Z84" i="81"/>
  <c r="AG64" i="82"/>
  <c r="AG84" i="82"/>
  <c r="AG64" i="81"/>
  <c r="AG84" i="81"/>
  <c r="AG64" i="73"/>
  <c r="AG84" i="73"/>
  <c r="AG64" i="72"/>
  <c r="AG84" i="72"/>
  <c r="AG16" i="75"/>
  <c r="AG92" i="75"/>
  <c r="T115" i="81" a="1"/>
  <c r="T115" i="81"/>
  <c r="T116" i="81" a="1"/>
  <c r="T116" i="81"/>
  <c r="T117" i="81" a="1"/>
  <c r="T117" i="81"/>
  <c r="AD116" i="73" a="1"/>
  <c r="AD116" i="73"/>
  <c r="AD114" i="73" a="1"/>
  <c r="AD114" i="73"/>
  <c r="AD115" i="73" a="1"/>
  <c r="AD115" i="73"/>
  <c r="AD111" i="73" a="1"/>
  <c r="AD111" i="73"/>
  <c r="AD112" i="73" a="1"/>
  <c r="AD112" i="73"/>
  <c r="AD117" i="73" a="1"/>
  <c r="AD117" i="73"/>
  <c r="AD113" i="73" a="1"/>
  <c r="AD113" i="73"/>
  <c r="AD110" i="73" a="1"/>
  <c r="AD110" i="73"/>
  <c r="M111" i="73" a="1"/>
  <c r="M111" i="73"/>
  <c r="M115" i="73" a="1"/>
  <c r="M115" i="73"/>
  <c r="M112" i="73" a="1"/>
  <c r="M112" i="73"/>
  <c r="M116" i="73" a="1"/>
  <c r="M116" i="73"/>
  <c r="M117" i="73" a="1"/>
  <c r="M117" i="73"/>
  <c r="M114" i="73" a="1"/>
  <c r="M114" i="73"/>
  <c r="AB114" i="82" a="1"/>
  <c r="AB114" i="82"/>
  <c r="AB116" i="82" a="1"/>
  <c r="AB116" i="82"/>
  <c r="AB117" i="82" a="1"/>
  <c r="AB117" i="82"/>
  <c r="AB112" i="82" a="1"/>
  <c r="AB112" i="82"/>
  <c r="AB111" i="82" a="1"/>
  <c r="AB111" i="82"/>
  <c r="AB110" i="82" a="1"/>
  <c r="AB110" i="82"/>
  <c r="AB113" i="82" a="1"/>
  <c r="AB113" i="82"/>
  <c r="AB115" i="82" a="1"/>
  <c r="AB115" i="82"/>
  <c r="R87" i="73"/>
  <c r="R106" i="73"/>
  <c r="R108" i="73"/>
  <c r="P113" i="82" a="1"/>
  <c r="P113" i="82"/>
  <c r="P112" i="82" a="1"/>
  <c r="P112" i="82"/>
  <c r="P114" i="82" a="1"/>
  <c r="P114" i="82"/>
  <c r="P117" i="82" a="1"/>
  <c r="P117" i="82"/>
  <c r="O108" i="73"/>
  <c r="O87" i="73"/>
  <c r="O106" i="73"/>
  <c r="AC113" i="82" a="1"/>
  <c r="AC113" i="82"/>
  <c r="AC111" i="82" a="1"/>
  <c r="AC111" i="82"/>
  <c r="AC112" i="82" a="1"/>
  <c r="AC112" i="82"/>
  <c r="AC115" i="82" a="1"/>
  <c r="AC115" i="82"/>
  <c r="AC116" i="82" a="1"/>
  <c r="AC116" i="82"/>
  <c r="AC117" i="82" a="1"/>
  <c r="AC117" i="82"/>
  <c r="AC114" i="82" a="1"/>
  <c r="AC114" i="82"/>
  <c r="AC110" i="82" a="1"/>
  <c r="AC110" i="82"/>
  <c r="AE117" i="82" a="1"/>
  <c r="AE117" i="82"/>
  <c r="AE112" i="82" a="1"/>
  <c r="AE112" i="82"/>
  <c r="AE114" i="82" a="1"/>
  <c r="AE114" i="82"/>
  <c r="AE113" i="82" a="1"/>
  <c r="AE113" i="82"/>
  <c r="AE115" i="82" a="1"/>
  <c r="AE115" i="82"/>
  <c r="AE110" i="82" a="1"/>
  <c r="AE110" i="82"/>
  <c r="AE116" i="82" a="1"/>
  <c r="AE116" i="82"/>
  <c r="AE111" i="82" a="1"/>
  <c r="AE111" i="82"/>
  <c r="AC64" i="81"/>
  <c r="AC84" i="81"/>
  <c r="J108" i="82"/>
  <c r="J87" i="82"/>
  <c r="J106" i="82"/>
  <c r="J108" i="73"/>
  <c r="J87" i="73"/>
  <c r="J106" i="73"/>
  <c r="R108" i="82"/>
  <c r="R87" i="82"/>
  <c r="R106" i="82"/>
  <c r="Q116" i="81" a="1"/>
  <c r="Q116" i="81"/>
  <c r="Q114" i="81" a="1"/>
  <c r="Q114" i="81"/>
  <c r="Q115" i="81" a="1"/>
  <c r="Q115" i="81"/>
  <c r="Q113" i="81" a="1"/>
  <c r="Q113" i="81"/>
  <c r="Q117" i="81" a="1"/>
  <c r="Q117" i="81"/>
  <c r="Q111" i="81" a="1"/>
  <c r="Q111" i="81"/>
  <c r="Q110" i="81" a="1"/>
  <c r="Q110" i="81"/>
  <c r="Q112" i="81" a="1"/>
  <c r="Q112" i="81"/>
  <c r="L108" i="81"/>
  <c r="L87" i="81"/>
  <c r="L106" i="81"/>
  <c r="T113" i="73" a="1"/>
  <c r="T113" i="73"/>
  <c r="M113" i="73" a="1"/>
  <c r="M113" i="73"/>
  <c r="T114" i="73" a="1"/>
  <c r="T114" i="73"/>
  <c r="Z112" i="73" a="1"/>
  <c r="Z112" i="73"/>
  <c r="AA112" i="81" a="1"/>
  <c r="AA112" i="81"/>
  <c r="AF111" i="81" a="1"/>
  <c r="AF111" i="81"/>
  <c r="AF113" i="81" a="1"/>
  <c r="AF113" i="81"/>
  <c r="P115" i="82" a="1"/>
  <c r="P115" i="82"/>
  <c r="AF115" i="81" a="1"/>
  <c r="AF115" i="81"/>
  <c r="P111" i="82" a="1"/>
  <c r="P111" i="82"/>
  <c r="K110" i="73" a="1"/>
  <c r="K110" i="73"/>
  <c r="T111" i="81" a="1"/>
  <c r="T111" i="81"/>
  <c r="N113" i="73" a="1"/>
  <c r="N113" i="73"/>
  <c r="K115" i="73" a="1"/>
  <c r="K115" i="73"/>
  <c r="P116" i="82" a="1"/>
  <c r="P116" i="82"/>
  <c r="T113" i="81" a="1"/>
  <c r="T113" i="81"/>
  <c r="T112" i="73" a="1"/>
  <c r="T112" i="73"/>
  <c r="AD115" i="82" a="1"/>
  <c r="AD115" i="82"/>
  <c r="AA110" i="81" a="1"/>
  <c r="AA110" i="81"/>
  <c r="K111" i="73" a="1"/>
  <c r="K111" i="73"/>
  <c r="AE110" i="73" a="1"/>
  <c r="AE110" i="73"/>
  <c r="T111" i="73" a="1"/>
  <c r="T111" i="73"/>
  <c r="AD117" i="82" a="1"/>
  <c r="AD117" i="82"/>
  <c r="K117" i="73" a="1"/>
  <c r="K117" i="73"/>
  <c r="N117" i="73" a="1"/>
  <c r="N117" i="73"/>
  <c r="AE117" i="73" a="1"/>
  <c r="AE117" i="73"/>
  <c r="Z113" i="73" a="1"/>
  <c r="Z113" i="73"/>
  <c r="X116" i="81" a="1"/>
  <c r="X116" i="81"/>
  <c r="AE116" i="73" a="1"/>
  <c r="AE116" i="73"/>
  <c r="K112" i="82" a="1"/>
  <c r="K112" i="82"/>
  <c r="U112" i="82" a="1"/>
  <c r="U112" i="82"/>
  <c r="N116" i="73" a="1"/>
  <c r="N116" i="73"/>
  <c r="K113" i="82" a="1"/>
  <c r="K113" i="82"/>
  <c r="AE114" i="73" a="1"/>
  <c r="AE114" i="73"/>
  <c r="AE111" i="73" a="1"/>
  <c r="AE111" i="73"/>
  <c r="K111" i="82" a="1"/>
  <c r="K111" i="82"/>
  <c r="N115" i="73" a="1"/>
  <c r="N115" i="73"/>
  <c r="K110" i="82" a="1"/>
  <c r="K110" i="82"/>
  <c r="U115" i="82" a="1"/>
  <c r="U115" i="82"/>
  <c r="N112" i="73" a="1"/>
  <c r="N112" i="73"/>
  <c r="K113" i="73" a="1"/>
  <c r="K113" i="73"/>
  <c r="Z111" i="73" a="1"/>
  <c r="Z111" i="73"/>
  <c r="U116" i="82" a="1"/>
  <c r="U116" i="82"/>
  <c r="X113" i="81" a="1"/>
  <c r="X113" i="81"/>
  <c r="Z110" i="73" a="1"/>
  <c r="Z110" i="73"/>
  <c r="AD111" i="82" a="1"/>
  <c r="AD111" i="82"/>
  <c r="AD113" i="82" a="1"/>
  <c r="AD113" i="82"/>
  <c r="AD110" i="82" a="1"/>
  <c r="AD110" i="82"/>
  <c r="AD114" i="82" a="1"/>
  <c r="AD114" i="82"/>
  <c r="U117" i="82" a="1"/>
  <c r="U117" i="82"/>
  <c r="X115" i="81" a="1"/>
  <c r="X115" i="81"/>
  <c r="X110" i="81" a="1"/>
  <c r="X110" i="81"/>
  <c r="AE115" i="73" a="1"/>
  <c r="AE115" i="73"/>
  <c r="X111" i="81" a="1"/>
  <c r="X111" i="81"/>
  <c r="U111" i="82" a="1"/>
  <c r="U111" i="82"/>
  <c r="N114" i="73" a="1"/>
  <c r="N114" i="73"/>
  <c r="X112" i="81" a="1"/>
  <c r="X112" i="81"/>
  <c r="AE113" i="73" a="1"/>
  <c r="AE113" i="73"/>
  <c r="N111" i="73" a="1"/>
  <c r="N111" i="73"/>
  <c r="AD110" i="81" a="1"/>
  <c r="AD110" i="81"/>
  <c r="AD114" i="81" a="1"/>
  <c r="AD114" i="81"/>
  <c r="T110" i="81" a="1"/>
  <c r="T110" i="81"/>
  <c r="AD112" i="81" a="1"/>
  <c r="AD112" i="81"/>
  <c r="AD113" i="81" a="1"/>
  <c r="AD113" i="81"/>
  <c r="X114" i="73" a="1"/>
  <c r="X114" i="73"/>
  <c r="X111" i="73" a="1"/>
  <c r="X111" i="73"/>
  <c r="K110" i="81" a="1"/>
  <c r="K110" i="81"/>
  <c r="K111" i="81" a="1"/>
  <c r="K111" i="81"/>
  <c r="K116" i="81" a="1"/>
  <c r="K116" i="81"/>
  <c r="K113" i="81" a="1"/>
  <c r="K113" i="81"/>
  <c r="K114" i="81" a="1"/>
  <c r="K114" i="81"/>
  <c r="K115" i="81" a="1"/>
  <c r="K115" i="81"/>
  <c r="K117" i="81" a="1"/>
  <c r="K117" i="81"/>
  <c r="K112" i="81" a="1"/>
  <c r="K112" i="81"/>
  <c r="T114" i="81" a="1"/>
  <c r="T114" i="81"/>
  <c r="X110" i="73" a="1"/>
  <c r="X110" i="73"/>
  <c r="X117" i="73" a="1"/>
  <c r="X117" i="73"/>
  <c r="X113" i="73" a="1"/>
  <c r="X113" i="73"/>
  <c r="W87" i="72"/>
  <c r="W106" i="72"/>
  <c r="W114" i="72" a="1"/>
  <c r="W114" i="72"/>
  <c r="X115" i="73" a="1"/>
  <c r="X115" i="73"/>
  <c r="X112" i="73" a="1"/>
  <c r="X112" i="73"/>
  <c r="N110" i="82" a="1"/>
  <c r="N110" i="82"/>
  <c r="N112" i="82" a="1"/>
  <c r="N112" i="82"/>
  <c r="N116" i="82" a="1"/>
  <c r="N116" i="82"/>
  <c r="N114" i="82" a="1"/>
  <c r="N114" i="82"/>
  <c r="N117" i="82" a="1"/>
  <c r="N117" i="82"/>
  <c r="N113" i="82" a="1"/>
  <c r="N113" i="82"/>
  <c r="N111" i="82" a="1"/>
  <c r="N111" i="82"/>
  <c r="N115" i="82" a="1"/>
  <c r="N115" i="82"/>
  <c r="Q87" i="72"/>
  <c r="Q106" i="72"/>
  <c r="Q114" i="72" a="1"/>
  <c r="Q114" i="72"/>
  <c r="AF110" i="73" a="1"/>
  <c r="AF110" i="73"/>
  <c r="AF111" i="73" a="1"/>
  <c r="AF111" i="73"/>
  <c r="AF114" i="73" a="1"/>
  <c r="AF114" i="73"/>
  <c r="AF115" i="73" a="1"/>
  <c r="AF115" i="73"/>
  <c r="AF113" i="73" a="1"/>
  <c r="AF113" i="73"/>
  <c r="AF117" i="73" a="1"/>
  <c r="AF117" i="73"/>
  <c r="AF112" i="73" a="1"/>
  <c r="AF112" i="73"/>
  <c r="AF116" i="73" a="1"/>
  <c r="AF116" i="73"/>
  <c r="N117" i="81" a="1"/>
  <c r="N117" i="81"/>
  <c r="N110" i="81" a="1"/>
  <c r="N110" i="81"/>
  <c r="N115" i="81" a="1"/>
  <c r="N115" i="81"/>
  <c r="N111" i="81" a="1"/>
  <c r="N111" i="81"/>
  <c r="N113" i="81" a="1"/>
  <c r="N113" i="81"/>
  <c r="N116" i="81" a="1"/>
  <c r="N116" i="81"/>
  <c r="N114" i="81" a="1"/>
  <c r="N114" i="81"/>
  <c r="N112" i="81" a="1"/>
  <c r="N112" i="81"/>
  <c r="AF111" i="82" a="1"/>
  <c r="AF111" i="82"/>
  <c r="AF117" i="82" a="1"/>
  <c r="AF117" i="82"/>
  <c r="AF116" i="82" a="1"/>
  <c r="AF116" i="82"/>
  <c r="AF115" i="82" a="1"/>
  <c r="AF115" i="82"/>
  <c r="AF113" i="82" a="1"/>
  <c r="AF113" i="82"/>
  <c r="AF110" i="82" a="1"/>
  <c r="AF110" i="82"/>
  <c r="AF112" i="82" a="1"/>
  <c r="AF112" i="82"/>
  <c r="AA114" i="82" a="1"/>
  <c r="AA114" i="82"/>
  <c r="AA116" i="82" a="1"/>
  <c r="AA116" i="82"/>
  <c r="AA117" i="82" a="1"/>
  <c r="AA117" i="82"/>
  <c r="AA110" i="82" a="1"/>
  <c r="AA110" i="82"/>
  <c r="AA112" i="82" a="1"/>
  <c r="AA112" i="82"/>
  <c r="AA113" i="82" a="1"/>
  <c r="AA113" i="82"/>
  <c r="AA111" i="82" a="1"/>
  <c r="AA111" i="82"/>
  <c r="AA115" i="82" a="1"/>
  <c r="AA115" i="82"/>
  <c r="AF114" i="82" a="1"/>
  <c r="AF114" i="82"/>
  <c r="L114" i="82" a="1"/>
  <c r="L114" i="82"/>
  <c r="L110" i="82" a="1"/>
  <c r="L110" i="82"/>
  <c r="L111" i="82" a="1"/>
  <c r="L111" i="82"/>
  <c r="L116" i="82" a="1"/>
  <c r="L116" i="82"/>
  <c r="L112" i="82" a="1"/>
  <c r="L112" i="82"/>
  <c r="L117" i="82" a="1"/>
  <c r="L117" i="82"/>
  <c r="L115" i="82" a="1"/>
  <c r="L115" i="82"/>
  <c r="L113" i="82" a="1"/>
  <c r="L113" i="82"/>
  <c r="M115" i="72" a="1"/>
  <c r="M115" i="72"/>
  <c r="M116" i="72" a="1"/>
  <c r="M116" i="72"/>
  <c r="M117" i="72" a="1"/>
  <c r="M117" i="72"/>
  <c r="AE117" i="72" a="1"/>
  <c r="AE117" i="72"/>
  <c r="AE116" i="72" a="1"/>
  <c r="AE116" i="72"/>
  <c r="AE115" i="72" a="1"/>
  <c r="AE115" i="72"/>
  <c r="J87" i="72"/>
  <c r="J106" i="72"/>
  <c r="J114" i="72" a="1"/>
  <c r="J114" i="72"/>
  <c r="Z7" i="75"/>
  <c r="Z34" i="75" s="1"/>
  <c r="AG7" i="75"/>
  <c r="R7" i="75"/>
  <c r="R47" i="75" s="1"/>
  <c r="Q7" i="75"/>
  <c r="Q72" i="75" s="1"/>
  <c r="AA7" i="75"/>
  <c r="AA43" i="75" s="1"/>
  <c r="P7" i="75"/>
  <c r="L7" i="75"/>
  <c r="L60" i="75" s="1"/>
  <c r="AB7" i="75"/>
  <c r="AB71" i="75" s="1"/>
  <c r="K7" i="75"/>
  <c r="K46" i="75" s="1"/>
  <c r="J7" i="75"/>
  <c r="AE7" i="75"/>
  <c r="AE32" i="75" s="1"/>
  <c r="W7" i="75"/>
  <c r="I7" i="75"/>
  <c r="I49" i="75" s="1"/>
  <c r="T7" i="75"/>
  <c r="Y7" i="75"/>
  <c r="Y43" i="75" s="1"/>
  <c r="AC7" i="75"/>
  <c r="AC43" i="75" s="1"/>
  <c r="AF7" i="75"/>
  <c r="O7" i="75"/>
  <c r="H7" i="75"/>
  <c r="H7" i="85" s="1"/>
  <c r="H51" i="85" s="1"/>
  <c r="S7" i="75"/>
  <c r="S61" i="75" s="1"/>
  <c r="AD7" i="75"/>
  <c r="X7" i="75"/>
  <c r="N7" i="75"/>
  <c r="N32" i="75" s="1"/>
  <c r="U7" i="75"/>
  <c r="U48" i="75" s="1"/>
  <c r="U50" i="75" s="1"/>
  <c r="U40" i="85" s="1"/>
  <c r="V7" i="75"/>
  <c r="M7" i="75"/>
  <c r="M71" i="75" s="1"/>
  <c r="N117" i="72" a="1"/>
  <c r="N117" i="72"/>
  <c r="N115" i="72" a="1"/>
  <c r="N115" i="72"/>
  <c r="L115" i="72" a="1"/>
  <c r="L115" i="72"/>
  <c r="L117" i="72" a="1"/>
  <c r="L117" i="72"/>
  <c r="L116" i="72" a="1"/>
  <c r="L116" i="72"/>
  <c r="P108" i="72"/>
  <c r="AA115" i="72" a="1"/>
  <c r="AA115" i="72"/>
  <c r="AC87" i="72"/>
  <c r="AC106" i="72"/>
  <c r="AC108" i="72"/>
  <c r="N108" i="72"/>
  <c r="N112" i="72" a="1"/>
  <c r="N112" i="72"/>
  <c r="O108" i="72"/>
  <c r="R87" i="72"/>
  <c r="R106" i="72"/>
  <c r="O87" i="72"/>
  <c r="O106" i="72"/>
  <c r="R108" i="72"/>
  <c r="X115" i="72" a="1"/>
  <c r="X115" i="72"/>
  <c r="X117" i="72" a="1"/>
  <c r="X117" i="72"/>
  <c r="X116" i="72" a="1"/>
  <c r="X116" i="72"/>
  <c r="T108" i="72"/>
  <c r="T87" i="72"/>
  <c r="T106" i="72"/>
  <c r="D96" i="85"/>
  <c r="G73" i="33" s="1"/>
  <c r="F96" i="85"/>
  <c r="I73" i="33" s="1"/>
  <c r="D97" i="85"/>
  <c r="G93" i="85"/>
  <c r="J70" i="33" s="1"/>
  <c r="E96" i="85"/>
  <c r="H73" i="33" s="1"/>
  <c r="G94" i="85"/>
  <c r="J71" i="33" s="1"/>
  <c r="G91" i="85"/>
  <c r="J68" i="33" s="1"/>
  <c r="G92" i="85"/>
  <c r="J69" i="33" s="1"/>
  <c r="G96" i="85"/>
  <c r="J73" i="33" s="1"/>
  <c r="G97" i="85"/>
  <c r="J74" i="33" s="1"/>
  <c r="C88" i="85"/>
  <c r="D98" i="85"/>
  <c r="G75" i="33" s="1"/>
  <c r="G95" i="85"/>
  <c r="J72" i="33" s="1"/>
  <c r="G90" i="85"/>
  <c r="J67" i="33" s="1"/>
  <c r="F98" i="85"/>
  <c r="I75" i="33" s="1"/>
  <c r="E98" i="85"/>
  <c r="H75" i="33" s="1"/>
  <c r="G98" i="85"/>
  <c r="J75" i="33"/>
  <c r="F97" i="85"/>
  <c r="I74" i="33"/>
  <c r="E97" i="85"/>
  <c r="H74" i="33" s="1"/>
  <c r="AA108" i="72"/>
  <c r="AA110" i="72" a="1"/>
  <c r="AA110" i="72"/>
  <c r="Z108" i="72"/>
  <c r="U87" i="72"/>
  <c r="U106" i="72"/>
  <c r="U108" i="72"/>
  <c r="AA117" i="72" a="1"/>
  <c r="AA117" i="72"/>
  <c r="M108" i="72"/>
  <c r="M112" i="72" a="1"/>
  <c r="M112" i="72"/>
  <c r="L108" i="72"/>
  <c r="L110" i="72" a="1"/>
  <c r="L110" i="72"/>
  <c r="AD87" i="72"/>
  <c r="AD106" i="72"/>
  <c r="AD112" i="72" a="1"/>
  <c r="AD112" i="72"/>
  <c r="AE108" i="72"/>
  <c r="AE113" i="72" a="1"/>
  <c r="AE113" i="72"/>
  <c r="P87" i="72"/>
  <c r="P106" i="72"/>
  <c r="X108" i="72"/>
  <c r="X114" i="72" a="1"/>
  <c r="X114" i="72"/>
  <c r="X48" i="75"/>
  <c r="Z87" i="72"/>
  <c r="Z106" i="72"/>
  <c r="R111" i="82" a="1"/>
  <c r="R111" i="82"/>
  <c r="R116" i="82" a="1"/>
  <c r="R116" i="82"/>
  <c r="R117" i="82" a="1"/>
  <c r="R117" i="82"/>
  <c r="R110" i="82" a="1"/>
  <c r="R110" i="82"/>
  <c r="R114" i="82" a="1"/>
  <c r="R114" i="82"/>
  <c r="R113" i="82" a="1"/>
  <c r="R113" i="82"/>
  <c r="R112" i="82" a="1"/>
  <c r="R112" i="82"/>
  <c r="R115" i="82" a="1"/>
  <c r="R115" i="82"/>
  <c r="O114" i="73" a="1"/>
  <c r="O114" i="73"/>
  <c r="O113" i="73" a="1"/>
  <c r="O113" i="73"/>
  <c r="O111" i="73" a="1"/>
  <c r="O111" i="73"/>
  <c r="O117" i="73" a="1"/>
  <c r="O117" i="73"/>
  <c r="O116" i="73" a="1"/>
  <c r="O116" i="73"/>
  <c r="O115" i="73" a="1"/>
  <c r="O115" i="73"/>
  <c r="O112" i="73" a="1"/>
  <c r="O112" i="73"/>
  <c r="O110" i="73" a="1"/>
  <c r="O110" i="73"/>
  <c r="AG87" i="82"/>
  <c r="AG106" i="82"/>
  <c r="AG108" i="82"/>
  <c r="J110" i="82" a="1"/>
  <c r="J110" i="82"/>
  <c r="J115" i="82" a="1"/>
  <c r="J115" i="82"/>
  <c r="J116" i="82" a="1"/>
  <c r="J116" i="82"/>
  <c r="J117" i="82" a="1"/>
  <c r="J117" i="82"/>
  <c r="J111" i="82" a="1"/>
  <c r="J111" i="82"/>
  <c r="J114" i="82" a="1"/>
  <c r="J114" i="82"/>
  <c r="J113" i="82" a="1"/>
  <c r="J113" i="82"/>
  <c r="J112" i="82" a="1"/>
  <c r="J112" i="82"/>
  <c r="R34" i="75"/>
  <c r="R108" i="81"/>
  <c r="R87" i="81"/>
  <c r="R106" i="81"/>
  <c r="R113" i="73" a="1"/>
  <c r="R113" i="73"/>
  <c r="R112" i="73" a="1"/>
  <c r="R112" i="73"/>
  <c r="R111" i="73" a="1"/>
  <c r="R111" i="73"/>
  <c r="R115" i="73" a="1"/>
  <c r="R115" i="73"/>
  <c r="R110" i="73" a="1"/>
  <c r="R110" i="73"/>
  <c r="R114" i="73" a="1"/>
  <c r="R114" i="73"/>
  <c r="R116" i="73" a="1"/>
  <c r="R116" i="73"/>
  <c r="R117" i="73" a="1"/>
  <c r="R117" i="73"/>
  <c r="AA111" i="73" a="1"/>
  <c r="AA111" i="73"/>
  <c r="AA113" i="73" a="1"/>
  <c r="AA113" i="73"/>
  <c r="AA115" i="73" a="1"/>
  <c r="AA115" i="73"/>
  <c r="AA110" i="73" a="1"/>
  <c r="AA110" i="73"/>
  <c r="AA112" i="73" a="1"/>
  <c r="AA112" i="73"/>
  <c r="AA114" i="73" a="1"/>
  <c r="AA114" i="73"/>
  <c r="AA116" i="73" a="1"/>
  <c r="AA116" i="73"/>
  <c r="AA117" i="73" a="1"/>
  <c r="AA117" i="73"/>
  <c r="U111" i="81" a="1"/>
  <c r="U111" i="81"/>
  <c r="U112" i="81" a="1"/>
  <c r="U112" i="81"/>
  <c r="U113" i="81" a="1"/>
  <c r="U113" i="81"/>
  <c r="U117" i="81" a="1"/>
  <c r="U117" i="81"/>
  <c r="U116" i="81" a="1"/>
  <c r="U116" i="81"/>
  <c r="U115" i="81" a="1"/>
  <c r="U115" i="81"/>
  <c r="U114" i="81" a="1"/>
  <c r="U114" i="81"/>
  <c r="U110" i="81" a="1"/>
  <c r="U110" i="81"/>
  <c r="W113" i="81" a="1"/>
  <c r="W113" i="81"/>
  <c r="W112" i="81" a="1"/>
  <c r="W112" i="81"/>
  <c r="W110" i="81" a="1"/>
  <c r="W110" i="81"/>
  <c r="W115" i="81" a="1"/>
  <c r="W115" i="81"/>
  <c r="W114" i="81" a="1"/>
  <c r="W114" i="81"/>
  <c r="W116" i="81" a="1"/>
  <c r="W116" i="81"/>
  <c r="W111" i="81" a="1"/>
  <c r="W111" i="81"/>
  <c r="W117" i="81" a="1"/>
  <c r="W117" i="81"/>
  <c r="AG87" i="73"/>
  <c r="AG106" i="73"/>
  <c r="AG108" i="73"/>
  <c r="AG87" i="81"/>
  <c r="AG106" i="81"/>
  <c r="AG108" i="81"/>
  <c r="Z108" i="81"/>
  <c r="Z87" i="81"/>
  <c r="Z106" i="81"/>
  <c r="I108" i="81"/>
  <c r="I87" i="81"/>
  <c r="I106" i="81"/>
  <c r="I34" i="75"/>
  <c r="O117" i="82" a="1"/>
  <c r="O117" i="82"/>
  <c r="O113" i="82" a="1"/>
  <c r="O113" i="82"/>
  <c r="O115" i="82" a="1"/>
  <c r="O115" i="82"/>
  <c r="O114" i="82" a="1"/>
  <c r="O114" i="82"/>
  <c r="O110" i="82" a="1"/>
  <c r="O110" i="82"/>
  <c r="O112" i="82" a="1"/>
  <c r="O112" i="82"/>
  <c r="O111" i="82" a="1"/>
  <c r="O111" i="82"/>
  <c r="O116" i="82" a="1"/>
  <c r="O116" i="82"/>
  <c r="S34" i="75"/>
  <c r="S87" i="81"/>
  <c r="S106" i="81"/>
  <c r="S108" i="81"/>
  <c r="W111" i="73" a="1"/>
  <c r="W111" i="73"/>
  <c r="W113" i="73" a="1"/>
  <c r="W113" i="73"/>
  <c r="W112" i="73" a="1"/>
  <c r="W112" i="73"/>
  <c r="W117" i="73" a="1"/>
  <c r="W117" i="73"/>
  <c r="W114" i="73" a="1"/>
  <c r="W114" i="73"/>
  <c r="W116" i="73" a="1"/>
  <c r="W116" i="73"/>
  <c r="W110" i="73" a="1"/>
  <c r="W110" i="73"/>
  <c r="W115" i="73" a="1"/>
  <c r="W115" i="73"/>
  <c r="AF114" i="72" a="1"/>
  <c r="AF114" i="72"/>
  <c r="AF113" i="72" a="1"/>
  <c r="AF113" i="72"/>
  <c r="AF116" i="72" a="1"/>
  <c r="AF116" i="72"/>
  <c r="AF117" i="72" a="1"/>
  <c r="AF117" i="72"/>
  <c r="AF112" i="72" a="1"/>
  <c r="AF112" i="72"/>
  <c r="AF111" i="72" a="1"/>
  <c r="AF111" i="72"/>
  <c r="AF110" i="72" a="1"/>
  <c r="AF110" i="72"/>
  <c r="AF115" i="72" a="1"/>
  <c r="AF115" i="72"/>
  <c r="J116" i="81" a="1"/>
  <c r="J116" i="81"/>
  <c r="J115" i="81" a="1"/>
  <c r="J115" i="81"/>
  <c r="J110" i="81" a="1"/>
  <c r="J110" i="81"/>
  <c r="J112" i="81" a="1"/>
  <c r="J112" i="81"/>
  <c r="J114" i="81" a="1"/>
  <c r="J114" i="81"/>
  <c r="J117" i="81" a="1"/>
  <c r="J117" i="81"/>
  <c r="J111" i="81" a="1"/>
  <c r="J111" i="81"/>
  <c r="J113" i="81" a="1"/>
  <c r="J113" i="81"/>
  <c r="L117" i="81" a="1"/>
  <c r="L117" i="81"/>
  <c r="L110" i="81" a="1"/>
  <c r="L110" i="81"/>
  <c r="L112" i="81" a="1"/>
  <c r="L112" i="81"/>
  <c r="L114" i="81" a="1"/>
  <c r="L114" i="81"/>
  <c r="L113" i="81" a="1"/>
  <c r="L113" i="81"/>
  <c r="L116" i="81" a="1"/>
  <c r="L116" i="81"/>
  <c r="L115" i="81" a="1"/>
  <c r="L115" i="81"/>
  <c r="L111" i="81" a="1"/>
  <c r="L111" i="81"/>
  <c r="I108" i="72"/>
  <c r="I48" i="75"/>
  <c r="I87" i="72"/>
  <c r="I106" i="72"/>
  <c r="O111" i="81" a="1"/>
  <c r="O111" i="81"/>
  <c r="O116" i="81" a="1"/>
  <c r="O116" i="81"/>
  <c r="O117" i="81" a="1"/>
  <c r="O117" i="81"/>
  <c r="O114" i="81" a="1"/>
  <c r="O114" i="81"/>
  <c r="O110" i="81" a="1"/>
  <c r="O110" i="81"/>
  <c r="O115" i="81" a="1"/>
  <c r="O115" i="81"/>
  <c r="O112" i="81" a="1"/>
  <c r="O112" i="81"/>
  <c r="O113" i="81" a="1"/>
  <c r="O113" i="81"/>
  <c r="AB117" i="81" a="1"/>
  <c r="AB117" i="81"/>
  <c r="AB112" i="81" a="1"/>
  <c r="AB112" i="81"/>
  <c r="AB116" i="81" a="1"/>
  <c r="AB116" i="81"/>
  <c r="AB113" i="81" a="1"/>
  <c r="AB113" i="81"/>
  <c r="AB114" i="81" a="1"/>
  <c r="AB114" i="81"/>
  <c r="AB111" i="81" a="1"/>
  <c r="AB111" i="81"/>
  <c r="AB110" i="81" a="1"/>
  <c r="AB110" i="81"/>
  <c r="AB115" i="81" a="1"/>
  <c r="AB115" i="81"/>
  <c r="V108" i="72"/>
  <c r="V87" i="72"/>
  <c r="V106" i="72"/>
  <c r="I64" i="73"/>
  <c r="I84" i="73"/>
  <c r="S112" i="73" a="1"/>
  <c r="S112" i="73"/>
  <c r="S116" i="73" a="1"/>
  <c r="S116" i="73"/>
  <c r="S111" i="73" a="1"/>
  <c r="S111" i="73"/>
  <c r="S115" i="73" a="1"/>
  <c r="S115" i="73"/>
  <c r="S113" i="73" a="1"/>
  <c r="S113" i="73"/>
  <c r="S117" i="73" a="1"/>
  <c r="S117" i="73"/>
  <c r="S110" i="73" a="1"/>
  <c r="S110" i="73"/>
  <c r="S114" i="73" a="1"/>
  <c r="S114" i="73"/>
  <c r="AB87" i="72"/>
  <c r="AB106" i="72"/>
  <c r="AB108" i="72"/>
  <c r="P108" i="73"/>
  <c r="P62" i="75"/>
  <c r="P87" i="73"/>
  <c r="P106" i="73"/>
  <c r="S114" i="72" a="1"/>
  <c r="S114" i="72"/>
  <c r="S117" i="72" a="1"/>
  <c r="S117" i="72"/>
  <c r="S111" i="72" a="1"/>
  <c r="S111" i="72"/>
  <c r="S112" i="72" a="1"/>
  <c r="S112" i="72"/>
  <c r="S110" i="72" a="1"/>
  <c r="S110" i="72"/>
  <c r="S115" i="72" a="1"/>
  <c r="S115" i="72"/>
  <c r="S116" i="72" a="1"/>
  <c r="S116" i="72"/>
  <c r="S113" i="72" a="1"/>
  <c r="S113" i="72"/>
  <c r="S113" i="82" a="1"/>
  <c r="S113" i="82"/>
  <c r="S117" i="82" a="1"/>
  <c r="S117" i="82"/>
  <c r="S115" i="82" a="1"/>
  <c r="S115" i="82"/>
  <c r="S116" i="82" a="1"/>
  <c r="S116" i="82"/>
  <c r="S112" i="82" a="1"/>
  <c r="S112" i="82"/>
  <c r="S114" i="82" a="1"/>
  <c r="S114" i="82"/>
  <c r="S111" i="82" a="1"/>
  <c r="S111" i="82"/>
  <c r="S110" i="82" a="1"/>
  <c r="S110" i="82"/>
  <c r="J110" i="73" a="1"/>
  <c r="J110" i="73"/>
  <c r="J115" i="73" a="1"/>
  <c r="J115" i="73"/>
  <c r="J114" i="73" a="1"/>
  <c r="J114" i="73"/>
  <c r="J112" i="73" a="1"/>
  <c r="J112" i="73"/>
  <c r="J111" i="73" a="1"/>
  <c r="J111" i="73"/>
  <c r="J116" i="73" a="1"/>
  <c r="J116" i="73"/>
  <c r="J113" i="73" a="1"/>
  <c r="J113" i="73"/>
  <c r="J117" i="73" a="1"/>
  <c r="J117" i="73"/>
  <c r="V87" i="81"/>
  <c r="V106" i="81"/>
  <c r="V108" i="81"/>
  <c r="AC108" i="81"/>
  <c r="AC87" i="81"/>
  <c r="AC106" i="81"/>
  <c r="I92" i="75"/>
  <c r="K114" i="72" a="1"/>
  <c r="K114" i="72"/>
  <c r="K110" i="72" a="1"/>
  <c r="K110" i="72"/>
  <c r="K117" i="72" a="1"/>
  <c r="K117" i="72"/>
  <c r="K116" i="72" a="1"/>
  <c r="K116" i="72"/>
  <c r="K113" i="72" a="1"/>
  <c r="K113" i="72"/>
  <c r="K112" i="72" a="1"/>
  <c r="K112" i="72"/>
  <c r="K111" i="72" a="1"/>
  <c r="K111" i="72"/>
  <c r="K115" i="72" a="1"/>
  <c r="K115" i="72"/>
  <c r="AE111" i="81" a="1"/>
  <c r="AE111" i="81"/>
  <c r="AE113" i="81" a="1"/>
  <c r="AE113" i="81"/>
  <c r="AE114" i="81" a="1"/>
  <c r="AE114" i="81"/>
  <c r="AE116" i="81" a="1"/>
  <c r="AE116" i="81"/>
  <c r="AE117" i="81" a="1"/>
  <c r="AE117" i="81"/>
  <c r="AE112" i="81" a="1"/>
  <c r="AE112" i="81"/>
  <c r="AE115" i="81" a="1"/>
  <c r="AE115" i="81"/>
  <c r="AE110" i="81" a="1"/>
  <c r="AE110" i="81"/>
  <c r="I108" i="82"/>
  <c r="I87" i="82"/>
  <c r="I106" i="82"/>
  <c r="I76" i="75"/>
  <c r="W117" i="82" a="1"/>
  <c r="W117" i="82"/>
  <c r="W111" i="82" a="1"/>
  <c r="W111" i="82"/>
  <c r="W113" i="82" a="1"/>
  <c r="W113" i="82"/>
  <c r="W114" i="82" a="1"/>
  <c r="W114" i="82"/>
  <c r="W112" i="82" a="1"/>
  <c r="W112" i="82"/>
  <c r="W115" i="82" a="1"/>
  <c r="W115" i="82"/>
  <c r="W116" i="82" a="1"/>
  <c r="W116" i="82"/>
  <c r="W110" i="82" a="1"/>
  <c r="W110" i="82"/>
  <c r="V87" i="82"/>
  <c r="V106" i="82"/>
  <c r="V108" i="82"/>
  <c r="AG87" i="72"/>
  <c r="AG106" i="72"/>
  <c r="AG48" i="75"/>
  <c r="AG108" i="72"/>
  <c r="Y87" i="72"/>
  <c r="Y106" i="72"/>
  <c r="Y48" i="75"/>
  <c r="Y108" i="72"/>
  <c r="V108" i="73"/>
  <c r="V87" i="73"/>
  <c r="V106" i="73"/>
  <c r="W110" i="72" a="1"/>
  <c r="W110" i="72"/>
  <c r="W7" i="85"/>
  <c r="W73" i="85" s="1"/>
  <c r="W44" i="85"/>
  <c r="W116" i="72" a="1"/>
  <c r="W116" i="72"/>
  <c r="Q110" i="72" a="1"/>
  <c r="Q110" i="72"/>
  <c r="W113" i="72" a="1"/>
  <c r="W113" i="72"/>
  <c r="W115" i="72" a="1"/>
  <c r="W115" i="72"/>
  <c r="W112" i="72" a="1"/>
  <c r="W112" i="72"/>
  <c r="W111" i="72" a="1"/>
  <c r="W111" i="72"/>
  <c r="W45" i="85"/>
  <c r="W117" i="72" a="1"/>
  <c r="W117" i="72"/>
  <c r="R110" i="72" a="1"/>
  <c r="R110" i="72"/>
  <c r="J117" i="72" a="1"/>
  <c r="J117" i="72"/>
  <c r="J111" i="72" a="1"/>
  <c r="J111" i="72"/>
  <c r="J7" i="85"/>
  <c r="J49" i="85" s="1"/>
  <c r="J45" i="85"/>
  <c r="J115" i="72" a="1"/>
  <c r="J115" i="72"/>
  <c r="J51" i="85"/>
  <c r="Q112" i="72" a="1"/>
  <c r="Q112" i="72"/>
  <c r="Q117" i="72" a="1"/>
  <c r="Q117" i="72"/>
  <c r="Q111" i="72" a="1"/>
  <c r="Q111" i="72"/>
  <c r="Q115" i="72" a="1"/>
  <c r="Q115" i="72"/>
  <c r="Q116" i="72" a="1"/>
  <c r="Q116" i="72"/>
  <c r="J116" i="72" a="1"/>
  <c r="J116" i="72"/>
  <c r="Q113" i="72" a="1"/>
  <c r="Q113" i="72"/>
  <c r="J112" i="72" a="1"/>
  <c r="J112" i="72"/>
  <c r="O114" i="72" a="1"/>
  <c r="O114" i="72"/>
  <c r="AA111" i="72" a="1"/>
  <c r="AA111" i="72"/>
  <c r="L111" i="72" a="1"/>
  <c r="L111" i="72"/>
  <c r="X113" i="72" a="1"/>
  <c r="X113" i="72"/>
  <c r="L113" i="72" a="1"/>
  <c r="L113" i="72"/>
  <c r="J113" i="72" a="1"/>
  <c r="J113" i="72"/>
  <c r="J110" i="72" a="1"/>
  <c r="J110" i="72"/>
  <c r="AA113" i="72" a="1"/>
  <c r="AA113" i="72"/>
  <c r="O115" i="72" a="1"/>
  <c r="O115" i="72"/>
  <c r="N114" i="72" a="1"/>
  <c r="N114" i="72"/>
  <c r="AD117" i="72" a="1"/>
  <c r="AD117" i="72"/>
  <c r="AD116" i="72" a="1"/>
  <c r="AD116" i="72"/>
  <c r="AD110" i="72" a="1"/>
  <c r="AD110" i="72"/>
  <c r="N113" i="72" a="1"/>
  <c r="N113" i="72"/>
  <c r="V74" i="75"/>
  <c r="V49" i="75"/>
  <c r="V75" i="75"/>
  <c r="I75" i="75"/>
  <c r="J75" i="75"/>
  <c r="R75" i="75"/>
  <c r="U75" i="75"/>
  <c r="W75" i="75"/>
  <c r="X75" i="75"/>
  <c r="AF75" i="75"/>
  <c r="O110" i="72" a="1"/>
  <c r="O110" i="72"/>
  <c r="K88" i="85"/>
  <c r="C98" i="85"/>
  <c r="C97" i="85"/>
  <c r="F74" i="33" s="1"/>
  <c r="C96" i="85"/>
  <c r="R111" i="72" a="1"/>
  <c r="R111" i="72"/>
  <c r="O111" i="72" a="1"/>
  <c r="O111" i="72"/>
  <c r="U7" i="85"/>
  <c r="U64" i="85" s="1"/>
  <c r="N110" i="72" a="1"/>
  <c r="N110" i="72"/>
  <c r="J33" i="75"/>
  <c r="J44" i="75"/>
  <c r="J57" i="75"/>
  <c r="J72" i="75"/>
  <c r="J47" i="75"/>
  <c r="J74" i="75"/>
  <c r="J43" i="75"/>
  <c r="J60" i="75"/>
  <c r="J29" i="75"/>
  <c r="J63" i="75"/>
  <c r="J61" i="75"/>
  <c r="J32" i="75"/>
  <c r="J49" i="75"/>
  <c r="J35" i="75"/>
  <c r="J71" i="75"/>
  <c r="J77" i="75"/>
  <c r="J58" i="75"/>
  <c r="J30" i="75"/>
  <c r="J48" i="75"/>
  <c r="J46" i="75"/>
  <c r="J34" i="75"/>
  <c r="J76" i="75"/>
  <c r="J62" i="75"/>
  <c r="N71" i="75"/>
  <c r="N43" i="75"/>
  <c r="N35" i="75"/>
  <c r="N72" i="75"/>
  <c r="J60" i="85"/>
  <c r="O117" i="72" a="1"/>
  <c r="O117" i="72"/>
  <c r="W46" i="85"/>
  <c r="R112" i="72" a="1"/>
  <c r="R112" i="72"/>
  <c r="O116" i="72" a="1"/>
  <c r="O116" i="72"/>
  <c r="AD113" i="72" a="1"/>
  <c r="AD113" i="72"/>
  <c r="L114" i="72" a="1"/>
  <c r="L114" i="72"/>
  <c r="N111" i="72" a="1"/>
  <c r="N111" i="72"/>
  <c r="R63" i="75"/>
  <c r="R57" i="75"/>
  <c r="R60" i="75"/>
  <c r="R32" i="75"/>
  <c r="R74" i="75"/>
  <c r="R44" i="75"/>
  <c r="M47" i="75"/>
  <c r="M43" i="75"/>
  <c r="M58" i="75"/>
  <c r="M60" i="75"/>
  <c r="M33" i="75"/>
  <c r="M63" i="75"/>
  <c r="U32" i="75"/>
  <c r="W32" i="75"/>
  <c r="X32" i="75"/>
  <c r="Z32" i="75"/>
  <c r="M57" i="75"/>
  <c r="M74" i="75"/>
  <c r="M34" i="75"/>
  <c r="M62" i="75"/>
  <c r="M76" i="75"/>
  <c r="M46" i="75"/>
  <c r="M111" i="72" a="1"/>
  <c r="M111" i="72"/>
  <c r="M114" i="72" a="1"/>
  <c r="M114" i="72"/>
  <c r="X49" i="75"/>
  <c r="X71" i="75"/>
  <c r="X47" i="75"/>
  <c r="X60" i="75"/>
  <c r="X43" i="75"/>
  <c r="X29" i="75"/>
  <c r="X57" i="75"/>
  <c r="X7" i="85"/>
  <c r="X23" i="85" s="1"/>
  <c r="X30" i="75"/>
  <c r="X77" i="75"/>
  <c r="X74" i="75"/>
  <c r="X61" i="75"/>
  <c r="X33" i="75"/>
  <c r="X35" i="75"/>
  <c r="X72" i="75"/>
  <c r="X63" i="75"/>
  <c r="X58" i="75"/>
  <c r="X44" i="75"/>
  <c r="X34" i="75"/>
  <c r="X76" i="75"/>
  <c r="X62" i="75"/>
  <c r="X46" i="75"/>
  <c r="X110" i="72" a="1"/>
  <c r="X110" i="72"/>
  <c r="M113" i="72" a="1"/>
  <c r="M113" i="72"/>
  <c r="R115" i="72" a="1"/>
  <c r="R115" i="72"/>
  <c r="U117" i="72" a="1"/>
  <c r="U117" i="72"/>
  <c r="U112" i="72" a="1"/>
  <c r="U112" i="72"/>
  <c r="U116" i="72" a="1"/>
  <c r="U116" i="72"/>
  <c r="U113" i="72" a="1"/>
  <c r="U113" i="72"/>
  <c r="U115" i="72" a="1"/>
  <c r="U115" i="72"/>
  <c r="U114" i="72" a="1"/>
  <c r="U114" i="72"/>
  <c r="U111" i="72" a="1"/>
  <c r="U111" i="72"/>
  <c r="U110" i="72" a="1"/>
  <c r="U110" i="72"/>
  <c r="T117" i="72" a="1"/>
  <c r="T117" i="72"/>
  <c r="T113" i="72" a="1"/>
  <c r="T113" i="72"/>
  <c r="T110" i="72" a="1"/>
  <c r="T110" i="72"/>
  <c r="T112" i="72" a="1"/>
  <c r="T112" i="72"/>
  <c r="T111" i="72" a="1"/>
  <c r="T111" i="72"/>
  <c r="T115" i="72" a="1"/>
  <c r="T115" i="72"/>
  <c r="T116" i="72" a="1"/>
  <c r="T116" i="72"/>
  <c r="T114" i="72" a="1"/>
  <c r="T114" i="72"/>
  <c r="R114" i="72" a="1"/>
  <c r="R114" i="72"/>
  <c r="O112" i="72" a="1"/>
  <c r="O112" i="72"/>
  <c r="AD114" i="72" a="1"/>
  <c r="AD114" i="72"/>
  <c r="L112" i="72" a="1"/>
  <c r="L112" i="72"/>
  <c r="AC35" i="75"/>
  <c r="AC7" i="85"/>
  <c r="AC35" i="85" s="1"/>
  <c r="AC77" i="75"/>
  <c r="AC46" i="75"/>
  <c r="AG47" i="75"/>
  <c r="AG46" i="75"/>
  <c r="AG44" i="75"/>
  <c r="AG58" i="75"/>
  <c r="W30" i="85"/>
  <c r="R116" i="72" a="1"/>
  <c r="R116" i="72"/>
  <c r="O113" i="72" a="1"/>
  <c r="O113" i="72"/>
  <c r="AD115" i="72" a="1"/>
  <c r="AD115" i="72"/>
  <c r="X112" i="72" a="1"/>
  <c r="X112" i="72"/>
  <c r="N48" i="75"/>
  <c r="AA114" i="72" a="1"/>
  <c r="AA114" i="72"/>
  <c r="Y60" i="75"/>
  <c r="Y63" i="75"/>
  <c r="Y74" i="75"/>
  <c r="Y29" i="75"/>
  <c r="Y7" i="85"/>
  <c r="Y31" i="85" s="1"/>
  <c r="Y76" i="75"/>
  <c r="Y30" i="75"/>
  <c r="Z35" i="75"/>
  <c r="Z63" i="75"/>
  <c r="Z74" i="75"/>
  <c r="Z77" i="75"/>
  <c r="Q33" i="75"/>
  <c r="T33" i="75"/>
  <c r="U33" i="75"/>
  <c r="W33" i="75"/>
  <c r="W33" i="85"/>
  <c r="R117" i="72" a="1"/>
  <c r="R117" i="72"/>
  <c r="V34" i="75"/>
  <c r="AD111" i="72" a="1"/>
  <c r="AD111" i="72"/>
  <c r="P113" i="72" a="1"/>
  <c r="P113" i="72"/>
  <c r="P115" i="72" a="1"/>
  <c r="P115" i="72"/>
  <c r="P112" i="72" a="1"/>
  <c r="P112" i="72"/>
  <c r="P114" i="72" a="1"/>
  <c r="P114" i="72"/>
  <c r="P111" i="72" a="1"/>
  <c r="P111" i="72"/>
  <c r="P117" i="72" a="1"/>
  <c r="P117" i="72"/>
  <c r="P110" i="72" a="1"/>
  <c r="P110" i="72"/>
  <c r="P116" i="72" a="1"/>
  <c r="P116" i="72"/>
  <c r="AA112" i="72" a="1"/>
  <c r="AA112" i="72"/>
  <c r="T60" i="75"/>
  <c r="T77" i="75"/>
  <c r="T29" i="75"/>
  <c r="T58" i="75"/>
  <c r="M110" i="72" a="1"/>
  <c r="M110" i="72"/>
  <c r="AE46" i="75"/>
  <c r="AE47" i="75"/>
  <c r="AE49" i="75"/>
  <c r="W61" i="75"/>
  <c r="W60" i="75"/>
  <c r="W43" i="75"/>
  <c r="W49" i="75"/>
  <c r="W77" i="75"/>
  <c r="W71" i="75"/>
  <c r="W44" i="75"/>
  <c r="W57" i="75"/>
  <c r="W74" i="75"/>
  <c r="W47" i="75"/>
  <c r="W72" i="75"/>
  <c r="W29" i="75"/>
  <c r="W35" i="75"/>
  <c r="W63" i="75"/>
  <c r="W30" i="75"/>
  <c r="W58" i="75"/>
  <c r="W76" i="75"/>
  <c r="W62" i="75"/>
  <c r="W48" i="75"/>
  <c r="W46" i="75"/>
  <c r="W34" i="75"/>
  <c r="Z117" i="72" a="1"/>
  <c r="Z117" i="72"/>
  <c r="Z110" i="72" a="1"/>
  <c r="Z110" i="72"/>
  <c r="Z114" i="72" a="1"/>
  <c r="Z114" i="72"/>
  <c r="Z116" i="72" a="1"/>
  <c r="Z116" i="72"/>
  <c r="Z112" i="72" a="1"/>
  <c r="Z112" i="72"/>
  <c r="Z113" i="72" a="1"/>
  <c r="Z113" i="72"/>
  <c r="Z111" i="72" a="1"/>
  <c r="Z111" i="72"/>
  <c r="Z115" i="72" a="1"/>
  <c r="Z115" i="72"/>
  <c r="AE74" i="75"/>
  <c r="AE63" i="75"/>
  <c r="AE72" i="75"/>
  <c r="AE44" i="75"/>
  <c r="AE29" i="75"/>
  <c r="AC112" i="72" a="1"/>
  <c r="AC112" i="72"/>
  <c r="AC110" i="72" a="1"/>
  <c r="AC110" i="72"/>
  <c r="AC117" i="72" a="1"/>
  <c r="AC117" i="72"/>
  <c r="AC111" i="72" a="1"/>
  <c r="AC111" i="72"/>
  <c r="AC113" i="72" a="1"/>
  <c r="AC113" i="72"/>
  <c r="AC115" i="72" a="1"/>
  <c r="AC115" i="72"/>
  <c r="AC116" i="72" a="1"/>
  <c r="AC116" i="72"/>
  <c r="AC114" i="72" a="1"/>
  <c r="AC114" i="72"/>
  <c r="U61" i="75"/>
  <c r="U43" i="75"/>
  <c r="U35" i="75"/>
  <c r="U72" i="75"/>
  <c r="U60" i="75"/>
  <c r="U77" i="75"/>
  <c r="U47" i="75"/>
  <c r="U71" i="75"/>
  <c r="U57" i="75"/>
  <c r="U74" i="75"/>
  <c r="I74" i="75"/>
  <c r="U29" i="75"/>
  <c r="U44" i="75"/>
  <c r="U63" i="75"/>
  <c r="U49" i="75"/>
  <c r="U58" i="75"/>
  <c r="U62" i="75"/>
  <c r="U76" i="75"/>
  <c r="U30" i="75"/>
  <c r="U46" i="75"/>
  <c r="U34" i="75"/>
  <c r="X111" i="72" a="1"/>
  <c r="X111" i="72"/>
  <c r="R113" i="72" a="1"/>
  <c r="R113" i="72"/>
  <c r="J32" i="85"/>
  <c r="Q49" i="75"/>
  <c r="Q62" i="75"/>
  <c r="Q60" i="75"/>
  <c r="W74" i="85"/>
  <c r="W76" i="85"/>
  <c r="W75" i="85"/>
  <c r="W47" i="85"/>
  <c r="AE110" i="72" a="1"/>
  <c r="AE110" i="72"/>
  <c r="AE114" i="72" a="1"/>
  <c r="AE114" i="72"/>
  <c r="AE111" i="72" a="1"/>
  <c r="AE111" i="72"/>
  <c r="AE112" i="72" a="1"/>
  <c r="AE112" i="72"/>
  <c r="I72" i="75"/>
  <c r="I57" i="75"/>
  <c r="I71" i="75"/>
  <c r="I110" i="72" a="1"/>
  <c r="I110" i="72"/>
  <c r="I112" i="72" a="1"/>
  <c r="I112" i="72"/>
  <c r="I114" i="72" a="1"/>
  <c r="I114" i="72"/>
  <c r="I111" i="72" a="1"/>
  <c r="I111" i="72"/>
  <c r="I116" i="72" a="1"/>
  <c r="I116" i="72"/>
  <c r="I113" i="72" a="1"/>
  <c r="I113" i="72"/>
  <c r="I115" i="72" a="1"/>
  <c r="I115" i="72"/>
  <c r="I117" i="72" a="1"/>
  <c r="I117" i="72"/>
  <c r="V112" i="82" a="1"/>
  <c r="V112" i="82"/>
  <c r="V114" i="82" a="1"/>
  <c r="V114" i="82"/>
  <c r="V117" i="82" a="1"/>
  <c r="V117" i="82"/>
  <c r="V116" i="82" a="1"/>
  <c r="V116" i="82"/>
  <c r="V111" i="82" a="1"/>
  <c r="V111" i="82"/>
  <c r="V110" i="82" a="1"/>
  <c r="V110" i="82"/>
  <c r="V115" i="82" a="1"/>
  <c r="V115" i="82"/>
  <c r="V113" i="82" a="1"/>
  <c r="V113" i="82"/>
  <c r="AG114" i="81" a="1"/>
  <c r="AG114" i="81"/>
  <c r="AG113" i="81" a="1"/>
  <c r="AG113" i="81"/>
  <c r="AG111" i="81" a="1"/>
  <c r="AG111" i="81"/>
  <c r="AG112" i="81" a="1"/>
  <c r="AG112" i="81"/>
  <c r="AG110" i="81" a="1"/>
  <c r="AG110" i="81"/>
  <c r="AG115" i="81" a="1"/>
  <c r="AG115" i="81"/>
  <c r="AG116" i="81" a="1"/>
  <c r="AG116" i="81"/>
  <c r="AG117" i="81" a="1"/>
  <c r="AG117" i="81"/>
  <c r="I117" i="82" a="1"/>
  <c r="I117" i="82"/>
  <c r="I110" i="82" a="1"/>
  <c r="I110" i="82"/>
  <c r="I112" i="82" a="1"/>
  <c r="I112" i="82"/>
  <c r="I115" i="82" a="1"/>
  <c r="I115" i="82"/>
  <c r="I113" i="82" a="1"/>
  <c r="I113" i="82"/>
  <c r="I111" i="82" a="1"/>
  <c r="I111" i="82"/>
  <c r="I114" i="82" a="1"/>
  <c r="I114" i="82"/>
  <c r="I116" i="82" a="1"/>
  <c r="I116" i="82"/>
  <c r="W37" i="85"/>
  <c r="V116" i="73" a="1"/>
  <c r="V116" i="73"/>
  <c r="V117" i="73" a="1"/>
  <c r="V117" i="73"/>
  <c r="V114" i="73" a="1"/>
  <c r="V114" i="73"/>
  <c r="V111" i="73" a="1"/>
  <c r="V111" i="73"/>
  <c r="V115" i="73" a="1"/>
  <c r="V115" i="73"/>
  <c r="V112" i="73" a="1"/>
  <c r="V112" i="73"/>
  <c r="V113" i="73" a="1"/>
  <c r="V113" i="73"/>
  <c r="V110" i="73" a="1"/>
  <c r="V110" i="73"/>
  <c r="J63" i="85"/>
  <c r="AG111" i="73" a="1"/>
  <c r="AG111" i="73"/>
  <c r="AG113" i="73" a="1"/>
  <c r="AG113" i="73"/>
  <c r="AG112" i="73" a="1"/>
  <c r="AG112" i="73"/>
  <c r="AG117" i="73" a="1"/>
  <c r="AG117" i="73"/>
  <c r="AG115" i="73" a="1"/>
  <c r="AG115" i="73"/>
  <c r="AG110" i="73" a="1"/>
  <c r="AG110" i="73"/>
  <c r="AG114" i="73" a="1"/>
  <c r="AG114" i="73"/>
  <c r="AG116" i="73" a="1"/>
  <c r="AG116" i="73"/>
  <c r="J77" i="85"/>
  <c r="AC113" i="81" a="1"/>
  <c r="AC113" i="81"/>
  <c r="AC112" i="81" a="1"/>
  <c r="AC112" i="81"/>
  <c r="AC114" i="81" a="1"/>
  <c r="AC114" i="81"/>
  <c r="AC111" i="81" a="1"/>
  <c r="AC111" i="81"/>
  <c r="AC115" i="81" a="1"/>
  <c r="AC115" i="81"/>
  <c r="AC117" i="81" a="1"/>
  <c r="AC117" i="81"/>
  <c r="AC110" i="81" a="1"/>
  <c r="AC110" i="81"/>
  <c r="AC116" i="81" a="1"/>
  <c r="AC116" i="81"/>
  <c r="J35" i="85"/>
  <c r="AG116" i="82" a="1"/>
  <c r="AG116" i="82"/>
  <c r="AG111" i="82" a="1"/>
  <c r="AG111" i="82"/>
  <c r="AG112" i="82" a="1"/>
  <c r="AG112" i="82"/>
  <c r="AG110" i="82" a="1"/>
  <c r="AG110" i="82"/>
  <c r="AG113" i="82" a="1"/>
  <c r="AG113" i="82"/>
  <c r="AG117" i="82" a="1"/>
  <c r="AG117" i="82"/>
  <c r="AG114" i="82" a="1"/>
  <c r="AG114" i="82"/>
  <c r="AG115" i="82" a="1"/>
  <c r="AG115" i="82"/>
  <c r="W79" i="85"/>
  <c r="W77" i="85"/>
  <c r="Y112" i="72" a="1"/>
  <c r="Y112" i="72"/>
  <c r="Y117" i="72" a="1"/>
  <c r="Y117" i="72"/>
  <c r="Y114" i="72" a="1"/>
  <c r="Y114" i="72"/>
  <c r="Y111" i="72" a="1"/>
  <c r="Y111" i="72"/>
  <c r="Y115" i="72" a="1"/>
  <c r="Y115" i="72"/>
  <c r="Y116" i="72" a="1"/>
  <c r="Y116" i="72"/>
  <c r="Y113" i="72" a="1"/>
  <c r="Y113" i="72"/>
  <c r="Y110" i="72" a="1"/>
  <c r="Y110" i="72"/>
  <c r="V110" i="81" a="1"/>
  <c r="V110" i="81"/>
  <c r="V113" i="81" a="1"/>
  <c r="V113" i="81"/>
  <c r="V117" i="81" a="1"/>
  <c r="V117" i="81"/>
  <c r="V111" i="81" a="1"/>
  <c r="V111" i="81"/>
  <c r="V115" i="81" a="1"/>
  <c r="V115" i="81"/>
  <c r="V112" i="81" a="1"/>
  <c r="V112" i="81"/>
  <c r="V116" i="81" a="1"/>
  <c r="V116" i="81"/>
  <c r="V114" i="81" a="1"/>
  <c r="V114" i="81"/>
  <c r="AB114" i="72" a="1"/>
  <c r="AB114" i="72"/>
  <c r="AB116" i="72" a="1"/>
  <c r="AB116" i="72"/>
  <c r="AB110" i="72" a="1"/>
  <c r="AB110" i="72"/>
  <c r="AB113" i="72" a="1"/>
  <c r="AB113" i="72"/>
  <c r="AB117" i="72" a="1"/>
  <c r="AB117" i="72"/>
  <c r="AB115" i="72" a="1"/>
  <c r="AB115" i="72"/>
  <c r="AB111" i="72" a="1"/>
  <c r="AB111" i="72"/>
  <c r="AB112" i="72" a="1"/>
  <c r="AB112" i="72"/>
  <c r="I115" i="81" a="1"/>
  <c r="I115" i="81"/>
  <c r="I111" i="81" a="1"/>
  <c r="I111" i="81"/>
  <c r="I110" i="81" a="1"/>
  <c r="I110" i="81"/>
  <c r="I113" i="81" a="1"/>
  <c r="I113" i="81"/>
  <c r="I117" i="81" a="1"/>
  <c r="I117" i="81"/>
  <c r="I116" i="81" a="1"/>
  <c r="I116" i="81"/>
  <c r="I112" i="81" a="1"/>
  <c r="I112" i="81"/>
  <c r="I114" i="81" a="1"/>
  <c r="I114" i="81"/>
  <c r="V112" i="72" a="1"/>
  <c r="V112" i="72"/>
  <c r="V113" i="72" a="1"/>
  <c r="V113" i="72"/>
  <c r="V110" i="72" a="1"/>
  <c r="V110" i="72"/>
  <c r="V117" i="72" a="1"/>
  <c r="V117" i="72"/>
  <c r="V115" i="72" a="1"/>
  <c r="V115" i="72"/>
  <c r="V114" i="72" a="1"/>
  <c r="V114" i="72"/>
  <c r="V111" i="72" a="1"/>
  <c r="V111" i="72"/>
  <c r="V116" i="72" a="1"/>
  <c r="V116" i="72"/>
  <c r="I108" i="73"/>
  <c r="I87" i="73"/>
  <c r="I106" i="73"/>
  <c r="S116" i="81" a="1"/>
  <c r="S116" i="81"/>
  <c r="S112" i="81" a="1"/>
  <c r="S112" i="81"/>
  <c r="S115" i="81" a="1"/>
  <c r="S115" i="81"/>
  <c r="S113" i="81" a="1"/>
  <c r="S113" i="81"/>
  <c r="S114" i="81" a="1"/>
  <c r="S114" i="81"/>
  <c r="S111" i="81" a="1"/>
  <c r="S111" i="81"/>
  <c r="S110" i="81" a="1"/>
  <c r="S110" i="81"/>
  <c r="S117" i="81" a="1"/>
  <c r="S117" i="81"/>
  <c r="Z114" i="81" a="1"/>
  <c r="Z114" i="81"/>
  <c r="Z113" i="81" a="1"/>
  <c r="Z113" i="81"/>
  <c r="Z116" i="81" a="1"/>
  <c r="Z116" i="81"/>
  <c r="Z110" i="81" a="1"/>
  <c r="Z110" i="81"/>
  <c r="Z111" i="81" a="1"/>
  <c r="Z111" i="81"/>
  <c r="Z115" i="81" a="1"/>
  <c r="Z115" i="81"/>
  <c r="Z112" i="81" a="1"/>
  <c r="Z112" i="81"/>
  <c r="Z117" i="81" a="1"/>
  <c r="Z117" i="81"/>
  <c r="R115" i="81" a="1"/>
  <c r="R115" i="81"/>
  <c r="R112" i="81" a="1"/>
  <c r="R112" i="81"/>
  <c r="R113" i="81" a="1"/>
  <c r="R113" i="81"/>
  <c r="R114" i="81" a="1"/>
  <c r="R114" i="81"/>
  <c r="R111" i="81" a="1"/>
  <c r="R111" i="81"/>
  <c r="R117" i="81" a="1"/>
  <c r="R117" i="81"/>
  <c r="R110" i="81" a="1"/>
  <c r="R110" i="81"/>
  <c r="R116" i="81" a="1"/>
  <c r="R116" i="81"/>
  <c r="P116" i="73" a="1"/>
  <c r="P116" i="73"/>
  <c r="P113" i="73" a="1"/>
  <c r="P113" i="73"/>
  <c r="P111" i="73" a="1"/>
  <c r="P111" i="73"/>
  <c r="P112" i="73" a="1"/>
  <c r="P112" i="73"/>
  <c r="P117" i="73" a="1"/>
  <c r="P117" i="73"/>
  <c r="P110" i="73" a="1"/>
  <c r="P110" i="73"/>
  <c r="P114" i="73" a="1"/>
  <c r="P114" i="73"/>
  <c r="P115" i="73" a="1"/>
  <c r="P115" i="73"/>
  <c r="AG115" i="72" a="1"/>
  <c r="AG115" i="72"/>
  <c r="AG112" i="72" a="1"/>
  <c r="AG112" i="72"/>
  <c r="AG110" i="72" a="1"/>
  <c r="AG110" i="72"/>
  <c r="AG117" i="72" a="1"/>
  <c r="AG117" i="72"/>
  <c r="AG114" i="72" a="1"/>
  <c r="AG114" i="72"/>
  <c r="AG113" i="72" a="1"/>
  <c r="AG113" i="72"/>
  <c r="AG116" i="72" a="1"/>
  <c r="AG116" i="72"/>
  <c r="AG111" i="72" a="1"/>
  <c r="AG111" i="72"/>
  <c r="K96" i="85"/>
  <c r="L73" i="33" s="1"/>
  <c r="K97" i="85"/>
  <c r="L74" i="33" s="1"/>
  <c r="K98" i="85"/>
  <c r="L75" i="33" s="1"/>
  <c r="W34" i="85"/>
  <c r="AC47" i="85"/>
  <c r="U58" i="85"/>
  <c r="J23" i="85"/>
  <c r="J20" i="85"/>
  <c r="J19" i="85"/>
  <c r="J17" i="85"/>
  <c r="J42" i="85"/>
  <c r="AC20" i="85"/>
  <c r="AC65" i="85"/>
  <c r="AC45" i="85"/>
  <c r="W18" i="85"/>
  <c r="W16" i="85"/>
  <c r="W23" i="85"/>
  <c r="W19" i="85"/>
  <c r="W21" i="85"/>
  <c r="W56" i="85"/>
  <c r="W70" i="85"/>
  <c r="J34" i="85"/>
  <c r="W58" i="85"/>
  <c r="I110" i="73" a="1"/>
  <c r="I110" i="73"/>
  <c r="I117" i="73" a="1"/>
  <c r="I117" i="73"/>
  <c r="I114" i="73" a="1"/>
  <c r="I114" i="73"/>
  <c r="I111" i="73" a="1"/>
  <c r="I111" i="73"/>
  <c r="I112" i="73" a="1"/>
  <c r="I112" i="73"/>
  <c r="I115" i="73" a="1"/>
  <c r="I115" i="73"/>
  <c r="I116" i="73" a="1"/>
  <c r="I116" i="73"/>
  <c r="I113" i="73" a="1"/>
  <c r="I113" i="73"/>
  <c r="AC37" i="85"/>
  <c r="Q34" i="75" l="1"/>
  <c r="Y77" i="75"/>
  <c r="AB61" i="75"/>
  <c r="AC47" i="75"/>
  <c r="L29" i="75"/>
  <c r="R58" i="75"/>
  <c r="J64" i="75"/>
  <c r="W64" i="75"/>
  <c r="L46" i="75"/>
  <c r="S48" i="75"/>
  <c r="X65" i="85"/>
  <c r="AC33" i="75"/>
  <c r="AC32" i="75"/>
  <c r="X73" i="85"/>
  <c r="U72" i="85"/>
  <c r="Q76" i="75"/>
  <c r="AC49" i="75"/>
  <c r="X36" i="75"/>
  <c r="R61" i="75"/>
  <c r="U19" i="85"/>
  <c r="U31" i="85"/>
  <c r="U62" i="85"/>
  <c r="Q30" i="75"/>
  <c r="Y44" i="75"/>
  <c r="R71" i="75"/>
  <c r="AC49" i="85"/>
  <c r="U77" i="85"/>
  <c r="Q47" i="75"/>
  <c r="Y46" i="75"/>
  <c r="R29" i="75"/>
  <c r="U30" i="85"/>
  <c r="Q63" i="75"/>
  <c r="Y34" i="75"/>
  <c r="Q32" i="75"/>
  <c r="R72" i="75"/>
  <c r="S44" i="75"/>
  <c r="X35" i="85"/>
  <c r="X51" i="85"/>
  <c r="O74" i="75"/>
  <c r="O75" i="75"/>
  <c r="O47" i="75"/>
  <c r="O46" i="75"/>
  <c r="O32" i="75"/>
  <c r="O49" i="75"/>
  <c r="O7" i="85"/>
  <c r="O49" i="85" s="1"/>
  <c r="O77" i="75"/>
  <c r="O60" i="75"/>
  <c r="O61" i="75"/>
  <c r="O35" i="75"/>
  <c r="O58" i="75"/>
  <c r="H76" i="85"/>
  <c r="I96" i="85"/>
  <c r="AD48" i="75"/>
  <c r="AD49" i="75"/>
  <c r="AD58" i="75"/>
  <c r="AD35" i="75"/>
  <c r="AD33" i="75"/>
  <c r="AD61" i="75"/>
  <c r="AD34" i="75"/>
  <c r="AD62" i="75"/>
  <c r="AD57" i="75"/>
  <c r="AD44" i="75"/>
  <c r="AD63" i="75"/>
  <c r="AD46" i="75"/>
  <c r="AD72" i="75"/>
  <c r="AD47" i="75"/>
  <c r="AD77" i="75"/>
  <c r="AD7" i="85"/>
  <c r="AD76" i="85" s="1"/>
  <c r="AD60" i="75"/>
  <c r="AD32" i="75"/>
  <c r="AD71" i="75"/>
  <c r="AD75" i="75"/>
  <c r="AD29" i="75"/>
  <c r="AD76" i="75"/>
  <c r="AD30" i="75"/>
  <c r="H31" i="85"/>
  <c r="H63" i="85"/>
  <c r="H34" i="85"/>
  <c r="H37" i="85"/>
  <c r="H47" i="85"/>
  <c r="H78" i="85"/>
  <c r="H74" i="85"/>
  <c r="H21" i="85"/>
  <c r="H19" i="85"/>
  <c r="H70" i="85"/>
  <c r="H17" i="85"/>
  <c r="H61" i="85"/>
  <c r="H79" i="85"/>
  <c r="H72" i="85"/>
  <c r="H49" i="85"/>
  <c r="H35" i="85"/>
  <c r="H65" i="85"/>
  <c r="H30" i="85"/>
  <c r="L75" i="75"/>
  <c r="L74" i="75"/>
  <c r="L77" i="75"/>
  <c r="L63" i="75"/>
  <c r="L43" i="75"/>
  <c r="L57" i="75"/>
  <c r="L32" i="75"/>
  <c r="L33" i="75"/>
  <c r="L72" i="75"/>
  <c r="L76" i="75"/>
  <c r="L7" i="85"/>
  <c r="L18" i="85" s="1"/>
  <c r="L47" i="75"/>
  <c r="L50" i="75" s="1"/>
  <c r="L40" i="85" s="1"/>
  <c r="L44" i="75"/>
  <c r="L35" i="75"/>
  <c r="L30" i="75"/>
  <c r="L61" i="75"/>
  <c r="L49" i="75"/>
  <c r="L71" i="75"/>
  <c r="L58" i="75"/>
  <c r="L62" i="75"/>
  <c r="L64" i="75" s="1"/>
  <c r="L48" i="75"/>
  <c r="H42" i="85"/>
  <c r="S63" i="75"/>
  <c r="S64" i="75" s="1"/>
  <c r="P72" i="75"/>
  <c r="P43" i="75"/>
  <c r="P57" i="75"/>
  <c r="P71" i="75"/>
  <c r="P74" i="75"/>
  <c r="P46" i="75"/>
  <c r="P60" i="75"/>
  <c r="P7" i="85"/>
  <c r="P75" i="85" s="1"/>
  <c r="P77" i="75"/>
  <c r="P48" i="75"/>
  <c r="X78" i="85"/>
  <c r="X31" i="85"/>
  <c r="X60" i="85"/>
  <c r="H59" i="85"/>
  <c r="AD74" i="75"/>
  <c r="AD43" i="75"/>
  <c r="S57" i="75"/>
  <c r="S35" i="75"/>
  <c r="S58" i="75"/>
  <c r="S32" i="75"/>
  <c r="S72" i="75"/>
  <c r="S74" i="75"/>
  <c r="S78" i="75" s="1"/>
  <c r="S77" i="75"/>
  <c r="S71" i="75"/>
  <c r="S33" i="75"/>
  <c r="S36" i="75" s="1"/>
  <c r="S76" i="75"/>
  <c r="S29" i="75"/>
  <c r="S62" i="75"/>
  <c r="S46" i="75"/>
  <c r="S30" i="75"/>
  <c r="S75" i="75"/>
  <c r="S60" i="75"/>
  <c r="S7" i="85"/>
  <c r="S61" i="85" s="1"/>
  <c r="S47" i="75"/>
  <c r="S43" i="75"/>
  <c r="S49" i="75"/>
  <c r="AB35" i="75"/>
  <c r="AB63" i="75"/>
  <c r="AB58" i="75"/>
  <c r="AB47" i="75"/>
  <c r="AB49" i="75"/>
  <c r="AB33" i="75"/>
  <c r="AB43" i="75"/>
  <c r="AB77" i="75"/>
  <c r="AB72" i="75"/>
  <c r="AB76" i="75"/>
  <c r="AB29" i="75"/>
  <c r="AB30" i="75"/>
  <c r="AB7" i="85"/>
  <c r="AB42" i="85" s="1"/>
  <c r="AB32" i="75"/>
  <c r="AB60" i="75"/>
  <c r="AB62" i="75"/>
  <c r="AB34" i="75"/>
  <c r="AB44" i="75"/>
  <c r="AB46" i="75"/>
  <c r="AB75" i="75"/>
  <c r="AB57" i="75"/>
  <c r="X64" i="85"/>
  <c r="X44" i="85"/>
  <c r="H16" i="85"/>
  <c r="X28" i="85"/>
  <c r="K63" i="75"/>
  <c r="K32" i="75"/>
  <c r="K57" i="75"/>
  <c r="K29" i="75"/>
  <c r="K77" i="75"/>
  <c r="K72" i="75"/>
  <c r="K43" i="75"/>
  <c r="K34" i="75"/>
  <c r="K62" i="75"/>
  <c r="K76" i="75"/>
  <c r="K61" i="75"/>
  <c r="K44" i="75"/>
  <c r="K75" i="75"/>
  <c r="K33" i="75"/>
  <c r="K58" i="75"/>
  <c r="K47" i="75"/>
  <c r="K49" i="75"/>
  <c r="K35" i="75"/>
  <c r="K48" i="75"/>
  <c r="K50" i="75" s="1"/>
  <c r="K40" i="85" s="1"/>
  <c r="K71" i="75"/>
  <c r="K7" i="85"/>
  <c r="K60" i="75"/>
  <c r="K30" i="75"/>
  <c r="H62" i="85"/>
  <c r="K74" i="75"/>
  <c r="X50" i="85"/>
  <c r="X47" i="85"/>
  <c r="X45" i="85"/>
  <c r="X19" i="85"/>
  <c r="X79" i="85"/>
  <c r="X37" i="85"/>
  <c r="X17" i="85"/>
  <c r="X72" i="85"/>
  <c r="X30" i="85"/>
  <c r="X32" i="85"/>
  <c r="X70" i="85"/>
  <c r="X34" i="85"/>
  <c r="X74" i="85"/>
  <c r="X56" i="85"/>
  <c r="X33" i="85"/>
  <c r="X58" i="85"/>
  <c r="X77" i="85"/>
  <c r="X63" i="85"/>
  <c r="X61" i="85"/>
  <c r="X59" i="85"/>
  <c r="X42" i="85"/>
  <c r="X75" i="85"/>
  <c r="X21" i="85"/>
  <c r="X49" i="85"/>
  <c r="X22" i="85"/>
  <c r="X18" i="85"/>
  <c r="X76" i="85"/>
  <c r="X46" i="85"/>
  <c r="X20" i="85"/>
  <c r="X36" i="85"/>
  <c r="X48" i="85"/>
  <c r="X62" i="85"/>
  <c r="X16" i="85"/>
  <c r="AB48" i="75"/>
  <c r="AB50" i="75" s="1"/>
  <c r="AB40" i="85" s="1"/>
  <c r="AB74" i="75"/>
  <c r="AB78" i="75" s="1"/>
  <c r="L34" i="75"/>
  <c r="AA33" i="75"/>
  <c r="AA74" i="75"/>
  <c r="V57" i="75"/>
  <c r="V44" i="75"/>
  <c r="V7" i="85"/>
  <c r="V32" i="85" s="1"/>
  <c r="V61" i="75"/>
  <c r="V29" i="75"/>
  <c r="V30" i="75"/>
  <c r="V76" i="75"/>
  <c r="V47" i="75"/>
  <c r="V62" i="75"/>
  <c r="T44" i="75"/>
  <c r="T72" i="75"/>
  <c r="T47" i="75"/>
  <c r="T63" i="75"/>
  <c r="T74" i="75"/>
  <c r="T75" i="75"/>
  <c r="AG35" i="75"/>
  <c r="AG75" i="75"/>
  <c r="AG63" i="75"/>
  <c r="AG61" i="75"/>
  <c r="AG43" i="75"/>
  <c r="AF43" i="75"/>
  <c r="AF32" i="75"/>
  <c r="AF7" i="85"/>
  <c r="AF17" i="85" s="1"/>
  <c r="AF60" i="75"/>
  <c r="AF58" i="75"/>
  <c r="AF30" i="75"/>
  <c r="AA44" i="75"/>
  <c r="AA29" i="75"/>
  <c r="AA72" i="75"/>
  <c r="F73" i="33"/>
  <c r="Y65" i="85"/>
  <c r="Y59" i="85"/>
  <c r="Y61" i="85"/>
  <c r="Y62" i="85"/>
  <c r="Y79" i="85"/>
  <c r="AF63" i="75"/>
  <c r="AA63" i="75"/>
  <c r="AA7" i="85"/>
  <c r="AA22" i="85" s="1"/>
  <c r="Y70" i="85"/>
  <c r="T61" i="75"/>
  <c r="AF77" i="75"/>
  <c r="J50" i="75"/>
  <c r="J40" i="85" s="1"/>
  <c r="AA71" i="75"/>
  <c r="F75" i="33"/>
  <c r="I98" i="85"/>
  <c r="Y56" i="85"/>
  <c r="AC21" i="85"/>
  <c r="AC34" i="85"/>
  <c r="AC16" i="85"/>
  <c r="AC74" i="85"/>
  <c r="AC62" i="85"/>
  <c r="AC78" i="85"/>
  <c r="AC36" i="85"/>
  <c r="AC73" i="85"/>
  <c r="AC30" i="85"/>
  <c r="AF47" i="75"/>
  <c r="W36" i="75"/>
  <c r="U78" i="75"/>
  <c r="W20" i="85"/>
  <c r="J37" i="85"/>
  <c r="J16" i="85"/>
  <c r="I7" i="85"/>
  <c r="I34" i="85" s="1"/>
  <c r="Q44" i="75"/>
  <c r="Z61" i="75"/>
  <c r="AC30" i="75"/>
  <c r="AC72" i="75"/>
  <c r="J73" i="85"/>
  <c r="J44" i="85"/>
  <c r="AC34" i="75"/>
  <c r="AC36" i="75" s="1"/>
  <c r="AB12" i="85" s="1"/>
  <c r="W62" i="85"/>
  <c r="J62" i="85"/>
  <c r="J50" i="85"/>
  <c r="W78" i="85"/>
  <c r="I35" i="75"/>
  <c r="Q58" i="75"/>
  <c r="U64" i="75"/>
  <c r="Z30" i="75"/>
  <c r="Z29" i="75"/>
  <c r="AC76" i="75"/>
  <c r="Q75" i="75"/>
  <c r="J47" i="85"/>
  <c r="AC58" i="75"/>
  <c r="J58" i="85"/>
  <c r="W63" i="85"/>
  <c r="I29" i="75"/>
  <c r="Q77" i="75"/>
  <c r="Z57" i="75"/>
  <c r="AC62" i="75"/>
  <c r="W49" i="85"/>
  <c r="W42" i="85"/>
  <c r="I43" i="75"/>
  <c r="W59" i="85"/>
  <c r="I32" i="75"/>
  <c r="I36" i="75" s="1"/>
  <c r="W78" i="75"/>
  <c r="N63" i="75"/>
  <c r="I46" i="85"/>
  <c r="I31" i="85"/>
  <c r="I47" i="85"/>
  <c r="I32" i="85"/>
  <c r="I77" i="85"/>
  <c r="I42" i="85"/>
  <c r="I49" i="85"/>
  <c r="I59" i="85"/>
  <c r="I63" i="85"/>
  <c r="I65" i="85"/>
  <c r="I78" i="85"/>
  <c r="I19" i="85"/>
  <c r="I79" i="85"/>
  <c r="I37" i="85"/>
  <c r="I16" i="85"/>
  <c r="O70" i="85"/>
  <c r="W50" i="75"/>
  <c r="W40" i="85" s="1"/>
  <c r="I5" i="85"/>
  <c r="J5" i="75"/>
  <c r="K5" i="75" s="1"/>
  <c r="K5" i="85" s="1"/>
  <c r="AE60" i="75"/>
  <c r="V58" i="85"/>
  <c r="V75" i="85"/>
  <c r="V33" i="85"/>
  <c r="V21" i="85"/>
  <c r="V51" i="85"/>
  <c r="V18" i="85"/>
  <c r="V77" i="85"/>
  <c r="Y64" i="85"/>
  <c r="Y22" i="85"/>
  <c r="Y77" i="85"/>
  <c r="Y63" i="85"/>
  <c r="Y36" i="85"/>
  <c r="Y51" i="85"/>
  <c r="Y21" i="85"/>
  <c r="Y16" i="85"/>
  <c r="Y32" i="85"/>
  <c r="Y49" i="85"/>
  <c r="Y34" i="85"/>
  <c r="Y50" i="85"/>
  <c r="N74" i="75"/>
  <c r="N47" i="75"/>
  <c r="N29" i="75"/>
  <c r="N58" i="75"/>
  <c r="N60" i="75"/>
  <c r="N34" i="75"/>
  <c r="N7" i="85"/>
  <c r="N51" i="85" s="1"/>
  <c r="N75" i="75"/>
  <c r="N33" i="75"/>
  <c r="N36" i="75" s="1"/>
  <c r="N44" i="75"/>
  <c r="N49" i="75"/>
  <c r="N62" i="75"/>
  <c r="N30" i="75"/>
  <c r="N57" i="75"/>
  <c r="N76" i="75"/>
  <c r="N46" i="75"/>
  <c r="N77" i="75"/>
  <c r="N61" i="75"/>
  <c r="AE7" i="85"/>
  <c r="AE71" i="75"/>
  <c r="AE43" i="75"/>
  <c r="AE61" i="75"/>
  <c r="AE77" i="75"/>
  <c r="AE58" i="75"/>
  <c r="AE48" i="75"/>
  <c r="AE50" i="75" s="1"/>
  <c r="AE40" i="85" s="1"/>
  <c r="AE57" i="75"/>
  <c r="AE30" i="75"/>
  <c r="AE76" i="75"/>
  <c r="AE62" i="75"/>
  <c r="AE34" i="75"/>
  <c r="AE75" i="75"/>
  <c r="AE33" i="75"/>
  <c r="AE35" i="75"/>
  <c r="O63" i="85"/>
  <c r="AA70" i="85"/>
  <c r="AA49" i="85"/>
  <c r="AA59" i="85"/>
  <c r="AA60" i="85"/>
  <c r="AA44" i="85"/>
  <c r="AA46" i="85"/>
  <c r="AA64" i="85"/>
  <c r="O43" i="75"/>
  <c r="O44" i="75"/>
  <c r="O72" i="75"/>
  <c r="O34" i="75"/>
  <c r="O62" i="75"/>
  <c r="O71" i="75"/>
  <c r="O76" i="75"/>
  <c r="O33" i="75"/>
  <c r="O63" i="75"/>
  <c r="P61" i="75"/>
  <c r="P47" i="75"/>
  <c r="P49" i="75"/>
  <c r="P63" i="75"/>
  <c r="P35" i="75"/>
  <c r="P32" i="75"/>
  <c r="P33" i="75"/>
  <c r="P75" i="75"/>
  <c r="P29" i="75"/>
  <c r="P30" i="75"/>
  <c r="G74" i="33"/>
  <c r="I97" i="85"/>
  <c r="AF29" i="75"/>
  <c r="AF76" i="75"/>
  <c r="AF72" i="75"/>
  <c r="AF62" i="75"/>
  <c r="AF49" i="75"/>
  <c r="AF34" i="75"/>
  <c r="AF57" i="75"/>
  <c r="AF35" i="75"/>
  <c r="AF48" i="75"/>
  <c r="AA35" i="75"/>
  <c r="AA57" i="75"/>
  <c r="AA77" i="75"/>
  <c r="AA76" i="75"/>
  <c r="AA60" i="75"/>
  <c r="AA30" i="75"/>
  <c r="AA75" i="75"/>
  <c r="AA49" i="75"/>
  <c r="AA34" i="75"/>
  <c r="AA32" i="75"/>
  <c r="AA36" i="75" s="1"/>
  <c r="Z12" i="85" s="1"/>
  <c r="AA62" i="75"/>
  <c r="AA30" i="85"/>
  <c r="AA73" i="85"/>
  <c r="AA16" i="85"/>
  <c r="H56" i="85"/>
  <c r="H36" i="85"/>
  <c r="T76" i="75"/>
  <c r="O57" i="75"/>
  <c r="Z49" i="75"/>
  <c r="AG71" i="75"/>
  <c r="AC17" i="85"/>
  <c r="AC32" i="85"/>
  <c r="AC33" i="85"/>
  <c r="T7" i="85"/>
  <c r="M44" i="75"/>
  <c r="T32" i="75"/>
  <c r="AF33" i="75"/>
  <c r="AG60" i="75"/>
  <c r="AA61" i="75"/>
  <c r="P58" i="75"/>
  <c r="AA48" i="75"/>
  <c r="AC29" i="75"/>
  <c r="AC74" i="75"/>
  <c r="AC48" i="75"/>
  <c r="AC50" i="75" s="1"/>
  <c r="AC40" i="85" s="1"/>
  <c r="AC60" i="75"/>
  <c r="AC71" i="75"/>
  <c r="AC63" i="75"/>
  <c r="AC61" i="75"/>
  <c r="AC75" i="75"/>
  <c r="AC57" i="75"/>
  <c r="AC44" i="75"/>
  <c r="Q7" i="85"/>
  <c r="Q16" i="85" s="1"/>
  <c r="Q74" i="75"/>
  <c r="Q35" i="75"/>
  <c r="Q36" i="75" s="1"/>
  <c r="Q46" i="75"/>
  <c r="Q29" i="75"/>
  <c r="Q48" i="75"/>
  <c r="Q57" i="75"/>
  <c r="Q71" i="75"/>
  <c r="Q61" i="75"/>
  <c r="Q43" i="75"/>
  <c r="O29" i="75"/>
  <c r="L70" i="85"/>
  <c r="AF71" i="75"/>
  <c r="AA47" i="75"/>
  <c r="P34" i="75"/>
  <c r="M35" i="75"/>
  <c r="M77" i="75"/>
  <c r="M61" i="75"/>
  <c r="M64" i="75" s="1"/>
  <c r="M7" i="85"/>
  <c r="M75" i="75"/>
  <c r="M78" i="75" s="1"/>
  <c r="M29" i="75"/>
  <c r="M49" i="75"/>
  <c r="M72" i="75"/>
  <c r="M32" i="75"/>
  <c r="M36" i="75" s="1"/>
  <c r="M30" i="75"/>
  <c r="M48" i="75"/>
  <c r="Y72" i="75"/>
  <c r="Y61" i="75"/>
  <c r="Y75" i="75"/>
  <c r="Y78" i="75" s="1"/>
  <c r="Y49" i="75"/>
  <c r="Y71" i="75"/>
  <c r="Y35" i="75"/>
  <c r="Y57" i="75"/>
  <c r="Y32" i="75"/>
  <c r="Y58" i="75"/>
  <c r="Y47" i="75"/>
  <c r="Y50" i="75" s="1"/>
  <c r="Y40" i="85" s="1"/>
  <c r="Y33" i="75"/>
  <c r="Y62" i="75"/>
  <c r="R48" i="75"/>
  <c r="R33" i="75"/>
  <c r="R30" i="75"/>
  <c r="R35" i="75"/>
  <c r="R46" i="75"/>
  <c r="R77" i="75"/>
  <c r="R76" i="75"/>
  <c r="R7" i="85"/>
  <c r="R78" i="85" s="1"/>
  <c r="R49" i="75"/>
  <c r="R62" i="75"/>
  <c r="R64" i="75" s="1"/>
  <c r="R43" i="75"/>
  <c r="AF46" i="75"/>
  <c r="AF74" i="75"/>
  <c r="AA46" i="75"/>
  <c r="H46" i="85"/>
  <c r="H64" i="85"/>
  <c r="H60" i="85"/>
  <c r="H73" i="85"/>
  <c r="H75" i="85"/>
  <c r="H18" i="85"/>
  <c r="H45" i="85"/>
  <c r="H23" i="85"/>
  <c r="H48" i="85"/>
  <c r="H32" i="85"/>
  <c r="H22" i="85"/>
  <c r="H50" i="85"/>
  <c r="H28" i="85"/>
  <c r="H58" i="85"/>
  <c r="H44" i="85"/>
  <c r="H20" i="85"/>
  <c r="H77" i="85"/>
  <c r="H33" i="85"/>
  <c r="P76" i="75"/>
  <c r="P78" i="75" s="1"/>
  <c r="O48" i="75"/>
  <c r="V35" i="75"/>
  <c r="V32" i="75"/>
  <c r="V58" i="75"/>
  <c r="V63" i="75"/>
  <c r="V48" i="75"/>
  <c r="V77" i="75"/>
  <c r="V33" i="75"/>
  <c r="V43" i="75"/>
  <c r="V71" i="75"/>
  <c r="V60" i="75"/>
  <c r="V46" i="75"/>
  <c r="T48" i="75"/>
  <c r="T35" i="75"/>
  <c r="T30" i="75"/>
  <c r="T71" i="75"/>
  <c r="T34" i="75"/>
  <c r="T57" i="75"/>
  <c r="T62" i="75"/>
  <c r="T43" i="75"/>
  <c r="T49" i="75"/>
  <c r="AG34" i="75"/>
  <c r="AG33" i="75"/>
  <c r="AG49" i="75"/>
  <c r="AG50" i="75" s="1"/>
  <c r="AG40" i="85" s="1"/>
  <c r="AG76" i="75"/>
  <c r="AG29" i="75"/>
  <c r="AG72" i="75"/>
  <c r="AG7" i="85"/>
  <c r="AG28" i="85" s="1"/>
  <c r="AG57" i="75"/>
  <c r="AG62" i="75"/>
  <c r="AG74" i="75"/>
  <c r="AG30" i="75"/>
  <c r="P73" i="85"/>
  <c r="T46" i="75"/>
  <c r="O30" i="75"/>
  <c r="AG77" i="75"/>
  <c r="AG32" i="75"/>
  <c r="AG36" i="75" s="1"/>
  <c r="AF12" i="85" s="1"/>
  <c r="AF44" i="75"/>
  <c r="AF61" i="75"/>
  <c r="AA58" i="75"/>
  <c r="P44" i="75"/>
  <c r="V72" i="75"/>
  <c r="I60" i="75"/>
  <c r="I30" i="75"/>
  <c r="I61" i="75"/>
  <c r="I46" i="75"/>
  <c r="I47" i="75"/>
  <c r="I33" i="75"/>
  <c r="I63" i="75"/>
  <c r="I62" i="75"/>
  <c r="I77" i="75"/>
  <c r="I78" i="75" s="1"/>
  <c r="Z46" i="75"/>
  <c r="Z71" i="75"/>
  <c r="Z43" i="75"/>
  <c r="Z48" i="75"/>
  <c r="Z47" i="75"/>
  <c r="Z60" i="75"/>
  <c r="Z44" i="75"/>
  <c r="Z75" i="75"/>
  <c r="Z72" i="75"/>
  <c r="Z58" i="75"/>
  <c r="Z7" i="85"/>
  <c r="Z32" i="85" s="1"/>
  <c r="Z76" i="75"/>
  <c r="Z33" i="75"/>
  <c r="Z36" i="75" s="1"/>
  <c r="Z62" i="75"/>
  <c r="X50" i="75"/>
  <c r="X40" i="85" s="1"/>
  <c r="J78" i="75"/>
  <c r="AD33" i="85"/>
  <c r="AG44" i="85"/>
  <c r="X78" i="75"/>
  <c r="U28" i="85"/>
  <c r="U60" i="85"/>
  <c r="U34" i="85"/>
  <c r="U49" i="85"/>
  <c r="U22" i="85"/>
  <c r="U16" i="85"/>
  <c r="U59" i="85"/>
  <c r="U45" i="85"/>
  <c r="U37" i="85"/>
  <c r="U51" i="85"/>
  <c r="U23" i="85"/>
  <c r="U65" i="85"/>
  <c r="U42" i="85"/>
  <c r="U18" i="85"/>
  <c r="U61" i="85"/>
  <c r="U20" i="85"/>
  <c r="U78" i="85"/>
  <c r="U35" i="85"/>
  <c r="U48" i="85"/>
  <c r="U47" i="85"/>
  <c r="U21" i="85"/>
  <c r="U73" i="85"/>
  <c r="U33" i="85"/>
  <c r="U32" i="85"/>
  <c r="U56" i="85"/>
  <c r="U74" i="85"/>
  <c r="U46" i="85"/>
  <c r="U70" i="85"/>
  <c r="U50" i="85"/>
  <c r="U44" i="85"/>
  <c r="U76" i="85"/>
  <c r="P30" i="85"/>
  <c r="P59" i="85"/>
  <c r="P56" i="85"/>
  <c r="P28" i="85"/>
  <c r="P76" i="85"/>
  <c r="P42" i="85"/>
  <c r="P74" i="85"/>
  <c r="P49" i="85"/>
  <c r="P46" i="85"/>
  <c r="P78" i="85"/>
  <c r="P31" i="85"/>
  <c r="P19" i="85"/>
  <c r="AF76" i="85"/>
  <c r="AF79" i="85"/>
  <c r="P50" i="85"/>
  <c r="P35" i="85"/>
  <c r="U17" i="85"/>
  <c r="U36" i="85"/>
  <c r="Y44" i="85"/>
  <c r="Y76" i="85"/>
  <c r="Y73" i="85"/>
  <c r="Y37" i="85"/>
  <c r="Y20" i="85"/>
  <c r="Y78" i="85"/>
  <c r="Y74" i="85"/>
  <c r="Y17" i="85"/>
  <c r="Y60" i="85"/>
  <c r="Y33" i="85"/>
  <c r="Y46" i="85"/>
  <c r="Y23" i="85"/>
  <c r="Y58" i="85"/>
  <c r="Y30" i="85"/>
  <c r="Y19" i="85"/>
  <c r="Y75" i="85"/>
  <c r="Y35" i="85"/>
  <c r="Y47" i="85"/>
  <c r="Y18" i="85"/>
  <c r="Y72" i="85"/>
  <c r="Y48" i="85"/>
  <c r="Y45" i="85"/>
  <c r="P77" i="85"/>
  <c r="AC22" i="85"/>
  <c r="AC19" i="85"/>
  <c r="AC60" i="85"/>
  <c r="AC23" i="85"/>
  <c r="AC63" i="85"/>
  <c r="AC51" i="85"/>
  <c r="AC70" i="85"/>
  <c r="AC79" i="85"/>
  <c r="AC28" i="85"/>
  <c r="AC50" i="85"/>
  <c r="AC56" i="85"/>
  <c r="AC75" i="85"/>
  <c r="AC42" i="85"/>
  <c r="AC31" i="85"/>
  <c r="AC44" i="85"/>
  <c r="AC77" i="85"/>
  <c r="AC72" i="85"/>
  <c r="AC76" i="85"/>
  <c r="AC58" i="85"/>
  <c r="AC46" i="85"/>
  <c r="AC18" i="85"/>
  <c r="AC61" i="85"/>
  <c r="J36" i="75"/>
  <c r="Q22" i="85"/>
  <c r="Q46" i="85"/>
  <c r="Q45" i="85"/>
  <c r="Q48" i="85"/>
  <c r="P48" i="85"/>
  <c r="Z64" i="85"/>
  <c r="AG16" i="85"/>
  <c r="U63" i="85"/>
  <c r="I64" i="85"/>
  <c r="I35" i="85"/>
  <c r="Q73" i="85"/>
  <c r="Q63" i="85"/>
  <c r="Y28" i="85"/>
  <c r="AC48" i="85"/>
  <c r="AC59" i="85"/>
  <c r="U75" i="85"/>
  <c r="AF28" i="85"/>
  <c r="I33" i="85"/>
  <c r="Y42" i="85"/>
  <c r="P65" i="85"/>
  <c r="AC64" i="85"/>
  <c r="P23" i="85"/>
  <c r="U79" i="85"/>
  <c r="AF61" i="85"/>
  <c r="I28" i="85"/>
  <c r="I45" i="85"/>
  <c r="I73" i="85"/>
  <c r="I22" i="85"/>
  <c r="I60" i="85"/>
  <c r="I36" i="85"/>
  <c r="I72" i="85"/>
  <c r="I48" i="85"/>
  <c r="I44" i="85"/>
  <c r="I74" i="85"/>
  <c r="I70" i="85"/>
  <c r="I30" i="85"/>
  <c r="I76" i="85"/>
  <c r="I62" i="85"/>
  <c r="I21" i="85"/>
  <c r="J18" i="85"/>
  <c r="J31" i="85"/>
  <c r="J61" i="85"/>
  <c r="J30" i="85"/>
  <c r="J36" i="85"/>
  <c r="J21" i="85"/>
  <c r="J33" i="85"/>
  <c r="J64" i="85"/>
  <c r="J56" i="85"/>
  <c r="J76" i="85"/>
  <c r="J74" i="85"/>
  <c r="J79" i="85"/>
  <c r="J22" i="85"/>
  <c r="J70" i="85"/>
  <c r="J46" i="85"/>
  <c r="J59" i="85"/>
  <c r="J75" i="85"/>
  <c r="J48" i="85"/>
  <c r="J65" i="85"/>
  <c r="J78" i="85"/>
  <c r="J28" i="85"/>
  <c r="W64" i="85"/>
  <c r="W65" i="85"/>
  <c r="W32" i="85"/>
  <c r="W31" i="85"/>
  <c r="W17" i="85"/>
  <c r="W48" i="85"/>
  <c r="W35" i="85"/>
  <c r="W50" i="85"/>
  <c r="W22" i="85"/>
  <c r="W72" i="85"/>
  <c r="W61" i="85"/>
  <c r="W36" i="85"/>
  <c r="W51" i="85"/>
  <c r="R62" i="85"/>
  <c r="R77" i="85"/>
  <c r="R32" i="85"/>
  <c r="R16" i="85"/>
  <c r="R70" i="85"/>
  <c r="N19" i="85"/>
  <c r="N37" i="85"/>
  <c r="N17" i="85"/>
  <c r="U36" i="75"/>
  <c r="J72" i="85"/>
  <c r="W28" i="85"/>
  <c r="R47" i="85"/>
  <c r="X64" i="75"/>
  <c r="R73" i="85"/>
  <c r="W60" i="85"/>
  <c r="S76" i="85"/>
  <c r="S45" i="85"/>
  <c r="S49" i="85"/>
  <c r="S79" i="85"/>
  <c r="S18" i="85"/>
  <c r="I58" i="75"/>
  <c r="I44" i="75"/>
  <c r="O65" i="85" l="1"/>
  <c r="L56" i="85"/>
  <c r="R33" i="85"/>
  <c r="Z17" i="85"/>
  <c r="S30" i="85"/>
  <c r="R75" i="85"/>
  <c r="R28" i="85"/>
  <c r="AG78" i="75"/>
  <c r="Q64" i="75"/>
  <c r="AC64" i="75"/>
  <c r="T36" i="75"/>
  <c r="AE78" i="75"/>
  <c r="N50" i="75"/>
  <c r="N40" i="85" s="1"/>
  <c r="V74" i="85"/>
  <c r="AB61" i="85"/>
  <c r="O79" i="85"/>
  <c r="AB49" i="85"/>
  <c r="AD50" i="75"/>
  <c r="AD40" i="85" s="1"/>
  <c r="R49" i="85"/>
  <c r="Z46" i="85"/>
  <c r="AB72" i="85"/>
  <c r="R19" i="85"/>
  <c r="Z76" i="85"/>
  <c r="Q72" i="85"/>
  <c r="Z70" i="85"/>
  <c r="AD64" i="85"/>
  <c r="L76" i="85"/>
  <c r="S64" i="85"/>
  <c r="Z59" i="85"/>
  <c r="AD51" i="85"/>
  <c r="AA78" i="75"/>
  <c r="S46" i="85"/>
  <c r="N62" i="85"/>
  <c r="R20" i="85"/>
  <c r="R76" i="85"/>
  <c r="Z22" i="85"/>
  <c r="Q49" i="85"/>
  <c r="P60" i="85"/>
  <c r="P58" i="85"/>
  <c r="AD65" i="85"/>
  <c r="T64" i="75"/>
  <c r="V78" i="75"/>
  <c r="S19" i="85"/>
  <c r="S17" i="85"/>
  <c r="R61" i="85"/>
  <c r="Q44" i="85"/>
  <c r="P72" i="85"/>
  <c r="AD22" i="85"/>
  <c r="V50" i="75"/>
  <c r="V40" i="85" s="1"/>
  <c r="V62" i="85"/>
  <c r="AB20" i="85"/>
  <c r="I61" i="85"/>
  <c r="AB44" i="85"/>
  <c r="S50" i="75"/>
  <c r="S40" i="85" s="1"/>
  <c r="R58" i="85"/>
  <c r="R60" i="85"/>
  <c r="R78" i="75"/>
  <c r="AG64" i="75"/>
  <c r="AB16" i="85"/>
  <c r="R31" i="85"/>
  <c r="P33" i="85"/>
  <c r="S60" i="85"/>
  <c r="R23" i="85"/>
  <c r="P18" i="85"/>
  <c r="P70" i="85"/>
  <c r="Q33" i="85"/>
  <c r="L5" i="75"/>
  <c r="L5" i="85" s="1"/>
  <c r="P79" i="85"/>
  <c r="AD30" i="85"/>
  <c r="AA50" i="75"/>
  <c r="AA40" i="85" s="1"/>
  <c r="Y64" i="75"/>
  <c r="V73" i="85"/>
  <c r="Z28" i="85"/>
  <c r="K64" i="75"/>
  <c r="O36" i="75"/>
  <c r="AD62" i="85"/>
  <c r="Z31" i="85"/>
  <c r="J5" i="85"/>
  <c r="Q76" i="85"/>
  <c r="AA64" i="75"/>
  <c r="R44" i="85"/>
  <c r="AB35" i="85"/>
  <c r="S51" i="85"/>
  <c r="S73" i="85"/>
  <c r="S33" i="85"/>
  <c r="R30" i="85"/>
  <c r="Q74" i="85"/>
  <c r="P21" i="85"/>
  <c r="P32" i="85"/>
  <c r="AD70" i="85"/>
  <c r="Q50" i="75"/>
  <c r="Q40" i="85" s="1"/>
  <c r="V19" i="85"/>
  <c r="O44" i="85"/>
  <c r="O77" i="85"/>
  <c r="K36" i="75"/>
  <c r="AB64" i="75"/>
  <c r="L78" i="75"/>
  <c r="O64" i="75"/>
  <c r="Z45" i="85"/>
  <c r="AD48" i="85"/>
  <c r="L37" i="85"/>
  <c r="O64" i="85"/>
  <c r="L60" i="85"/>
  <c r="R56" i="85"/>
  <c r="Q56" i="85"/>
  <c r="P17" i="85"/>
  <c r="R50" i="75"/>
  <c r="R40" i="85" s="1"/>
  <c r="S32" i="85"/>
  <c r="R72" i="85"/>
  <c r="AD49" i="85"/>
  <c r="Z19" i="85"/>
  <c r="P61" i="85"/>
  <c r="AD50" i="85"/>
  <c r="AF64" i="75"/>
  <c r="M50" i="75"/>
  <c r="M40" i="85" s="1"/>
  <c r="O32" i="85"/>
  <c r="V79" i="85"/>
  <c r="V61" i="85"/>
  <c r="O59" i="85"/>
  <c r="AB62" i="85"/>
  <c r="L36" i="75"/>
  <c r="K78" i="75"/>
  <c r="AB36" i="75"/>
  <c r="AA12" i="85" s="1"/>
  <c r="AD36" i="75"/>
  <c r="AC12" i="85" s="1"/>
  <c r="O78" i="75"/>
  <c r="Z50" i="75"/>
  <c r="Z40" i="85" s="1"/>
  <c r="AB32" i="85"/>
  <c r="AF73" i="85"/>
  <c r="AD36" i="85"/>
  <c r="O35" i="85"/>
  <c r="AD21" i="85"/>
  <c r="I64" i="75"/>
  <c r="O47" i="85"/>
  <c r="Z42" i="85"/>
  <c r="AD44" i="85"/>
  <c r="AD72" i="85"/>
  <c r="AF33" i="85"/>
  <c r="AF51" i="85"/>
  <c r="AF30" i="85"/>
  <c r="AG48" i="85"/>
  <c r="AD59" i="85"/>
  <c r="L75" i="85"/>
  <c r="L36" i="85"/>
  <c r="AF23" i="85"/>
  <c r="V70" i="85"/>
  <c r="AB76" i="85"/>
  <c r="AB31" i="85"/>
  <c r="O36" i="85"/>
  <c r="O56" i="85"/>
  <c r="O18" i="85"/>
  <c r="I75" i="85"/>
  <c r="S78" i="85"/>
  <c r="S59" i="85"/>
  <c r="S77" i="85"/>
  <c r="S16" i="85"/>
  <c r="S21" i="85"/>
  <c r="S23" i="85"/>
  <c r="S31" i="85"/>
  <c r="S72" i="85"/>
  <c r="S42" i="85"/>
  <c r="S36" i="85"/>
  <c r="S22" i="85"/>
  <c r="S28" i="85"/>
  <c r="S65" i="85"/>
  <c r="S63" i="85"/>
  <c r="S50" i="85"/>
  <c r="S34" i="85"/>
  <c r="S35" i="85"/>
  <c r="S47" i="85"/>
  <c r="S62" i="85"/>
  <c r="S75" i="85"/>
  <c r="S48" i="85"/>
  <c r="S74" i="85"/>
  <c r="S37" i="85"/>
  <c r="S58" i="85"/>
  <c r="S44" i="85"/>
  <c r="S20" i="85"/>
  <c r="S56" i="85"/>
  <c r="S70" i="85"/>
  <c r="AF49" i="85"/>
  <c r="P50" i="75"/>
  <c r="P40" i="85" s="1"/>
  <c r="O74" i="85"/>
  <c r="AD63" i="85"/>
  <c r="AD77" i="85"/>
  <c r="AD45" i="85"/>
  <c r="AD79" i="85"/>
  <c r="AD60" i="85"/>
  <c r="AD46" i="85"/>
  <c r="AD47" i="85"/>
  <c r="AD19" i="85"/>
  <c r="AD17" i="85"/>
  <c r="AD61" i="85"/>
  <c r="AD37" i="85"/>
  <c r="AD32" i="85"/>
  <c r="AD18" i="85"/>
  <c r="AF64" i="85"/>
  <c r="L79" i="85"/>
  <c r="AB79" i="85"/>
  <c r="AB59" i="85"/>
  <c r="AD78" i="85"/>
  <c r="V36" i="75"/>
  <c r="O37" i="85"/>
  <c r="K45" i="85"/>
  <c r="K49" i="85"/>
  <c r="K20" i="85"/>
  <c r="K62" i="85"/>
  <c r="K79" i="85"/>
  <c r="K70" i="85"/>
  <c r="K23" i="85"/>
  <c r="K61" i="85"/>
  <c r="K73" i="85"/>
  <c r="K46" i="85"/>
  <c r="K21" i="85"/>
  <c r="K34" i="85"/>
  <c r="K74" i="85"/>
  <c r="K18" i="85"/>
  <c r="K78" i="85"/>
  <c r="K65" i="85"/>
  <c r="K30" i="85"/>
  <c r="K77" i="85"/>
  <c r="K63" i="85"/>
  <c r="K36" i="85"/>
  <c r="K37" i="85"/>
  <c r="K16" i="85"/>
  <c r="K32" i="85"/>
  <c r="K22" i="85"/>
  <c r="K17" i="85"/>
  <c r="K31" i="85"/>
  <c r="K19" i="85"/>
  <c r="K42" i="85"/>
  <c r="K50" i="85"/>
  <c r="K56" i="85"/>
  <c r="K72" i="85"/>
  <c r="K58" i="85"/>
  <c r="K47" i="85"/>
  <c r="K28" i="85"/>
  <c r="K76" i="85"/>
  <c r="K51" i="85"/>
  <c r="K75" i="85"/>
  <c r="K48" i="85"/>
  <c r="K33" i="85"/>
  <c r="K44" i="85"/>
  <c r="K35" i="85"/>
  <c r="K60" i="85"/>
  <c r="K64" i="85"/>
  <c r="K59" i="85"/>
  <c r="AG18" i="85"/>
  <c r="AD42" i="85"/>
  <c r="AF63" i="85"/>
  <c r="AG42" i="85"/>
  <c r="AF74" i="85"/>
  <c r="AF62" i="85"/>
  <c r="AF59" i="85"/>
  <c r="AG17" i="85"/>
  <c r="AD28" i="85"/>
  <c r="AD75" i="85"/>
  <c r="T50" i="75"/>
  <c r="T40" i="85" s="1"/>
  <c r="O50" i="75"/>
  <c r="O40" i="85" s="1"/>
  <c r="L22" i="85"/>
  <c r="AB23" i="85"/>
  <c r="AB56" i="85"/>
  <c r="AB70" i="85"/>
  <c r="I58" i="85"/>
  <c r="O34" i="85"/>
  <c r="I17" i="85"/>
  <c r="P44" i="85"/>
  <c r="P47" i="85"/>
  <c r="P16" i="85"/>
  <c r="P62" i="85"/>
  <c r="P20" i="85"/>
  <c r="P22" i="85"/>
  <c r="P36" i="85"/>
  <c r="P37" i="85"/>
  <c r="P51" i="85"/>
  <c r="P64" i="85"/>
  <c r="P45" i="85"/>
  <c r="P34" i="85"/>
  <c r="P63" i="85"/>
  <c r="AF36" i="85"/>
  <c r="AF19" i="85"/>
  <c r="O31" i="85"/>
  <c r="O16" i="85"/>
  <c r="O48" i="85"/>
  <c r="O62" i="85"/>
  <c r="O30" i="85"/>
  <c r="O23" i="85"/>
  <c r="O46" i="85"/>
  <c r="O19" i="85"/>
  <c r="O20" i="85"/>
  <c r="O17" i="85"/>
  <c r="O58" i="85"/>
  <c r="AF60" i="85"/>
  <c r="AF75" i="85"/>
  <c r="AF72" i="85"/>
  <c r="O72" i="85"/>
  <c r="AF50" i="75"/>
  <c r="AF40" i="85" s="1"/>
  <c r="AB21" i="85"/>
  <c r="Z21" i="85"/>
  <c r="AD16" i="85"/>
  <c r="O22" i="85"/>
  <c r="AB51" i="85"/>
  <c r="O50" i="85"/>
  <c r="AD35" i="85"/>
  <c r="AA76" i="85"/>
  <c r="AA36" i="85"/>
  <c r="AA79" i="85"/>
  <c r="AA31" i="85"/>
  <c r="AA61" i="85"/>
  <c r="AA51" i="85"/>
  <c r="AA74" i="85"/>
  <c r="AA50" i="85"/>
  <c r="AA28" i="85"/>
  <c r="AA45" i="85"/>
  <c r="AA18" i="85"/>
  <c r="AA72" i="85"/>
  <c r="AA48" i="85"/>
  <c r="AA21" i="85"/>
  <c r="AA33" i="85"/>
  <c r="AA19" i="85"/>
  <c r="AA65" i="85"/>
  <c r="AA17" i="85"/>
  <c r="AA63" i="85"/>
  <c r="AA75" i="85"/>
  <c r="AA47" i="85"/>
  <c r="AA78" i="85"/>
  <c r="AA42" i="85"/>
  <c r="AA77" i="85"/>
  <c r="AA58" i="85"/>
  <c r="AA37" i="85"/>
  <c r="AA20" i="85"/>
  <c r="AA32" i="85"/>
  <c r="AA62" i="85"/>
  <c r="AA34" i="85"/>
  <c r="AA35" i="85"/>
  <c r="AA56" i="85"/>
  <c r="AA23" i="85"/>
  <c r="AF48" i="85"/>
  <c r="AF65" i="85"/>
  <c r="AF35" i="85"/>
  <c r="AF18" i="85"/>
  <c r="AB33" i="85"/>
  <c r="AB34" i="85"/>
  <c r="AB65" i="85"/>
  <c r="AB58" i="85"/>
  <c r="AB28" i="85"/>
  <c r="AB45" i="85"/>
  <c r="AB78" i="85"/>
  <c r="AB75" i="85"/>
  <c r="AB46" i="85"/>
  <c r="AB37" i="85"/>
  <c r="AB64" i="85"/>
  <c r="AB74" i="85"/>
  <c r="AD64" i="75"/>
  <c r="AF34" i="85"/>
  <c r="AB18" i="85"/>
  <c r="AB47" i="85"/>
  <c r="O61" i="85"/>
  <c r="L78" i="85"/>
  <c r="L34" i="85"/>
  <c r="L77" i="85"/>
  <c r="L47" i="85"/>
  <c r="L48" i="85"/>
  <c r="L19" i="85"/>
  <c r="L16" i="85"/>
  <c r="L23" i="85"/>
  <c r="L64" i="85"/>
  <c r="L49" i="85"/>
  <c r="L58" i="85"/>
  <c r="L17" i="85"/>
  <c r="L45" i="85"/>
  <c r="L72" i="85"/>
  <c r="L31" i="85"/>
  <c r="L50" i="85"/>
  <c r="L65" i="85"/>
  <c r="L74" i="85"/>
  <c r="L73" i="85"/>
  <c r="L62" i="85"/>
  <c r="L51" i="85"/>
  <c r="L59" i="85"/>
  <c r="L21" i="85"/>
  <c r="L46" i="85"/>
  <c r="L35" i="85"/>
  <c r="L30" i="85"/>
  <c r="AD73" i="85"/>
  <c r="AF78" i="75"/>
  <c r="R36" i="75"/>
  <c r="P64" i="75"/>
  <c r="AB73" i="85"/>
  <c r="AD58" i="85"/>
  <c r="AG51" i="85"/>
  <c r="AF77" i="85"/>
  <c r="AG65" i="85"/>
  <c r="L28" i="85"/>
  <c r="O21" i="85"/>
  <c r="AB50" i="85"/>
  <c r="Z20" i="85"/>
  <c r="AF31" i="85"/>
  <c r="AG56" i="85"/>
  <c r="AD74" i="85"/>
  <c r="L63" i="85"/>
  <c r="L44" i="85"/>
  <c r="O51" i="85"/>
  <c r="AB19" i="85"/>
  <c r="O76" i="85"/>
  <c r="O73" i="85"/>
  <c r="V17" i="85"/>
  <c r="V78" i="85"/>
  <c r="V36" i="85"/>
  <c r="V72" i="85"/>
  <c r="V65" i="85"/>
  <c r="V64" i="85"/>
  <c r="V48" i="85"/>
  <c r="V63" i="85"/>
  <c r="V42" i="85"/>
  <c r="V45" i="85"/>
  <c r="V31" i="85"/>
  <c r="V56" i="85"/>
  <c r="V30" i="85"/>
  <c r="V49" i="85"/>
  <c r="V22" i="85"/>
  <c r="V23" i="85"/>
  <c r="V50" i="85"/>
  <c r="V47" i="85"/>
  <c r="V20" i="85"/>
  <c r="V37" i="85"/>
  <c r="V16" i="85"/>
  <c r="V35" i="85"/>
  <c r="V28" i="85"/>
  <c r="V76" i="85"/>
  <c r="Z62" i="85"/>
  <c r="AF78" i="85"/>
  <c r="AF21" i="85"/>
  <c r="AG73" i="85"/>
  <c r="Z47" i="85"/>
  <c r="V64" i="75"/>
  <c r="L42" i="85"/>
  <c r="Q78" i="75"/>
  <c r="AE36" i="75"/>
  <c r="AD12" i="85" s="1"/>
  <c r="AB63" i="85"/>
  <c r="V44" i="85"/>
  <c r="AB60" i="85"/>
  <c r="AB30" i="85"/>
  <c r="O75" i="85"/>
  <c r="O60" i="85"/>
  <c r="I20" i="85"/>
  <c r="I23" i="85"/>
  <c r="AD20" i="85"/>
  <c r="AF37" i="85"/>
  <c r="AF50" i="85"/>
  <c r="AF46" i="85"/>
  <c r="AF44" i="85"/>
  <c r="AD56" i="85"/>
  <c r="Z48" i="85"/>
  <c r="AF42" i="85"/>
  <c r="L33" i="85"/>
  <c r="L61" i="85"/>
  <c r="V46" i="85"/>
  <c r="V59" i="85"/>
  <c r="I56" i="85"/>
  <c r="AB77" i="85"/>
  <c r="AB22" i="85"/>
  <c r="O42" i="85"/>
  <c r="O33" i="85"/>
  <c r="I18" i="85"/>
  <c r="I50" i="85"/>
  <c r="AF70" i="85"/>
  <c r="AB36" i="85"/>
  <c r="AD23" i="85"/>
  <c r="AD34" i="85"/>
  <c r="AF16" i="85"/>
  <c r="AF47" i="85"/>
  <c r="AF20" i="85"/>
  <c r="O28" i="85"/>
  <c r="AF56" i="85"/>
  <c r="AF45" i="85"/>
  <c r="AF32" i="85"/>
  <c r="AF58" i="85"/>
  <c r="AF22" i="85"/>
  <c r="AD31" i="85"/>
  <c r="Z50" i="85"/>
  <c r="L32" i="85"/>
  <c r="L20" i="85"/>
  <c r="T78" i="75"/>
  <c r="N64" i="75"/>
  <c r="V60" i="85"/>
  <c r="V34" i="85"/>
  <c r="AB17" i="85"/>
  <c r="AB48" i="85"/>
  <c r="O45" i="85"/>
  <c r="O78" i="85"/>
  <c r="I51" i="85"/>
  <c r="AD78" i="75"/>
  <c r="M45" i="85"/>
  <c r="M63" i="85"/>
  <c r="M32" i="85"/>
  <c r="M35" i="85"/>
  <c r="M46" i="85"/>
  <c r="M44" i="85"/>
  <c r="M28" i="85"/>
  <c r="M50" i="85"/>
  <c r="M77" i="85"/>
  <c r="M70" i="85"/>
  <c r="M58" i="85"/>
  <c r="M42" i="85"/>
  <c r="M48" i="85"/>
  <c r="M51" i="85"/>
  <c r="M79" i="85"/>
  <c r="M64" i="85"/>
  <c r="M75" i="85"/>
  <c r="M74" i="85"/>
  <c r="M20" i="85"/>
  <c r="M62" i="85"/>
  <c r="M36" i="85"/>
  <c r="M22" i="85"/>
  <c r="M21" i="85"/>
  <c r="M72" i="85"/>
  <c r="M18" i="85"/>
  <c r="M76" i="85"/>
  <c r="M56" i="85"/>
  <c r="M31" i="85"/>
  <c r="M59" i="85"/>
  <c r="M61" i="85"/>
  <c r="M78" i="85"/>
  <c r="M30" i="85"/>
  <c r="M33" i="85"/>
  <c r="M65" i="85"/>
  <c r="M19" i="85"/>
  <c r="M60" i="85"/>
  <c r="M17" i="85"/>
  <c r="M34" i="85"/>
  <c r="M47" i="85"/>
  <c r="M23" i="85"/>
  <c r="M73" i="85"/>
  <c r="M16" i="85"/>
  <c r="M37" i="85"/>
  <c r="M49" i="85"/>
  <c r="AG64" i="85"/>
  <c r="AG60" i="85"/>
  <c r="AG76" i="85"/>
  <c r="AG33" i="85"/>
  <c r="AG58" i="85"/>
  <c r="Z49" i="85"/>
  <c r="Z78" i="75"/>
  <c r="AC78" i="75"/>
  <c r="AF36" i="75"/>
  <c r="AE12" i="85" s="1"/>
  <c r="AE35" i="85"/>
  <c r="AE42" i="85"/>
  <c r="AE65" i="85"/>
  <c r="AE32" i="85"/>
  <c r="AE44" i="85"/>
  <c r="AE36" i="85"/>
  <c r="AE56" i="85"/>
  <c r="AE64" i="85"/>
  <c r="AE70" i="85"/>
  <c r="AE28" i="85"/>
  <c r="AE72" i="85"/>
  <c r="AE75" i="85"/>
  <c r="AE33" i="85"/>
  <c r="AE19" i="85"/>
  <c r="AE58" i="85"/>
  <c r="AE60" i="85"/>
  <c r="AE59" i="85"/>
  <c r="AE34" i="85"/>
  <c r="AE22" i="85"/>
  <c r="AE79" i="85"/>
  <c r="AE73" i="85"/>
  <c r="AE50" i="85"/>
  <c r="AE49" i="85"/>
  <c r="AE16" i="85"/>
  <c r="AE51" i="85"/>
  <c r="AE74" i="85"/>
  <c r="AE77" i="85"/>
  <c r="AE46" i="85"/>
  <c r="AE31" i="85"/>
  <c r="AE62" i="85"/>
  <c r="AE78" i="85"/>
  <c r="AE76" i="85"/>
  <c r="AE37" i="85"/>
  <c r="AE63" i="85"/>
  <c r="AE23" i="85"/>
  <c r="AE21" i="85"/>
  <c r="AE30" i="85"/>
  <c r="AE18" i="85"/>
  <c r="AE48" i="85"/>
  <c r="AE20" i="85"/>
  <c r="AE17" i="85"/>
  <c r="AE61" i="85"/>
  <c r="AE45" i="85"/>
  <c r="AE47" i="85"/>
  <c r="N45" i="85"/>
  <c r="N23" i="85"/>
  <c r="N76" i="85"/>
  <c r="N65" i="85"/>
  <c r="N47" i="85"/>
  <c r="N22" i="85"/>
  <c r="N21" i="85"/>
  <c r="N33" i="85"/>
  <c r="N48" i="85"/>
  <c r="N70" i="85"/>
  <c r="N32" i="85"/>
  <c r="N77" i="85"/>
  <c r="N75" i="85"/>
  <c r="N63" i="85"/>
  <c r="N50" i="85"/>
  <c r="N20" i="85"/>
  <c r="N61" i="85"/>
  <c r="N78" i="85"/>
  <c r="N58" i="85"/>
  <c r="N74" i="85"/>
  <c r="N31" i="85"/>
  <c r="N72" i="85"/>
  <c r="N35" i="85"/>
  <c r="N56" i="85"/>
  <c r="N49" i="85"/>
  <c r="N64" i="85"/>
  <c r="N79" i="85"/>
  <c r="N59" i="85"/>
  <c r="N18" i="85"/>
  <c r="N42" i="85"/>
  <c r="N73" i="85"/>
  <c r="N30" i="85"/>
  <c r="AG50" i="85"/>
  <c r="Z23" i="85"/>
  <c r="N46" i="85"/>
  <c r="AG59" i="85"/>
  <c r="AG63" i="85"/>
  <c r="AG22" i="85"/>
  <c r="N34" i="85"/>
  <c r="AG23" i="85"/>
  <c r="Z30" i="85"/>
  <c r="AG72" i="85"/>
  <c r="AG74" i="85"/>
  <c r="I50" i="75"/>
  <c r="I40" i="85" s="1"/>
  <c r="N78" i="75"/>
  <c r="N44" i="85"/>
  <c r="AG35" i="85"/>
  <c r="Z79" i="85"/>
  <c r="Z77" i="85"/>
  <c r="Z37" i="85"/>
  <c r="Z35" i="85"/>
  <c r="Z16" i="85"/>
  <c r="Z75" i="85"/>
  <c r="Z72" i="85"/>
  <c r="Z36" i="85"/>
  <c r="Z18" i="85"/>
  <c r="Z63" i="85"/>
  <c r="Z65" i="85"/>
  <c r="Z60" i="85"/>
  <c r="Z61" i="85"/>
  <c r="Z74" i="85"/>
  <c r="AG32" i="85"/>
  <c r="N16" i="85"/>
  <c r="AG62" i="85"/>
  <c r="AG61" i="85"/>
  <c r="AG20" i="85"/>
  <c r="Z78" i="85"/>
  <c r="Z51" i="85"/>
  <c r="Z64" i="75"/>
  <c r="R63" i="85"/>
  <c r="R34" i="85"/>
  <c r="R18" i="85"/>
  <c r="R64" i="85"/>
  <c r="R21" i="85"/>
  <c r="R65" i="85"/>
  <c r="R17" i="85"/>
  <c r="R46" i="85"/>
  <c r="R59" i="85"/>
  <c r="R79" i="85"/>
  <c r="R51" i="85"/>
  <c r="R45" i="85"/>
  <c r="R48" i="85"/>
  <c r="R22" i="85"/>
  <c r="R74" i="85"/>
  <c r="R42" i="85"/>
  <c r="R36" i="85"/>
  <c r="R50" i="85"/>
  <c r="R37" i="85"/>
  <c r="R35" i="85"/>
  <c r="Y36" i="75"/>
  <c r="T42" i="85"/>
  <c r="T17" i="85"/>
  <c r="T28" i="85"/>
  <c r="T33" i="85"/>
  <c r="T44" i="85"/>
  <c r="T18" i="85"/>
  <c r="T77" i="85"/>
  <c r="T59" i="85"/>
  <c r="T23" i="85"/>
  <c r="T79" i="85"/>
  <c r="T62" i="85"/>
  <c r="T16" i="85"/>
  <c r="T78" i="85"/>
  <c r="T37" i="85"/>
  <c r="T50" i="85"/>
  <c r="T19" i="85"/>
  <c r="T58" i="85"/>
  <c r="T35" i="85"/>
  <c r="T21" i="85"/>
  <c r="T34" i="85"/>
  <c r="T20" i="85"/>
  <c r="T32" i="85"/>
  <c r="T70" i="85"/>
  <c r="T61" i="85"/>
  <c r="T46" i="85"/>
  <c r="T76" i="85"/>
  <c r="T36" i="85"/>
  <c r="T73" i="85"/>
  <c r="T64" i="85"/>
  <c r="T51" i="85"/>
  <c r="T60" i="85"/>
  <c r="T31" i="85"/>
  <c r="T45" i="85"/>
  <c r="T63" i="85"/>
  <c r="T65" i="85"/>
  <c r="T22" i="85"/>
  <c r="T75" i="85"/>
  <c r="T48" i="85"/>
  <c r="T74" i="85"/>
  <c r="T47" i="85"/>
  <c r="T56" i="85"/>
  <c r="T49" i="85"/>
  <c r="T72" i="85"/>
  <c r="T30" i="85"/>
  <c r="Z73" i="85"/>
  <c r="AG45" i="85"/>
  <c r="Z58" i="85"/>
  <c r="AG34" i="85"/>
  <c r="N60" i="85"/>
  <c r="AG46" i="85"/>
  <c r="Z56" i="85"/>
  <c r="Z33" i="85"/>
  <c r="Q50" i="85"/>
  <c r="Q60" i="85"/>
  <c r="Q37" i="85"/>
  <c r="Q19" i="85"/>
  <c r="Q78" i="85"/>
  <c r="Q20" i="85"/>
  <c r="Q75" i="85"/>
  <c r="Q51" i="85"/>
  <c r="Q18" i="85"/>
  <c r="Q30" i="85"/>
  <c r="Q64" i="85"/>
  <c r="Q77" i="85"/>
  <c r="Q23" i="85"/>
  <c r="Q36" i="85"/>
  <c r="Q17" i="85"/>
  <c r="Q34" i="85"/>
  <c r="Q65" i="85"/>
  <c r="Q42" i="85"/>
  <c r="Q59" i="85"/>
  <c r="Q79" i="85"/>
  <c r="Q58" i="85"/>
  <c r="Q47" i="85"/>
  <c r="Q62" i="85"/>
  <c r="Q28" i="85"/>
  <c r="Q70" i="85"/>
  <c r="Q32" i="85"/>
  <c r="Q35" i="85"/>
  <c r="Q21" i="85"/>
  <c r="Q31" i="85"/>
  <c r="Q61" i="85"/>
  <c r="P36" i="75"/>
  <c r="AG70" i="85"/>
  <c r="AG31" i="85"/>
  <c r="AG21" i="85"/>
  <c r="AG47" i="85"/>
  <c r="AG49" i="85"/>
  <c r="AG77" i="85"/>
  <c r="AG79" i="85"/>
  <c r="AG36" i="85"/>
  <c r="AG30" i="85"/>
  <c r="AG78" i="85"/>
  <c r="AG75" i="85"/>
  <c r="AE64" i="75"/>
  <c r="AG37" i="85"/>
  <c r="N28" i="85"/>
  <c r="N36" i="85"/>
  <c r="AG19" i="85"/>
  <c r="Z34" i="85"/>
  <c r="Z44" i="85"/>
  <c r="M5" i="75" l="1"/>
  <c r="M5" i="85"/>
  <c r="N5" i="75"/>
  <c r="N5" i="85" l="1"/>
  <c r="O5" i="75"/>
  <c r="O5" i="85" l="1"/>
  <c r="P5" i="75"/>
  <c r="P5" i="85" l="1"/>
  <c r="Q5" i="75"/>
  <c r="Q5" i="85" l="1"/>
  <c r="R5" i="75"/>
  <c r="R5" i="85" l="1"/>
  <c r="S5" i="75"/>
  <c r="T5" i="75" l="1"/>
  <c r="S5" i="85"/>
  <c r="U5" i="75" l="1"/>
  <c r="T5" i="85"/>
  <c r="V5" i="75" l="1"/>
  <c r="U5" i="85"/>
  <c r="W5" i="75" l="1"/>
  <c r="V5" i="85"/>
  <c r="W5" i="85" l="1"/>
  <c r="X5" i="75"/>
  <c r="X5" i="85" l="1"/>
  <c r="Y5" i="75"/>
  <c r="Y5" i="85" l="1"/>
  <c r="Z5" i="75"/>
  <c r="Z5" i="85" l="1"/>
  <c r="AA5" i="75"/>
  <c r="AA5" i="85" l="1"/>
  <c r="AB5" i="75"/>
  <c r="AC5" i="75" l="1"/>
  <c r="AB5" i="85"/>
  <c r="AC5" i="85" l="1"/>
  <c r="AD5" i="75"/>
  <c r="AD5" i="85" l="1"/>
  <c r="AE5" i="75"/>
  <c r="AF5" i="75" l="1"/>
  <c r="AE5" i="85"/>
  <c r="AG5" i="75" l="1"/>
  <c r="AF5" i="85"/>
  <c r="E22" i="90" l="1" a="1"/>
  <c r="E22" i="90" s="1"/>
  <c r="E21" i="90" a="1"/>
  <c r="E21" i="90" s="1"/>
  <c r="E23" i="90" a="1"/>
  <c r="E23" i="90" s="1"/>
  <c r="E20" i="90" a="1"/>
  <c r="E20" i="90" s="1"/>
  <c r="E8" i="90" a="1"/>
  <c r="E8" i="90" s="1"/>
  <c r="E19" i="90" a="1"/>
  <c r="E19" i="90" s="1"/>
  <c r="E24" i="90" a="1"/>
  <c r="E24" i="90" s="1"/>
  <c r="E13" i="90" a="1"/>
  <c r="E13" i="90" s="1"/>
  <c r="E26" i="90" s="1"/>
  <c r="E27" i="90" s="1"/>
  <c r="AG5" i="85"/>
  <c r="F32" i="75" a="1"/>
  <c r="F32" i="75" s="1"/>
  <c r="F65" i="75" a="1"/>
  <c r="F65" i="75" s="1"/>
  <c r="I12" i="33" s="1"/>
  <c r="F79" i="75" a="1"/>
  <c r="F79" i="75" s="1"/>
  <c r="F48" i="75"/>
  <c r="F21" i="75"/>
  <c r="F29" i="75" a="1"/>
  <c r="F29" i="75" s="1"/>
  <c r="F60" i="75"/>
  <c r="F57" i="75"/>
  <c r="F28" i="75"/>
  <c r="F71" i="75"/>
  <c r="F76" i="75"/>
  <c r="F37" i="75" a="1"/>
  <c r="F37" i="75" s="1"/>
  <c r="I10" i="33" s="1"/>
  <c r="F15" i="75"/>
  <c r="F77" i="75"/>
  <c r="F63" i="75"/>
  <c r="F23" i="75" a="1"/>
  <c r="F23" i="75" s="1"/>
  <c r="I9" i="33" s="1"/>
  <c r="F30" i="75" a="1"/>
  <c r="F30" i="75" s="1"/>
  <c r="F47" i="75"/>
  <c r="F58" i="75"/>
  <c r="E10" i="90" a="1"/>
  <c r="E10" i="90" s="1"/>
  <c r="F72" i="75"/>
  <c r="F51" i="75" a="1"/>
  <c r="F51" i="75" s="1"/>
  <c r="I11" i="33" s="1"/>
  <c r="F19" i="75"/>
  <c r="F20" i="75"/>
  <c r="F25" i="75" s="1"/>
  <c r="H9" i="33" s="1"/>
  <c r="E11" i="90" a="1"/>
  <c r="E11" i="90" s="1"/>
  <c r="F46" i="75"/>
  <c r="F52" i="75" s="1"/>
  <c r="G11" i="33" s="1"/>
  <c r="F75" i="75" a="1"/>
  <c r="F75" i="75" s="1"/>
  <c r="F43" i="75"/>
  <c r="F16" i="75" a="1"/>
  <c r="F16" i="75" s="1"/>
  <c r="F18" i="75"/>
  <c r="F61" i="75"/>
  <c r="F33" i="75" a="1"/>
  <c r="F33" i="75" s="1"/>
  <c r="F14" i="75"/>
  <c r="F62" i="75"/>
  <c r="E9" i="90" a="1"/>
  <c r="E9" i="90" s="1"/>
  <c r="F70" i="75"/>
  <c r="F34" i="75" a="1"/>
  <c r="F34" i="75" s="1"/>
  <c r="E29" i="90" a="1"/>
  <c r="E29" i="90" s="1"/>
  <c r="E30" i="90" s="1"/>
  <c r="F56" i="75"/>
  <c r="F74" i="75" a="1"/>
  <c r="F74" i="75" s="1"/>
  <c r="F35" i="75" a="1"/>
  <c r="F35" i="75" s="1"/>
  <c r="F44" i="75"/>
  <c r="F42" i="75"/>
  <c r="E12" i="90" a="1"/>
  <c r="E12" i="90" s="1"/>
  <c r="F49" i="75"/>
  <c r="E31" i="90" l="1"/>
  <c r="F67" i="75"/>
  <c r="H12" i="33" s="1"/>
  <c r="F24" i="75"/>
  <c r="G9" i="33" s="1"/>
  <c r="F80" i="75"/>
  <c r="G18" i="33"/>
  <c r="F53" i="75"/>
  <c r="H11" i="33" s="1"/>
  <c r="F66" i="75"/>
  <c r="G12" i="33" s="1"/>
  <c r="C18" i="33"/>
  <c r="D18" i="33"/>
  <c r="C16" i="90" s="1"/>
  <c r="F39" i="75"/>
  <c r="H10" i="33" s="1"/>
  <c r="F81" i="75"/>
  <c r="F38" i="75"/>
  <c r="G10" i="33" s="1"/>
  <c r="F64" i="85"/>
  <c r="F78" i="85"/>
  <c r="F45" i="85"/>
  <c r="E92" i="85" s="1"/>
  <c r="H69" i="33" s="1"/>
  <c r="F65" i="85"/>
  <c r="F63" i="85"/>
  <c r="F60" i="85"/>
  <c r="F93" i="85" s="1"/>
  <c r="I70" i="33" s="1"/>
  <c r="F76" i="85"/>
  <c r="F42" i="85"/>
  <c r="E90" i="85" s="1"/>
  <c r="H67" i="33" s="1"/>
  <c r="F70" i="85"/>
  <c r="F59" i="85"/>
  <c r="F92" i="85" s="1"/>
  <c r="I69" i="33" s="1"/>
  <c r="F46" i="85"/>
  <c r="E93" i="85" s="1"/>
  <c r="H70" i="33" s="1"/>
  <c r="F75" i="85"/>
  <c r="F47" i="85"/>
  <c r="E94" i="85" s="1"/>
  <c r="H71" i="33" s="1"/>
  <c r="F51" i="85"/>
  <c r="F56" i="85"/>
  <c r="F90" i="85" s="1"/>
  <c r="I67" i="33" s="1"/>
  <c r="F14" i="85"/>
  <c r="C90" i="85" s="1"/>
  <c r="F32" i="85"/>
  <c r="D93" i="85" s="1"/>
  <c r="G70" i="33" s="1"/>
  <c r="F50" i="85"/>
  <c r="F61" i="85"/>
  <c r="F94" i="85" s="1"/>
  <c r="I71" i="33" s="1"/>
  <c r="F16" i="85"/>
  <c r="C91" i="85" s="1"/>
  <c r="F77" i="85"/>
  <c r="F30" i="85"/>
  <c r="D91" i="85" s="1"/>
  <c r="G68" i="33" s="1"/>
  <c r="F19" i="85"/>
  <c r="C94" i="85" s="1"/>
  <c r="F17" i="85"/>
  <c r="C92" i="85" s="1"/>
  <c r="F20" i="85"/>
  <c r="C95" i="85" s="1"/>
  <c r="F22" i="85"/>
  <c r="F21" i="85"/>
  <c r="F58" i="85"/>
  <c r="F91" i="85" s="1"/>
  <c r="I68" i="33" s="1"/>
  <c r="F73" i="85"/>
  <c r="F35" i="85"/>
  <c r="F33" i="85"/>
  <c r="D94" i="85" s="1"/>
  <c r="G71" i="33" s="1"/>
  <c r="F74" i="85"/>
  <c r="F79" i="85"/>
  <c r="F34" i="85"/>
  <c r="D95" i="85" s="1"/>
  <c r="G72" i="33" s="1"/>
  <c r="F44" i="85"/>
  <c r="E91" i="85" s="1"/>
  <c r="H68" i="33" s="1"/>
  <c r="F36" i="85"/>
  <c r="F18" i="85"/>
  <c r="C93" i="85" s="1"/>
  <c r="F72" i="85"/>
  <c r="F31" i="85"/>
  <c r="D92" i="85" s="1"/>
  <c r="G69" i="33" s="1"/>
  <c r="F62" i="85"/>
  <c r="F95" i="85" s="1"/>
  <c r="I72" i="33" s="1"/>
  <c r="F48" i="85"/>
  <c r="E95" i="85" s="1"/>
  <c r="H72" i="33" s="1"/>
  <c r="F28" i="85"/>
  <c r="D90" i="85" s="1"/>
  <c r="G67" i="33" s="1"/>
  <c r="F49" i="85"/>
  <c r="F37" i="85"/>
  <c r="F23" i="85"/>
  <c r="I95" i="85" l="1"/>
  <c r="K95" i="85" s="1"/>
  <c r="L72" i="33" s="1"/>
  <c r="F72" i="33"/>
  <c r="F68" i="33"/>
  <c r="I91" i="85"/>
  <c r="K91" i="85" s="1"/>
  <c r="L68" i="33" s="1"/>
  <c r="I93" i="85"/>
  <c r="K93" i="85" s="1"/>
  <c r="L70" i="33" s="1"/>
  <c r="F70" i="33"/>
  <c r="I90" i="85"/>
  <c r="K90" i="85" s="1"/>
  <c r="L67" i="33" s="1"/>
  <c r="F67" i="33"/>
  <c r="I92" i="85"/>
  <c r="K92" i="85" s="1"/>
  <c r="L69" i="33" s="1"/>
  <c r="F69" i="33"/>
  <c r="I94" i="85"/>
  <c r="K94" i="85" s="1"/>
  <c r="L71" i="33" s="1"/>
  <c r="F71" i="33"/>
  <c r="C26" i="33"/>
  <c r="B16" i="90"/>
  <c r="H30" i="33" l="1"/>
  <c r="F30" i="33"/>
  <c r="J31" i="33"/>
  <c r="I30" i="33"/>
  <c r="G31" i="33"/>
  <c r="J30" i="33"/>
  <c r="G30" i="33"/>
  <c r="A91" i="75"/>
  <c r="H31" i="33"/>
  <c r="I31" i="33"/>
  <c r="F31" i="33"/>
  <c r="L30" i="33" l="1"/>
  <c r="L31" i="33"/>
  <c r="AF91" i="75" a="1"/>
  <c r="AF91" i="75" s="1"/>
  <c r="Q91" i="75" a="1"/>
  <c r="Q91" i="75" s="1"/>
  <c r="AD91" i="75" a="1"/>
  <c r="AD91" i="75" s="1"/>
  <c r="T91" i="75" a="1"/>
  <c r="T91" i="75" s="1"/>
  <c r="W91" i="75" a="1"/>
  <c r="W91" i="75" s="1"/>
  <c r="O91" i="75" a="1"/>
  <c r="O91" i="75" s="1"/>
  <c r="H91" i="75"/>
  <c r="L91" i="75" a="1"/>
  <c r="L91" i="75" s="1"/>
  <c r="M91" i="75" a="1"/>
  <c r="M91" i="75" s="1"/>
  <c r="AC91" i="75" a="1"/>
  <c r="AC91" i="75" s="1"/>
  <c r="I91" i="75" a="1"/>
  <c r="I91" i="75" s="1"/>
  <c r="AG91" i="75" a="1"/>
  <c r="AG91" i="75" s="1"/>
  <c r="U91" i="75" a="1"/>
  <c r="U91" i="75" s="1"/>
  <c r="Y91" i="75" a="1"/>
  <c r="Y91" i="75" s="1"/>
  <c r="K91" i="75" a="1"/>
  <c r="K91" i="75" s="1"/>
  <c r="N91" i="75" a="1"/>
  <c r="N91" i="75" s="1"/>
  <c r="Z91" i="75" a="1"/>
  <c r="Z91" i="75" s="1"/>
  <c r="AE91" i="75" a="1"/>
  <c r="AE91" i="75" s="1"/>
  <c r="AB91" i="75" a="1"/>
  <c r="AB91" i="75" s="1"/>
  <c r="S91" i="75" a="1"/>
  <c r="S91" i="75" s="1"/>
  <c r="J91" i="75" a="1"/>
  <c r="J91" i="75" s="1"/>
  <c r="V91" i="75" a="1"/>
  <c r="V91" i="75" s="1"/>
  <c r="P91" i="75" a="1"/>
  <c r="P91" i="75" s="1"/>
  <c r="AA91" i="75" a="1"/>
  <c r="AA91" i="75" s="1"/>
  <c r="X91" i="75" a="1"/>
  <c r="X91" i="75" s="1"/>
  <c r="R91" i="75" a="1"/>
  <c r="R91" i="7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<sst xmlns="http://schemas.openxmlformats.org/spreadsheetml/2006/main" count="1280" uniqueCount="363">
  <si>
    <t>Powercor</t>
  </si>
  <si>
    <t>CHA transformer</t>
  </si>
  <si>
    <t>Model number:</t>
  </si>
  <si>
    <t>Counterfactual</t>
  </si>
  <si>
    <t>PV</t>
  </si>
  <si>
    <t>source</t>
  </si>
  <si>
    <t>Risks ($2023)</t>
  </si>
  <si>
    <t>Listed as [business acronym, model number, sheet name]</t>
  </si>
  <si>
    <t>Energy at risk</t>
  </si>
  <si>
    <t>Total risk cost ($2026)</t>
  </si>
  <si>
    <t>Sum of risk costs, applied at the discount rate for the analysis period FY27-FY46.</t>
  </si>
  <si>
    <t>Preferred Option</t>
  </si>
  <si>
    <t>Benefits ($2026)</t>
  </si>
  <si>
    <t>Risk cost mitigated</t>
  </si>
  <si>
    <t>Total risk cost ($2026) Option 1 - Total risk cost ($2026) of the preferred option.</t>
  </si>
  <si>
    <t>Total benefits ($2026)</t>
  </si>
  <si>
    <t>PV benefits</t>
  </si>
  <si>
    <t>Annualised Costs (capex) ($2023)</t>
  </si>
  <si>
    <t>Annualised capex to replace one transformer, applied at the discount rate for the analysis period FY27-FY46.</t>
  </si>
  <si>
    <t>Subotal capex ($2026)</t>
  </si>
  <si>
    <t>PV costs</t>
  </si>
  <si>
    <t>Net benefit ($2026)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</si>
  <si>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</si>
  <si>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</si>
  <si>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</si>
  <si>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</si>
  <si>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</si>
  <si>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</si>
  <si>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</si>
  <si>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</si>
  <si>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</si>
  <si>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</si>
  <si>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</si>
  <si>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</si>
  <si>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</si>
  <si>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</si>
  <si>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Value of expected unserved energy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</si>
  <si>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</si>
  <si>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</si>
  <si>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</si>
  <si>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</si>
  <si>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</si>
  <si>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</si>
  <si>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>CHA transformer replacement</t>
  </si>
  <si>
    <t xml:space="preserve">Date of cost inputs: </t>
  </si>
  <si>
    <t>December</t>
  </si>
  <si>
    <t>Description</t>
  </si>
  <si>
    <t>No change to existing practices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</si>
  <si>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</si>
  <si>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</si>
  <si>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</si>
  <si>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</si>
  <si>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</si>
  <si>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</si>
  <si>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</si>
  <si>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</si>
  <si>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</si>
  <si>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</si>
  <si>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</si>
  <si>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</si>
  <si>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</si>
  <si>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</si>
  <si>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</si>
  <si>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</si>
  <si>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</si>
  <si>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</si>
  <si>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</si>
  <si>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</si>
  <si>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</si>
  <si>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</si>
  <si>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CHA</t>
  </si>
  <si>
    <t>Cohuna</t>
  </si>
  <si>
    <t>2024 VCR ($/MWh)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</si>
  <si>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</si>
  <si>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</si>
  <si>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</si>
  <si>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</si>
  <si>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</si>
  <si>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</si>
  <si>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</si>
  <si>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</si>
  <si>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</si>
  <si>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</si>
  <si>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</si>
  <si>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</si>
  <si>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</si>
  <si>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</si>
  <si>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</si>
  <si>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</si>
  <si>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</si>
  <si>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</si>
  <si>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</si>
  <si>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</si>
  <si>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</si>
  <si>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</si>
  <si>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</si>
  <si>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</si>
  <si>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</si>
  <si>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</si>
  <si>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</si>
  <si>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</si>
  <si>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</si>
  <si>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</si>
  <si>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</si>
  <si>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</si>
  <si>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</si>
  <si>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</si>
  <si>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</si>
  <si>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</si>
  <si>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</si>
  <si>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</si>
  <si>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</si>
  <si>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</si>
  <si>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</si>
  <si>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</si>
  <si>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</si>
  <si>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</si>
  <si>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</si>
  <si>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</si>
  <si>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(after DF)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</si>
  <si>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</si>
  <si>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</si>
  <si>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</si>
  <si>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</si>
  <si>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</si>
  <si>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</si>
  <si>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</si>
  <si>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</si>
  <si>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</si>
  <si>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</si>
  <si>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</si>
  <si>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</si>
  <si>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</si>
  <si>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</si>
  <si>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</si>
  <si>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</si>
  <si>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</si>
  <si>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</si>
  <si>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</si>
  <si>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</si>
  <si>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</si>
  <si>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</si>
  <si>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</si>
  <si>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</si>
  <si>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</si>
  <si>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</si>
  <si>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</si>
  <si>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</si>
  <si>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</si>
  <si>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Replace 1 transformer</t>
  </si>
  <si>
    <t>Customer value of time - residential</t>
  </si>
  <si>
    <t>Customer value of time - business</t>
  </si>
  <si>
    <t>First capex year</t>
  </si>
  <si>
    <t>First year</t>
  </si>
  <si>
    <t>OPTION 3</t>
  </si>
  <si>
    <t>Refurbish 1 transformer</t>
  </si>
  <si>
    <t>OPTION 4</t>
  </si>
  <si>
    <t>Safety consequence</t>
  </si>
  <si>
    <t>Unplanned replacements</t>
  </si>
  <si>
    <t>Environmental consequence</t>
  </si>
  <si>
    <t>OPTION 5</t>
  </si>
  <si>
    <t>CONSOLIDATED</t>
  </si>
  <si>
    <t>Discount factor</t>
  </si>
  <si>
    <t>Analysis period</t>
  </si>
  <si>
    <t>COSTS</t>
  </si>
  <si>
    <t>CHART DATA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</si>
  <si>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</si>
  <si>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</si>
  <si>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</si>
  <si>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</si>
  <si>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</si>
  <si>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</si>
  <si>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</si>
  <si>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</si>
  <si>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</si>
  <si>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1 - continue existing maintenance with no proactive replacement cost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</si>
  <si>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</si>
  <si>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</si>
  <si>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</si>
  <si>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</si>
  <si>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</si>
  <si>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</si>
  <si>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</si>
  <si>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</si>
  <si>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</si>
  <si>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</si>
  <si>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</si>
  <si>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</si>
  <si>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</si>
  <si>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</si>
  <si>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</si>
  <si>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</si>
  <si>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</si>
  <si>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</si>
  <si>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</si>
  <si>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Opex</t>
  </si>
  <si>
    <t>Total opex cost ($)</t>
  </si>
  <si>
    <t>Tx capex profile ($)</t>
  </si>
  <si>
    <t>Total capex ($)</t>
  </si>
  <si>
    <t>WORKINGS - RISKS</t>
  </si>
  <si>
    <t>Transformer risks</t>
  </si>
  <si>
    <t>Energy at Risk ($, Weighted)</t>
  </si>
  <si>
    <t>Safety risk</t>
  </si>
  <si>
    <t>Unplanned replacement risk</t>
  </si>
  <si>
    <t>Unplanned fault risk</t>
  </si>
  <si>
    <t>Enviromental risk</t>
  </si>
  <si>
    <t>Total transformer risks</t>
  </si>
  <si>
    <t>Input Data - Station Configuration</t>
  </si>
  <si>
    <t>Constants</t>
  </si>
  <si>
    <t>POF METHOD</t>
  </si>
  <si>
    <t>WEIBULL</t>
  </si>
  <si>
    <t>Modifier (x)</t>
  </si>
  <si>
    <t>Comment</t>
  </si>
  <si>
    <t>Substation:</t>
  </si>
  <si>
    <t>Major Failure CoC</t>
  </si>
  <si>
    <t>PoF (#1)</t>
  </si>
  <si>
    <t>Asset Type</t>
  </si>
  <si>
    <t>Transformer</t>
  </si>
  <si>
    <t>Minor Failure CoC</t>
  </si>
  <si>
    <t>PoF (#2)</t>
  </si>
  <si>
    <t>Major Failure CoC - used</t>
  </si>
  <si>
    <t>PoF (#3)</t>
  </si>
  <si>
    <t>Load Profile (PoE)</t>
  </si>
  <si>
    <t>Minor Failure CoC - used</t>
  </si>
  <si>
    <t>PoF (#4)</t>
  </si>
  <si>
    <t>Scenario #1: CHA - Transformer</t>
  </si>
  <si>
    <t>Setting</t>
  </si>
  <si>
    <t>Unit Price</t>
  </si>
  <si>
    <t>Model Output</t>
  </si>
  <si>
    <t>Spare Available</t>
  </si>
  <si>
    <t>Energy</t>
  </si>
  <si>
    <t>Online Monitoring</t>
  </si>
  <si>
    <t>Physical Separation</t>
  </si>
  <si>
    <t>More Frequent Maintenance</t>
  </si>
  <si>
    <t>Pr (Terminal Failure)</t>
  </si>
  <si>
    <t>Staggered Maintenance</t>
  </si>
  <si>
    <t>Pr (Repairable Failure)</t>
  </si>
  <si>
    <t>Bunded</t>
  </si>
  <si>
    <t>Refurbish Assets</t>
  </si>
  <si>
    <t>Replace 1 Asset</t>
  </si>
  <si>
    <t>Safety Risk</t>
  </si>
  <si>
    <t>Replace 2 Assets</t>
  </si>
  <si>
    <t>Unplanned Replacement Risk</t>
  </si>
  <si>
    <t>Replace 3 Assets</t>
  </si>
  <si>
    <t>Unplanned Fault Risk</t>
  </si>
  <si>
    <t>Addiitonal Asset</t>
  </si>
  <si>
    <t>Unplanned Enviromental Risk</t>
  </si>
  <si>
    <t>Load Transfers</t>
  </si>
  <si>
    <t>Unplanned Fire Risk</t>
  </si>
  <si>
    <t>Non-Network MW</t>
  </si>
  <si>
    <t>Other</t>
  </si>
  <si>
    <t>Option Capital Cost</t>
  </si>
  <si>
    <t>Total Life Cycle Cost</t>
  </si>
  <si>
    <t>Scenario #2: CHA - Transformer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</si>
  <si>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</si>
  <si>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</si>
  <si>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</si>
  <si>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</si>
  <si>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</si>
  <si>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</si>
  <si>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</si>
  <si>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</si>
  <si>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</si>
  <si>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</si>
  <si>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</si>
  <si>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</si>
  <si>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</si>
  <si>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</si>
  <si>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</si>
  <si>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</si>
  <si>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</si>
  <si>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</si>
  <si>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</si>
  <si>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</si>
  <si>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</si>
  <si>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</si>
  <si>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</si>
  <si>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</si>
  <si>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</si>
  <si>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</si>
  <si>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</si>
  <si>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</si>
  <si>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</si>
  <si>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</si>
  <si>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</si>
  <si>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</si>
  <si>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</si>
  <si>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</si>
  <si>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</si>
  <si>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</si>
  <si>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</si>
  <si>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Safety</t>
  </si>
  <si>
    <t>Unplanned replacement</t>
  </si>
  <si>
    <t>UnRepl</t>
  </si>
  <si>
    <t>Bushfire</t>
  </si>
  <si>
    <t>Fire</t>
  </si>
  <si>
    <t>Carbon</t>
  </si>
  <si>
    <t>Customers impacted</t>
  </si>
  <si>
    <t>Customer minutes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</si>
  <si>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</si>
  <si>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</si>
  <si>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</si>
  <si>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</si>
  <si>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</si>
  <si>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</si>
  <si>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</si>
  <si>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</si>
  <si>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</si>
  <si>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</si>
  <si>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</si>
  <si>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</si>
  <si>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</si>
  <si>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</si>
  <si>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</si>
  <si>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</si>
  <si>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</si>
  <si>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</si>
  <si>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</si>
  <si>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</si>
  <si>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</si>
  <si>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</si>
  <si>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</si>
  <si>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</si>
  <si>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</si>
  <si>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</si>
  <si>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</si>
  <si>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</si>
  <si>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</si>
  <si>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CitiPower</t>
  </si>
  <si>
    <t>CP</t>
  </si>
  <si>
    <t>CP:</t>
  </si>
  <si>
    <t>June</t>
  </si>
  <si>
    <t>CY</t>
  </si>
  <si>
    <t>PA</t>
  </si>
  <si>
    <t>PAL:</t>
  </si>
  <si>
    <t>FY</t>
  </si>
  <si>
    <t>2025-26</t>
  </si>
  <si>
    <t>United Energy</t>
  </si>
  <si>
    <t>UE</t>
  </si>
  <si>
    <t>UE:</t>
  </si>
  <si>
    <t>2024-25</t>
  </si>
  <si>
    <t>Replace transformer #2 completed in 2027-2028</t>
  </si>
  <si>
    <t>Refurb transformer #2 completed in 2026-2027</t>
  </si>
  <si>
    <t>Scenario #4: CHA - Transformer</t>
  </si>
  <si>
    <t>$ June 2025</t>
  </si>
  <si>
    <t>Total capex ($) ($ June 2025)</t>
  </si>
  <si>
    <t>Total capex ($) ($ Dec 2023)</t>
  </si>
  <si>
    <t>Scenario #3: CHA - Transformer</t>
  </si>
  <si>
    <t>3.4.04</t>
  </si>
  <si>
    <t>Revised proposal 2026-31</t>
  </si>
  <si>
    <t>Energy at Risk (kWh)</t>
  </si>
  <si>
    <t>Make site emergency spare ready in 2026-2027</t>
  </si>
  <si>
    <t>Emergency spare ready</t>
  </si>
  <si>
    <t xml:space="preserve">PAL-MOD-3.4.04 - CHA transformer - Jan2025 - Public - Working Risks - E11:AC11, applied at the discount rate. FY27-FY46 captured. </t>
  </si>
  <si>
    <t xml:space="preserve">PAL-MOD-3.4.04 - CHA transformer - Jan2025 - Public - Working Risks - E12:AC12, applied at the discount rate. FY27-FY46 captured. </t>
  </si>
  <si>
    <t xml:space="preserve">PAL-MOD-3.4.04 - CHA transformer - Jan2025 - Public - Working Risks - E13:AC13, applied at the discount rate. FY27-FY46 captured. </t>
  </si>
  <si>
    <t xml:space="preserve">PAL-MOD-3.4.04 - CHA transformer - Jan2025 - Public - Working Risks - E14:AC14, applied at the discount rate. FY27-FY46 captured. </t>
  </si>
  <si>
    <t xml:space="preserve">PAL-MOD-3.4.04 - CHA transformer - Jan2025 - Public - Working Risks - E15:AC15, applied at the discount rate. FY27-FY46 captured. </t>
  </si>
  <si>
    <t xml:space="preserve">PAL-MOD-3.4.04 - CHA transformer - Jan2025 - Public - Working Risks - E23:AC23, applied at the discount rate. FY27-FY46 captured. </t>
  </si>
  <si>
    <t xml:space="preserve">PAL-MOD-3.4.04 - CHA transformer - Jan2025 - Public - Working Risks - E24:AC24, applied at the discount rate. FY27-FY46 captured. </t>
  </si>
  <si>
    <t xml:space="preserve">PAL-MOD-3.4.04 - CHA transformer - Jan2025 - Public - Working Risks - E25:AC25, applied at the discount rate. FY27-FY46 captured. </t>
  </si>
  <si>
    <t xml:space="preserve">PAL-MOD-3.4.04 - CHA transformer - Jan2025 - Public - Working Risks - E26:AC26, applied at the discount rate. FY27-FY46 captured. </t>
  </si>
  <si>
    <t xml:space="preserve">PAL-MOD-3.4.04 - CHA transformer - Jan2025 - Public - Working Risks - E27:AC27, applied at the discount rate. FY27-FY46 captured.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</si>
</sst>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0.000%"/>
    <numFmt numFmtId="190" formatCode="\+0%;[Red]\ \ \-0%;\ &quot;-&quot;"/>
    <numFmt numFmtId="191" formatCode="#,##0.00_ ;[Red]\-#,##0.00\ "/>
    <numFmt numFmtId="192" formatCode="#,##0.0;[Red]\ \-#,##0.0;\ &quot;&quot;"/>
    <numFmt numFmtId="193" formatCode="0.000000000000000"/>
    <numFmt numFmtId="194" formatCode="0%;[Red]\ \ \-0%;\ &quot;-&quot;"/>
    <numFmt numFmtId="195" formatCode="mmm\ yyyy"/>
    <numFmt numFmtId="196" formatCode="_-&quot;$&quot;* #,##0_-;\-&quot;$&quot;* #,##0_-;_-&quot;$&quot;* &quot;-&quot;??_-;_-@_-"/>
    <numFmt numFmtId="197" formatCode="_-* #,##0.0_-;\-* #,##0.0_-;_-* &quot;-&quot;??_-;_-@_-"/>
    <numFmt numFmtId="198" formatCode="#,##0.000_);\(#,##0.000\);\-\-_)"/>
    <numFmt numFmtId="199" formatCode="?0"/>
    <numFmt numFmtId="200" formatCode="0.0"/>
    <numFmt numFmtId="201" formatCode="#,##0_ ;[Red]\-#,##0\ "/>
    <numFmt numFmtId="202" formatCode="_-[$$-C09]* #,##0.00_-;\-[$$-C09]* #,##0.00_-;_-[$$-C09]* &quot;-&quot;??_-;_-@_-"/>
    <numFmt numFmtId="203" formatCode="_(&quot;$&quot;* #,##0.00_);_(&quot;$&quot;* \(#,##0.00\);_(&quot;$&quot;* &quot;-&quot;??_);_(@_)"/>
    <numFmt numFmtId="204" formatCode="d\ mmmm\ yyyy"/>
  </numFmts>
  <fonts count="105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</font>
    <font>
      <b/>
      <sz val="14"/>
      <color theme="1"/>
      <name val="Calibri"/>
      <family val="2"/>
    </font>
    <font>
      <b/>
      <sz val="10"/>
      <color rgb="FFFFFFFF"/>
      <name val="Calibri"/>
      <family val="2"/>
    </font>
    <font>
      <sz val="10"/>
      <name val="Verdana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4"/>
      <color theme="3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i/>
      <sz val="10"/>
      <color rgb="FFFFFFFF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rgb="FFCC33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4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</fills>
  <borders count="3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41">
    <xf numFmtId="0" fontId="0" fillId="0" borderId="0"/>
    <xf numFmtId="0" fontId="6" fillId="0" borderId="0"/>
    <xf numFmtId="0" fontId="2" fillId="2" borderId="1" applyNumberFormat="0" applyAlignment="0">
      <alignment horizontal="right"/>
      <protection locked="0"/>
    </xf>
    <xf numFmtId="164" fontId="3" fillId="0" borderId="0" applyFont="0" applyFill="0" applyBorder="0" applyAlignment="0" applyProtection="0"/>
    <xf numFmtId="165" fontId="4" fillId="3" borderId="2" applyAlignment="0"/>
    <xf numFmtId="0" fontId="14" fillId="0" borderId="0" applyNumberFormat="0"/>
    <xf numFmtId="0" fontId="5" fillId="0" borderId="3" applyNumberFormat="0" applyAlignment="0"/>
    <xf numFmtId="0" fontId="3" fillId="0" borderId="4" applyNumberFormat="0" applyFont="0" applyFill="0" applyAlignment="0"/>
    <xf numFmtId="0" fontId="5" fillId="0" borderId="0"/>
    <xf numFmtId="0" fontId="6" fillId="1" borderId="0"/>
    <xf numFmtId="0" fontId="7" fillId="4" borderId="5" applyNumberFormat="0" applyAlignment="0"/>
    <xf numFmtId="0" fontId="8" fillId="5" borderId="3" applyNumberFormat="0">
      <alignment horizontal="centerContinuous" vertical="center" wrapText="1"/>
    </xf>
    <xf numFmtId="0" fontId="9" fillId="4" borderId="6" applyNumberFormat="0" applyAlignment="0"/>
    <xf numFmtId="0" fontId="10" fillId="0" borderId="0" applyNumberFormat="0"/>
    <xf numFmtId="0" fontId="12" fillId="7" borderId="0"/>
    <xf numFmtId="0" fontId="13" fillId="0" borderId="0"/>
    <xf numFmtId="166" fontId="11" fillId="6" borderId="0"/>
    <xf numFmtId="166" fontId="15" fillId="6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0" fontId="29" fillId="9" borderId="0" applyNumberFormat="0">
      <alignment horizontal="center"/>
    </xf>
    <xf numFmtId="170" fontId="22" fillId="0" borderId="8" applyNumberFormat="0" applyProtection="0">
      <alignment horizontal="right"/>
    </xf>
    <xf numFmtId="10" fontId="28" fillId="2" borderId="0" applyNumberFormat="0" applyAlignment="0" applyProtection="0"/>
    <xf numFmtId="10" fontId="48" fillId="12" borderId="0" applyNumberFormat="0" applyBorder="0" applyAlignment="0" applyProtection="0"/>
    <xf numFmtId="0" fontId="5" fillId="0" borderId="0"/>
    <xf numFmtId="0" fontId="79" fillId="0" borderId="0"/>
    <xf numFmtId="9" fontId="79" fillId="0" borderId="0" applyFont="0" applyFill="0" applyBorder="0" applyAlignment="0" applyProtection="0"/>
    <xf numFmtId="0" fontId="19" fillId="0" borderId="0"/>
    <xf numFmtId="4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" fontId="94" fillId="17" borderId="16" applyNumberFormat="0" applyProtection="0">
      <alignment horizontal="left" vertical="center" indent="1"/>
    </xf>
    <xf numFmtId="4" fontId="94" fillId="17" borderId="16" applyNumberFormat="0" applyProtection="0">
      <alignment horizontal="left" vertical="center" indent="1"/>
    </xf>
    <xf numFmtId="4" fontId="94" fillId="0" borderId="16" applyNumberFormat="0" applyProtection="0">
      <alignment horizontal="right" vertical="center"/>
    </xf>
    <xf numFmtId="44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6" fillId="0" borderId="0" applyNumberFormat="0" applyFill="0" applyBorder="0" applyProtection="0"/>
    <xf numFmtId="0" fontId="103" fillId="29" borderId="19" applyNumberFormat="0" applyProtection="0"/>
    <xf numFmtId="202" fontId="1" fillId="0" borderId="0" applyFont="0" applyFill="0" applyBorder="0" applyAlignment="0" applyProtection="0"/>
    <xf numFmtId="0" fontId="61" fillId="30" borderId="26" applyNumberFormat="0" applyProtection="0"/>
    <xf numFmtId="203" fontId="79" fillId="0" borderId="0" applyFont="0" applyFill="0" applyBorder="0" applyAlignment="0" applyProtection="0"/>
  </cellStyleXfs>
  <cellXfs count="394">
    <xf numFmtId="0" fontId="0" fillId="0" borderId="0" xfId="0"/>
    <xf numFmtId="0" fontId="16" fillId="0" borderId="0" xfId="18"/>
    <xf numFmtId="0" fontId="16" fillId="0" borderId="0" xfId="18" applyAlignment="1">
      <alignment horizontal="right"/>
    </xf>
    <xf numFmtId="0" fontId="18" fillId="0" borderId="0" xfId="18" applyFont="1"/>
    <xf numFmtId="0" fontId="17" fillId="0" borderId="0" xfId="18" applyFont="1" applyAlignment="1">
      <alignment vertical="center"/>
    </xf>
    <xf numFmtId="0" fontId="21" fillId="0" borderId="0" xfId="18" applyFont="1"/>
    <xf numFmtId="0" fontId="16" fillId="0" borderId="0" xfId="0" applyFont="1"/>
    <xf numFmtId="0" fontId="23" fillId="0" borderId="0" xfId="8" applyFont="1"/>
    <xf numFmtId="0" fontId="24" fillId="0" borderId="0" xfId="0" applyFont="1"/>
    <xf numFmtId="166" fontId="26" fillId="8" borderId="0" xfId="16" applyFont="1" applyFill="1"/>
    <xf numFmtId="0" fontId="16" fillId="0" borderId="0" xfId="18" applyAlignment="1">
      <alignment horizontal="left"/>
    </xf>
    <xf numFmtId="0" fontId="28" fillId="2" borderId="0" xfId="0" applyFont="1" applyFill="1"/>
    <xf numFmtId="0" fontId="18" fillId="0" borderId="0" xfId="0" applyFont="1"/>
    <xf numFmtId="166" fontId="26" fillId="10" borderId="0" xfId="16" applyFont="1" applyFill="1"/>
    <xf numFmtId="0" fontId="20" fillId="11" borderId="0" xfId="18" applyFont="1" applyFill="1" applyAlignment="1">
      <alignment vertical="center"/>
    </xf>
    <xf numFmtId="0" fontId="20" fillId="11" borderId="0" xfId="18" applyFont="1" applyFill="1" applyAlignment="1">
      <alignment horizontal="right" vertical="center"/>
    </xf>
    <xf numFmtId="0" fontId="25" fillId="11" borderId="0" xfId="18" applyFont="1" applyFill="1" applyAlignment="1">
      <alignment vertical="center"/>
    </xf>
    <xf numFmtId="166" fontId="32" fillId="10" borderId="0" xfId="16" applyFont="1" applyFill="1"/>
    <xf numFmtId="166" fontId="33" fillId="10" borderId="0" xfId="16" applyFont="1" applyFill="1" applyAlignment="1">
      <alignment horizontal="right"/>
    </xf>
    <xf numFmtId="0" fontId="16" fillId="0" borderId="0" xfId="0" applyFont="1" applyAlignment="1">
      <alignment horizontal="left"/>
    </xf>
    <xf numFmtId="0" fontId="22" fillId="0" borderId="0" xfId="18" applyFont="1"/>
    <xf numFmtId="0" fontId="16" fillId="2" borderId="0" xfId="0" applyFont="1" applyFill="1"/>
    <xf numFmtId="172" fontId="16" fillId="0" borderId="0" xfId="0" applyNumberFormat="1" applyFont="1"/>
    <xf numFmtId="172" fontId="16" fillId="2" borderId="0" xfId="0" applyNumberFormat="1" applyFont="1" applyFill="1" applyAlignment="1">
      <alignment horizontal="left"/>
    </xf>
    <xf numFmtId="0" fontId="18" fillId="0" borderId="0" xfId="18" applyFont="1" applyAlignment="1">
      <alignment horizontal="left"/>
    </xf>
    <xf numFmtId="0" fontId="16" fillId="2" borderId="0" xfId="0" quotePrefix="1" applyFont="1" applyFill="1"/>
    <xf numFmtId="0" fontId="18" fillId="0" borderId="7" xfId="18" applyFont="1" applyBorder="1" applyAlignment="1">
      <alignment horizontal="left"/>
    </xf>
    <xf numFmtId="0" fontId="18" fillId="0" borderId="7" xfId="18" applyFont="1" applyBorder="1"/>
    <xf numFmtId="167" fontId="17" fillId="0" borderId="0" xfId="18" applyNumberFormat="1" applyFont="1" applyAlignment="1">
      <alignment horizontal="right" vertical="center"/>
    </xf>
    <xf numFmtId="167" fontId="28" fillId="2" borderId="8" xfId="18" applyNumberFormat="1" applyFont="1" applyFill="1" applyBorder="1" applyAlignment="1">
      <alignment horizontal="right" vertical="center"/>
    </xf>
    <xf numFmtId="0" fontId="35" fillId="0" borderId="0" xfId="8" applyFont="1"/>
    <xf numFmtId="0" fontId="36" fillId="0" borderId="0" xfId="18" applyFont="1"/>
    <xf numFmtId="0" fontId="16" fillId="13" borderId="4" xfId="18" applyFill="1" applyBorder="1" applyAlignment="1">
      <alignment horizontal="left"/>
    </xf>
    <xf numFmtId="1" fontId="28" fillId="2" borderId="0" xfId="18" quotePrefix="1" applyNumberFormat="1" applyFont="1" applyFill="1" applyAlignment="1">
      <alignment horizontal="center"/>
    </xf>
    <xf numFmtId="166" fontId="39" fillId="0" borderId="0" xfId="18" applyNumberFormat="1" applyFont="1" applyAlignment="1">
      <alignment horizontal="left"/>
    </xf>
    <xf numFmtId="10" fontId="28" fillId="2" borderId="0" xfId="23" applyNumberFormat="1"/>
    <xf numFmtId="171" fontId="34" fillId="2" borderId="0" xfId="18" applyNumberFormat="1" applyFont="1" applyFill="1" applyAlignment="1">
      <alignment horizontal="right"/>
    </xf>
    <xf numFmtId="14" fontId="16" fillId="0" borderId="0" xfId="0" applyNumberFormat="1" applyFont="1"/>
    <xf numFmtId="1" fontId="16" fillId="2" borderId="0" xfId="0" applyNumberFormat="1" applyFont="1" applyFill="1" applyAlignment="1">
      <alignment horizontal="left"/>
    </xf>
    <xf numFmtId="14" fontId="18" fillId="0" borderId="7" xfId="18" applyNumberFormat="1" applyFont="1" applyBorder="1"/>
    <xf numFmtId="0" fontId="41" fillId="0" borderId="7" xfId="18" quotePrefix="1" applyFont="1" applyBorder="1" applyAlignment="1">
      <alignment horizontal="left"/>
    </xf>
    <xf numFmtId="14" fontId="38" fillId="2" borderId="7" xfId="23" applyNumberFormat="1" applyFont="1" applyBorder="1"/>
    <xf numFmtId="166" fontId="26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1" fillId="0" borderId="7" xfId="18" applyNumberFormat="1" applyFont="1" applyBorder="1" applyAlignment="1">
      <alignment horizontal="left" vertical="center"/>
    </xf>
    <xf numFmtId="0" fontId="22" fillId="0" borderId="0" xfId="18" applyFont="1" applyAlignment="1">
      <alignment horizontal="left"/>
    </xf>
    <xf numFmtId="167" fontId="31" fillId="0" borderId="4" xfId="18" applyNumberFormat="1" applyFont="1" applyBorder="1" applyAlignment="1">
      <alignment horizontal="right" vertical="center"/>
    </xf>
    <xf numFmtId="0" fontId="18" fillId="0" borderId="7" xfId="0" applyFont="1" applyBorder="1"/>
    <xf numFmtId="168" fontId="42" fillId="10" borderId="0" xfId="18" applyNumberFormat="1" applyFont="1" applyFill="1" applyAlignment="1">
      <alignment horizontal="center" vertical="center"/>
    </xf>
    <xf numFmtId="0" fontId="18" fillId="0" borderId="7" xfId="0" applyFont="1" applyBorder="1" applyAlignment="1">
      <alignment horizontal="right"/>
    </xf>
    <xf numFmtId="166" fontId="43" fillId="10" borderId="0" xfId="16" applyFont="1" applyFill="1"/>
    <xf numFmtId="0" fontId="28" fillId="2" borderId="0" xfId="18" applyFont="1" applyFill="1" applyAlignment="1">
      <alignment horizontal="left"/>
    </xf>
    <xf numFmtId="167" fontId="17" fillId="0" borderId="0" xfId="18" applyNumberFormat="1" applyFont="1" applyAlignment="1">
      <alignment horizontal="left" vertical="center"/>
    </xf>
    <xf numFmtId="0" fontId="16" fillId="0" borderId="7" xfId="0" applyFont="1" applyBorder="1"/>
    <xf numFmtId="172" fontId="28" fillId="2" borderId="9" xfId="18" quotePrefix="1" applyNumberFormat="1" applyFont="1" applyFill="1" applyBorder="1" applyAlignment="1">
      <alignment horizontal="left"/>
    </xf>
    <xf numFmtId="0" fontId="17" fillId="0" borderId="0" xfId="18" applyFont="1" applyAlignment="1">
      <alignment horizontal="left" vertical="top"/>
    </xf>
    <xf numFmtId="168" fontId="16" fillId="0" borderId="0" xfId="18" applyNumberFormat="1" applyAlignment="1">
      <alignment horizontal="left"/>
    </xf>
    <xf numFmtId="172" fontId="16" fillId="2" borderId="0" xfId="0" quotePrefix="1" applyNumberFormat="1" applyFont="1" applyFill="1" applyAlignment="1">
      <alignment horizontal="left"/>
    </xf>
    <xf numFmtId="0" fontId="46" fillId="0" borderId="0" xfId="0" applyFont="1" applyAlignment="1">
      <alignment horizontal="right"/>
    </xf>
    <xf numFmtId="0" fontId="44" fillId="0" borderId="0" xfId="0" applyFont="1" applyAlignment="1">
      <alignment horizontal="left" indent="1"/>
    </xf>
    <xf numFmtId="168" fontId="22" fillId="0" borderId="8" xfId="22" applyNumberFormat="1">
      <alignment horizontal="right"/>
    </xf>
    <xf numFmtId="0" fontId="47" fillId="0" borderId="0" xfId="18" quotePrefix="1" applyFont="1" applyAlignment="1">
      <alignment horizontal="left"/>
    </xf>
    <xf numFmtId="168" fontId="45" fillId="0" borderId="0" xfId="23" applyNumberFormat="1" applyFont="1" applyFill="1" applyAlignment="1">
      <alignment horizontal="right"/>
    </xf>
    <xf numFmtId="0" fontId="18" fillId="0" borderId="7" xfId="18" applyFont="1" applyBorder="1" applyAlignment="1">
      <alignment horizontal="right"/>
    </xf>
    <xf numFmtId="0" fontId="45" fillId="0" borderId="0" xfId="18" applyFont="1" applyAlignment="1">
      <alignment horizontal="left" indent="1"/>
    </xf>
    <xf numFmtId="0" fontId="16" fillId="0" borderId="0" xfId="18" applyAlignment="1">
      <alignment horizontal="left" vertical="top" wrapText="1"/>
    </xf>
    <xf numFmtId="0" fontId="18" fillId="0" borderId="7" xfId="18" applyFont="1" applyBorder="1" applyAlignment="1">
      <alignment horizontal="left" vertical="top"/>
    </xf>
    <xf numFmtId="0" fontId="16" fillId="0" borderId="7" xfId="18" applyBorder="1" applyAlignment="1">
      <alignment horizontal="left" vertical="top"/>
    </xf>
    <xf numFmtId="14" fontId="16" fillId="0" borderId="0" xfId="18" applyNumberFormat="1"/>
    <xf numFmtId="14" fontId="16" fillId="0" borderId="7" xfId="18" applyNumberFormat="1" applyBorder="1"/>
    <xf numFmtId="14" fontId="28" fillId="2" borderId="0" xfId="18" applyNumberFormat="1" applyFont="1" applyFill="1"/>
    <xf numFmtId="10" fontId="35" fillId="0" borderId="0" xfId="23" applyNumberFormat="1" applyFont="1" applyFill="1"/>
    <xf numFmtId="0" fontId="27" fillId="0" borderId="0" xfId="0" applyFont="1"/>
    <xf numFmtId="166" fontId="32" fillId="10" borderId="0" xfId="16" applyFont="1" applyFill="1" applyAlignment="1">
      <alignment horizontal="center"/>
    </xf>
    <xf numFmtId="0" fontId="24" fillId="0" borderId="0" xfId="0" applyFont="1" applyAlignment="1">
      <alignment horizontal="center"/>
    </xf>
    <xf numFmtId="176" fontId="17" fillId="0" borderId="0" xfId="18" applyNumberFormat="1" applyFont="1" applyAlignment="1">
      <alignment horizontal="right" vertical="center"/>
    </xf>
    <xf numFmtId="49" fontId="16" fillId="2" borderId="0" xfId="0" applyNumberFormat="1" applyFont="1" applyFill="1" applyAlignment="1">
      <alignment horizontal="left"/>
    </xf>
    <xf numFmtId="0" fontId="51" fillId="0" borderId="7" xfId="18" applyFont="1" applyBorder="1"/>
    <xf numFmtId="0" fontId="52" fillId="0" borderId="7" xfId="18" applyFont="1" applyBorder="1" applyAlignment="1">
      <alignment vertical="center"/>
    </xf>
    <xf numFmtId="0" fontId="37" fillId="0" borderId="7" xfId="18" applyFont="1" applyBorder="1" applyAlignment="1">
      <alignment vertical="center"/>
    </xf>
    <xf numFmtId="173" fontId="16" fillId="0" borderId="0" xfId="18" applyNumberFormat="1"/>
    <xf numFmtId="0" fontId="22" fillId="13" borderId="8" xfId="22" applyNumberFormat="1" applyFill="1" applyAlignment="1">
      <alignment horizontal="left"/>
    </xf>
    <xf numFmtId="0" fontId="53" fillId="0" borderId="0" xfId="18" applyFont="1"/>
    <xf numFmtId="167" fontId="35" fillId="2" borderId="0" xfId="18" applyNumberFormat="1" applyFont="1" applyFill="1" applyAlignment="1">
      <alignment horizontal="right" vertical="center"/>
    </xf>
    <xf numFmtId="177" fontId="35" fillId="2" borderId="0" xfId="18" applyNumberFormat="1" applyFont="1" applyFill="1" applyAlignment="1">
      <alignment horizontal="right" vertical="center"/>
    </xf>
    <xf numFmtId="173" fontId="17" fillId="0" borderId="0" xfId="18" applyNumberFormat="1" applyFont="1" applyAlignment="1">
      <alignment horizontal="right" vertical="center"/>
    </xf>
    <xf numFmtId="0" fontId="40" fillId="0" borderId="0" xfId="8" applyFont="1"/>
    <xf numFmtId="175" fontId="46" fillId="0" borderId="0" xfId="18" applyNumberFormat="1" applyFont="1" applyAlignment="1">
      <alignment horizontal="right" vertical="center"/>
    </xf>
    <xf numFmtId="0" fontId="40" fillId="0" borderId="0" xfId="8" applyFont="1" applyAlignment="1">
      <alignment horizontal="center"/>
    </xf>
    <xf numFmtId="0" fontId="46" fillId="0" borderId="0" xfId="18" applyFont="1" applyAlignment="1">
      <alignment horizontal="right"/>
    </xf>
    <xf numFmtId="49" fontId="16" fillId="0" borderId="0" xfId="0" applyNumberFormat="1" applyFont="1"/>
    <xf numFmtId="178" fontId="16" fillId="0" borderId="0" xfId="18" applyNumberFormat="1" applyAlignment="1">
      <alignment vertical="top" wrapText="1"/>
    </xf>
    <xf numFmtId="178" fontId="17" fillId="13" borderId="0" xfId="18" applyNumberFormat="1" applyFont="1" applyFill="1" applyAlignment="1">
      <alignment horizontal="right" vertical="center"/>
    </xf>
    <xf numFmtId="179" fontId="17" fillId="0" borderId="0" xfId="18" applyNumberFormat="1" applyFont="1" applyAlignment="1">
      <alignment horizontal="right" vertical="center"/>
    </xf>
    <xf numFmtId="176" fontId="31" fillId="0" borderId="0" xfId="18" applyNumberFormat="1" applyFont="1" applyAlignment="1">
      <alignment horizontal="right" vertical="center"/>
    </xf>
    <xf numFmtId="0" fontId="50" fillId="0" borderId="0" xfId="0" applyFont="1"/>
    <xf numFmtId="167" fontId="31" fillId="0" borderId="0" xfId="18" applyNumberFormat="1" applyFont="1" applyAlignment="1">
      <alignment horizontal="right" vertical="center"/>
    </xf>
    <xf numFmtId="166" fontId="39" fillId="0" borderId="4" xfId="18" applyNumberFormat="1" applyFont="1" applyBorder="1" applyAlignment="1">
      <alignment horizontal="left"/>
    </xf>
    <xf numFmtId="0" fontId="16" fillId="0" borderId="4" xfId="18" applyBorder="1"/>
    <xf numFmtId="0" fontId="52" fillId="0" borderId="0" xfId="18" applyFont="1" applyAlignment="1">
      <alignment vertical="center"/>
    </xf>
    <xf numFmtId="169" fontId="22" fillId="0" borderId="8" xfId="22" applyNumberFormat="1">
      <alignment horizontal="right"/>
    </xf>
    <xf numFmtId="170" fontId="22" fillId="0" borderId="8" xfId="22" applyNumberFormat="1">
      <alignment horizontal="right"/>
    </xf>
    <xf numFmtId="0" fontId="49" fillId="0" borderId="0" xfId="8" applyFont="1"/>
    <xf numFmtId="0" fontId="37" fillId="0" borderId="7" xfId="18" applyFont="1" applyBorder="1" applyAlignment="1">
      <alignment horizontal="right" vertical="center"/>
    </xf>
    <xf numFmtId="0" fontId="23" fillId="0" borderId="0" xfId="8" applyFont="1" applyAlignment="1">
      <alignment horizontal="left"/>
    </xf>
    <xf numFmtId="0" fontId="18" fillId="0" borderId="4" xfId="0" applyFont="1" applyBorder="1" applyAlignment="1">
      <alignment horizontal="left"/>
    </xf>
    <xf numFmtId="0" fontId="56" fillId="0" borderId="0" xfId="18" applyFont="1"/>
    <xf numFmtId="0" fontId="16" fillId="0" borderId="0" xfId="20" applyFont="1"/>
    <xf numFmtId="0" fontId="16" fillId="0" borderId="0" xfId="20" applyFont="1" applyAlignment="1">
      <alignment horizontal="center"/>
    </xf>
    <xf numFmtId="0" fontId="19" fillId="0" borderId="0" xfId="20"/>
    <xf numFmtId="0" fontId="16" fillId="2" borderId="0" xfId="20" applyFont="1" applyFill="1"/>
    <xf numFmtId="180" fontId="22" fillId="0" borderId="8" xfId="22" applyNumberFormat="1">
      <alignment horizontal="right"/>
    </xf>
    <xf numFmtId="167" fontId="16" fillId="0" borderId="0" xfId="18" applyNumberFormat="1" applyAlignment="1">
      <alignment horizontal="right" vertical="center"/>
    </xf>
    <xf numFmtId="167" fontId="16" fillId="14" borderId="0" xfId="18" applyNumberFormat="1" applyFill="1" applyAlignment="1">
      <alignment horizontal="right" vertical="center"/>
    </xf>
    <xf numFmtId="0" fontId="58" fillId="0" borderId="0" xfId="18" applyFont="1" applyAlignment="1">
      <alignment horizontal="left" indent="1"/>
    </xf>
    <xf numFmtId="49" fontId="16" fillId="0" borderId="0" xfId="18" applyNumberFormat="1"/>
    <xf numFmtId="182" fontId="28" fillId="2" borderId="8" xfId="18" applyNumberFormat="1" applyFont="1" applyFill="1" applyBorder="1" applyAlignment="1">
      <alignment horizontal="right" vertical="center"/>
    </xf>
    <xf numFmtId="176" fontId="16" fillId="0" borderId="0" xfId="18" applyNumberFormat="1"/>
    <xf numFmtId="2" fontId="16" fillId="0" borderId="0" xfId="18" applyNumberFormat="1"/>
    <xf numFmtId="178" fontId="31" fillId="0" borderId="0" xfId="18" applyNumberFormat="1" applyFont="1" applyAlignment="1">
      <alignment horizontal="right" vertical="center"/>
    </xf>
    <xf numFmtId="178" fontId="59" fillId="0" borderId="0" xfId="18" applyNumberFormat="1" applyFont="1" applyAlignment="1">
      <alignment horizontal="right" vertical="center"/>
    </xf>
    <xf numFmtId="0" fontId="25" fillId="11" borderId="0" xfId="18" applyFont="1" applyFill="1" applyAlignment="1">
      <alignment horizontal="right" vertical="center"/>
    </xf>
    <xf numFmtId="167" fontId="17" fillId="0" borderId="4" xfId="18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left"/>
    </xf>
    <xf numFmtId="0" fontId="16" fillId="2" borderId="0" xfId="18" applyFill="1"/>
    <xf numFmtId="14" fontId="60" fillId="0" borderId="0" xfId="0" applyNumberFormat="1" applyFont="1"/>
    <xf numFmtId="0" fontId="59" fillId="0" borderId="0" xfId="18" applyFont="1" applyAlignment="1">
      <alignment vertical="center"/>
    </xf>
    <xf numFmtId="167" fontId="28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4" fillId="0" borderId="0" xfId="0" applyNumberFormat="1" applyFont="1"/>
    <xf numFmtId="0" fontId="46" fillId="2" borderId="0" xfId="18" applyFont="1" applyFill="1" applyAlignment="1">
      <alignment horizontal="right"/>
    </xf>
    <xf numFmtId="0" fontId="18" fillId="0" borderId="0" xfId="18" applyFont="1" applyAlignment="1">
      <alignment horizontal="center"/>
    </xf>
    <xf numFmtId="167" fontId="35" fillId="2" borderId="0" xfId="18" applyNumberFormat="1" applyFont="1" applyFill="1" applyAlignment="1">
      <alignment horizontal="left" vertical="center"/>
    </xf>
    <xf numFmtId="170" fontId="28" fillId="2" borderId="0" xfId="23" applyNumberFormat="1" applyAlignment="1">
      <alignment horizontal="right"/>
    </xf>
    <xf numFmtId="183" fontId="48" fillId="2" borderId="0" xfId="24" applyNumberFormat="1" applyFill="1" applyAlignment="1">
      <alignment horizontal="right"/>
    </xf>
    <xf numFmtId="0" fontId="18" fillId="0" borderId="7" xfId="0" applyFont="1" applyBorder="1" applyAlignment="1">
      <alignment horizontal="left"/>
    </xf>
    <xf numFmtId="0" fontId="18" fillId="0" borderId="7" xfId="0" applyFont="1" applyBorder="1" applyAlignment="1">
      <alignment horizontal="center"/>
    </xf>
    <xf numFmtId="9" fontId="28" fillId="2" borderId="0" xfId="23" applyNumberFormat="1" applyAlignment="1">
      <alignment horizontal="right"/>
    </xf>
    <xf numFmtId="175" fontId="46" fillId="0" borderId="0" xfId="18" applyNumberFormat="1" applyFont="1" applyAlignment="1">
      <alignment horizontal="left" vertical="center"/>
    </xf>
    <xf numFmtId="0" fontId="18" fillId="0" borderId="0" xfId="0" applyFont="1" applyAlignment="1">
      <alignment horizontal="center"/>
    </xf>
    <xf numFmtId="184" fontId="28" fillId="2" borderId="8" xfId="23" applyNumberFormat="1" applyBorder="1" applyAlignment="1">
      <alignment horizontal="right"/>
    </xf>
    <xf numFmtId="184" fontId="28" fillId="2" borderId="10" xfId="23" applyNumberFormat="1" applyBorder="1" applyAlignment="1">
      <alignment horizontal="right"/>
    </xf>
    <xf numFmtId="185" fontId="28" fillId="2" borderId="10" xfId="23" applyNumberFormat="1" applyBorder="1" applyAlignment="1">
      <alignment horizontal="center"/>
    </xf>
    <xf numFmtId="169" fontId="16" fillId="0" borderId="0" xfId="0" applyNumberFormat="1" applyFont="1"/>
    <xf numFmtId="0" fontId="35" fillId="0" borderId="0" xfId="18" applyFont="1"/>
    <xf numFmtId="179" fontId="28" fillId="2" borderId="8" xfId="18" applyNumberFormat="1" applyFont="1" applyFill="1" applyBorder="1" applyAlignment="1">
      <alignment horizontal="right" vertical="center"/>
    </xf>
    <xf numFmtId="187" fontId="28" fillId="2" borderId="8" xfId="18" applyNumberFormat="1" applyFont="1" applyFill="1" applyBorder="1" applyAlignment="1">
      <alignment horizontal="right" vertical="center"/>
    </xf>
    <xf numFmtId="179" fontId="31" fillId="0" borderId="0" xfId="18" applyNumberFormat="1" applyFont="1" applyAlignment="1">
      <alignment horizontal="right" vertical="center"/>
    </xf>
    <xf numFmtId="0" fontId="16" fillId="0" borderId="7" xfId="18" applyBorder="1"/>
    <xf numFmtId="0" fontId="17" fillId="0" borderId="11" xfId="18" applyFont="1" applyBorder="1" applyAlignment="1">
      <alignment vertical="center"/>
    </xf>
    <xf numFmtId="0" fontId="16" fillId="0" borderId="11" xfId="18" applyBorder="1"/>
    <xf numFmtId="173" fontId="17" fillId="0" borderId="11" xfId="18" applyNumberFormat="1" applyFont="1" applyBorder="1" applyAlignment="1">
      <alignment horizontal="right" vertical="center"/>
    </xf>
    <xf numFmtId="167" fontId="17" fillId="0" borderId="11" xfId="18" applyNumberFormat="1" applyFont="1" applyBorder="1" applyAlignment="1">
      <alignment horizontal="right" vertical="center"/>
    </xf>
    <xf numFmtId="0" fontId="56" fillId="0" borderId="11" xfId="0" applyFont="1" applyBorder="1"/>
    <xf numFmtId="166" fontId="39" fillId="0" borderId="11" xfId="18" applyNumberFormat="1" applyFont="1" applyBorder="1" applyAlignment="1">
      <alignment horizontal="left"/>
    </xf>
    <xf numFmtId="167" fontId="31" fillId="0" borderId="11" xfId="18" applyNumberFormat="1" applyFont="1" applyBorder="1" applyAlignment="1">
      <alignment horizontal="right" vertical="center"/>
    </xf>
    <xf numFmtId="0" fontId="16" fillId="0" borderId="11" xfId="0" applyFont="1" applyBorder="1"/>
    <xf numFmtId="0" fontId="25" fillId="15" borderId="0" xfId="18" applyFont="1" applyFill="1" applyAlignment="1">
      <alignment vertical="center"/>
    </xf>
    <xf numFmtId="0" fontId="25" fillId="15" borderId="0" xfId="18" applyFont="1" applyFill="1" applyAlignment="1">
      <alignment horizontal="right" vertical="center"/>
    </xf>
    <xf numFmtId="0" fontId="20" fillId="15" borderId="0" xfId="18" applyFont="1" applyFill="1" applyAlignment="1">
      <alignment horizontal="right" vertical="center"/>
    </xf>
    <xf numFmtId="188" fontId="16" fillId="0" borderId="7" xfId="18" applyNumberFormat="1" applyBorder="1" applyAlignment="1">
      <alignment horizontal="center"/>
    </xf>
    <xf numFmtId="188" fontId="16" fillId="0" borderId="7" xfId="18" applyNumberFormat="1" applyBorder="1" applyAlignment="1">
      <alignment horizontal="left"/>
    </xf>
    <xf numFmtId="179" fontId="16" fillId="0" borderId="0" xfId="0" applyNumberFormat="1" applyFont="1"/>
    <xf numFmtId="186" fontId="16" fillId="0" borderId="0" xfId="18" applyNumberFormat="1" applyAlignment="1">
      <alignment horizontal="left"/>
    </xf>
    <xf numFmtId="171" fontId="40" fillId="0" borderId="0" xfId="8" applyNumberFormat="1" applyFont="1"/>
    <xf numFmtId="1" fontId="40" fillId="0" borderId="0" xfId="8" applyNumberFormat="1" applyFont="1"/>
    <xf numFmtId="167" fontId="23" fillId="0" borderId="0" xfId="8" applyNumberFormat="1" applyFont="1"/>
    <xf numFmtId="167" fontId="23" fillId="0" borderId="0" xfId="8" applyNumberFormat="1" applyFont="1" applyAlignment="1">
      <alignment horizontal="right"/>
    </xf>
    <xf numFmtId="0" fontId="23" fillId="0" borderId="7" xfId="8" applyFont="1" applyBorder="1" applyAlignment="1">
      <alignment horizontal="left"/>
    </xf>
    <xf numFmtId="0" fontId="24" fillId="0" borderId="7" xfId="0" applyFont="1" applyBorder="1" applyAlignment="1">
      <alignment horizontal="center"/>
    </xf>
    <xf numFmtId="0" fontId="24" fillId="0" borderId="7" xfId="0" applyFont="1" applyBorder="1"/>
    <xf numFmtId="0" fontId="61" fillId="0" borderId="12" xfId="0" applyFont="1" applyBorder="1"/>
    <xf numFmtId="0" fontId="23" fillId="2" borderId="0" xfId="8" applyFont="1" applyFill="1" applyAlignment="1">
      <alignment horizontal="left"/>
    </xf>
    <xf numFmtId="2" fontId="16" fillId="2" borderId="0" xfId="18" applyNumberFormat="1" applyFill="1"/>
    <xf numFmtId="2" fontId="22" fillId="0" borderId="8" xfId="22" applyNumberFormat="1" applyAlignment="1">
      <alignment horizontal="left"/>
    </xf>
    <xf numFmtId="168" fontId="62" fillId="10" borderId="0" xfId="18" applyNumberFormat="1" applyFont="1" applyFill="1" applyAlignment="1">
      <alignment horizontal="center" vertical="center"/>
    </xf>
    <xf numFmtId="0" fontId="21" fillId="0" borderId="0" xfId="18" applyFont="1" applyAlignment="1">
      <alignment horizontal="left" indent="1"/>
    </xf>
    <xf numFmtId="168" fontId="62" fillId="10" borderId="0" xfId="18" applyNumberFormat="1" applyFont="1" applyFill="1" applyAlignment="1">
      <alignment horizontal="left" vertical="center"/>
    </xf>
    <xf numFmtId="0" fontId="63" fillId="0" borderId="0" xfId="18" applyFont="1"/>
    <xf numFmtId="0" fontId="64" fillId="0" borderId="7" xfId="18" applyFont="1" applyBorder="1" applyAlignment="1">
      <alignment vertical="center"/>
    </xf>
    <xf numFmtId="0" fontId="65" fillId="0" borderId="0" xfId="18" applyFont="1"/>
    <xf numFmtId="0" fontId="60" fillId="0" borderId="0" xfId="0" applyFont="1"/>
    <xf numFmtId="168" fontId="65" fillId="0" borderId="0" xfId="18" applyNumberFormat="1" applyFont="1" applyAlignment="1">
      <alignment horizontal="left"/>
    </xf>
    <xf numFmtId="0" fontId="64" fillId="0" borderId="0" xfId="18" applyFont="1" applyAlignment="1">
      <alignment vertical="center"/>
    </xf>
    <xf numFmtId="168" fontId="66" fillId="0" borderId="0" xfId="18" applyNumberFormat="1" applyFont="1" applyAlignment="1">
      <alignment horizontal="left"/>
    </xf>
    <xf numFmtId="168" fontId="67" fillId="0" borderId="0" xfId="18" applyNumberFormat="1" applyFont="1" applyAlignment="1">
      <alignment horizontal="left" vertical="center"/>
    </xf>
    <xf numFmtId="0" fontId="64" fillId="0" borderId="0" xfId="18" applyFont="1" applyAlignment="1">
      <alignment horizontal="left" vertical="center"/>
    </xf>
    <xf numFmtId="0" fontId="65" fillId="0" borderId="0" xfId="18" applyFont="1" applyAlignment="1">
      <alignment horizontal="left"/>
    </xf>
    <xf numFmtId="0" fontId="68" fillId="0" borderId="0" xfId="18" applyFont="1" applyAlignment="1">
      <alignment horizontal="left" vertical="center"/>
    </xf>
    <xf numFmtId="0" fontId="67" fillId="0" borderId="0" xfId="18" applyFont="1" applyAlignment="1">
      <alignment horizontal="left" vertical="center"/>
    </xf>
    <xf numFmtId="168" fontId="67" fillId="0" borderId="11" xfId="18" applyNumberFormat="1" applyFont="1" applyBorder="1" applyAlignment="1">
      <alignment horizontal="left" vertical="center"/>
    </xf>
    <xf numFmtId="168" fontId="69" fillId="0" borderId="0" xfId="18" applyNumberFormat="1" applyFont="1" applyAlignment="1">
      <alignment horizontal="left" vertical="center"/>
    </xf>
    <xf numFmtId="0" fontId="70" fillId="0" borderId="0" xfId="0" applyFont="1"/>
    <xf numFmtId="0" fontId="47" fillId="0" borderId="0" xfId="18" applyFont="1"/>
    <xf numFmtId="0" fontId="71" fillId="11" borderId="0" xfId="18" applyFont="1" applyFill="1" applyAlignment="1">
      <alignment horizontal="right" vertical="center"/>
    </xf>
    <xf numFmtId="167" fontId="67" fillId="0" borderId="0" xfId="18" applyNumberFormat="1" applyFont="1" applyAlignment="1">
      <alignment horizontal="right" vertical="center"/>
    </xf>
    <xf numFmtId="0" fontId="64" fillId="0" borderId="7" xfId="18" applyFont="1" applyBorder="1" applyAlignment="1">
      <alignment horizontal="right" vertical="center"/>
    </xf>
    <xf numFmtId="166" fontId="73" fillId="10" borderId="0" xfId="16" applyFont="1" applyFill="1" applyAlignment="1">
      <alignment horizontal="right"/>
    </xf>
    <xf numFmtId="0" fontId="72" fillId="0" borderId="0" xfId="8" applyFont="1" applyAlignment="1">
      <alignment horizontal="right"/>
    </xf>
    <xf numFmtId="168" fontId="67" fillId="0" borderId="0" xfId="18" applyNumberFormat="1" applyFont="1" applyAlignment="1">
      <alignment horizontal="right" vertical="center"/>
    </xf>
    <xf numFmtId="168" fontId="69" fillId="0" borderId="0" xfId="18" applyNumberFormat="1" applyFont="1" applyAlignment="1">
      <alignment horizontal="right" vertical="center"/>
    </xf>
    <xf numFmtId="168" fontId="67" fillId="0" borderId="4" xfId="18" applyNumberFormat="1" applyFont="1" applyBorder="1" applyAlignment="1">
      <alignment horizontal="right" vertical="center"/>
    </xf>
    <xf numFmtId="0" fontId="65" fillId="0" borderId="0" xfId="18" applyFont="1" applyAlignment="1">
      <alignment horizontal="right"/>
    </xf>
    <xf numFmtId="0" fontId="65" fillId="0" borderId="0" xfId="0" applyFont="1" applyAlignment="1">
      <alignment horizontal="right"/>
    </xf>
    <xf numFmtId="0" fontId="74" fillId="0" borderId="0" xfId="18" applyFont="1" applyAlignment="1">
      <alignment vertical="center"/>
    </xf>
    <xf numFmtId="0" fontId="27" fillId="0" borderId="0" xfId="18" applyFont="1"/>
    <xf numFmtId="178" fontId="74" fillId="0" borderId="0" xfId="18" applyNumberFormat="1" applyFont="1" applyAlignment="1">
      <alignment horizontal="right" vertical="center"/>
    </xf>
    <xf numFmtId="167" fontId="49" fillId="0" borderId="0" xfId="8" applyNumberFormat="1" applyFont="1"/>
    <xf numFmtId="166" fontId="75" fillId="0" borderId="0" xfId="18" applyNumberFormat="1" applyFont="1" applyAlignment="1">
      <alignment horizontal="left"/>
    </xf>
    <xf numFmtId="0" fontId="76" fillId="0" borderId="11" xfId="0" applyFont="1" applyBorder="1"/>
    <xf numFmtId="166" fontId="75" fillId="0" borderId="11" xfId="18" applyNumberFormat="1" applyFont="1" applyBorder="1" applyAlignment="1">
      <alignment horizontal="left"/>
    </xf>
    <xf numFmtId="0" fontId="27" fillId="0" borderId="11" xfId="18" applyFont="1" applyBorder="1" applyAlignment="1">
      <alignment horizontal="right"/>
    </xf>
    <xf numFmtId="0" fontId="77" fillId="0" borderId="0" xfId="18" applyFont="1"/>
    <xf numFmtId="0" fontId="46" fillId="0" borderId="0" xfId="20" applyFont="1" applyAlignment="1">
      <alignment horizontal="center"/>
    </xf>
    <xf numFmtId="174" fontId="16" fillId="0" borderId="0" xfId="18" applyNumberFormat="1"/>
    <xf numFmtId="190" fontId="16" fillId="0" borderId="0" xfId="18" applyNumberFormat="1"/>
    <xf numFmtId="191" fontId="16" fillId="0" borderId="0" xfId="0" applyNumberFormat="1" applyFont="1"/>
    <xf numFmtId="0" fontId="37" fillId="0" borderId="0" xfId="18" applyFont="1" applyAlignment="1">
      <alignment vertical="center"/>
    </xf>
    <xf numFmtId="0" fontId="37" fillId="0" borderId="0" xfId="18" applyFont="1" applyAlignment="1">
      <alignment horizontal="right" vertical="center"/>
    </xf>
    <xf numFmtId="167" fontId="16" fillId="0" borderId="0" xfId="18" applyNumberFormat="1"/>
    <xf numFmtId="0" fontId="79" fillId="0" borderId="0" xfId="0" applyFont="1"/>
    <xf numFmtId="172" fontId="16" fillId="0" borderId="0" xfId="0" applyNumberFormat="1" applyFont="1" applyAlignment="1">
      <alignment horizontal="left"/>
    </xf>
    <xf numFmtId="9" fontId="16" fillId="0" borderId="0" xfId="18" applyNumberFormat="1"/>
    <xf numFmtId="0" fontId="35" fillId="0" borderId="0" xfId="18" applyFont="1" applyAlignment="1">
      <alignment vertical="center"/>
    </xf>
    <xf numFmtId="171" fontId="40" fillId="0" borderId="0" xfId="8" applyNumberFormat="1" applyFont="1" applyAlignment="1">
      <alignment horizontal="right"/>
    </xf>
    <xf numFmtId="0" fontId="80" fillId="0" borderId="0" xfId="0" applyFont="1"/>
    <xf numFmtId="185" fontId="16" fillId="0" borderId="0" xfId="0" applyNumberFormat="1" applyFont="1" applyAlignment="1">
      <alignment horizontal="left"/>
    </xf>
    <xf numFmtId="0" fontId="18" fillId="0" borderId="0" xfId="0" applyFont="1" applyAlignment="1">
      <alignment horizontal="right"/>
    </xf>
    <xf numFmtId="181" fontId="16" fillId="0" borderId="0" xfId="0" applyNumberFormat="1" applyFont="1" applyAlignment="1">
      <alignment horizontal="left"/>
    </xf>
    <xf numFmtId="181" fontId="16" fillId="0" borderId="14" xfId="0" applyNumberFormat="1" applyFont="1" applyBorder="1" applyAlignment="1">
      <alignment horizontal="left"/>
    </xf>
    <xf numFmtId="192" fontId="16" fillId="0" borderId="0" xfId="0" applyNumberFormat="1" applyFont="1" applyAlignment="1">
      <alignment horizontal="center"/>
    </xf>
    <xf numFmtId="0" fontId="81" fillId="0" borderId="0" xfId="0" applyFont="1"/>
    <xf numFmtId="192" fontId="17" fillId="0" borderId="11" xfId="18" applyNumberFormat="1" applyFont="1" applyBorder="1" applyAlignment="1">
      <alignment horizontal="right" vertical="center"/>
    </xf>
    <xf numFmtId="192" fontId="17" fillId="0" borderId="0" xfId="18" applyNumberFormat="1" applyFont="1" applyAlignment="1">
      <alignment horizontal="right" vertical="center"/>
    </xf>
    <xf numFmtId="0" fontId="16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16" fillId="0" borderId="7" xfId="0" applyFont="1" applyBorder="1" applyAlignment="1">
      <alignment horizontal="center"/>
    </xf>
    <xf numFmtId="179" fontId="17" fillId="0" borderId="11" xfId="18" applyNumberFormat="1" applyFont="1" applyBorder="1" applyAlignment="1">
      <alignment horizontal="right" vertical="center"/>
    </xf>
    <xf numFmtId="181" fontId="82" fillId="0" borderId="0" xfId="0" applyNumberFormat="1" applyFont="1" applyAlignment="1">
      <alignment horizontal="center"/>
    </xf>
    <xf numFmtId="179" fontId="24" fillId="0" borderId="0" xfId="0" applyNumberFormat="1" applyFont="1"/>
    <xf numFmtId="0" fontId="28" fillId="2" borderId="0" xfId="18" applyFont="1" applyFill="1"/>
    <xf numFmtId="181" fontId="18" fillId="0" borderId="14" xfId="0" applyNumberFormat="1" applyFont="1" applyBorder="1" applyAlignment="1">
      <alignment horizontal="left"/>
    </xf>
    <xf numFmtId="192" fontId="31" fillId="0" borderId="11" xfId="18" applyNumberFormat="1" applyFont="1" applyBorder="1" applyAlignment="1">
      <alignment horizontal="right" vertical="center"/>
    </xf>
    <xf numFmtId="192" fontId="83" fillId="0" borderId="14" xfId="0" applyNumberFormat="1" applyFont="1" applyBorder="1" applyAlignment="1">
      <alignment horizontal="center"/>
    </xf>
    <xf numFmtId="188" fontId="24" fillId="0" borderId="7" xfId="18" applyNumberFormat="1" applyFont="1" applyBorder="1" applyAlignment="1">
      <alignment horizontal="left"/>
    </xf>
    <xf numFmtId="0" fontId="31" fillId="0" borderId="0" xfId="18" applyFont="1" applyAlignment="1">
      <alignment horizontal="left" vertical="top"/>
    </xf>
    <xf numFmtId="0" fontId="38" fillId="2" borderId="0" xfId="0" applyFont="1" applyFill="1"/>
    <xf numFmtId="193" fontId="0" fillId="0" borderId="0" xfId="0" applyNumberFormat="1"/>
    <xf numFmtId="167" fontId="16" fillId="0" borderId="0" xfId="18" applyNumberFormat="1" applyAlignment="1">
      <alignment horizontal="right"/>
    </xf>
    <xf numFmtId="168" fontId="24" fillId="0" borderId="0" xfId="0" applyNumberFormat="1" applyFont="1"/>
    <xf numFmtId="0" fontId="24" fillId="0" borderId="0" xfId="0" applyFont="1" applyAlignment="1">
      <alignment wrapText="1"/>
    </xf>
    <xf numFmtId="168" fontId="28" fillId="2" borderId="0" xfId="24" applyNumberFormat="1" applyFont="1" applyFill="1" applyAlignment="1">
      <alignment horizontal="left" vertical="center"/>
    </xf>
    <xf numFmtId="0" fontId="80" fillId="0" borderId="7" xfId="18" applyFont="1" applyBorder="1"/>
    <xf numFmtId="183" fontId="16" fillId="0" borderId="0" xfId="18" applyNumberFormat="1" applyAlignment="1">
      <alignment horizontal="left"/>
    </xf>
    <xf numFmtId="194" fontId="16" fillId="0" borderId="0" xfId="18" applyNumberFormat="1"/>
    <xf numFmtId="10" fontId="28" fillId="2" borderId="0" xfId="24" quotePrefix="1" applyNumberFormat="1" applyFont="1" applyFill="1"/>
    <xf numFmtId="168" fontId="28" fillId="2" borderId="0" xfId="24" applyNumberFormat="1" applyFont="1" applyFill="1" applyAlignment="1">
      <alignment horizontal="right"/>
    </xf>
    <xf numFmtId="0" fontId="28" fillId="2" borderId="0" xfId="24" applyNumberFormat="1" applyFont="1" applyFill="1"/>
    <xf numFmtId="168" fontId="28" fillId="2" borderId="0" xfId="24" applyNumberFormat="1" applyFont="1" applyFill="1" applyAlignment="1">
      <alignment horizontal="right" vertical="center"/>
    </xf>
    <xf numFmtId="170" fontId="28" fillId="2" borderId="0" xfId="24" applyNumberFormat="1" applyFont="1" applyFill="1" applyBorder="1" applyAlignment="1">
      <alignment horizontal="right"/>
    </xf>
    <xf numFmtId="169" fontId="28" fillId="2" borderId="0" xfId="24" applyNumberFormat="1" applyFont="1" applyFill="1" applyBorder="1" applyAlignment="1">
      <alignment horizontal="right"/>
    </xf>
    <xf numFmtId="190" fontId="28" fillId="2" borderId="0" xfId="23" applyNumberFormat="1" applyAlignment="1">
      <alignment horizontal="right"/>
    </xf>
    <xf numFmtId="190" fontId="38" fillId="2" borderId="0" xfId="23" applyNumberFormat="1" applyFont="1" applyAlignment="1">
      <alignment horizontal="right"/>
    </xf>
    <xf numFmtId="0" fontId="19" fillId="16" borderId="0" xfId="20" applyFill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0" fontId="91" fillId="0" borderId="0" xfId="20" applyFont="1"/>
    <xf numFmtId="195" fontId="92" fillId="10" borderId="0" xfId="16" applyNumberFormat="1" applyFont="1" applyFill="1" applyAlignment="1">
      <alignment horizontal="right"/>
    </xf>
    <xf numFmtId="195" fontId="93" fillId="15" borderId="0" xfId="18" applyNumberFormat="1" applyFont="1" applyFill="1" applyAlignment="1">
      <alignment horizontal="right" vertical="center"/>
    </xf>
    <xf numFmtId="168" fontId="28" fillId="2" borderId="0" xfId="23" applyNumberFormat="1" applyAlignment="1">
      <alignment horizontal="right"/>
    </xf>
    <xf numFmtId="0" fontId="16" fillId="0" borderId="0" xfId="0" applyFont="1" applyAlignment="1">
      <alignment horizontal="left" indent="2"/>
    </xf>
    <xf numFmtId="177" fontId="28" fillId="2" borderId="8" xfId="18" applyNumberFormat="1" applyFont="1" applyFill="1" applyBorder="1" applyAlignment="1">
      <alignment horizontal="right" vertical="center"/>
    </xf>
    <xf numFmtId="0" fontId="28" fillId="2" borderId="8" xfId="23" applyNumberFormat="1" applyBorder="1" applyAlignment="1">
      <alignment horizontal="center"/>
    </xf>
    <xf numFmtId="0" fontId="16" fillId="0" borderId="0" xfId="20" applyFont="1" applyAlignment="1">
      <alignment horizontal="left"/>
    </xf>
    <xf numFmtId="0" fontId="22" fillId="0" borderId="8" xfId="22" applyNumberFormat="1" applyAlignment="1">
      <alignment horizontal="center"/>
    </xf>
    <xf numFmtId="168" fontId="45" fillId="0" borderId="0" xfId="23" applyNumberFormat="1" applyFont="1" applyFill="1" applyAlignment="1">
      <alignment horizontal="left"/>
    </xf>
    <xf numFmtId="0" fontId="88" fillId="0" borderId="0" xfId="20" applyFont="1" applyAlignment="1">
      <alignment horizontal="left"/>
    </xf>
    <xf numFmtId="0" fontId="96" fillId="0" borderId="0" xfId="18" applyFont="1"/>
    <xf numFmtId="0" fontId="25" fillId="18" borderId="0" xfId="18" applyFont="1" applyFill="1" applyAlignment="1">
      <alignment vertical="center"/>
    </xf>
    <xf numFmtId="0" fontId="22" fillId="19" borderId="0" xfId="18" applyFont="1" applyFill="1"/>
    <xf numFmtId="0" fontId="97" fillId="19" borderId="0" xfId="18" applyFont="1" applyFill="1"/>
    <xf numFmtId="0" fontId="98" fillId="19" borderId="0" xfId="0" applyFont="1" applyFill="1"/>
    <xf numFmtId="0" fontId="99" fillId="0" borderId="0" xfId="18" applyFont="1"/>
    <xf numFmtId="0" fontId="95" fillId="0" borderId="0" xfId="18" applyFont="1"/>
    <xf numFmtId="0" fontId="99" fillId="20" borderId="0" xfId="18" applyFont="1" applyFill="1" applyAlignment="1">
      <alignment horizontal="right"/>
    </xf>
    <xf numFmtId="0" fontId="100" fillId="0" borderId="0" xfId="18" applyFont="1" applyAlignment="1">
      <alignment horizontal="right"/>
    </xf>
    <xf numFmtId="0" fontId="99" fillId="0" borderId="0" xfId="18" applyFont="1" applyAlignment="1">
      <alignment horizontal="right"/>
    </xf>
    <xf numFmtId="196" fontId="99" fillId="21" borderId="0" xfId="34" applyNumberFormat="1" applyFont="1" applyFill="1" applyBorder="1"/>
    <xf numFmtId="0" fontId="100" fillId="0" borderId="12" xfId="18" applyFont="1" applyBorder="1" applyAlignment="1">
      <alignment horizontal="right"/>
    </xf>
    <xf numFmtId="196" fontId="99" fillId="0" borderId="12" xfId="34" applyNumberFormat="1" applyFont="1" applyFill="1" applyBorder="1"/>
    <xf numFmtId="0" fontId="99" fillId="19" borderId="0" xfId="18" applyFont="1" applyFill="1"/>
    <xf numFmtId="196" fontId="99" fillId="0" borderId="12" xfId="18" applyNumberFormat="1" applyFont="1" applyBorder="1"/>
    <xf numFmtId="0" fontId="99" fillId="21" borderId="0" xfId="18" applyFont="1" applyFill="1"/>
    <xf numFmtId="198" fontId="99" fillId="0" borderId="0" xfId="18" applyNumberFormat="1" applyFont="1"/>
    <xf numFmtId="0" fontId="99" fillId="0" borderId="0" xfId="18" applyFont="1" applyAlignment="1">
      <alignment horizontal="left"/>
    </xf>
    <xf numFmtId="0" fontId="100" fillId="0" borderId="0" xfId="18" applyFont="1"/>
    <xf numFmtId="196" fontId="99" fillId="21" borderId="0" xfId="18" applyNumberFormat="1" applyFont="1" applyFill="1"/>
    <xf numFmtId="0" fontId="99" fillId="0" borderId="12" xfId="18" applyFont="1" applyBorder="1"/>
    <xf numFmtId="197" fontId="16" fillId="0" borderId="0" xfId="30" applyNumberFormat="1" applyFont="1"/>
    <xf numFmtId="197" fontId="16" fillId="2" borderId="17" xfId="30" applyNumberFormat="1" applyFont="1" applyFill="1" applyBorder="1"/>
    <xf numFmtId="10" fontId="16" fillId="2" borderId="17" xfId="30" applyNumberFormat="1" applyFont="1" applyFill="1" applyBorder="1"/>
    <xf numFmtId="196" fontId="16" fillId="0" borderId="0" xfId="34" applyNumberFormat="1" applyFont="1" applyFill="1" applyBorder="1"/>
    <xf numFmtId="196" fontId="16" fillId="0" borderId="0" xfId="34" applyNumberFormat="1" applyFont="1" applyFill="1"/>
    <xf numFmtId="9" fontId="16" fillId="27" borderId="17" xfId="35" applyFont="1" applyFill="1" applyBorder="1" applyAlignment="1" applyProtection="1">
      <alignment horizontal="right" vertical="center"/>
      <protection locked="0"/>
    </xf>
    <xf numFmtId="201" fontId="101" fillId="28" borderId="0" xfId="36" applyNumberFormat="1" applyFont="1" applyFill="1"/>
    <xf numFmtId="201" fontId="16" fillId="28" borderId="0" xfId="36" applyNumberFormat="1" applyFill="1"/>
    <xf numFmtId="201" fontId="102" fillId="28" borderId="0" xfId="36" applyNumberFormat="1" applyFont="1" applyFill="1"/>
    <xf numFmtId="201" fontId="63" fillId="28" borderId="0" xfId="18" applyNumberFormat="1" applyFont="1" applyFill="1"/>
    <xf numFmtId="201" fontId="20" fillId="29" borderId="20" xfId="37" applyNumberFormat="1" applyFont="1" applyBorder="1"/>
    <xf numFmtId="201" fontId="20" fillId="29" borderId="21" xfId="37" applyNumberFormat="1" applyFont="1" applyBorder="1" applyAlignment="1">
      <alignment horizontal="center"/>
    </xf>
    <xf numFmtId="201" fontId="20" fillId="29" borderId="22" xfId="37" applyNumberFormat="1" applyFont="1" applyBorder="1" applyAlignment="1">
      <alignment horizontal="center"/>
    </xf>
    <xf numFmtId="201" fontId="104" fillId="29" borderId="22" xfId="37" applyNumberFormat="1" applyFont="1" applyBorder="1" applyAlignment="1">
      <alignment horizontal="center"/>
    </xf>
    <xf numFmtId="201" fontId="18" fillId="0" borderId="23" xfId="36" applyNumberFormat="1" applyFont="1" applyBorder="1"/>
    <xf numFmtId="201" fontId="16" fillId="0" borderId="0" xfId="36" applyNumberFormat="1" applyBorder="1"/>
    <xf numFmtId="201" fontId="16" fillId="0" borderId="24" xfId="36" applyNumberFormat="1" applyBorder="1"/>
    <xf numFmtId="201" fontId="27" fillId="0" borderId="25" xfId="36" applyNumberFormat="1" applyFont="1" applyBorder="1"/>
    <xf numFmtId="201" fontId="16" fillId="0" borderId="23" xfId="36" applyNumberFormat="1" applyBorder="1" applyAlignment="1">
      <alignment horizontal="right"/>
    </xf>
    <xf numFmtId="201" fontId="16" fillId="0" borderId="25" xfId="36" applyNumberFormat="1" applyBorder="1"/>
    <xf numFmtId="201" fontId="16" fillId="0" borderId="25" xfId="34" applyNumberFormat="1" applyFont="1" applyFill="1" applyBorder="1" applyAlignment="1">
      <alignment horizontal="right"/>
    </xf>
    <xf numFmtId="191" fontId="16" fillId="28" borderId="0" xfId="36" applyNumberFormat="1" applyFill="1"/>
    <xf numFmtId="201" fontId="18" fillId="28" borderId="0" xfId="36" applyNumberFormat="1" applyFont="1" applyFill="1"/>
    <xf numFmtId="201" fontId="18" fillId="30" borderId="27" xfId="39" applyNumberFormat="1" applyFont="1" applyBorder="1"/>
    <xf numFmtId="201" fontId="51" fillId="30" borderId="12" xfId="39" applyNumberFormat="1" applyFont="1" applyBorder="1" applyAlignment="1">
      <alignment horizontal="center"/>
    </xf>
    <xf numFmtId="201" fontId="51" fillId="30" borderId="3" xfId="34" applyNumberFormat="1" applyFont="1" applyFill="1" applyBorder="1" applyAlignment="1">
      <alignment horizontal="right"/>
    </xf>
    <xf numFmtId="201" fontId="16" fillId="30" borderId="3" xfId="36" applyNumberFormat="1" applyFill="1" applyBorder="1"/>
    <xf numFmtId="201" fontId="16" fillId="0" borderId="4" xfId="36" applyNumberFormat="1" applyBorder="1"/>
    <xf numFmtId="201" fontId="16" fillId="4" borderId="0" xfId="36" applyNumberFormat="1" applyFill="1" applyBorder="1"/>
    <xf numFmtId="201" fontId="16" fillId="4" borderId="0" xfId="34" applyNumberFormat="1" applyFont="1" applyFill="1" applyBorder="1" applyAlignment="1">
      <alignment horizontal="right"/>
    </xf>
    <xf numFmtId="201" fontId="52" fillId="28" borderId="0" xfId="36" applyNumberFormat="1" applyFont="1" applyFill="1"/>
    <xf numFmtId="201" fontId="63" fillId="28" borderId="0" xfId="36" applyNumberFormat="1" applyFont="1" applyFill="1"/>
    <xf numFmtId="201" fontId="18" fillId="30" borderId="27" xfId="36" applyNumberFormat="1" applyFont="1" applyFill="1" applyBorder="1" applyAlignment="1">
      <alignment horizontal="left"/>
    </xf>
    <xf numFmtId="201" fontId="18" fillId="30" borderId="12" xfId="36" applyNumberFormat="1" applyFont="1" applyFill="1" applyBorder="1" applyAlignment="1">
      <alignment horizontal="right"/>
    </xf>
    <xf numFmtId="201" fontId="18" fillId="0" borderId="23" xfId="36" applyNumberFormat="1" applyFont="1" applyBorder="1" applyAlignment="1">
      <alignment horizontal="left"/>
    </xf>
    <xf numFmtId="201" fontId="18" fillId="30" borderId="28" xfId="39" applyNumberFormat="1" applyFont="1" applyBorder="1"/>
    <xf numFmtId="201" fontId="51" fillId="30" borderId="26" xfId="39" applyNumberFormat="1" applyFont="1" applyAlignment="1">
      <alignment horizontal="center"/>
    </xf>
    <xf numFmtId="201" fontId="51" fillId="30" borderId="29" xfId="39" applyNumberFormat="1" applyFont="1" applyBorder="1" applyAlignment="1">
      <alignment horizontal="right"/>
    </xf>
    <xf numFmtId="201" fontId="16" fillId="0" borderId="30" xfId="36" applyNumberFormat="1" applyBorder="1"/>
    <xf numFmtId="201" fontId="51" fillId="30" borderId="29" xfId="39" applyNumberFormat="1" applyFont="1" applyBorder="1"/>
    <xf numFmtId="201" fontId="18" fillId="30" borderId="31" xfId="39" applyNumberFormat="1" applyFont="1" applyBorder="1"/>
    <xf numFmtId="201" fontId="18" fillId="30" borderId="32" xfId="39" applyNumberFormat="1" applyFont="1" applyBorder="1" applyAlignment="1">
      <alignment horizontal="center"/>
    </xf>
    <xf numFmtId="201" fontId="51" fillId="30" borderId="33" xfId="39" applyNumberFormat="1" applyFont="1" applyBorder="1"/>
    <xf numFmtId="201" fontId="18" fillId="28" borderId="0" xfId="39" applyNumberFormat="1" applyFont="1" applyFill="1" applyBorder="1"/>
    <xf numFmtId="201" fontId="18" fillId="28" borderId="0" xfId="39" applyNumberFormat="1" applyFont="1" applyFill="1" applyBorder="1" applyAlignment="1">
      <alignment horizontal="center"/>
    </xf>
    <xf numFmtId="201" fontId="51" fillId="28" borderId="0" xfId="39" applyNumberFormat="1" applyFont="1" applyFill="1" applyBorder="1"/>
    <xf numFmtId="201" fontId="16" fillId="28" borderId="0" xfId="36" applyNumberFormat="1" applyFill="1" applyBorder="1"/>
    <xf numFmtId="14" fontId="85" fillId="16" borderId="0" xfId="20" applyNumberFormat="1" applyFont="1" applyFill="1"/>
    <xf numFmtId="0" fontId="57" fillId="8" borderId="0" xfId="26" applyFont="1" applyFill="1" applyAlignment="1">
      <alignment horizontal="left" vertical="center"/>
    </xf>
    <xf numFmtId="0" fontId="57" fillId="8" borderId="0" xfId="26" applyFont="1" applyFill="1" applyAlignment="1">
      <alignment vertical="center"/>
    </xf>
    <xf numFmtId="0" fontId="57" fillId="25" borderId="0" xfId="26" applyFont="1" applyFill="1" applyAlignment="1">
      <alignment vertical="center"/>
    </xf>
    <xf numFmtId="9" fontId="35" fillId="26" borderId="17" xfId="27" applyFont="1" applyFill="1" applyBorder="1" applyAlignment="1" applyProtection="1">
      <alignment horizontal="center" vertical="center"/>
      <protection locked="0"/>
    </xf>
    <xf numFmtId="0" fontId="35" fillId="0" borderId="0" xfId="26" applyFont="1" applyAlignment="1">
      <alignment horizontal="left"/>
    </xf>
    <xf numFmtId="199" fontId="35" fillId="26" borderId="17" xfId="26" applyNumberFormat="1" applyFont="1" applyFill="1" applyBorder="1" applyAlignment="1" applyProtection="1">
      <alignment horizontal="left" vertical="center"/>
      <protection locked="0"/>
    </xf>
    <xf numFmtId="0" fontId="35" fillId="0" borderId="0" xfId="26" applyFont="1"/>
    <xf numFmtId="196" fontId="16" fillId="26" borderId="17" xfId="40" applyNumberFormat="1" applyFont="1" applyFill="1" applyBorder="1"/>
    <xf numFmtId="189" fontId="16" fillId="2" borderId="17" xfId="27" applyNumberFormat="1" applyFont="1" applyFill="1" applyBorder="1" applyAlignment="1" applyProtection="1">
      <alignment horizontal="center" vertical="center"/>
      <protection locked="0"/>
    </xf>
    <xf numFmtId="9" fontId="16" fillId="2" borderId="17" xfId="27" applyFont="1" applyFill="1" applyBorder="1" applyAlignment="1" applyProtection="1">
      <alignment horizontal="center" vertical="center"/>
      <protection locked="0"/>
    </xf>
    <xf numFmtId="9" fontId="16" fillId="27" borderId="17" xfId="27" applyFont="1" applyFill="1" applyBorder="1" applyAlignment="1" applyProtection="1">
      <alignment horizontal="left" vertical="center"/>
      <protection locked="0"/>
    </xf>
    <xf numFmtId="203" fontId="16" fillId="27" borderId="17" xfId="27" applyNumberFormat="1" applyFont="1" applyFill="1" applyBorder="1" applyAlignment="1" applyProtection="1">
      <alignment horizontal="left" vertical="center"/>
      <protection locked="0"/>
    </xf>
    <xf numFmtId="196" fontId="16" fillId="27" borderId="17" xfId="27" applyNumberFormat="1" applyFont="1" applyFill="1" applyBorder="1" applyAlignment="1" applyProtection="1">
      <alignment horizontal="left" vertical="center"/>
      <protection locked="0"/>
    </xf>
    <xf numFmtId="10" fontId="16" fillId="2" borderId="17" xfId="27" applyNumberFormat="1" applyFont="1" applyFill="1" applyBorder="1" applyAlignment="1" applyProtection="1">
      <alignment horizontal="center" vertical="center"/>
      <protection locked="0"/>
    </xf>
    <xf numFmtId="0" fontId="57" fillId="8" borderId="0" xfId="26" applyFont="1" applyFill="1" applyAlignment="1">
      <alignment horizontal="left" vertical="center" wrapText="1"/>
    </xf>
    <xf numFmtId="0" fontId="57" fillId="8" borderId="0" xfId="26" applyFont="1" applyFill="1" applyAlignment="1">
      <alignment horizontal="center" vertical="center"/>
    </xf>
    <xf numFmtId="0" fontId="57" fillId="22" borderId="0" xfId="26" applyFont="1" applyFill="1" applyAlignment="1">
      <alignment vertical="center"/>
    </xf>
    <xf numFmtId="9" fontId="16" fillId="0" borderId="0" xfId="26" applyNumberFormat="1" applyFont="1" applyAlignment="1">
      <alignment horizontal="center"/>
    </xf>
    <xf numFmtId="196" fontId="16" fillId="0" borderId="0" xfId="26" applyNumberFormat="1" applyFont="1" applyAlignment="1">
      <alignment horizontal="left"/>
    </xf>
    <xf numFmtId="200" fontId="16" fillId="0" borderId="0" xfId="26" applyNumberFormat="1" applyFont="1" applyAlignment="1">
      <alignment horizontal="center"/>
    </xf>
    <xf numFmtId="196" fontId="35" fillId="0" borderId="0" xfId="26" applyNumberFormat="1" applyFont="1" applyAlignment="1">
      <alignment horizontal="left"/>
    </xf>
    <xf numFmtId="0" fontId="35" fillId="0" borderId="18" xfId="26" applyFont="1" applyBorder="1" applyAlignment="1">
      <alignment horizontal="left"/>
    </xf>
    <xf numFmtId="0" fontId="37" fillId="23" borderId="18" xfId="26" applyFont="1" applyFill="1" applyBorder="1" applyAlignment="1">
      <alignment horizontal="left"/>
    </xf>
    <xf numFmtId="196" fontId="37" fillId="23" borderId="18" xfId="26" applyNumberFormat="1" applyFont="1" applyFill="1" applyBorder="1" applyAlignment="1">
      <alignment horizontal="left"/>
    </xf>
    <xf numFmtId="0" fontId="16" fillId="0" borderId="0" xfId="26" applyFont="1" applyAlignment="1">
      <alignment horizontal="left"/>
    </xf>
    <xf numFmtId="0" fontId="37" fillId="24" borderId="0" xfId="26" applyFont="1" applyFill="1" applyAlignment="1">
      <alignment horizontal="left"/>
    </xf>
    <xf numFmtId="196" fontId="35" fillId="24" borderId="0" xfId="26" applyNumberFormat="1" applyFont="1" applyFill="1" applyAlignment="1">
      <alignment horizontal="left"/>
    </xf>
    <xf numFmtId="1" fontId="28" fillId="2" borderId="8" xfId="18" applyNumberFormat="1" applyFont="1" applyFill="1" applyBorder="1" applyAlignment="1">
      <alignment horizontal="right" vertical="center"/>
    </xf>
    <xf numFmtId="1" fontId="0" fillId="0" borderId="0" xfId="0" applyNumberFormat="1"/>
    <xf numFmtId="196" fontId="99" fillId="0" borderId="0" xfId="34" applyNumberFormat="1" applyFont="1"/>
    <xf numFmtId="196" fontId="99" fillId="0" borderId="0" xfId="18" applyNumberFormat="1" applyFont="1"/>
    <xf numFmtId="196" fontId="22" fillId="2" borderId="0" xfId="34" applyNumberFormat="1" applyFont="1" applyFill="1"/>
    <xf numFmtId="204" fontId="90" fillId="0" borderId="0" xfId="20" applyNumberFormat="1" applyFont="1" applyAlignment="1">
      <alignment horizontal="left"/>
    </xf>
    <xf numFmtId="0" fontId="16" fillId="13" borderId="4" xfId="18" applyFill="1" applyBorder="1" applyAlignment="1">
      <alignment horizontal="left" vertical="top"/>
    </xf>
    <xf numFmtId="0" fontId="16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6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8" fillId="2" borderId="13" xfId="23" applyNumberFormat="1" applyBorder="1" applyAlignment="1">
      <alignment horizontal="left"/>
    </xf>
    <xf numFmtId="185" fontId="28" fillId="2" borderId="14" xfId="23" applyNumberFormat="1" applyBorder="1" applyAlignment="1">
      <alignment horizontal="left"/>
    </xf>
    <xf numFmtId="185" fontId="28" fillId="2" borderId="15" xfId="23" applyNumberFormat="1" applyBorder="1" applyAlignment="1">
      <alignment horizontal="left"/>
    </xf>
    <xf numFmtId="0" fontId="38" fillId="2" borderId="0" xfId="0" applyFont="1" applyFill="1" applyAlignment="1">
      <alignment horizontal="left"/>
    </xf>
    <xf numFmtId="0" fontId="28" fillId="2" borderId="0" xfId="24" applyNumberFormat="1" applyFont="1" applyFill="1" applyBorder="1" applyAlignment="1">
      <alignment horizontal="left" vertical="top"/>
    </xf>
    <xf numFmtId="0" fontId="28" fillId="2" borderId="0" xfId="18" applyFont="1" applyFill="1" applyAlignment="1">
      <alignment horizontal="left" vertical="top"/>
    </xf>
  </cellXfs>
  <cellStyles count="41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" xfId="34" builtinId="4"/>
    <cellStyle name="Currency 2" xfId="40" xr:uid="{29E0F601-1865-45DF-8562-C9EFB7CCED3B}"/>
    <cellStyle name="Currency 2 2" xfId="29" xr:uid="{F29057D5-5718-441F-8CAD-00B1D320E1EF}"/>
    <cellStyle name="Currency 3" xfId="38" xr:uid="{736E1ABA-CEF7-424D-A289-3EF5EF2389E1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6" xfId="36" xr:uid="{50578795-B093-46F7-A92F-26F90440A18E}"/>
    <cellStyle name="Normal 8" xfId="28" xr:uid="{A72DEBFF-D704-40A2-B10B-0D568324BDB3}"/>
    <cellStyle name="Offsheet" xfId="10" xr:uid="{00000000-0005-0000-0000-000012000000}"/>
    <cellStyle name="Percent" xfId="35" builtinId="5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 Heading" xfId="37" xr:uid="{C83672F4-C60D-4455-A485-5452E297639E}"/>
    <cellStyle name="Table Total Row" xfId="39" xr:uid="{C5813E39-6D91-4C69-AD2E-DBC5BA9A9C16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FFFFCC"/>
      <color rgb="FF66FFFF"/>
      <color rgb="FF00215B"/>
      <color rgb="FF3333FF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2419270833333327E-2"/>
          <c:y val="9.2846486361162939E-2"/>
          <c:w val="0.89336527777777774"/>
          <c:h val="0.71628514056224879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2 annualised capex</c:v>
                </c:pt>
              </c:strCache>
            </c:strRef>
          </c:tx>
          <c:spPr>
            <a:ln w="28575" cap="rnd">
              <a:solidFill>
                <a:srgbClr val="EE2A24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0.28800861007809153</c:v>
                </c:pt>
                <c:pt idx="1">
                  <c:v>0.28800861007809153</c:v>
                </c:pt>
                <c:pt idx="2">
                  <c:v>0.28800861007809153</c:v>
                </c:pt>
                <c:pt idx="3">
                  <c:v>0.28800861007809153</c:v>
                </c:pt>
                <c:pt idx="4">
                  <c:v>0.28800861007809153</c:v>
                </c:pt>
                <c:pt idx="5">
                  <c:v>0.28800861007809153</c:v>
                </c:pt>
                <c:pt idx="6">
                  <c:v>0.28800861007809153</c:v>
                </c:pt>
                <c:pt idx="7">
                  <c:v>0.28800861007809153</c:v>
                </c:pt>
                <c:pt idx="8">
                  <c:v>0.28800861007809153</c:v>
                </c:pt>
                <c:pt idx="9">
                  <c:v>0.28800861007809153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0-440B-9C44-4F49152E2503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FABFA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0.50102649596568316</c:v>
                </c:pt>
                <c:pt idx="1">
                  <c:v>0.51283673132127239</c:v>
                </c:pt>
                <c:pt idx="2">
                  <c:v>0.52346003270160357</c:v>
                </c:pt>
                <c:pt idx="3">
                  <c:v>0.53196758471319994</c:v>
                </c:pt>
                <c:pt idx="4">
                  <c:v>0.53727668777020943</c:v>
                </c:pt>
                <c:pt idx="5">
                  <c:v>0.54399798215012241</c:v>
                </c:pt>
                <c:pt idx="6">
                  <c:v>0.55626517956046018</c:v>
                </c:pt>
                <c:pt idx="7">
                  <c:v>0.57035083451090263</c:v>
                </c:pt>
                <c:pt idx="8">
                  <c:v>0.57564899692074434</c:v>
                </c:pt>
                <c:pt idx="9">
                  <c:v>0.58566299848755543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80-440B-9C44-4F49152E2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-#,##0.0;\ 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solidFill>
          <a:srgbClr val="F2F2F2"/>
        </a:solidFill>
      </c:spPr>
    </c:plotArea>
    <c:legend>
      <c:legendPos val="b"/>
      <c:layout>
        <c:manualLayout>
          <c:xMode val="edge"/>
          <c:yMode val="edge"/>
          <c:x val="0.11724253472222222"/>
          <c:y val="0.895394146278088"/>
          <c:w val="0.7429276041666667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4662326388888894E-2"/>
          <c:y val="8.5556894243641227E-2"/>
          <c:w val="0.89773680555555535"/>
          <c:h val="0.815847054886211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Consol!$H$99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solidFill>
              <a:srgbClr val="EE2A24"/>
            </a:solidFill>
            <a:ln>
              <a:solidFill>
                <a:srgbClr val="F2F2F2"/>
              </a:solidFill>
            </a:ln>
            <a:effectLst/>
          </c:spPr>
          <c:invertIfNegative val="0"/>
          <c:cat>
            <c:strRef>
              <c:f>Consol!$I$97:$R$97</c:f>
              <c:strCache>
                <c:ptCount val="10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</c:strCache>
            </c:strRef>
          </c:cat>
          <c:val>
            <c:numRef>
              <c:f>Consol!$I$99:$R$99</c:f>
              <c:numCache>
                <c:formatCode>#,##0;[Red]\ \-#,##0;\ "-"</c:formatCode>
                <c:ptCount val="10"/>
                <c:pt idx="0">
                  <c:v>0.28532088237505032</c:v>
                </c:pt>
                <c:pt idx="1">
                  <c:v>0.29528736990711218</c:v>
                </c:pt>
                <c:pt idx="2">
                  <c:v>0.3041737203946443</c:v>
                </c:pt>
                <c:pt idx="3">
                  <c:v>0.31114070030877528</c:v>
                </c:pt>
                <c:pt idx="4">
                  <c:v>0.31521002787676283</c:v>
                </c:pt>
                <c:pt idx="5">
                  <c:v>0.32054786498746501</c:v>
                </c:pt>
                <c:pt idx="6">
                  <c:v>0.33088942654053799</c:v>
                </c:pt>
                <c:pt idx="7">
                  <c:v>0.342866661418046</c:v>
                </c:pt>
                <c:pt idx="8">
                  <c:v>0.34689616870255208</c:v>
                </c:pt>
                <c:pt idx="9">
                  <c:v>0.35517945820060187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25-495D-AA2E-7DB041CBA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78026431"/>
        <c:axId val="1578022271"/>
      </c:bar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rgbClr val="F2F2F2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552450</xdr:colOff>
      <xdr:row>1</xdr:row>
      <xdr:rowOff>9525</xdr:rowOff>
    </xdr:from>
    <xdr:to>
      <xdr:col>10</xdr:col>
      <xdr:colOff>209550</xdr:colOff>
      <xdr:row>5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F00B7E8-C7B1-45B4-A573-63C215CA5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200025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349248</xdr:colOff>
      <xdr:row>38</xdr:row>
      <xdr:rowOff>133849</xdr:rowOff>
    </xdr:from>
    <xdr:to>
      <xdr:col>11</xdr:col>
      <xdr:colOff>1089013</xdr:colOff>
      <xdr:row>57</xdr:row>
      <xdr:rowOff>141084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F500AE-B449-4C5D-99EE-7C7D4B42E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67797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31:$AD$32" spid="_x0000_s4034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14:$AA$19" spid="_x0000_s4034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workbookViewId="0"/>
  </sheetViews>
  <sheetFormatPr defaultColWidth="0" defaultRowHeight="15" customHeight="1" zeroHeight="1" x14ac:dyDescent="0.35"/>
  <cols>
    <col min="1" max="1" width="8" style="109" customWidth="1"/>
    <col min="2" max="2" width="1.84375" style="109" customWidth="1"/>
    <col min="3" max="3" width="14" style="109" customWidth="1"/>
    <col min="4" max="4" width="8" style="109" customWidth="1"/>
    <col min="5" max="5" width="9.3828125" style="109" customWidth="1"/>
    <col min="6" max="11" width="8" style="109" customWidth="1"/>
    <col min="12" max="19" width="8" style="109" hidden="1" customWidth="1"/>
    <col min="20" max="16384" width="0" style="109" hidden="1"/>
  </cols>
  <sheetData>
    <row r="1" spans="1:19" ht="14.5" x14ac:dyDescent="0.35">
      <c r="A1" s="263"/>
    </row>
    <row r="2" spans="1:19" ht="23" x14ac:dyDescent="0.5">
      <c r="A2" s="263"/>
      <c r="C2" s="264" t="s">
        <v>0</v>
      </c>
      <c r="D2" s="265"/>
      <c r="E2" s="265"/>
    </row>
    <row r="3" spans="1:19" ht="15.5" x14ac:dyDescent="0.35">
      <c r="A3" s="263"/>
      <c r="C3" s="266" t="s">
        <v>349</v>
      </c>
      <c r="D3" s="265"/>
      <c r="E3" s="265"/>
    </row>
    <row r="4" spans="1:19" ht="14.5" x14ac:dyDescent="0.35">
      <c r="A4" s="263"/>
      <c r="D4" s="265"/>
      <c r="E4" s="265"/>
    </row>
    <row r="5" spans="1:19" ht="14.5" x14ac:dyDescent="0.35">
      <c r="A5" s="263"/>
      <c r="C5" s="267" t="s">
        <v>1</v>
      </c>
    </row>
    <row r="6" spans="1:19" ht="14.5" x14ac:dyDescent="0.35">
      <c r="A6" s="263"/>
      <c r="C6" s="268" t="s">
        <v>2</v>
      </c>
      <c r="D6" s="280" t="s">
        <v>348</v>
      </c>
      <c r="E6" s="268"/>
    </row>
    <row r="7" spans="1:19" ht="14.5" x14ac:dyDescent="0.35">
      <c r="A7" s="263"/>
      <c r="F7" s="269"/>
      <c r="G7" s="269"/>
      <c r="H7" s="269"/>
      <c r="J7" s="269"/>
      <c r="K7" s="269"/>
      <c r="L7" s="269"/>
      <c r="M7" s="269"/>
      <c r="N7" s="269"/>
      <c r="O7" s="269"/>
      <c r="P7" s="269"/>
      <c r="Q7" s="269"/>
      <c r="R7" s="269"/>
      <c r="S7" s="269"/>
    </row>
    <row r="8" spans="1:19" ht="14.5" x14ac:dyDescent="0.35">
      <c r="A8" s="263"/>
      <c r="C8" s="382">
        <v>45992</v>
      </c>
      <c r="F8" s="269"/>
      <c r="G8" s="269"/>
      <c r="H8" s="269"/>
      <c r="J8" s="269"/>
      <c r="K8" s="269"/>
      <c r="L8" s="269"/>
      <c r="M8" s="269"/>
      <c r="N8" s="269"/>
      <c r="O8" s="269"/>
      <c r="P8" s="269"/>
      <c r="Q8" s="269"/>
      <c r="R8" s="269"/>
      <c r="S8" s="269"/>
    </row>
    <row r="9" spans="1:19" ht="14.5" x14ac:dyDescent="0.35">
      <c r="A9" s="263"/>
      <c r="C9" s="270"/>
      <c r="D9" s="270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</row>
    <row r="10" spans="1:19" ht="14.5" x14ac:dyDescent="0.35">
      <c r="A10" s="263"/>
      <c r="C10" s="270"/>
      <c r="D10" s="270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</row>
    <row r="11" spans="1:19" ht="14.5" x14ac:dyDescent="0.35">
      <c r="A11" s="263"/>
      <c r="C11" s="270"/>
      <c r="D11" s="270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</row>
    <row r="12" spans="1:19" ht="14.5" x14ac:dyDescent="0.35">
      <c r="A12" s="263"/>
      <c r="C12" s="270"/>
      <c r="D12" s="270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</row>
    <row r="13" spans="1:19" ht="14.5" x14ac:dyDescent="0.35">
      <c r="A13" s="263"/>
      <c r="C13" s="270"/>
      <c r="D13" s="270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</row>
    <row r="14" spans="1:19" ht="14.5" x14ac:dyDescent="0.35">
      <c r="A14" s="263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</row>
    <row r="15" spans="1:19" ht="14.5" x14ac:dyDescent="0.35">
      <c r="A15" s="263"/>
      <c r="C15" s="267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</row>
    <row r="16" spans="1:19" ht="14.5" x14ac:dyDescent="0.35">
      <c r="A16" s="263"/>
      <c r="C16" s="267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</row>
    <row r="17" spans="1:19" ht="14.5" x14ac:dyDescent="0.35">
      <c r="A17" s="263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</row>
    <row r="18" spans="1:19" ht="14.5" x14ac:dyDescent="0.35">
      <c r="A18" s="263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</row>
    <row r="19" spans="1:19" ht="14.5" x14ac:dyDescent="0.35">
      <c r="A19" s="263"/>
      <c r="C19" s="269"/>
      <c r="D19" s="269"/>
      <c r="E19" s="269"/>
      <c r="F19" s="269"/>
      <c r="G1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</row>
    <row r="20" spans="1:19" ht="14.5" x14ac:dyDescent="0.35">
      <c r="A20" s="263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</row>
    <row r="21" spans="1:19" ht="16.5" customHeight="1" x14ac:dyDescent="0.35">
      <c r="A21" s="263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</row>
    <row r="22" spans="1:19" ht="14.5" x14ac:dyDescent="0.35">
      <c r="A22" s="263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</row>
    <row r="23" spans="1:19" ht="14.5" x14ac:dyDescent="0.35">
      <c r="A23" s="263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</row>
    <row r="24" spans="1:19" ht="14.5" x14ac:dyDescent="0.35">
      <c r="A24" s="263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</row>
    <row r="25" spans="1:19" ht="14.5" x14ac:dyDescent="0.35">
      <c r="A25" s="263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</row>
    <row r="26" spans="1:19" ht="14.5" x14ac:dyDescent="0.35">
      <c r="A26" s="263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</row>
    <row r="27" spans="1:19" ht="14.5" x14ac:dyDescent="0.35">
      <c r="A27" s="263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</row>
    <row r="28" spans="1:19" ht="14.5" x14ac:dyDescent="0.35">
      <c r="A28" s="263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</row>
    <row r="29" spans="1:19" ht="14.5" x14ac:dyDescent="0.35">
      <c r="A29" s="263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</row>
    <row r="30" spans="1:19" ht="14.5" x14ac:dyDescent="0.35">
      <c r="A30" s="263"/>
      <c r="C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</row>
    <row r="31" spans="1:19" ht="14.5" x14ac:dyDescent="0.35">
      <c r="A31" s="263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</row>
    <row r="32" spans="1:19" ht="14.5" x14ac:dyDescent="0.35">
      <c r="A32" s="263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</row>
    <row r="33" spans="1:19" ht="14.5" x14ac:dyDescent="0.35">
      <c r="A33" s="263"/>
      <c r="E33" s="269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</row>
    <row r="34" spans="1:19" ht="14.5" x14ac:dyDescent="0.35">
      <c r="A34" s="263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</row>
    <row r="35" spans="1:19" ht="14.5" x14ac:dyDescent="0.35">
      <c r="A35" s="263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</row>
    <row r="36" spans="1:19" ht="14.5" x14ac:dyDescent="0.35">
      <c r="A36" s="263"/>
    </row>
    <row r="37" spans="1:19" ht="14.5" x14ac:dyDescent="0.35">
      <c r="A37" s="263"/>
    </row>
    <row r="38" spans="1:19" ht="14.5" x14ac:dyDescent="0.35">
      <c r="A38" s="263"/>
    </row>
    <row r="39" spans="1:19" ht="14.5" x14ac:dyDescent="0.35">
      <c r="A39" s="263"/>
    </row>
    <row r="40" spans="1:19" ht="14.5" x14ac:dyDescent="0.35">
      <c r="A40" s="263">
        <f ca="1">_xlfn.SHEETS()</f>
        <v>16</v>
      </c>
    </row>
    <row r="41" spans="1:19" ht="14.5" x14ac:dyDescent="0.35">
      <c r="A41" s="349">
        <v>45978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20.765625" style="8" customWidth="1"/>
    <col min="3" max="3" width="20.4609375" style="8" customWidth="1"/>
    <col min="4" max="4" width="16.84375" style="8" bestFit="1" customWidth="1"/>
    <col min="5" max="5" width="12.3828125" style="8" customWidth="1"/>
    <col min="6" max="6" width="14.23046875" customWidth="1"/>
    <col min="7" max="7" width="11.613281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5" x14ac:dyDescent="0.45">
      <c r="A2" s="50" t="str">
        <f>proj</f>
        <v>CHA transformer replacement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5" x14ac:dyDescent="0.45">
      <c r="A3" s="178" t="s">
        <v>166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3">
      <c r="A4" s="102"/>
      <c r="B4" s="102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3" s="2" customFormat="1" ht="13" hidden="1" outlineLevel="1" x14ac:dyDescent="0.3">
      <c r="A5" s="86" t="s">
        <v>162</v>
      </c>
      <c r="B5" s="86"/>
      <c r="D5" s="87"/>
      <c r="E5" s="86"/>
      <c r="F5" s="86"/>
      <c r="G5" s="89"/>
      <c r="H5" s="164">
        <f>Consol!H5</f>
        <v>0</v>
      </c>
      <c r="I5" s="164">
        <f>Consol!I5</f>
        <v>0.98294637436598087</v>
      </c>
      <c r="J5" s="164">
        <f>Consol!J5</f>
        <v>0.94970664189949849</v>
      </c>
      <c r="K5" s="164">
        <f>Consol!K5</f>
        <v>0.91759095835700344</v>
      </c>
      <c r="L5" s="164">
        <f>Consol!L5</f>
        <v>0.88656131242222558</v>
      </c>
      <c r="M5" s="164">
        <f>Consol!M5</f>
        <v>0.85658097818572532</v>
      </c>
      <c r="N5" s="164">
        <f>Consol!N5</f>
        <v>0.8276144716770294</v>
      </c>
      <c r="O5" s="164">
        <f>Consol!O5</f>
        <v>0.79962750886669509</v>
      </c>
      <c r="P5" s="164">
        <f>Consol!P5</f>
        <v>0.77258696508859437</v>
      </c>
      <c r="Q5" s="164">
        <f>Consol!Q5</f>
        <v>0.74646083583439071</v>
      </c>
      <c r="R5" s="164">
        <f>Consol!R5</f>
        <v>0.72121819887380756</v>
      </c>
      <c r="S5" s="164">
        <f>Consol!S5</f>
        <v>0.69682917765585273</v>
      </c>
      <c r="T5" s="164">
        <f>Consol!T5</f>
        <v>0.67326490594768384</v>
      </c>
      <c r="U5" s="164">
        <f>Consol!U5</f>
        <v>0.6504974936692598</v>
      </c>
      <c r="V5" s="164">
        <f>Consol!V5</f>
        <v>0.62849999388334288</v>
      </c>
      <c r="W5" s="164">
        <f>Consol!W5</f>
        <v>0.60724637090178057</v>
      </c>
      <c r="X5" s="164">
        <f>Consol!X5</f>
        <v>0.58671146947031949</v>
      </c>
      <c r="Y5" s="164">
        <f>Consol!Y5</f>
        <v>0.56687098499547783</v>
      </c>
      <c r="Z5" s="164">
        <f>Consol!Z5</f>
        <v>0.54770143477823952</v>
      </c>
      <c r="AA5" s="164">
        <f>Consol!AA5</f>
        <v>0.52918013022052135</v>
      </c>
      <c r="AB5" s="164">
        <f>Consol!AB5</f>
        <v>0.5112851499715183</v>
      </c>
      <c r="AC5" s="164">
        <f>Consol!AC5</f>
        <v>0.4939953139821433</v>
      </c>
      <c r="AD5" s="164">
        <f>Consol!AD5</f>
        <v>0.47729015843685346</v>
      </c>
      <c r="AE5" s="164">
        <f>Consol!AE5</f>
        <v>0.46114991153319179</v>
      </c>
      <c r="AF5" s="164">
        <f>Consol!AF5</f>
        <v>0.4455554700803786</v>
      </c>
      <c r="AG5" s="164">
        <f>Consol!AG5</f>
        <v>0.43048837688925473</v>
      </c>
    </row>
    <row r="6" spans="1:33" s="2" customFormat="1" ht="13" hidden="1" outlineLevel="1" x14ac:dyDescent="0.3">
      <c r="A6" s="165" t="str">
        <f>'Option1 (base case)'!A6</f>
        <v>Count</v>
      </c>
      <c r="B6" s="86"/>
      <c r="D6" s="87"/>
      <c r="E6" s="86"/>
      <c r="F6" s="86"/>
      <c r="G6" s="89"/>
      <c r="H6" s="165">
        <f>Consol!H6</f>
        <v>0</v>
      </c>
      <c r="I6" s="165">
        <f>Consol!I6</f>
        <v>1</v>
      </c>
      <c r="J6" s="165">
        <f>Consol!J6</f>
        <v>2</v>
      </c>
      <c r="K6" s="165">
        <f>Consol!K6</f>
        <v>3</v>
      </c>
      <c r="L6" s="165">
        <f>Consol!L6</f>
        <v>4</v>
      </c>
      <c r="M6" s="165">
        <f>Consol!M6</f>
        <v>5</v>
      </c>
      <c r="N6" s="165">
        <f>Consol!N6</f>
        <v>6</v>
      </c>
      <c r="O6" s="165">
        <f>Consol!O6</f>
        <v>7</v>
      </c>
      <c r="P6" s="165">
        <f>Consol!P6</f>
        <v>8</v>
      </c>
      <c r="Q6" s="165">
        <f>Consol!Q6</f>
        <v>9</v>
      </c>
      <c r="R6" s="165">
        <f>Consol!R6</f>
        <v>10</v>
      </c>
      <c r="S6" s="165">
        <f>Consol!S6</f>
        <v>11</v>
      </c>
      <c r="T6" s="165">
        <f>Consol!T6</f>
        <v>12</v>
      </c>
      <c r="U6" s="165">
        <f>Consol!U6</f>
        <v>13</v>
      </c>
      <c r="V6" s="165">
        <f>Consol!V6</f>
        <v>14</v>
      </c>
      <c r="W6" s="165">
        <f>Consol!W6</f>
        <v>15</v>
      </c>
      <c r="X6" s="165">
        <f>Consol!X6</f>
        <v>16</v>
      </c>
      <c r="Y6" s="165">
        <f>Consol!Y6</f>
        <v>17</v>
      </c>
      <c r="Z6" s="165">
        <f>Consol!Z6</f>
        <v>18</v>
      </c>
      <c r="AA6" s="165">
        <f>Consol!AA6</f>
        <v>19</v>
      </c>
      <c r="AB6" s="165">
        <f>Consol!AB6</f>
        <v>20</v>
      </c>
      <c r="AC6" s="165">
        <f>Consol!AC6</f>
        <v>21</v>
      </c>
      <c r="AD6" s="165">
        <f>Consol!AD6</f>
        <v>22</v>
      </c>
      <c r="AE6" s="165">
        <f>Consol!AE6</f>
        <v>23</v>
      </c>
      <c r="AF6" s="165">
        <f>Consol!AF6</f>
        <v>24</v>
      </c>
      <c r="AG6" s="165">
        <f>Consol!AG6</f>
        <v>25</v>
      </c>
    </row>
    <row r="7" spans="1:33" s="2" customFormat="1" ht="13" hidden="1" outlineLevel="1" x14ac:dyDescent="0.3">
      <c r="A7" s="86" t="s">
        <v>163</v>
      </c>
      <c r="B7" s="86"/>
      <c r="D7" s="87"/>
      <c r="E7" s="86"/>
      <c r="F7" s="86"/>
      <c r="G7" s="89"/>
      <c r="H7" s="224" t="b">
        <f>Consol!H7</f>
        <v>1</v>
      </c>
      <c r="I7" s="224" t="b">
        <f>Consol!I7</f>
        <v>1</v>
      </c>
      <c r="J7" s="224" t="b">
        <f>Consol!J7</f>
        <v>1</v>
      </c>
      <c r="K7" s="224" t="b">
        <f>Consol!K7</f>
        <v>1</v>
      </c>
      <c r="L7" s="224" t="b">
        <f>Consol!L7</f>
        <v>1</v>
      </c>
      <c r="M7" s="224" t="b">
        <f>Consol!M7</f>
        <v>1</v>
      </c>
      <c r="N7" s="224" t="b">
        <f>Consol!N7</f>
        <v>1</v>
      </c>
      <c r="O7" s="224" t="b">
        <f>Consol!O7</f>
        <v>1</v>
      </c>
      <c r="P7" s="224" t="b">
        <f>Consol!P7</f>
        <v>1</v>
      </c>
      <c r="Q7" s="224" t="b">
        <f>Consol!Q7</f>
        <v>1</v>
      </c>
      <c r="R7" s="224" t="b">
        <f>Consol!R7</f>
        <v>1</v>
      </c>
      <c r="S7" s="224" t="b">
        <f>Consol!S7</f>
        <v>1</v>
      </c>
      <c r="T7" s="224" t="b">
        <f>Consol!T7</f>
        <v>1</v>
      </c>
      <c r="U7" s="224" t="b">
        <f>Consol!U7</f>
        <v>1</v>
      </c>
      <c r="V7" s="224" t="b">
        <f>Consol!V7</f>
        <v>1</v>
      </c>
      <c r="W7" s="224" t="b">
        <f>Consol!W7</f>
        <v>1</v>
      </c>
      <c r="X7" s="224" t="b">
        <f>Consol!X7</f>
        <v>1</v>
      </c>
      <c r="Y7" s="224" t="b">
        <f>Consol!Y7</f>
        <v>1</v>
      </c>
      <c r="Z7" s="224" t="b">
        <f>Consol!Z7</f>
        <v>1</v>
      </c>
      <c r="AA7" s="224" t="b">
        <f>Consol!AA7</f>
        <v>1</v>
      </c>
      <c r="AB7" s="224" t="b">
        <f>Consol!AB7</f>
        <v>1</v>
      </c>
      <c r="AC7" s="224" t="b">
        <f>Consol!AC7</f>
        <v>0</v>
      </c>
      <c r="AD7" s="224" t="b">
        <f>Consol!AD7</f>
        <v>0</v>
      </c>
      <c r="AE7" s="224" t="b">
        <f>Consol!AE7</f>
        <v>0</v>
      </c>
      <c r="AF7" s="224" t="b">
        <f>Consol!AF7</f>
        <v>0</v>
      </c>
      <c r="AG7" s="224" t="b">
        <f>Consol!AG7</f>
        <v>0</v>
      </c>
    </row>
    <row r="8" spans="1:33" s="2" customFormat="1" ht="4.5" customHeight="1" collapsed="1" x14ac:dyDescent="0.3"/>
    <row r="9" spans="1:33" s="2" customFormat="1" ht="14.5" x14ac:dyDescent="0.35">
      <c r="A9" s="17"/>
      <c r="B9" s="17"/>
      <c r="C9" s="17"/>
      <c r="D9" s="17"/>
      <c r="E9" s="17"/>
      <c r="F9" s="73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ht="13" x14ac:dyDescent="0.3">
      <c r="D10" s="7"/>
      <c r="E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4.5" x14ac:dyDescent="0.3">
      <c r="A11" s="78"/>
      <c r="B11" s="78"/>
      <c r="C11" s="78"/>
      <c r="D11" s="79"/>
      <c r="E11" s="79"/>
      <c r="F11" s="63" t="s">
        <v>4</v>
      </c>
      <c r="G11" s="196"/>
      <c r="H11" s="103" t="str" cm="1">
        <f t="array" ref="H11">IF(H6=$D$4,UPPER($A$4),IF(H6=end,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3" s="2" customFormat="1" ht="13" x14ac:dyDescent="0.3">
      <c r="A12" s="217"/>
      <c r="B12" s="217"/>
      <c r="C12" s="217"/>
      <c r="D12" s="217"/>
      <c r="E12" s="217"/>
      <c r="F12" s="217"/>
      <c r="G12" s="21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204216.95644209057</v>
      </c>
      <c r="AA12" s="28">
        <f>Consol!AB36</f>
        <v>206980.16479907936</v>
      </c>
      <c r="AB12" s="28">
        <f>Consol!AC36</f>
        <v>0</v>
      </c>
      <c r="AC12" s="28">
        <f>Consol!AD36</f>
        <v>0</v>
      </c>
      <c r="AD12" s="28">
        <f>Consol!AE36</f>
        <v>0</v>
      </c>
      <c r="AE12" s="28">
        <f>Consol!AF36</f>
        <v>0</v>
      </c>
      <c r="AF12" s="28">
        <f>Consol!AG36</f>
        <v>0</v>
      </c>
      <c r="AG12" s="218"/>
    </row>
    <row r="13" spans="1:33" s="2" customFormat="1" ht="13" x14ac:dyDescent="0.3">
      <c r="A13" s="217"/>
      <c r="B13" s="217"/>
      <c r="C13" s="217"/>
      <c r="D13" s="217"/>
      <c r="E13" s="217"/>
      <c r="F13" s="217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</row>
    <row r="14" spans="1:33" s="2" customFormat="1" ht="13" x14ac:dyDescent="0.3">
      <c r="A14" s="223" t="s">
        <v>105</v>
      </c>
      <c r="B14" s="223" t="s">
        <v>22</v>
      </c>
      <c r="C14" s="223" t="s">
        <v>147</v>
      </c>
      <c r="D14" s="223" t="str">
        <f>A14&amp;B14</f>
        <v>OPTION 1 (base case)NPV</v>
      </c>
      <c r="E14" s="215"/>
      <c r="F14" s="28">
        <f>SUMPRODUCT($H14:$AG14, $H$5:$AG$5)</f>
        <v>0</v>
      </c>
      <c r="G14" s="218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ht="13" x14ac:dyDescent="0.3">
      <c r="A15" s="217"/>
      <c r="B15" s="217"/>
      <c r="C15" s="217"/>
      <c r="D15" s="217"/>
      <c r="E15" s="217"/>
      <c r="F15" s="217"/>
      <c r="G15" s="21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ht="13" x14ac:dyDescent="0.3">
      <c r="A16" s="223" t="s">
        <v>105</v>
      </c>
      <c r="B16" s="223" t="str">
        <f>'Option1 (base case)'!A110</f>
        <v>sens1</v>
      </c>
      <c r="C16" s="223" t="str">
        <f>'Option1 (base case)'!C110</f>
        <v>Capex 10% higher</v>
      </c>
      <c r="D16" s="223" t="str">
        <f t="shared" ref="D16:D23" si="0">A16&amp;B16</f>
        <v>OPTION 1 (base case)sens1</v>
      </c>
      <c r="E16" s="215"/>
      <c r="F16" s="28">
        <f>SUMPRODUCT($H16:$AG16, $H$5:$AG$5)</f>
        <v>0</v>
      </c>
      <c r="G16" s="218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ht="13" x14ac:dyDescent="0.3">
      <c r="A17" s="223" t="s">
        <v>105</v>
      </c>
      <c r="B17" s="223" t="str">
        <f>'Option1 (base case)'!A111</f>
        <v>sens2</v>
      </c>
      <c r="C17" s="223" t="str">
        <f>'Option1 (base case)'!C111</f>
        <v>Capex 10% lower</v>
      </c>
      <c r="D17" s="223" t="str">
        <f t="shared" si="0"/>
        <v>OPTION 1 (base case)sens2</v>
      </c>
      <c r="E17" s="215"/>
      <c r="F17" s="28">
        <f t="shared" ref="F17:F23" si="1">SUMPRODUCT($H17:$AG17, $H$5:$AG$5)</f>
        <v>0</v>
      </c>
      <c r="G17" s="223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ht="13" x14ac:dyDescent="0.3">
      <c r="A18" s="223" t="s">
        <v>105</v>
      </c>
      <c r="B18" s="223" t="str">
        <f>'Option1 (base case)'!A112</f>
        <v>sens3</v>
      </c>
      <c r="C18" s="223" t="str">
        <f>'Option1 (base case)'!C112</f>
        <v>Total benefits 10% higher</v>
      </c>
      <c r="D18" s="223" t="str">
        <f t="shared" si="0"/>
        <v>OPTION 1 (base case)sens3</v>
      </c>
      <c r="E18" s="215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ht="13" x14ac:dyDescent="0.3">
      <c r="A19" s="223" t="s">
        <v>105</v>
      </c>
      <c r="B19" s="223" t="str">
        <f>'Option1 (base case)'!A113</f>
        <v>sens4</v>
      </c>
      <c r="C19" s="223" t="str">
        <f>'Option1 (base case)'!C113</f>
        <v>Total benefits 10% lower</v>
      </c>
      <c r="D19" s="223" t="str">
        <f t="shared" si="0"/>
        <v>OPTION 1 (base case)sens4</v>
      </c>
      <c r="E19" s="215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ht="13" x14ac:dyDescent="0.3">
      <c r="A20" s="223" t="s">
        <v>105</v>
      </c>
      <c r="B20" s="223" t="str">
        <f>'Option1 (base case)'!A114</f>
        <v>sens5</v>
      </c>
      <c r="C20" s="223" t="str">
        <f>'Option1 (base case)'!C114</f>
        <v>Capex 10% higher &amp; Total benefits 10% lower</v>
      </c>
      <c r="D20" s="223" t="str">
        <f t="shared" si="0"/>
        <v>OPTION 1 (base case)sens5</v>
      </c>
      <c r="E20" s="215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ht="13" x14ac:dyDescent="0.3">
      <c r="A21" s="223" t="s">
        <v>105</v>
      </c>
      <c r="B21" s="223" t="str">
        <f>'Option1 (base case)'!A115</f>
        <v>sens</v>
      </c>
      <c r="C21" s="223">
        <f>'Option1 (base case)'!C115</f>
        <v>0</v>
      </c>
      <c r="D21" s="223" t="str">
        <f t="shared" si="0"/>
        <v>OPTION 1 (base case)sens</v>
      </c>
      <c r="E21" s="215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ht="13" x14ac:dyDescent="0.3">
      <c r="A22" s="223" t="s">
        <v>105</v>
      </c>
      <c r="B22" s="223" t="str">
        <f>'Option1 (base case)'!A116</f>
        <v>sens</v>
      </c>
      <c r="C22" s="223">
        <f>'Option1 (base case)'!C116</f>
        <v>0</v>
      </c>
      <c r="D22" s="223" t="str">
        <f t="shared" si="0"/>
        <v>OPTION 1 (base case)sens</v>
      </c>
      <c r="E22" s="215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ht="13" x14ac:dyDescent="0.3">
      <c r="A23" s="223" t="s">
        <v>105</v>
      </c>
      <c r="B23" s="223" t="str">
        <f>'Option1 (base case)'!A117</f>
        <v>sens</v>
      </c>
      <c r="C23" s="223">
        <f>'Option1 (base case)'!C117</f>
        <v>0</v>
      </c>
      <c r="D23" s="223" t="str">
        <f t="shared" si="0"/>
        <v>OPTION 1 (base case)sens</v>
      </c>
      <c r="E23" s="215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ht="13" x14ac:dyDescent="0.3">
      <c r="A24" s="217"/>
      <c r="B24" s="217"/>
      <c r="C24" s="217"/>
      <c r="D24" s="217"/>
      <c r="E24" s="217"/>
      <c r="F24" s="217"/>
      <c r="G24" s="21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ht="13" x14ac:dyDescent="0.3">
      <c r="A25" s="217"/>
      <c r="B25" s="217"/>
      <c r="C25" s="217"/>
      <c r="D25" s="217"/>
      <c r="E25" s="217"/>
      <c r="F25" s="217"/>
      <c r="G25" s="21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ht="13" x14ac:dyDescent="0.3">
      <c r="A26" s="217"/>
      <c r="B26" s="217"/>
      <c r="C26" s="217"/>
      <c r="D26" s="217"/>
      <c r="E26" s="217"/>
      <c r="F26" s="217"/>
      <c r="G26" s="21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ht="13" x14ac:dyDescent="0.3">
      <c r="A27" s="217"/>
      <c r="B27" s="217"/>
      <c r="C27" s="217"/>
      <c r="D27" s="217"/>
      <c r="E27" s="217"/>
      <c r="F27" s="217"/>
      <c r="G27" s="21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ht="13" x14ac:dyDescent="0.3">
      <c r="A28" s="223" t="s">
        <v>167</v>
      </c>
      <c r="B28" s="223" t="s">
        <v>22</v>
      </c>
      <c r="C28" s="223" t="s">
        <v>147</v>
      </c>
      <c r="D28" s="223" t="str">
        <f>A28&amp;B28</f>
        <v>Option 2NPV</v>
      </c>
      <c r="E28" s="215"/>
      <c r="F28" s="28">
        <f>SUMPRODUCT($H28:$AG28, $H$5:$AG$5)</f>
        <v>2115874.6996655837</v>
      </c>
      <c r="G28" s="218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-192005.74005206104</v>
      </c>
      <c r="K28" s="28">
        <f>(INDEX(Option2!K$106:K$117, MATCH($D28, Option2!$G$106:$G$117,0)))*conv_2026*K$7</f>
        <v>171522.59697802659</v>
      </c>
      <c r="L28" s="28">
        <f>(INDEX(Option2!L$106:L$117, MATCH($D28, Option2!$G$106:$G$117,0)))*conv_2026*L$7</f>
        <v>171801.02486627823</v>
      </c>
      <c r="M28" s="28">
        <f>(INDEX(Option2!M$106:M$117, MATCH($D28, Option2!$G$106:$G$117,0)))*conv_2026*M$7</f>
        <v>169533.44409278658</v>
      </c>
      <c r="N28" s="28">
        <f>(INDEX(Option2!N$106:N$117, MATCH($D28, Option2!$G$106:$G$117,0)))*conv_2026*N$7</f>
        <v>168888.16670881081</v>
      </c>
      <c r="O28" s="28">
        <f>(INDEX(Option2!O$106:O$117, MATCH($D28, Option2!$G$106:$G$117,0)))*conv_2026*O$7</f>
        <v>173388.59663151525</v>
      </c>
      <c r="P28" s="28">
        <f>(INDEX(Option2!P$106:P$117, MATCH($D28, Option2!$G$106:$G$117,0)))*conv_2026*P$7</f>
        <v>179438.49232001277</v>
      </c>
      <c r="Q28" s="28">
        <f>(INDEX(Option2!Q$106:Q$117, MATCH($D28, Option2!$G$106:$G$117,0)))*conv_2026*Q$7</f>
        <v>177783.10837306679</v>
      </c>
      <c r="R28" s="28">
        <f>(INDEX(Option2!R$106:R$117, MATCH($D28, Option2!$G$106:$G$117,0)))*conv_2026*R$7</f>
        <v>180255.29037504003</v>
      </c>
      <c r="S28" s="28">
        <f>(INDEX(Option2!S$106:S$117, MATCH($D28, Option2!$G$106:$G$117,0)))*conv_2026*S$7</f>
        <v>182786.01938878774</v>
      </c>
      <c r="T28" s="28">
        <f>(INDEX(Option2!T$106:T$117, MATCH($D28, Option2!$G$106:$G$117,0)))*conv_2026*T$7</f>
        <v>185364.27231694284</v>
      </c>
      <c r="U28" s="28">
        <f>(INDEX(Option2!U$106:U$117, MATCH($D28, Option2!$G$106:$G$117,0)))*conv_2026*U$7</f>
        <v>187981.66906327431</v>
      </c>
      <c r="V28" s="28">
        <f>(INDEX(Option2!V$106:V$117, MATCH($D28, Option2!$G$106:$G$117,0)))*conv_2026*V$7</f>
        <v>190631.63218970568</v>
      </c>
      <c r="W28" s="28">
        <f>(INDEX(Option2!W$106:W$117, MATCH($D28, Option2!$G$106:$G$117,0)))*conv_2026*W$7</f>
        <v>193308.92071478325</v>
      </c>
      <c r="X28" s="28">
        <f>(INDEX(Option2!X$106:X$117, MATCH($D28, Option2!$G$106:$G$117,0)))*conv_2026*X$7</f>
        <v>196009.29612013465</v>
      </c>
      <c r="Y28" s="28">
        <f>(INDEX(Option2!Y$106:Y$117, MATCH($D28, Option2!$G$106:$G$117,0)))*conv_2026*Y$7</f>
        <v>198729.28424127857</v>
      </c>
      <c r="Z28" s="28">
        <f>(INDEX(Option2!Z$106:Z$117, MATCH($D28, Option2!$G$106:$G$117,0)))*conv_2026*Z$7</f>
        <v>201465.981749425</v>
      </c>
      <c r="AA28" s="28">
        <f>(INDEX(Option2!AA$106:AA$117, MATCH($D28, Option2!$G$106:$G$117,0)))*conv_2026*AA$7</f>
        <v>204216.95644209057</v>
      </c>
      <c r="AB28" s="28">
        <f>(INDEX(Option2!AB$106:AB$117, MATCH($D28, Option2!$G$106:$G$117,0)))*conv_2026*AB$7</f>
        <v>206980.16479907936</v>
      </c>
      <c r="AC28" s="28">
        <f>(INDEX(Option2!AC$106:AC$117, MATCH($D28, Option2!$G$106:$G$117,0)))*conv_2026*AC$7</f>
        <v>0</v>
      </c>
      <c r="AD28" s="28">
        <f>(INDEX(Option2!AD$106:AD$117, MATCH($D28, Option2!$G$106:$G$117,0)))*conv_2026*AD$7</f>
        <v>0</v>
      </c>
      <c r="AE28" s="28">
        <f>(INDEX(Option2!AE$106:AE$117, MATCH($D28, Option2!$G$106:$G$117,0)))*conv_2026*AE$7</f>
        <v>0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ht="13" x14ac:dyDescent="0.3">
      <c r="A29" s="217"/>
      <c r="B29" s="217"/>
      <c r="C29" s="217"/>
      <c r="D29" s="217"/>
      <c r="E29" s="217"/>
      <c r="F29" s="217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</row>
    <row r="30" spans="1:35" s="2" customFormat="1" ht="13" x14ac:dyDescent="0.3">
      <c r="A30" s="223" t="s">
        <v>167</v>
      </c>
      <c r="B30" s="223" t="str">
        <f>Option2!A110</f>
        <v>sens1</v>
      </c>
      <c r="C30" s="223" t="str">
        <f>Option2!C110</f>
        <v>Capex 10% higher</v>
      </c>
      <c r="D30" s="223" t="str">
        <f t="shared" ref="D30:D37" si="2">A30&amp;B30</f>
        <v>Option 2sens1</v>
      </c>
      <c r="E30" s="215"/>
      <c r="F30" s="28">
        <f>SUMPRODUCT($H30:$AG30, $H$5:$AG$5)</f>
        <v>1736870.7455230099</v>
      </c>
      <c r="G30" s="218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-211206.31405726713</v>
      </c>
      <c r="K30" s="28">
        <f>IF($B30=0,0, (INDEX(Option2!K$106:K$117, MATCH($D30, Option2!$G$106:$G$117,0)))*conv_2026*K$7)</f>
        <v>142721.73597021744</v>
      </c>
      <c r="L30" s="28">
        <f>IF($B30=0,0, (INDEX(Option2!L$106:L$117, MATCH($D30, Option2!$G$106:$G$117,0)))*conv_2026*L$7)</f>
        <v>143000.16385846908</v>
      </c>
      <c r="M30" s="28">
        <f>IF($B30=0,0, (INDEX(Option2!M$106:M$117, MATCH($D30, Option2!$G$106:$G$117,0)))*conv_2026*M$7)</f>
        <v>140732.58308497741</v>
      </c>
      <c r="N30" s="28">
        <f>IF($B30=0,0, (INDEX(Option2!N$106:N$117, MATCH($D30, Option2!$G$106:$G$117,0)))*conv_2026*N$7)</f>
        <v>140087.30570100163</v>
      </c>
      <c r="O30" s="28">
        <f>IF($B30=0,0, (INDEX(Option2!O$106:O$117, MATCH($D30, Option2!$G$106:$G$117,0)))*conv_2026*O$7)</f>
        <v>144587.73562370607</v>
      </c>
      <c r="P30" s="28">
        <f>IF($B30=0,0, (INDEX(Option2!P$106:P$117, MATCH($D30, Option2!$G$106:$G$117,0)))*conv_2026*P$7)</f>
        <v>150637.63131220359</v>
      </c>
      <c r="Q30" s="28">
        <f>IF($B30=0,0, (INDEX(Option2!Q$106:Q$117, MATCH($D30, Option2!$G$106:$G$117,0)))*conv_2026*Q$7)</f>
        <v>148982.24736525764</v>
      </c>
      <c r="R30" s="28">
        <f>IF($B30=0,0, (INDEX(Option2!R$106:R$117, MATCH($D30, Option2!$G$106:$G$117,0)))*conv_2026*R$7)</f>
        <v>151454.42936723086</v>
      </c>
      <c r="S30" s="28">
        <f>IF($B30=0,0, (INDEX(Option2!S$106:S$117, MATCH($D30, Option2!$G$106:$G$117,0)))*conv_2026*S$7)</f>
        <v>153985.15838097857</v>
      </c>
      <c r="T30" s="28">
        <f>IF($B30=0,0, (INDEX(Option2!T$106:T$117, MATCH($D30, Option2!$G$106:$G$117,0)))*conv_2026*T$7)</f>
        <v>156563.41130913366</v>
      </c>
      <c r="U30" s="28">
        <f>IF($B30=0,0, (INDEX(Option2!U$106:U$117, MATCH($D30, Option2!$G$106:$G$117,0)))*conv_2026*U$7)</f>
        <v>159180.80805546517</v>
      </c>
      <c r="V30" s="28">
        <f>IF($B30=0,0, (INDEX(Option2!V$106:V$117, MATCH($D30, Option2!$G$106:$G$117,0)))*conv_2026*V$7)</f>
        <v>161830.7711818965</v>
      </c>
      <c r="W30" s="28">
        <f>IF($B30=0,0, (INDEX(Option2!W$106:W$117, MATCH($D30, Option2!$G$106:$G$117,0)))*conv_2026*W$7)</f>
        <v>164508.05970697411</v>
      </c>
      <c r="X30" s="28">
        <f>IF($B30=0,0, (INDEX(Option2!X$106:X$117, MATCH($D30, Option2!$G$106:$G$117,0)))*conv_2026*X$7)</f>
        <v>167208.4351123255</v>
      </c>
      <c r="Y30" s="28">
        <f>IF($B30=0,0, (INDEX(Option2!Y$106:Y$117, MATCH($D30, Option2!$G$106:$G$117,0)))*conv_2026*Y$7)</f>
        <v>169928.4232334694</v>
      </c>
      <c r="Z30" s="28">
        <f>IF($B30=0,0, (INDEX(Option2!Z$106:Z$117, MATCH($D30, Option2!$G$106:$G$117,0)))*conv_2026*Z$7)</f>
        <v>172665.12074161583</v>
      </c>
      <c r="AA30" s="28">
        <f>IF($B30=0,0, (INDEX(Option2!AA$106:AA$117, MATCH($D30, Option2!$G$106:$G$117,0)))*conv_2026*AA$7)</f>
        <v>175416.09543428139</v>
      </c>
      <c r="AB30" s="28">
        <f>IF($B30=0,0, (INDEX(Option2!AB$106:AB$117, MATCH($D30, Option2!$G$106:$G$117,0)))*conv_2026*AB$7)</f>
        <v>178179.30379127021</v>
      </c>
      <c r="AC30" s="28">
        <f>IF($B30=0,0, (INDEX(Option2!AC$106:AC$117, MATCH($D30, Option2!$G$106:$G$117,0)))*conv_2026*AC$7)</f>
        <v>0</v>
      </c>
      <c r="AD30" s="28">
        <f>IF($B30=0,0, (INDEX(Option2!AD$106:AD$117, MATCH($D30, Option2!$G$106:$G$117,0)))*conv_2026*AD$7)</f>
        <v>0</v>
      </c>
      <c r="AE30" s="28">
        <f>IF($B30=0,0, (INDEX(Option2!AE$106:AE$117, MATCH($D30, Option2!$G$106:$G$117,0)))*conv_2026*AE$7)</f>
        <v>0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ht="13" x14ac:dyDescent="0.3">
      <c r="A31" s="223" t="s">
        <v>167</v>
      </c>
      <c r="B31" s="223" t="str">
        <f>Option2!A111</f>
        <v>sens2</v>
      </c>
      <c r="C31" s="223" t="str">
        <f>Option2!C111</f>
        <v>Capex 10% lower</v>
      </c>
      <c r="D31" s="223" t="str">
        <f t="shared" si="2"/>
        <v>Option 2sens2</v>
      </c>
      <c r="E31" s="215"/>
      <c r="F31" s="28">
        <f t="shared" ref="F31:F37" si="3">SUMPRODUCT($H31:$AG31, $H$5:$AG$5)</f>
        <v>2494878.6538081565</v>
      </c>
      <c r="G31" s="223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-172805.16604685492</v>
      </c>
      <c r="K31" s="28">
        <f>IF($B31=0,0, (INDEX(Option2!K$106:K$117, MATCH($D31, Option2!$G$106:$G$117,0)))*conv_2026*K$7)</f>
        <v>200323.45798583576</v>
      </c>
      <c r="L31" s="28">
        <f>IF($B31=0,0, (INDEX(Option2!L$106:L$117, MATCH($D31, Option2!$G$106:$G$117,0)))*conv_2026*L$7)</f>
        <v>200601.8858740874</v>
      </c>
      <c r="M31" s="28">
        <f>IF($B31=0,0, (INDEX(Option2!M$106:M$117, MATCH($D31, Option2!$G$106:$G$117,0)))*conv_2026*M$7)</f>
        <v>198334.30510059575</v>
      </c>
      <c r="N31" s="28">
        <f>IF($B31=0,0, (INDEX(Option2!N$106:N$117, MATCH($D31, Option2!$G$106:$G$117,0)))*conv_2026*N$7)</f>
        <v>197689.02771661998</v>
      </c>
      <c r="O31" s="28">
        <f>IF($B31=0,0, (INDEX(Option2!O$106:O$117, MATCH($D31, Option2!$G$106:$G$117,0)))*conv_2026*O$7)</f>
        <v>202189.45763932439</v>
      </c>
      <c r="P31" s="28">
        <f>IF($B31=0,0, (INDEX(Option2!P$106:P$117, MATCH($D31, Option2!$G$106:$G$117,0)))*conv_2026*P$7)</f>
        <v>208239.35332782191</v>
      </c>
      <c r="Q31" s="28">
        <f>IF($B31=0,0, (INDEX(Option2!Q$106:Q$117, MATCH($D31, Option2!$G$106:$G$117,0)))*conv_2026*Q$7)</f>
        <v>206583.96938087596</v>
      </c>
      <c r="R31" s="28">
        <f>IF($B31=0,0, (INDEX(Option2!R$106:R$117, MATCH($D31, Option2!$G$106:$G$117,0)))*conv_2026*R$7)</f>
        <v>209056.15138284917</v>
      </c>
      <c r="S31" s="28">
        <f>IF($B31=0,0, (INDEX(Option2!S$106:S$117, MATCH($D31, Option2!$G$106:$G$117,0)))*conv_2026*S$7)</f>
        <v>211586.88039659688</v>
      </c>
      <c r="T31" s="28">
        <f>IF($B31=0,0, (INDEX(Option2!T$106:T$117, MATCH($D31, Option2!$G$106:$G$117,0)))*conv_2026*T$7)</f>
        <v>214165.13332475201</v>
      </c>
      <c r="U31" s="28">
        <f>IF($B31=0,0, (INDEX(Option2!U$106:U$117, MATCH($D31, Option2!$G$106:$G$117,0)))*conv_2026*U$7)</f>
        <v>216782.53007108349</v>
      </c>
      <c r="V31" s="28">
        <f>IF($B31=0,0, (INDEX(Option2!V$106:V$117, MATCH($D31, Option2!$G$106:$G$117,0)))*conv_2026*V$7)</f>
        <v>219432.49319751482</v>
      </c>
      <c r="W31" s="28">
        <f>IF($B31=0,0, (INDEX(Option2!W$106:W$117, MATCH($D31, Option2!$G$106:$G$117,0)))*conv_2026*W$7)</f>
        <v>222109.78172259242</v>
      </c>
      <c r="X31" s="28">
        <f>IF($B31=0,0, (INDEX(Option2!X$106:X$117, MATCH($D31, Option2!$G$106:$G$117,0)))*conv_2026*X$7)</f>
        <v>224810.15712794382</v>
      </c>
      <c r="Y31" s="28">
        <f>IF($B31=0,0, (INDEX(Option2!Y$106:Y$117, MATCH($D31, Option2!$G$106:$G$117,0)))*conv_2026*Y$7)</f>
        <v>227530.14524908774</v>
      </c>
      <c r="Z31" s="28">
        <f>IF($B31=0,0, (INDEX(Option2!Z$106:Z$117, MATCH($D31, Option2!$G$106:$G$117,0)))*conv_2026*Z$7)</f>
        <v>230266.84275723415</v>
      </c>
      <c r="AA31" s="28">
        <f>IF($B31=0,0, (INDEX(Option2!AA$106:AA$117, MATCH($D31, Option2!$G$106:$G$117,0)))*conv_2026*AA$7)</f>
        <v>233017.81744989974</v>
      </c>
      <c r="AB31" s="28">
        <f>IF($B31=0,0, (INDEX(Option2!AB$106:AB$117, MATCH($D31, Option2!$G$106:$G$117,0)))*conv_2026*AB$7)</f>
        <v>235781.02580688853</v>
      </c>
      <c r="AC31" s="28">
        <f>IF($B31=0,0, (INDEX(Option2!AC$106:AC$117, MATCH($D31, Option2!$G$106:$G$117,0)))*conv_2026*AC$7)</f>
        <v>0</v>
      </c>
      <c r="AD31" s="28">
        <f>IF($B31=0,0, (INDEX(Option2!AD$106:AD$117, MATCH($D31, Option2!$G$106:$G$117,0)))*conv_2026*AD$7)</f>
        <v>0</v>
      </c>
      <c r="AE31" s="28">
        <f>IF($B31=0,0, (INDEX(Option2!AE$106:AE$117, MATCH($D31, Option2!$G$106:$G$117,0)))*conv_2026*AE$7)</f>
        <v>0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ht="13" x14ac:dyDescent="0.3">
      <c r="A32" s="223" t="s">
        <v>167</v>
      </c>
      <c r="B32" s="223" t="str">
        <f>Option2!A112</f>
        <v>sens3</v>
      </c>
      <c r="C32" s="223" t="str">
        <f>Option2!C112</f>
        <v>Total benefits 10% higher</v>
      </c>
      <c r="D32" s="223" t="str">
        <f t="shared" si="2"/>
        <v>Option 2sens3</v>
      </c>
      <c r="E32" s="215"/>
      <c r="F32" s="28">
        <f t="shared" si="3"/>
        <v>2706466.1237747152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-192005.74005206104</v>
      </c>
      <c r="K32" s="28">
        <f>IF($B32=0,0, (INDEX(Option2!K$106:K$117, MATCH($D32, Option2!$G$106:$G$117,0)))*conv_2026*K$7)</f>
        <v>217475.71768363842</v>
      </c>
      <c r="L32" s="28">
        <f>IF($B32=0,0, (INDEX(Option2!L$106:L$117, MATCH($D32, Option2!$G$106:$G$117,0)))*conv_2026*L$7)</f>
        <v>217781.98836071522</v>
      </c>
      <c r="M32" s="28">
        <f>IF($B32=0,0, (INDEX(Option2!M$106:M$117, MATCH($D32, Option2!$G$106:$G$117,0)))*conv_2026*M$7)</f>
        <v>215287.64950987438</v>
      </c>
      <c r="N32" s="28">
        <f>IF($B32=0,0, (INDEX(Option2!N$106:N$117, MATCH($D32, Option2!$G$106:$G$117,0)))*conv_2026*N$7)</f>
        <v>214577.84438750107</v>
      </c>
      <c r="O32" s="28">
        <f>IF($B32=0,0, (INDEX(Option2!O$106:O$117, MATCH($D32, Option2!$G$106:$G$117,0)))*conv_2026*O$7)</f>
        <v>219528.31730247595</v>
      </c>
      <c r="P32" s="28">
        <f>IF($B32=0,0, (INDEX(Option2!P$106:P$117, MATCH($D32, Option2!$G$106:$G$117,0)))*conv_2026*P$7)</f>
        <v>226183.20255982317</v>
      </c>
      <c r="Q32" s="28">
        <f>IF($B32=0,0, (INDEX(Option2!Q$106:Q$117, MATCH($D32, Option2!$G$106:$G$117,0)))*conv_2026*Q$7)</f>
        <v>224362.28021818263</v>
      </c>
      <c r="R32" s="28">
        <f>IF($B32=0,0, (INDEX(Option2!R$106:R$117, MATCH($D32, Option2!$G$106:$G$117,0)))*conv_2026*R$7)</f>
        <v>227081.68042035319</v>
      </c>
      <c r="S32" s="28">
        <f>IF($B32=0,0, (INDEX(Option2!S$106:S$117, MATCH($D32, Option2!$G$106:$G$117,0)))*conv_2026*S$7)</f>
        <v>229865.48233547565</v>
      </c>
      <c r="T32" s="28">
        <f>IF($B32=0,0, (INDEX(Option2!T$106:T$117, MATCH($D32, Option2!$G$106:$G$117,0)))*conv_2026*T$7)</f>
        <v>232701.56055644626</v>
      </c>
      <c r="U32" s="28">
        <f>IF($B32=0,0, (INDEX(Option2!U$106:U$117, MATCH($D32, Option2!$G$106:$G$117,0)))*conv_2026*U$7)</f>
        <v>235580.6969774109</v>
      </c>
      <c r="V32" s="28">
        <f>IF($B32=0,0, (INDEX(Option2!V$106:V$117, MATCH($D32, Option2!$G$106:$G$117,0)))*conv_2026*V$7)</f>
        <v>238495.65641648538</v>
      </c>
      <c r="W32" s="28">
        <f>IF($B32=0,0, (INDEX(Option2!W$106:W$117, MATCH($D32, Option2!$G$106:$G$117,0)))*conv_2026*W$7)</f>
        <v>241440.67379407072</v>
      </c>
      <c r="X32" s="28">
        <f>IF($B32=0,0, (INDEX(Option2!X$106:X$117, MATCH($D32, Option2!$G$106:$G$117,0)))*conv_2026*X$7)</f>
        <v>244411.08673995727</v>
      </c>
      <c r="Y32" s="28">
        <f>IF($B32=0,0, (INDEX(Option2!Y$106:Y$117, MATCH($D32, Option2!$G$106:$G$117,0)))*conv_2026*Y$7)</f>
        <v>247403.07367321561</v>
      </c>
      <c r="Z32" s="28">
        <f>IF($B32=0,0, (INDEX(Option2!Z$106:Z$117, MATCH($D32, Option2!$G$106:$G$117,0)))*conv_2026*Z$7)</f>
        <v>250413.44093217666</v>
      </c>
      <c r="AA32" s="28">
        <f>IF($B32=0,0, (INDEX(Option2!AA$106:AA$117, MATCH($D32, Option2!$G$106:$G$117,0)))*conv_2026*AA$7)</f>
        <v>253439.51309410876</v>
      </c>
      <c r="AB32" s="28">
        <f>IF($B32=0,0, (INDEX(Option2!AB$106:AB$117, MATCH($D32, Option2!$G$106:$G$117,0)))*conv_2026*AB$7)</f>
        <v>256479.04228679647</v>
      </c>
      <c r="AC32" s="28">
        <f>IF($B32=0,0, (INDEX(Option2!AC$106:AC$117, MATCH($D32, Option2!$G$106:$G$117,0)))*conv_2026*AC$7)</f>
        <v>0</v>
      </c>
      <c r="AD32" s="28">
        <f>IF($B32=0,0, (INDEX(Option2!AD$106:AD$117, MATCH($D32, Option2!$G$106:$G$117,0)))*conv_2026*AD$7)</f>
        <v>0</v>
      </c>
      <c r="AE32" s="28">
        <f>IF($B32=0,0, (INDEX(Option2!AE$106:AE$117, MATCH($D32, Option2!$G$106:$G$117,0)))*conv_2026*AE$7)</f>
        <v>0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ht="13" x14ac:dyDescent="0.3">
      <c r="A33" s="223" t="s">
        <v>167</v>
      </c>
      <c r="B33" s="223" t="str">
        <f>Option2!A113</f>
        <v>sens4</v>
      </c>
      <c r="C33" s="223" t="str">
        <f>Option2!C113</f>
        <v>Total benefits 10% lower</v>
      </c>
      <c r="D33" s="223" t="str">
        <f t="shared" si="2"/>
        <v>Option 2sens4</v>
      </c>
      <c r="E33" s="215"/>
      <c r="F33" s="28">
        <f t="shared" si="3"/>
        <v>1525283.2755564516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-192005.74005206104</v>
      </c>
      <c r="K33" s="28">
        <f>IF($B33=0,0, (INDEX(Option2!K$106:K$117, MATCH($D33, Option2!$G$106:$G$117,0)))*conv_2026*K$7)</f>
        <v>125569.47627241479</v>
      </c>
      <c r="L33" s="28">
        <f>IF($B33=0,0, (INDEX(Option2!L$106:L$117, MATCH($D33, Option2!$G$106:$G$117,0)))*conv_2026*L$7)</f>
        <v>125820.06137184125</v>
      </c>
      <c r="M33" s="28">
        <f>IF($B33=0,0, (INDEX(Option2!M$106:M$117, MATCH($D33, Option2!$G$106:$G$117,0)))*conv_2026*M$7)</f>
        <v>123779.23867569877</v>
      </c>
      <c r="N33" s="28">
        <f>IF($B33=0,0, (INDEX(Option2!N$106:N$117, MATCH($D33, Option2!$G$106:$G$117,0)))*conv_2026*N$7)</f>
        <v>123198.48903012056</v>
      </c>
      <c r="O33" s="28">
        <f>IF($B33=0,0, (INDEX(Option2!O$106:O$117, MATCH($D33, Option2!$G$106:$G$117,0)))*conv_2026*O$7)</f>
        <v>127248.87596055455</v>
      </c>
      <c r="P33" s="28">
        <f>IF($B33=0,0, (INDEX(Option2!P$106:P$117, MATCH($D33, Option2!$G$106:$G$117,0)))*conv_2026*P$7)</f>
        <v>132693.78208020233</v>
      </c>
      <c r="Q33" s="28">
        <f>IF($B33=0,0, (INDEX(Option2!Q$106:Q$117, MATCH($D33, Option2!$G$106:$G$117,0)))*conv_2026*Q$7)</f>
        <v>131203.93652795095</v>
      </c>
      <c r="R33" s="28">
        <f>IF($B33=0,0, (INDEX(Option2!R$106:R$117, MATCH($D33, Option2!$G$106:$G$117,0)))*conv_2026*R$7)</f>
        <v>133428.90032972686</v>
      </c>
      <c r="S33" s="28">
        <f>IF($B33=0,0, (INDEX(Option2!S$106:S$117, MATCH($D33, Option2!$G$106:$G$117,0)))*conv_2026*S$7)</f>
        <v>135706.5564420998</v>
      </c>
      <c r="T33" s="28">
        <f>IF($B33=0,0, (INDEX(Option2!T$106:T$117, MATCH($D33, Option2!$G$106:$G$117,0)))*conv_2026*T$7)</f>
        <v>138026.98407743938</v>
      </c>
      <c r="U33" s="28">
        <f>IF($B33=0,0, (INDEX(Option2!U$106:U$117, MATCH($D33, Option2!$G$106:$G$117,0)))*conv_2026*U$7)</f>
        <v>140382.64114913772</v>
      </c>
      <c r="V33" s="28">
        <f>IF($B33=0,0, (INDEX(Option2!V$106:V$117, MATCH($D33, Option2!$G$106:$G$117,0)))*conv_2026*V$7)</f>
        <v>142767.60796292595</v>
      </c>
      <c r="W33" s="28">
        <f>IF($B33=0,0, (INDEX(Option2!W$106:W$117, MATCH($D33, Option2!$G$106:$G$117,0)))*conv_2026*W$7)</f>
        <v>145177.16763549577</v>
      </c>
      <c r="X33" s="28">
        <f>IF($B33=0,0, (INDEX(Option2!X$106:X$117, MATCH($D33, Option2!$G$106:$G$117,0)))*conv_2026*X$7)</f>
        <v>147607.50550031202</v>
      </c>
      <c r="Y33" s="28">
        <f>IF($B33=0,0, (INDEX(Option2!Y$106:Y$117, MATCH($D33, Option2!$G$106:$G$117,0)))*conv_2026*Y$7)</f>
        <v>150055.49480934156</v>
      </c>
      <c r="Z33" s="28">
        <f>IF($B33=0,0, (INDEX(Option2!Z$106:Z$117, MATCH($D33, Option2!$G$106:$G$117,0)))*conv_2026*Z$7)</f>
        <v>152518.52256667332</v>
      </c>
      <c r="AA33" s="28">
        <f>IF($B33=0,0, (INDEX(Option2!AA$106:AA$117, MATCH($D33, Option2!$G$106:$G$117,0)))*conv_2026*AA$7)</f>
        <v>154994.39979007235</v>
      </c>
      <c r="AB33" s="28">
        <f>IF($B33=0,0, (INDEX(Option2!AB$106:AB$117, MATCH($D33, Option2!$G$106:$G$117,0)))*conv_2026*AB$7)</f>
        <v>157481.28731136228</v>
      </c>
      <c r="AC33" s="28">
        <f>IF($B33=0,0, (INDEX(Option2!AC$106:AC$117, MATCH($D33, Option2!$G$106:$G$117,0)))*conv_2026*AC$7)</f>
        <v>0</v>
      </c>
      <c r="AD33" s="28">
        <f>IF($B33=0,0, (INDEX(Option2!AD$106:AD$117, MATCH($D33, Option2!$G$106:$G$117,0)))*conv_2026*AD$7)</f>
        <v>0</v>
      </c>
      <c r="AE33" s="28">
        <f>IF($B33=0,0, (INDEX(Option2!AE$106:AE$117, MATCH($D33, Option2!$G$106:$G$117,0)))*conv_2026*AE$7)</f>
        <v>0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ht="13" x14ac:dyDescent="0.3">
      <c r="A34" s="223" t="s">
        <v>167</v>
      </c>
      <c r="B34" s="223" t="str">
        <f>Option2!A114</f>
        <v>sens5</v>
      </c>
      <c r="C34" s="223" t="str">
        <f>Option2!C114</f>
        <v>Capex 10% higher &amp; Total benefits 10% lower</v>
      </c>
      <c r="D34" s="223" t="str">
        <f t="shared" si="2"/>
        <v>Option 2sens5</v>
      </c>
      <c r="E34" s="215"/>
      <c r="F34" s="28">
        <f t="shared" si="3"/>
        <v>1146279.3214138786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-211206.31405726713</v>
      </c>
      <c r="K34" s="28">
        <f>IF($B34=0,0, (INDEX(Option2!K$106:K$117, MATCH($D34, Option2!$G$106:$G$117,0)))*conv_2026*K$7)</f>
        <v>96768.615264605629</v>
      </c>
      <c r="L34" s="28">
        <f>IF($B34=0,0, (INDEX(Option2!L$106:L$117, MATCH($D34, Option2!$G$106:$G$117,0)))*conv_2026*L$7)</f>
        <v>97019.200364032105</v>
      </c>
      <c r="M34" s="28">
        <f>IF($B34=0,0, (INDEX(Option2!M$106:M$117, MATCH($D34, Option2!$G$106:$G$117,0)))*conv_2026*M$7)</f>
        <v>94978.37766788961</v>
      </c>
      <c r="N34" s="28">
        <f>IF($B34=0,0, (INDEX(Option2!N$106:N$117, MATCH($D34, Option2!$G$106:$G$117,0)))*conv_2026*N$7)</f>
        <v>94397.628022311415</v>
      </c>
      <c r="O34" s="28">
        <f>IF($B34=0,0, (INDEX(Option2!O$106:O$117, MATCH($D34, Option2!$G$106:$G$117,0)))*conv_2026*O$7)</f>
        <v>98448.014952745405</v>
      </c>
      <c r="P34" s="28">
        <f>IF($B34=0,0, (INDEX(Option2!P$106:P$117, MATCH($D34, Option2!$G$106:$G$117,0)))*conv_2026*P$7)</f>
        <v>103892.92107239318</v>
      </c>
      <c r="Q34" s="28">
        <f>IF($B34=0,0, (INDEX(Option2!Q$106:Q$117, MATCH($D34, Option2!$G$106:$G$117,0)))*conv_2026*Q$7)</f>
        <v>102403.07552014179</v>
      </c>
      <c r="R34" s="28">
        <f>IF($B34=0,0, (INDEX(Option2!R$106:R$117, MATCH($D34, Option2!$G$106:$G$117,0)))*conv_2026*R$7)</f>
        <v>104628.03932191771</v>
      </c>
      <c r="S34" s="28">
        <f>IF($B34=0,0, (INDEX(Option2!S$106:S$117, MATCH($D34, Option2!$G$106:$G$117,0)))*conv_2026*S$7)</f>
        <v>106905.69543429064</v>
      </c>
      <c r="T34" s="28">
        <f>IF($B34=0,0, (INDEX(Option2!T$106:T$117, MATCH($D34, Option2!$G$106:$G$117,0)))*conv_2026*T$7)</f>
        <v>109226.12306963024</v>
      </c>
      <c r="U34" s="28">
        <f>IF($B34=0,0, (INDEX(Option2!U$106:U$117, MATCH($D34, Option2!$G$106:$G$117,0)))*conv_2026*U$7)</f>
        <v>111581.78014132856</v>
      </c>
      <c r="V34" s="28">
        <f>IF($B34=0,0, (INDEX(Option2!V$106:V$117, MATCH($D34, Option2!$G$106:$G$117,0)))*conv_2026*V$7)</f>
        <v>113966.74695511677</v>
      </c>
      <c r="W34" s="28">
        <f>IF($B34=0,0, (INDEX(Option2!W$106:W$117, MATCH($D34, Option2!$G$106:$G$117,0)))*conv_2026*W$7)</f>
        <v>116376.30662768663</v>
      </c>
      <c r="X34" s="28">
        <f>IF($B34=0,0, (INDEX(Option2!X$106:X$117, MATCH($D34, Option2!$G$106:$G$117,0)))*conv_2026*X$7)</f>
        <v>118806.64449250288</v>
      </c>
      <c r="Y34" s="28">
        <f>IF($B34=0,0, (INDEX(Option2!Y$106:Y$117, MATCH($D34, Option2!$G$106:$G$117,0)))*conv_2026*Y$7)</f>
        <v>121254.6338015324</v>
      </c>
      <c r="Z34" s="28">
        <f>IF($B34=0,0, (INDEX(Option2!Z$106:Z$117, MATCH($D34, Option2!$G$106:$G$117,0)))*conv_2026*Z$7)</f>
        <v>123717.66155886417</v>
      </c>
      <c r="AA34" s="28">
        <f>IF($B34=0,0, (INDEX(Option2!AA$106:AA$117, MATCH($D34, Option2!$G$106:$G$117,0)))*conv_2026*AA$7)</f>
        <v>126193.53878226319</v>
      </c>
      <c r="AB34" s="28">
        <f>IF($B34=0,0, (INDEX(Option2!AB$106:AB$117, MATCH($D34, Option2!$G$106:$G$117,0)))*conv_2026*AB$7)</f>
        <v>128680.42630355312</v>
      </c>
      <c r="AC34" s="28">
        <f>IF($B34=0,0, (INDEX(Option2!AC$106:AC$117, MATCH($D34, Option2!$G$106:$G$117,0)))*conv_2026*AC$7)</f>
        <v>0</v>
      </c>
      <c r="AD34" s="28">
        <f>IF($B34=0,0, (INDEX(Option2!AD$106:AD$117, MATCH($D34, Option2!$G$106:$G$117,0)))*conv_2026*AD$7)</f>
        <v>0</v>
      </c>
      <c r="AE34" s="28">
        <f>IF($B34=0,0, (INDEX(Option2!AE$106:AE$117, MATCH($D34, Option2!$G$106:$G$117,0)))*conv_2026*AE$7)</f>
        <v>0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ht="13" x14ac:dyDescent="0.3">
      <c r="A35" s="223" t="s">
        <v>167</v>
      </c>
      <c r="B35" s="223" t="str">
        <f>Option2!A115</f>
        <v>sens</v>
      </c>
      <c r="C35" s="223">
        <f>Option2!C115</f>
        <v>0</v>
      </c>
      <c r="D35" s="223" t="str">
        <f t="shared" si="2"/>
        <v>Option 2sens</v>
      </c>
      <c r="E35" s="215"/>
      <c r="F35" s="28">
        <f t="shared" si="3"/>
        <v>2115874.6996655837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-192005.74005206104</v>
      </c>
      <c r="K35" s="28">
        <f>IF($B35=0,0, (INDEX(Option2!K$106:K$117, MATCH($D35, Option2!$G$106:$G$117,0)))*conv_2026*K$7)</f>
        <v>171522.59697802659</v>
      </c>
      <c r="L35" s="28">
        <f>IF($B35=0,0, (INDEX(Option2!L$106:L$117, MATCH($D35, Option2!$G$106:$G$117,0)))*conv_2026*L$7)</f>
        <v>171801.02486627823</v>
      </c>
      <c r="M35" s="28">
        <f>IF($B35=0,0, (INDEX(Option2!M$106:M$117, MATCH($D35, Option2!$G$106:$G$117,0)))*conv_2026*M$7)</f>
        <v>169533.44409278658</v>
      </c>
      <c r="N35" s="28">
        <f>IF($B35=0,0, (INDEX(Option2!N$106:N$117, MATCH($D35, Option2!$G$106:$G$117,0)))*conv_2026*N$7)</f>
        <v>168888.16670881081</v>
      </c>
      <c r="O35" s="28">
        <f>IF($B35=0,0, (INDEX(Option2!O$106:O$117, MATCH($D35, Option2!$G$106:$G$117,0)))*conv_2026*O$7)</f>
        <v>173388.59663151525</v>
      </c>
      <c r="P35" s="28">
        <f>IF($B35=0,0, (INDEX(Option2!P$106:P$117, MATCH($D35, Option2!$G$106:$G$117,0)))*conv_2026*P$7)</f>
        <v>179438.49232001277</v>
      </c>
      <c r="Q35" s="28">
        <f>IF($B35=0,0, (INDEX(Option2!Q$106:Q$117, MATCH($D35, Option2!$G$106:$G$117,0)))*conv_2026*Q$7)</f>
        <v>177783.10837306679</v>
      </c>
      <c r="R35" s="28">
        <f>IF($B35=0,0, (INDEX(Option2!R$106:R$117, MATCH($D35, Option2!$G$106:$G$117,0)))*conv_2026*R$7)</f>
        <v>180255.29037504003</v>
      </c>
      <c r="S35" s="28">
        <f>IF($B35=0,0, (INDEX(Option2!S$106:S$117, MATCH($D35, Option2!$G$106:$G$117,0)))*conv_2026*S$7)</f>
        <v>182786.01938878774</v>
      </c>
      <c r="T35" s="28">
        <f>IF($B35=0,0, (INDEX(Option2!T$106:T$117, MATCH($D35, Option2!$G$106:$G$117,0)))*conv_2026*T$7)</f>
        <v>185364.27231694284</v>
      </c>
      <c r="U35" s="28">
        <f>IF($B35=0,0, (INDEX(Option2!U$106:U$117, MATCH($D35, Option2!$G$106:$G$117,0)))*conv_2026*U$7)</f>
        <v>187981.66906327431</v>
      </c>
      <c r="V35" s="28">
        <f>IF($B35=0,0, (INDEX(Option2!V$106:V$117, MATCH($D35, Option2!$G$106:$G$117,0)))*conv_2026*V$7)</f>
        <v>190631.63218970568</v>
      </c>
      <c r="W35" s="28">
        <f>IF($B35=0,0, (INDEX(Option2!W$106:W$117, MATCH($D35, Option2!$G$106:$G$117,0)))*conv_2026*W$7)</f>
        <v>193308.92071478325</v>
      </c>
      <c r="X35" s="28">
        <f>IF($B35=0,0, (INDEX(Option2!X$106:X$117, MATCH($D35, Option2!$G$106:$G$117,0)))*conv_2026*X$7)</f>
        <v>196009.29612013465</v>
      </c>
      <c r="Y35" s="28">
        <f>IF($B35=0,0, (INDEX(Option2!Y$106:Y$117, MATCH($D35, Option2!$G$106:$G$117,0)))*conv_2026*Y$7)</f>
        <v>198729.28424127857</v>
      </c>
      <c r="Z35" s="28">
        <f>IF($B35=0,0, (INDEX(Option2!Z$106:Z$117, MATCH($D35, Option2!$G$106:$G$117,0)))*conv_2026*Z$7)</f>
        <v>201465.981749425</v>
      </c>
      <c r="AA35" s="28">
        <f>IF($B35=0,0, (INDEX(Option2!AA$106:AA$117, MATCH($D35, Option2!$G$106:$G$117,0)))*conv_2026*AA$7)</f>
        <v>204216.95644209057</v>
      </c>
      <c r="AB35" s="28">
        <f>IF($B35=0,0, (INDEX(Option2!AB$106:AB$117, MATCH($D35, Option2!$G$106:$G$117,0)))*conv_2026*AB$7)</f>
        <v>206980.16479907936</v>
      </c>
      <c r="AC35" s="28">
        <f>IF($B35=0,0, (INDEX(Option2!AC$106:AC$117, MATCH($D35, Option2!$G$106:$G$117,0)))*conv_2026*AC$7)</f>
        <v>0</v>
      </c>
      <c r="AD35" s="28">
        <f>IF($B35=0,0, (INDEX(Option2!AD$106:AD$117, MATCH($D35, Option2!$G$106:$G$117,0)))*conv_2026*AD$7)</f>
        <v>0</v>
      </c>
      <c r="AE35" s="28">
        <f>IF($B35=0,0, (INDEX(Option2!AE$106:AE$117, MATCH($D35, Option2!$G$106:$G$117,0)))*conv_2026*AE$7)</f>
        <v>0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ht="13" x14ac:dyDescent="0.3">
      <c r="A36" s="223" t="s">
        <v>167</v>
      </c>
      <c r="B36" s="223" t="str">
        <f>Option2!A116</f>
        <v>sens</v>
      </c>
      <c r="C36" s="223">
        <f>Option2!C116</f>
        <v>0</v>
      </c>
      <c r="D36" s="223" t="str">
        <f t="shared" si="2"/>
        <v>Option 2sens</v>
      </c>
      <c r="E36" s="215"/>
      <c r="F36" s="28">
        <f t="shared" si="3"/>
        <v>2115874.6996655837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-192005.74005206104</v>
      </c>
      <c r="K36" s="28">
        <f>IF($B36=0,0, (INDEX(Option2!K$106:K$117, MATCH($D36, Option2!$G$106:$G$117,0)))*conv_2026*K$7)</f>
        <v>171522.59697802659</v>
      </c>
      <c r="L36" s="28">
        <f>IF($B36=0,0, (INDEX(Option2!L$106:L$117, MATCH($D36, Option2!$G$106:$G$117,0)))*conv_2026*L$7)</f>
        <v>171801.02486627823</v>
      </c>
      <c r="M36" s="28">
        <f>IF($B36=0,0, (INDEX(Option2!M$106:M$117, MATCH($D36, Option2!$G$106:$G$117,0)))*conv_2026*M$7)</f>
        <v>169533.44409278658</v>
      </c>
      <c r="N36" s="28">
        <f>IF($B36=0,0, (INDEX(Option2!N$106:N$117, MATCH($D36, Option2!$G$106:$G$117,0)))*conv_2026*N$7)</f>
        <v>168888.16670881081</v>
      </c>
      <c r="O36" s="28">
        <f>IF($B36=0,0, (INDEX(Option2!O$106:O$117, MATCH($D36, Option2!$G$106:$G$117,0)))*conv_2026*O$7)</f>
        <v>173388.59663151525</v>
      </c>
      <c r="P36" s="28">
        <f>IF($B36=0,0, (INDEX(Option2!P$106:P$117, MATCH($D36, Option2!$G$106:$G$117,0)))*conv_2026*P$7)</f>
        <v>179438.49232001277</v>
      </c>
      <c r="Q36" s="28">
        <f>IF($B36=0,0, (INDEX(Option2!Q$106:Q$117, MATCH($D36, Option2!$G$106:$G$117,0)))*conv_2026*Q$7)</f>
        <v>177783.10837306679</v>
      </c>
      <c r="R36" s="28">
        <f>IF($B36=0,0, (INDEX(Option2!R$106:R$117, MATCH($D36, Option2!$G$106:$G$117,0)))*conv_2026*R$7)</f>
        <v>180255.29037504003</v>
      </c>
      <c r="S36" s="28">
        <f>IF($B36=0,0, (INDEX(Option2!S$106:S$117, MATCH($D36, Option2!$G$106:$G$117,0)))*conv_2026*S$7)</f>
        <v>182786.01938878774</v>
      </c>
      <c r="T36" s="28">
        <f>IF($B36=0,0, (INDEX(Option2!T$106:T$117, MATCH($D36, Option2!$G$106:$G$117,0)))*conv_2026*T$7)</f>
        <v>185364.27231694284</v>
      </c>
      <c r="U36" s="28">
        <f>IF($B36=0,0, (INDEX(Option2!U$106:U$117, MATCH($D36, Option2!$G$106:$G$117,0)))*conv_2026*U$7)</f>
        <v>187981.66906327431</v>
      </c>
      <c r="V36" s="28">
        <f>IF($B36=0,0, (INDEX(Option2!V$106:V$117, MATCH($D36, Option2!$G$106:$G$117,0)))*conv_2026*V$7)</f>
        <v>190631.63218970568</v>
      </c>
      <c r="W36" s="28">
        <f>IF($B36=0,0, (INDEX(Option2!W$106:W$117, MATCH($D36, Option2!$G$106:$G$117,0)))*conv_2026*W$7)</f>
        <v>193308.92071478325</v>
      </c>
      <c r="X36" s="28">
        <f>IF($B36=0,0, (INDEX(Option2!X$106:X$117, MATCH($D36, Option2!$G$106:$G$117,0)))*conv_2026*X$7)</f>
        <v>196009.29612013465</v>
      </c>
      <c r="Y36" s="28">
        <f>IF($B36=0,0, (INDEX(Option2!Y$106:Y$117, MATCH($D36, Option2!$G$106:$G$117,0)))*conv_2026*Y$7)</f>
        <v>198729.28424127857</v>
      </c>
      <c r="Z36" s="28">
        <f>IF($B36=0,0, (INDEX(Option2!Z$106:Z$117, MATCH($D36, Option2!$G$106:$G$117,0)))*conv_2026*Z$7)</f>
        <v>201465.981749425</v>
      </c>
      <c r="AA36" s="28">
        <f>IF($B36=0,0, (INDEX(Option2!AA$106:AA$117, MATCH($D36, Option2!$G$106:$G$117,0)))*conv_2026*AA$7)</f>
        <v>204216.95644209057</v>
      </c>
      <c r="AB36" s="28">
        <f>IF($B36=0,0, (INDEX(Option2!AB$106:AB$117, MATCH($D36, Option2!$G$106:$G$117,0)))*conv_2026*AB$7)</f>
        <v>206980.16479907936</v>
      </c>
      <c r="AC36" s="28">
        <f>IF($B36=0,0, (INDEX(Option2!AC$106:AC$117, MATCH($D36, Option2!$G$106:$G$117,0)))*conv_2026*AC$7)</f>
        <v>0</v>
      </c>
      <c r="AD36" s="28">
        <f>IF($B36=0,0, (INDEX(Option2!AD$106:AD$117, MATCH($D36, Option2!$G$106:$G$117,0)))*conv_2026*AD$7)</f>
        <v>0</v>
      </c>
      <c r="AE36" s="28">
        <f>IF($B36=0,0, (INDEX(Option2!AE$106:AE$117, MATCH($D36, Option2!$G$106:$G$117,0)))*conv_2026*AE$7)</f>
        <v>0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ht="13" x14ac:dyDescent="0.3">
      <c r="A37" s="223" t="s">
        <v>167</v>
      </c>
      <c r="B37" s="223" t="str">
        <f>Option2!A117</f>
        <v>sens</v>
      </c>
      <c r="C37" s="223">
        <f>Option2!C117</f>
        <v>0</v>
      </c>
      <c r="D37" s="223" t="str">
        <f t="shared" si="2"/>
        <v>Option 2sens</v>
      </c>
      <c r="E37" s="215"/>
      <c r="F37" s="28">
        <f t="shared" si="3"/>
        <v>2115874.6996655837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-192005.74005206104</v>
      </c>
      <c r="K37" s="28">
        <f>IF($B37=0,0, (INDEX(Option2!K$106:K$117, MATCH($D37, Option2!$G$106:$G$117,0)))*conv_2026*K$7)</f>
        <v>171522.59697802659</v>
      </c>
      <c r="L37" s="28">
        <f>IF($B37=0,0, (INDEX(Option2!L$106:L$117, MATCH($D37, Option2!$G$106:$G$117,0)))*conv_2026*L$7)</f>
        <v>171801.02486627823</v>
      </c>
      <c r="M37" s="28">
        <f>IF($B37=0,0, (INDEX(Option2!M$106:M$117, MATCH($D37, Option2!$G$106:$G$117,0)))*conv_2026*M$7)</f>
        <v>169533.44409278658</v>
      </c>
      <c r="N37" s="28">
        <f>IF($B37=0,0, (INDEX(Option2!N$106:N$117, MATCH($D37, Option2!$G$106:$G$117,0)))*conv_2026*N$7)</f>
        <v>168888.16670881081</v>
      </c>
      <c r="O37" s="28">
        <f>IF($B37=0,0, (INDEX(Option2!O$106:O$117, MATCH($D37, Option2!$G$106:$G$117,0)))*conv_2026*O$7)</f>
        <v>173388.59663151525</v>
      </c>
      <c r="P37" s="28">
        <f>IF($B37=0,0, (INDEX(Option2!P$106:P$117, MATCH($D37, Option2!$G$106:$G$117,0)))*conv_2026*P$7)</f>
        <v>179438.49232001277</v>
      </c>
      <c r="Q37" s="28">
        <f>IF($B37=0,0, (INDEX(Option2!Q$106:Q$117, MATCH($D37, Option2!$G$106:$G$117,0)))*conv_2026*Q$7)</f>
        <v>177783.10837306679</v>
      </c>
      <c r="R37" s="28">
        <f>IF($B37=0,0, (INDEX(Option2!R$106:R$117, MATCH($D37, Option2!$G$106:$G$117,0)))*conv_2026*R$7)</f>
        <v>180255.29037504003</v>
      </c>
      <c r="S37" s="28">
        <f>IF($B37=0,0, (INDEX(Option2!S$106:S$117, MATCH($D37, Option2!$G$106:$G$117,0)))*conv_2026*S$7)</f>
        <v>182786.01938878774</v>
      </c>
      <c r="T37" s="28">
        <f>IF($B37=0,0, (INDEX(Option2!T$106:T$117, MATCH($D37, Option2!$G$106:$G$117,0)))*conv_2026*T$7)</f>
        <v>185364.27231694284</v>
      </c>
      <c r="U37" s="28">
        <f>IF($B37=0,0, (INDEX(Option2!U$106:U$117, MATCH($D37, Option2!$G$106:$G$117,0)))*conv_2026*U$7)</f>
        <v>187981.66906327431</v>
      </c>
      <c r="V37" s="28">
        <f>IF($B37=0,0, (INDEX(Option2!V$106:V$117, MATCH($D37, Option2!$G$106:$G$117,0)))*conv_2026*V$7)</f>
        <v>190631.63218970568</v>
      </c>
      <c r="W37" s="28">
        <f>IF($B37=0,0, (INDEX(Option2!W$106:W$117, MATCH($D37, Option2!$G$106:$G$117,0)))*conv_2026*W$7)</f>
        <v>193308.92071478325</v>
      </c>
      <c r="X37" s="28">
        <f>IF($B37=0,0, (INDEX(Option2!X$106:X$117, MATCH($D37, Option2!$G$106:$G$117,0)))*conv_2026*X$7)</f>
        <v>196009.29612013465</v>
      </c>
      <c r="Y37" s="28">
        <f>IF($B37=0,0, (INDEX(Option2!Y$106:Y$117, MATCH($D37, Option2!$G$106:$G$117,0)))*conv_2026*Y$7)</f>
        <v>198729.28424127857</v>
      </c>
      <c r="Z37" s="28">
        <f>IF($B37=0,0, (INDEX(Option2!Z$106:Z$117, MATCH($D37, Option2!$G$106:$G$117,0)))*conv_2026*Z$7)</f>
        <v>201465.981749425</v>
      </c>
      <c r="AA37" s="28">
        <f>IF($B37=0,0, (INDEX(Option2!AA$106:AA$117, MATCH($D37, Option2!$G$106:$G$117,0)))*conv_2026*AA$7)</f>
        <v>204216.95644209057</v>
      </c>
      <c r="AB37" s="28">
        <f>IF($B37=0,0, (INDEX(Option2!AB$106:AB$117, MATCH($D37, Option2!$G$106:$G$117,0)))*conv_2026*AB$7)</f>
        <v>206980.16479907936</v>
      </c>
      <c r="AC37" s="28">
        <f>IF($B37=0,0, (INDEX(Option2!AC$106:AC$117, MATCH($D37, Option2!$G$106:$G$117,0)))*conv_2026*AC$7)</f>
        <v>0</v>
      </c>
      <c r="AD37" s="28">
        <f>IF($B37=0,0, (INDEX(Option2!AD$106:AD$117, MATCH($D37, Option2!$G$106:$G$117,0)))*conv_2026*AD$7)</f>
        <v>0</v>
      </c>
      <c r="AE37" s="28">
        <f>IF($B37=0,0, (INDEX(Option2!AE$106:AE$117, MATCH($D37, Option2!$G$106:$G$117,0)))*conv_2026*AE$7)</f>
        <v>0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ht="13" x14ac:dyDescent="0.3">
      <c r="A38" s="223"/>
      <c r="B38" s="223"/>
      <c r="C38" s="223"/>
      <c r="D38" s="223"/>
      <c r="E38" s="223"/>
      <c r="F38" s="28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</row>
    <row r="39" spans="1:35" s="6" customFormat="1" ht="13" x14ac:dyDescent="0.3">
      <c r="A39" s="223"/>
      <c r="B39" s="223"/>
      <c r="C39" s="223"/>
      <c r="D39" s="223"/>
      <c r="E39" s="223"/>
      <c r="F39" s="28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</row>
    <row r="40" spans="1:35" s="6" customFormat="1" ht="13" x14ac:dyDescent="0.3">
      <c r="A40" s="223"/>
      <c r="B40" s="223"/>
      <c r="C40" s="223"/>
      <c r="D40" s="223"/>
      <c r="E40" s="223"/>
      <c r="F40" s="28"/>
      <c r="H40" s="28">
        <f>Consol!H50</f>
        <v>0</v>
      </c>
      <c r="I40" s="28">
        <f>Consol!I50</f>
        <v>0</v>
      </c>
      <c r="J40" s="28">
        <f>Consol!J50</f>
        <v>75434.459511970577</v>
      </c>
      <c r="K40" s="28">
        <f>Consol!K50</f>
        <v>75675.940682561719</v>
      </c>
      <c r="L40" s="28">
        <f>Consol!L50</f>
        <v>75875.227042197832</v>
      </c>
      <c r="M40" s="28">
        <f>Consol!M50</f>
        <v>76010.519958581543</v>
      </c>
      <c r="N40" s="28">
        <f>Consol!N50</f>
        <v>76174.552551894361</v>
      </c>
      <c r="O40" s="28">
        <f>Consol!O50</f>
        <v>76450.464031698764</v>
      </c>
      <c r="P40" s="28">
        <f>Consol!P50</f>
        <v>76763.32379182562</v>
      </c>
      <c r="Q40" s="28">
        <f>Consol!Q50</f>
        <v>76899.733918911137</v>
      </c>
      <c r="R40" s="28">
        <f>Consol!R50</f>
        <v>77131.359688869823</v>
      </c>
      <c r="S40" s="28">
        <f>Consol!S50</f>
        <v>77365.327560974547</v>
      </c>
      <c r="T40" s="28">
        <f>Consol!T50</f>
        <v>77601.629185980215</v>
      </c>
      <c r="U40" s="28">
        <f>Consol!U50</f>
        <v>77840.264777048636</v>
      </c>
      <c r="V40" s="28">
        <f>Consol!V50</f>
        <v>78081.222628224874</v>
      </c>
      <c r="W40" s="28">
        <f>Consol!W50</f>
        <v>78324.491933429847</v>
      </c>
      <c r="X40" s="28">
        <f>Consol!X50</f>
        <v>78570.078117669909</v>
      </c>
      <c r="Y40" s="28">
        <f>Consol!Y50</f>
        <v>78817.975576821715</v>
      </c>
      <c r="Z40" s="28">
        <f>Consol!Z50</f>
        <v>79068.176129740343</v>
      </c>
      <c r="AA40" s="28">
        <f>Consol!AA50</f>
        <v>79320.670805079542</v>
      </c>
      <c r="AB40" s="28">
        <f>Consol!AB50</f>
        <v>79575.450638706126</v>
      </c>
      <c r="AC40" s="28">
        <f>Consol!AC50</f>
        <v>0</v>
      </c>
      <c r="AD40" s="28">
        <f>Consol!AD50</f>
        <v>0</v>
      </c>
      <c r="AE40" s="28">
        <f>Consol!AE50</f>
        <v>0</v>
      </c>
      <c r="AF40" s="28">
        <f>Consol!AF50</f>
        <v>0</v>
      </c>
      <c r="AG40" s="28">
        <f>Consol!AG50</f>
        <v>0</v>
      </c>
    </row>
    <row r="41" spans="1:35" s="6" customFormat="1" ht="13" x14ac:dyDescent="0.3">
      <c r="A41" s="223"/>
      <c r="B41" s="223"/>
      <c r="C41" s="223"/>
      <c r="D41" s="223"/>
      <c r="E41" s="223"/>
      <c r="F41" s="28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</row>
    <row r="42" spans="1:35" s="6" customFormat="1" ht="13" x14ac:dyDescent="0.3">
      <c r="A42" s="223" t="s">
        <v>168</v>
      </c>
      <c r="B42" s="223" t="s">
        <v>22</v>
      </c>
      <c r="C42" s="223" t="s">
        <v>147</v>
      </c>
      <c r="D42" s="223" t="str">
        <f>A42&amp;B42</f>
        <v>Option 3NPV</v>
      </c>
      <c r="E42" s="215"/>
      <c r="F42" s="28">
        <f t="shared" ref="F42:F51" si="4">SUMPRODUCT($H42:$AG42, $H$5:$AG$5)</f>
        <v>1040142.0438616867</v>
      </c>
      <c r="G42" s="218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75434.459511970577</v>
      </c>
      <c r="K42" s="28">
        <f>(INDEX(Option3!K$106:K$117, MATCH($D42, Option3!$G$106:$G$117,0)))*conv_2026*K$7</f>
        <v>75675.940682561719</v>
      </c>
      <c r="L42" s="28">
        <f>(INDEX(Option3!L$106:L$117, MATCH($D42, Option3!$G$106:$G$117,0)))*conv_2026*L$7</f>
        <v>75875.227042197832</v>
      </c>
      <c r="M42" s="28">
        <f>(INDEX(Option3!M$106:M$117, MATCH($D42, Option3!$G$106:$G$117,0)))*conv_2026*M$7</f>
        <v>76010.519958581543</v>
      </c>
      <c r="N42" s="28">
        <f>(INDEX(Option3!N$106:N$117, MATCH($D42, Option3!$G$106:$G$117,0)))*conv_2026*N$7</f>
        <v>76174.552551894376</v>
      </c>
      <c r="O42" s="28">
        <f>(INDEX(Option3!O$106:O$117, MATCH($D42, Option3!$G$106:$G$117,0)))*conv_2026*O$7</f>
        <v>76450.464031698779</v>
      </c>
      <c r="P42" s="28">
        <f>(INDEX(Option3!P$106:P$117, MATCH($D42, Option3!$G$106:$G$117,0)))*conv_2026*P$7</f>
        <v>76763.32379182562</v>
      </c>
      <c r="Q42" s="28">
        <f>(INDEX(Option3!Q$106:Q$117, MATCH($D42, Option3!$G$106:$G$117,0)))*conv_2026*Q$7</f>
        <v>76899.733918911123</v>
      </c>
      <c r="R42" s="28">
        <f>(INDEX(Option3!R$106:R$117, MATCH($D42, Option3!$G$106:$G$117,0)))*conv_2026*R$7</f>
        <v>77131.359688869808</v>
      </c>
      <c r="S42" s="28">
        <f>(INDEX(Option3!S$106:S$117, MATCH($D42, Option3!$G$106:$G$117,0)))*conv_2026*S$7</f>
        <v>77365.327560974547</v>
      </c>
      <c r="T42" s="28">
        <f>(INDEX(Option3!T$106:T$117, MATCH($D42, Option3!$G$106:$G$117,0)))*conv_2026*T$7</f>
        <v>77601.62918598023</v>
      </c>
      <c r="U42" s="28">
        <f>(INDEX(Option3!U$106:U$117, MATCH($D42, Option3!$G$106:$G$117,0)))*conv_2026*U$7</f>
        <v>77840.264777048651</v>
      </c>
      <c r="V42" s="28">
        <f>(INDEX(Option3!V$106:V$117, MATCH($D42, Option3!$G$106:$G$117,0)))*conv_2026*V$7</f>
        <v>78081.222628224874</v>
      </c>
      <c r="W42" s="28">
        <f>(INDEX(Option3!W$106:W$117, MATCH($D42, Option3!$G$106:$G$117,0)))*conv_2026*W$7</f>
        <v>78324.491933429847</v>
      </c>
      <c r="X42" s="28">
        <f>(INDEX(Option3!X$106:X$117, MATCH($D42, Option3!$G$106:$G$117,0)))*conv_2026*X$7</f>
        <v>78570.078117669924</v>
      </c>
      <c r="Y42" s="28">
        <f>(INDEX(Option3!Y$106:Y$117, MATCH($D42, Option3!$G$106:$G$117,0)))*conv_2026*Y$7</f>
        <v>78817.975576821715</v>
      </c>
      <c r="Z42" s="28">
        <f>(INDEX(Option3!Z$106:Z$117, MATCH($D42, Option3!$G$106:$G$117,0)))*conv_2026*Z$7</f>
        <v>79068.176129740357</v>
      </c>
      <c r="AA42" s="28">
        <f>(INDEX(Option3!AA$106:AA$117, MATCH($D42, Option3!$G$106:$G$117,0)))*conv_2026*AA$7</f>
        <v>79320.670805079557</v>
      </c>
      <c r="AB42" s="28">
        <f>(INDEX(Option3!AB$106:AB$117, MATCH($D42, Option3!$G$106:$G$117,0)))*conv_2026*AB$7</f>
        <v>79575.450638706112</v>
      </c>
      <c r="AC42" s="28">
        <f>(INDEX(Option3!AC$106:AC$117, MATCH($D42, Option3!$G$106:$G$117,0)))*conv_2026*AC$7</f>
        <v>0</v>
      </c>
      <c r="AD42" s="28">
        <f>(INDEX(Option3!AD$106:AD$117, MATCH($D42, Option3!$G$106:$G$117,0)))*conv_2026*AD$7</f>
        <v>0</v>
      </c>
      <c r="AE42" s="28">
        <f>(INDEX(Option3!AE$106:AE$117, MATCH($D42, Option3!$G$106:$G$117,0)))*conv_2026*AE$7</f>
        <v>0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ht="13" x14ac:dyDescent="0.3">
      <c r="A43" s="217"/>
      <c r="B43" s="217"/>
      <c r="C43" s="217"/>
      <c r="D43" s="217"/>
      <c r="E43" s="217"/>
      <c r="F43" s="217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"/>
      <c r="AI43" s="2"/>
    </row>
    <row r="44" spans="1:35" s="6" customFormat="1" ht="13" x14ac:dyDescent="0.3">
      <c r="A44" s="223" t="s">
        <v>168</v>
      </c>
      <c r="B44" s="223" t="str">
        <f>Option3!A110</f>
        <v>sens1</v>
      </c>
      <c r="C44" s="223" t="str">
        <f>Option3!C110</f>
        <v>Capex 10% higher</v>
      </c>
      <c r="D44" s="223" t="str">
        <f t="shared" ref="D44:D51" si="5">A44&amp;B44</f>
        <v>Option 3sens1</v>
      </c>
      <c r="E44" s="215"/>
      <c r="F44" s="28">
        <f t="shared" si="4"/>
        <v>973033.58906610275</v>
      </c>
      <c r="G44" s="218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70454.622721568929</v>
      </c>
      <c r="K44" s="28">
        <f>(INDEX(Option3!K$106:K$117, MATCH($D44, Option3!$G$106:$G$117,0)))*conv_2026*K$7</f>
        <v>70696.10389216007</v>
      </c>
      <c r="L44" s="28">
        <f>(INDEX(Option3!L$106:L$117, MATCH($D44, Option3!$G$106:$G$117,0)))*conv_2026*L$7</f>
        <v>70895.390251796169</v>
      </c>
      <c r="M44" s="28">
        <f>(INDEX(Option3!M$106:M$117, MATCH($D44, Option3!$G$106:$G$117,0)))*conv_2026*M$7</f>
        <v>71030.683168179879</v>
      </c>
      <c r="N44" s="28">
        <f>(INDEX(Option3!N$106:N$117, MATCH($D44, Option3!$G$106:$G$117,0)))*conv_2026*N$7</f>
        <v>71194.715761492713</v>
      </c>
      <c r="O44" s="28">
        <f>(INDEX(Option3!O$106:O$117, MATCH($D44, Option3!$G$106:$G$117,0)))*conv_2026*O$7</f>
        <v>71470.627241297116</v>
      </c>
      <c r="P44" s="28">
        <f>(INDEX(Option3!P$106:P$117, MATCH($D44, Option3!$G$106:$G$117,0)))*conv_2026*P$7</f>
        <v>71783.487001423971</v>
      </c>
      <c r="Q44" s="28">
        <f>(INDEX(Option3!Q$106:Q$117, MATCH($D44, Option3!$G$106:$G$117,0)))*conv_2026*Q$7</f>
        <v>71919.897128509474</v>
      </c>
      <c r="R44" s="28">
        <f>(INDEX(Option3!R$106:R$117, MATCH($D44, Option3!$G$106:$G$117,0)))*conv_2026*R$7</f>
        <v>72151.52289846816</v>
      </c>
      <c r="S44" s="28">
        <f>(INDEX(Option3!S$106:S$117, MATCH($D44, Option3!$G$106:$G$117,0)))*conv_2026*S$7</f>
        <v>72385.490770572884</v>
      </c>
      <c r="T44" s="28">
        <f>(INDEX(Option3!T$106:T$117, MATCH($D44, Option3!$G$106:$G$117,0)))*conv_2026*T$7</f>
        <v>72621.792395578566</v>
      </c>
      <c r="U44" s="28">
        <f>(INDEX(Option3!U$106:U$117, MATCH($D44, Option3!$G$106:$G$117,0)))*conv_2026*U$7</f>
        <v>72860.427986646988</v>
      </c>
      <c r="V44" s="28">
        <f>(INDEX(Option3!V$106:V$117, MATCH($D44, Option3!$G$106:$G$117,0)))*conv_2026*V$7</f>
        <v>73101.385837823211</v>
      </c>
      <c r="W44" s="28">
        <f>(INDEX(Option3!W$106:W$117, MATCH($D44, Option3!$G$106:$G$117,0)))*conv_2026*W$7</f>
        <v>73344.655143028183</v>
      </c>
      <c r="X44" s="28">
        <f>(INDEX(Option3!X$106:X$117, MATCH($D44, Option3!$G$106:$G$117,0)))*conv_2026*X$7</f>
        <v>73590.241327268261</v>
      </c>
      <c r="Y44" s="28">
        <f>(INDEX(Option3!Y$106:Y$117, MATCH($D44, Option3!$G$106:$G$117,0)))*conv_2026*Y$7</f>
        <v>73838.138786420051</v>
      </c>
      <c r="Z44" s="28">
        <f>(INDEX(Option3!Z$106:Z$117, MATCH($D44, Option3!$G$106:$G$117,0)))*conv_2026*Z$7</f>
        <v>74088.33933933868</v>
      </c>
      <c r="AA44" s="28">
        <f>(INDEX(Option3!AA$106:AA$117, MATCH($D44, Option3!$G$106:$G$117,0)))*conv_2026*AA$7</f>
        <v>74340.834014677879</v>
      </c>
      <c r="AB44" s="28">
        <f>(INDEX(Option3!AB$106:AB$117, MATCH($D44, Option3!$G$106:$G$117,0)))*conv_2026*AB$7</f>
        <v>74595.613848304449</v>
      </c>
      <c r="AC44" s="28">
        <f>(INDEX(Option3!AC$106:AC$117, MATCH($D44, Option3!$G$106:$G$117,0)))*conv_2026*AC$7</f>
        <v>0</v>
      </c>
      <c r="AD44" s="28">
        <f>(INDEX(Option3!AD$106:AD$117, MATCH($D44, Option3!$G$106:$G$117,0)))*conv_2026*AD$7</f>
        <v>0</v>
      </c>
      <c r="AE44" s="28">
        <f>(INDEX(Option3!AE$106:AE$117, MATCH($D44, Option3!$G$106:$G$117,0)))*conv_2026*AE$7</f>
        <v>0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ht="13" x14ac:dyDescent="0.3">
      <c r="A45" s="223" t="s">
        <v>168</v>
      </c>
      <c r="B45" s="223" t="str">
        <f>Option3!A111</f>
        <v>sens2</v>
      </c>
      <c r="C45" s="223" t="str">
        <f>Option3!C111</f>
        <v>Capex 10% lower</v>
      </c>
      <c r="D45" s="223" t="str">
        <f t="shared" si="5"/>
        <v>Option 3sens2</v>
      </c>
      <c r="E45" s="215"/>
      <c r="F45" s="28">
        <f t="shared" si="4"/>
        <v>1107250.498657271</v>
      </c>
      <c r="G45" s="223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80414.29630237224</v>
      </c>
      <c r="K45" s="28">
        <f>(INDEX(Option3!K$106:K$117, MATCH($D45, Option3!$G$106:$G$117,0)))*conv_2026*K$7</f>
        <v>80655.777472963382</v>
      </c>
      <c r="L45" s="28">
        <f>(INDEX(Option3!L$106:L$117, MATCH($D45, Option3!$G$106:$G$117,0)))*conv_2026*L$7</f>
        <v>80855.063832599495</v>
      </c>
      <c r="M45" s="28">
        <f>(INDEX(Option3!M$106:M$117, MATCH($D45, Option3!$G$106:$G$117,0)))*conv_2026*M$7</f>
        <v>80990.356748983206</v>
      </c>
      <c r="N45" s="28">
        <f>(INDEX(Option3!N$106:N$117, MATCH($D45, Option3!$G$106:$G$117,0)))*conv_2026*N$7</f>
        <v>81154.389342296039</v>
      </c>
      <c r="O45" s="28">
        <f>(INDEX(Option3!O$106:O$117, MATCH($D45, Option3!$G$106:$G$117,0)))*conv_2026*O$7</f>
        <v>81430.300822100442</v>
      </c>
      <c r="P45" s="28">
        <f>(INDEX(Option3!P$106:P$117, MATCH($D45, Option3!$G$106:$G$117,0)))*conv_2026*P$7</f>
        <v>81743.160582227298</v>
      </c>
      <c r="Q45" s="28">
        <f>(INDEX(Option3!Q$106:Q$117, MATCH($D45, Option3!$G$106:$G$117,0)))*conv_2026*Q$7</f>
        <v>81879.570709312786</v>
      </c>
      <c r="R45" s="28">
        <f>(INDEX(Option3!R$106:R$117, MATCH($D45, Option3!$G$106:$G$117,0)))*conv_2026*R$7</f>
        <v>82111.196479271486</v>
      </c>
      <c r="S45" s="28">
        <f>(INDEX(Option3!S$106:S$117, MATCH($D45, Option3!$G$106:$G$117,0)))*conv_2026*S$7</f>
        <v>82345.16435137621</v>
      </c>
      <c r="T45" s="28">
        <f>(INDEX(Option3!T$106:T$117, MATCH($D45, Option3!$G$106:$G$117,0)))*conv_2026*T$7</f>
        <v>82581.465976381893</v>
      </c>
      <c r="U45" s="28">
        <f>(INDEX(Option3!U$106:U$117, MATCH($D45, Option3!$G$106:$G$117,0)))*conv_2026*U$7</f>
        <v>82820.101567450314</v>
      </c>
      <c r="V45" s="28">
        <f>(INDEX(Option3!V$106:V$117, MATCH($D45, Option3!$G$106:$G$117,0)))*conv_2026*V$7</f>
        <v>83061.059418626537</v>
      </c>
      <c r="W45" s="28">
        <f>(INDEX(Option3!W$106:W$117, MATCH($D45, Option3!$G$106:$G$117,0)))*conv_2026*W$7</f>
        <v>83304.32872383151</v>
      </c>
      <c r="X45" s="28">
        <f>(INDEX(Option3!X$106:X$117, MATCH($D45, Option3!$G$106:$G$117,0)))*conv_2026*X$7</f>
        <v>83549.914908071587</v>
      </c>
      <c r="Y45" s="28">
        <f>(INDEX(Option3!Y$106:Y$117, MATCH($D45, Option3!$G$106:$G$117,0)))*conv_2026*Y$7</f>
        <v>83797.812367223378</v>
      </c>
      <c r="Z45" s="28">
        <f>(INDEX(Option3!Z$106:Z$117, MATCH($D45, Option3!$G$106:$G$117,0)))*conv_2026*Z$7</f>
        <v>84048.01292014202</v>
      </c>
      <c r="AA45" s="28">
        <f>(INDEX(Option3!AA$106:AA$117, MATCH($D45, Option3!$G$106:$G$117,0)))*conv_2026*AA$7</f>
        <v>84300.50759548122</v>
      </c>
      <c r="AB45" s="28">
        <f>(INDEX(Option3!AB$106:AB$117, MATCH($D45, Option3!$G$106:$G$117,0)))*conv_2026*AB$7</f>
        <v>84555.287429107775</v>
      </c>
      <c r="AC45" s="28">
        <f>(INDEX(Option3!AC$106:AC$117, MATCH($D45, Option3!$G$106:$G$117,0)))*conv_2026*AC$7</f>
        <v>0</v>
      </c>
      <c r="AD45" s="28">
        <f>(INDEX(Option3!AD$106:AD$117, MATCH($D45, Option3!$G$106:$G$117,0)))*conv_2026*AD$7</f>
        <v>0</v>
      </c>
      <c r="AE45" s="28">
        <f>(INDEX(Option3!AE$106:AE$117, MATCH($D45, Option3!$G$106:$G$117,0)))*conv_2026*AE$7</f>
        <v>0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ht="13" x14ac:dyDescent="0.3">
      <c r="A46" s="223" t="s">
        <v>168</v>
      </c>
      <c r="B46" s="223" t="str">
        <f>Option3!A112</f>
        <v>sens3</v>
      </c>
      <c r="C46" s="223" t="str">
        <f>Option3!C112</f>
        <v>Total benefits 10% higher</v>
      </c>
      <c r="D46" s="223" t="str">
        <f t="shared" si="5"/>
        <v>Option 3sens3</v>
      </c>
      <c r="E46" s="215"/>
      <c r="F46" s="28">
        <f t="shared" si="4"/>
        <v>1211264.7030434399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87957.742253569304</v>
      </c>
      <c r="K46" s="28">
        <f>(INDEX(Option3!K$106:K$117, MATCH($D46, Option3!$G$106:$G$117,0)))*conv_2026*K$7</f>
        <v>88223.371541219545</v>
      </c>
      <c r="L46" s="28">
        <f>(INDEX(Option3!L$106:L$117, MATCH($D46, Option3!$G$106:$G$117,0)))*conv_2026*L$7</f>
        <v>88442.586536819275</v>
      </c>
      <c r="M46" s="28">
        <f>(INDEX(Option3!M$106:M$117, MATCH($D46, Option3!$G$106:$G$117,0)))*conv_2026*M$7</f>
        <v>88591.408744841348</v>
      </c>
      <c r="N46" s="28">
        <f>(INDEX(Option3!N$106:N$117, MATCH($D46, Option3!$G$106:$G$117,0)))*conv_2026*N$7</f>
        <v>88771.844597485484</v>
      </c>
      <c r="O46" s="28">
        <f>(INDEX(Option3!O$106:O$117, MATCH($D46, Option3!$G$106:$G$117,0)))*conv_2026*O$7</f>
        <v>89075.347225270321</v>
      </c>
      <c r="P46" s="28">
        <f>(INDEX(Option3!P$106:P$117, MATCH($D46, Option3!$G$106:$G$117,0)))*conv_2026*P$7</f>
        <v>89419.492961409851</v>
      </c>
      <c r="Q46" s="28">
        <f>(INDEX(Option3!Q$106:Q$117, MATCH($D46, Option3!$G$106:$G$117,0)))*conv_2026*Q$7</f>
        <v>89569.544101203908</v>
      </c>
      <c r="R46" s="28">
        <f>(INDEX(Option3!R$106:R$117, MATCH($D46, Option3!$G$106:$G$117,0)))*conv_2026*R$7</f>
        <v>89824.332448158457</v>
      </c>
      <c r="S46" s="28">
        <f>(INDEX(Option3!S$106:S$117, MATCH($D46, Option3!$G$106:$G$117,0)))*conv_2026*S$7</f>
        <v>90081.69710747365</v>
      </c>
      <c r="T46" s="28">
        <f>(INDEX(Option3!T$106:T$117, MATCH($D46, Option3!$G$106:$G$117,0)))*conv_2026*T$7</f>
        <v>90341.628894979905</v>
      </c>
      <c r="U46" s="28">
        <f>(INDEX(Option3!U$106:U$117, MATCH($D46, Option3!$G$106:$G$117,0)))*conv_2026*U$7</f>
        <v>90604.128045155172</v>
      </c>
      <c r="V46" s="28">
        <f>(INDEX(Option3!V$106:V$117, MATCH($D46, Option3!$G$106:$G$117,0)))*conv_2026*V$7</f>
        <v>90869.18168144903</v>
      </c>
      <c r="W46" s="28">
        <f>(INDEX(Option3!W$106:W$117, MATCH($D46, Option3!$G$106:$G$117,0)))*conv_2026*W$7</f>
        <v>91136.777917174491</v>
      </c>
      <c r="X46" s="28">
        <f>(INDEX(Option3!X$106:X$117, MATCH($D46, Option3!$G$106:$G$117,0)))*conv_2026*X$7</f>
        <v>91406.922719838578</v>
      </c>
      <c r="Y46" s="28">
        <f>(INDEX(Option3!Y$106:Y$117, MATCH($D46, Option3!$G$106:$G$117,0)))*conv_2026*Y$7</f>
        <v>91679.609924905541</v>
      </c>
      <c r="Z46" s="28">
        <f>(INDEX(Option3!Z$106:Z$117, MATCH($D46, Option3!$G$106:$G$117,0)))*conv_2026*Z$7</f>
        <v>91954.830533116052</v>
      </c>
      <c r="AA46" s="28">
        <f>(INDEX(Option3!AA$106:AA$117, MATCH($D46, Option3!$G$106:$G$117,0)))*conv_2026*AA$7</f>
        <v>92232.574675989163</v>
      </c>
      <c r="AB46" s="28">
        <f>(INDEX(Option3!AB$106:AB$117, MATCH($D46, Option3!$G$106:$G$117,0)))*conv_2026*AB$7</f>
        <v>92512.832492978385</v>
      </c>
      <c r="AC46" s="28">
        <f>(INDEX(Option3!AC$106:AC$117, MATCH($D46, Option3!$G$106:$G$117,0)))*conv_2026*AC$7</f>
        <v>0</v>
      </c>
      <c r="AD46" s="28">
        <f>(INDEX(Option3!AD$106:AD$117, MATCH($D46, Option3!$G$106:$G$117,0)))*conv_2026*AD$7</f>
        <v>0</v>
      </c>
      <c r="AE46" s="28">
        <f>(INDEX(Option3!AE$106:AE$117, MATCH($D46, Option3!$G$106:$G$117,0)))*conv_2026*AE$7</f>
        <v>0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ht="13" x14ac:dyDescent="0.3">
      <c r="A47" s="223" t="s">
        <v>168</v>
      </c>
      <c r="B47" s="223" t="str">
        <f>Option3!A113</f>
        <v>sens4</v>
      </c>
      <c r="C47" s="223" t="str">
        <f>Option3!C113</f>
        <v>Total benefits 10% lower</v>
      </c>
      <c r="D47" s="223" t="str">
        <f t="shared" si="5"/>
        <v>Option 3sens4</v>
      </c>
      <c r="E47" s="215"/>
      <c r="F47" s="28">
        <f t="shared" si="4"/>
        <v>869019.38467993401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62911.176770371865</v>
      </c>
      <c r="K47" s="28">
        <f>(INDEX(Option3!K$106:K$117, MATCH($D47, Option3!$G$106:$G$117,0)))*conv_2026*K$7</f>
        <v>63128.509823903893</v>
      </c>
      <c r="L47" s="28">
        <f>(INDEX(Option3!L$106:L$117, MATCH($D47, Option3!$G$106:$G$117,0)))*conv_2026*L$7</f>
        <v>63307.867547576388</v>
      </c>
      <c r="M47" s="28">
        <f>(INDEX(Option3!M$106:M$117, MATCH($D47, Option3!$G$106:$G$117,0)))*conv_2026*M$7</f>
        <v>63429.63117232173</v>
      </c>
      <c r="N47" s="28">
        <f>(INDEX(Option3!N$106:N$117, MATCH($D47, Option3!$G$106:$G$117,0)))*conv_2026*N$7</f>
        <v>63577.260506303275</v>
      </c>
      <c r="O47" s="28">
        <f>(INDEX(Option3!O$106:O$117, MATCH($D47, Option3!$G$106:$G$117,0)))*conv_2026*O$7</f>
        <v>63825.580838127244</v>
      </c>
      <c r="P47" s="28">
        <f>(INDEX(Option3!P$106:P$117, MATCH($D47, Option3!$G$106:$G$117,0)))*conv_2026*P$7</f>
        <v>64107.154622241404</v>
      </c>
      <c r="Q47" s="28">
        <f>(INDEX(Option3!Q$106:Q$117, MATCH($D47, Option3!$G$106:$G$117,0)))*conv_2026*Q$7</f>
        <v>64229.923736618352</v>
      </c>
      <c r="R47" s="28">
        <f>(INDEX(Option3!R$106:R$117, MATCH($D47, Option3!$G$106:$G$117,0)))*conv_2026*R$7</f>
        <v>64438.386929581175</v>
      </c>
      <c r="S47" s="28">
        <f>(INDEX(Option3!S$106:S$117, MATCH($D47, Option3!$G$106:$G$117,0)))*conv_2026*S$7</f>
        <v>64648.958014475436</v>
      </c>
      <c r="T47" s="28">
        <f>(INDEX(Option3!T$106:T$117, MATCH($D47, Option3!$G$106:$G$117,0)))*conv_2026*T$7</f>
        <v>64861.629476980546</v>
      </c>
      <c r="U47" s="28">
        <f>(INDEX(Option3!U$106:U$117, MATCH($D47, Option3!$G$106:$G$117,0)))*conv_2026*U$7</f>
        <v>65076.40150894213</v>
      </c>
      <c r="V47" s="28">
        <f>(INDEX(Option3!V$106:V$117, MATCH($D47, Option3!$G$106:$G$117,0)))*conv_2026*V$7</f>
        <v>65293.263575000732</v>
      </c>
      <c r="W47" s="28">
        <f>(INDEX(Option3!W$106:W$117, MATCH($D47, Option3!$G$106:$G$117,0)))*conv_2026*W$7</f>
        <v>65512.205949685202</v>
      </c>
      <c r="X47" s="28">
        <f>(INDEX(Option3!X$106:X$117, MATCH($D47, Option3!$G$106:$G$117,0)))*conv_2026*X$7</f>
        <v>65733.23351550127</v>
      </c>
      <c r="Y47" s="28">
        <f>(INDEX(Option3!Y$106:Y$117, MATCH($D47, Option3!$G$106:$G$117,0)))*conv_2026*Y$7</f>
        <v>65956.341228737889</v>
      </c>
      <c r="Z47" s="28">
        <f>(INDEX(Option3!Z$106:Z$117, MATCH($D47, Option3!$G$106:$G$117,0)))*conv_2026*Z$7</f>
        <v>66181.521726364648</v>
      </c>
      <c r="AA47" s="28">
        <f>(INDEX(Option3!AA$106:AA$117, MATCH($D47, Option3!$G$106:$G$117,0)))*conv_2026*AA$7</f>
        <v>66408.766934169937</v>
      </c>
      <c r="AB47" s="28">
        <f>(INDEX(Option3!AB$106:AB$117, MATCH($D47, Option3!$G$106:$G$117,0)))*conv_2026*AB$7</f>
        <v>66638.068784433854</v>
      </c>
      <c r="AC47" s="28">
        <f>(INDEX(Option3!AC$106:AC$117, MATCH($D47, Option3!$G$106:$G$117,0)))*conv_2026*AC$7</f>
        <v>0</v>
      </c>
      <c r="AD47" s="28">
        <f>(INDEX(Option3!AD$106:AD$117, MATCH($D47, Option3!$G$106:$G$117,0)))*conv_2026*AD$7</f>
        <v>0</v>
      </c>
      <c r="AE47" s="28">
        <f>(INDEX(Option3!AE$106:AE$117, MATCH($D47, Option3!$G$106:$G$117,0)))*conv_2026*AE$7</f>
        <v>0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ht="13" x14ac:dyDescent="0.3">
      <c r="A48" s="223" t="s">
        <v>168</v>
      </c>
      <c r="B48" s="223" t="str">
        <f>Option3!A114</f>
        <v>sens5</v>
      </c>
      <c r="C48" s="223" t="str">
        <f>Option3!C114</f>
        <v>Capex 10% higher &amp; Total benefits 10% lower</v>
      </c>
      <c r="D48" s="223" t="str">
        <f t="shared" si="5"/>
        <v>Option 3sens5</v>
      </c>
      <c r="E48" s="215"/>
      <c r="F48" s="28">
        <f t="shared" si="4"/>
        <v>801910.92988435016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57931.339979970209</v>
      </c>
      <c r="K48" s="28">
        <f>(INDEX(Option3!K$106:K$117, MATCH($D48, Option3!$G$106:$G$117,0)))*conv_2026*K$7</f>
        <v>58148.673033502229</v>
      </c>
      <c r="L48" s="28">
        <f>(INDEX(Option3!L$106:L$117, MATCH($D48, Option3!$G$106:$G$117,0)))*conv_2026*L$7</f>
        <v>58328.030757174725</v>
      </c>
      <c r="M48" s="28">
        <f>(INDEX(Option3!M$106:M$117, MATCH($D48, Option3!$G$106:$G$117,0)))*conv_2026*M$7</f>
        <v>58449.794381920066</v>
      </c>
      <c r="N48" s="28">
        <f>(INDEX(Option3!N$106:N$117, MATCH($D48, Option3!$G$106:$G$117,0)))*conv_2026*N$7</f>
        <v>58597.423715901619</v>
      </c>
      <c r="O48" s="28">
        <f>(INDEX(Option3!O$106:O$117, MATCH($D48, Option3!$G$106:$G$117,0)))*conv_2026*O$7</f>
        <v>58845.74404772558</v>
      </c>
      <c r="P48" s="28">
        <f>(INDEX(Option3!P$106:P$117, MATCH($D48, Option3!$G$106:$G$117,0)))*conv_2026*P$7</f>
        <v>59127.317831839748</v>
      </c>
      <c r="Q48" s="28">
        <f>(INDEX(Option3!Q$106:Q$117, MATCH($D48, Option3!$G$106:$G$117,0)))*conv_2026*Q$7</f>
        <v>59250.086946216696</v>
      </c>
      <c r="R48" s="28">
        <f>(INDEX(Option3!R$106:R$117, MATCH($D48, Option3!$G$106:$G$117,0)))*conv_2026*R$7</f>
        <v>59458.550139179519</v>
      </c>
      <c r="S48" s="28">
        <f>(INDEX(Option3!S$106:S$117, MATCH($D48, Option3!$G$106:$G$117,0)))*conv_2026*S$7</f>
        <v>59669.121224073773</v>
      </c>
      <c r="T48" s="28">
        <f>(INDEX(Option3!T$106:T$117, MATCH($D48, Option3!$G$106:$G$117,0)))*conv_2026*T$7</f>
        <v>59881.792686578883</v>
      </c>
      <c r="U48" s="28">
        <f>(INDEX(Option3!U$106:U$117, MATCH($D48, Option3!$G$106:$G$117,0)))*conv_2026*U$7</f>
        <v>60096.564718540467</v>
      </c>
      <c r="V48" s="28">
        <f>(INDEX(Option3!V$106:V$117, MATCH($D48, Option3!$G$106:$G$117,0)))*conv_2026*V$7</f>
        <v>60313.426784599076</v>
      </c>
      <c r="W48" s="28">
        <f>(INDEX(Option3!W$106:W$117, MATCH($D48, Option3!$G$106:$G$117,0)))*conv_2026*W$7</f>
        <v>60532.369159283538</v>
      </c>
      <c r="X48" s="28">
        <f>(INDEX(Option3!X$106:X$117, MATCH($D48, Option3!$G$106:$G$117,0)))*conv_2026*X$7</f>
        <v>60753.396725099614</v>
      </c>
      <c r="Y48" s="28">
        <f>(INDEX(Option3!Y$106:Y$117, MATCH($D48, Option3!$G$106:$G$117,0)))*conv_2026*Y$7</f>
        <v>60976.504438336218</v>
      </c>
      <c r="Z48" s="28">
        <f>(INDEX(Option3!Z$106:Z$117, MATCH($D48, Option3!$G$106:$G$117,0)))*conv_2026*Z$7</f>
        <v>61201.684935963</v>
      </c>
      <c r="AA48" s="28">
        <f>(INDEX(Option3!AA$106:AA$117, MATCH($D48, Option3!$G$106:$G$117,0)))*conv_2026*AA$7</f>
        <v>61428.930143768273</v>
      </c>
      <c r="AB48" s="28">
        <f>(INDEX(Option3!AB$106:AB$117, MATCH($D48, Option3!$G$106:$G$117,0)))*conv_2026*AB$7</f>
        <v>61658.231994032183</v>
      </c>
      <c r="AC48" s="28">
        <f>(INDEX(Option3!AC$106:AC$117, MATCH($D48, Option3!$G$106:$G$117,0)))*conv_2026*AC$7</f>
        <v>0</v>
      </c>
      <c r="AD48" s="28">
        <f>(INDEX(Option3!AD$106:AD$117, MATCH($D48, Option3!$G$106:$G$117,0)))*conv_2026*AD$7</f>
        <v>0</v>
      </c>
      <c r="AE48" s="28">
        <f>(INDEX(Option3!AE$106:AE$117, MATCH($D48, Option3!$G$106:$G$117,0)))*conv_2026*AE$7</f>
        <v>0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ht="13" x14ac:dyDescent="0.3">
      <c r="A49" s="223" t="s">
        <v>168</v>
      </c>
      <c r="B49" s="223" t="str">
        <f>Option3!A115</f>
        <v>sens</v>
      </c>
      <c r="C49" s="223">
        <f>Option3!C115</f>
        <v>0</v>
      </c>
      <c r="D49" s="223" t="str">
        <f t="shared" si="5"/>
        <v>Option 3sens</v>
      </c>
      <c r="E49" s="215"/>
      <c r="F49" s="28">
        <f t="shared" si="4"/>
        <v>1040142.0438616867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75434.459511970577</v>
      </c>
      <c r="K49" s="28">
        <f>(INDEX(Option3!K$106:K$117, MATCH($D49, Option3!$G$106:$G$117,0)))*conv_2026*K$7</f>
        <v>75675.940682561719</v>
      </c>
      <c r="L49" s="28">
        <f>(INDEX(Option3!L$106:L$117, MATCH($D49, Option3!$G$106:$G$117,0)))*conv_2026*L$7</f>
        <v>75875.227042197832</v>
      </c>
      <c r="M49" s="28">
        <f>(INDEX(Option3!M$106:M$117, MATCH($D49, Option3!$G$106:$G$117,0)))*conv_2026*M$7</f>
        <v>76010.519958581543</v>
      </c>
      <c r="N49" s="28">
        <f>(INDEX(Option3!N$106:N$117, MATCH($D49, Option3!$G$106:$G$117,0)))*conv_2026*N$7</f>
        <v>76174.552551894376</v>
      </c>
      <c r="O49" s="28">
        <f>(INDEX(Option3!O$106:O$117, MATCH($D49, Option3!$G$106:$G$117,0)))*conv_2026*O$7</f>
        <v>76450.464031698779</v>
      </c>
      <c r="P49" s="28">
        <f>(INDEX(Option3!P$106:P$117, MATCH($D49, Option3!$G$106:$G$117,0)))*conv_2026*P$7</f>
        <v>76763.32379182562</v>
      </c>
      <c r="Q49" s="28">
        <f>(INDEX(Option3!Q$106:Q$117, MATCH($D49, Option3!$G$106:$G$117,0)))*conv_2026*Q$7</f>
        <v>76899.733918911123</v>
      </c>
      <c r="R49" s="28">
        <f>(INDEX(Option3!R$106:R$117, MATCH($D49, Option3!$G$106:$G$117,0)))*conv_2026*R$7</f>
        <v>77131.359688869808</v>
      </c>
      <c r="S49" s="28">
        <f>(INDEX(Option3!S$106:S$117, MATCH($D49, Option3!$G$106:$G$117,0)))*conv_2026*S$7</f>
        <v>77365.327560974547</v>
      </c>
      <c r="T49" s="28">
        <f>(INDEX(Option3!T$106:T$117, MATCH($D49, Option3!$G$106:$G$117,0)))*conv_2026*T$7</f>
        <v>77601.62918598023</v>
      </c>
      <c r="U49" s="28">
        <f>(INDEX(Option3!U$106:U$117, MATCH($D49, Option3!$G$106:$G$117,0)))*conv_2026*U$7</f>
        <v>77840.264777048651</v>
      </c>
      <c r="V49" s="28">
        <f>(INDEX(Option3!V$106:V$117, MATCH($D49, Option3!$G$106:$G$117,0)))*conv_2026*V$7</f>
        <v>78081.222628224874</v>
      </c>
      <c r="W49" s="28">
        <f>(INDEX(Option3!W$106:W$117, MATCH($D49, Option3!$G$106:$G$117,0)))*conv_2026*W$7</f>
        <v>78324.491933429847</v>
      </c>
      <c r="X49" s="28">
        <f>(INDEX(Option3!X$106:X$117, MATCH($D49, Option3!$G$106:$G$117,0)))*conv_2026*X$7</f>
        <v>78570.078117669924</v>
      </c>
      <c r="Y49" s="28">
        <f>(INDEX(Option3!Y$106:Y$117, MATCH($D49, Option3!$G$106:$G$117,0)))*conv_2026*Y$7</f>
        <v>78817.975576821715</v>
      </c>
      <c r="Z49" s="28">
        <f>(INDEX(Option3!Z$106:Z$117, MATCH($D49, Option3!$G$106:$G$117,0)))*conv_2026*Z$7</f>
        <v>79068.176129740357</v>
      </c>
      <c r="AA49" s="28">
        <f>(INDEX(Option3!AA$106:AA$117, MATCH($D49, Option3!$G$106:$G$117,0)))*conv_2026*AA$7</f>
        <v>79320.670805079557</v>
      </c>
      <c r="AB49" s="28">
        <f>(INDEX(Option3!AB$106:AB$117, MATCH($D49, Option3!$G$106:$G$117,0)))*conv_2026*AB$7</f>
        <v>79575.450638706112</v>
      </c>
      <c r="AC49" s="28">
        <f>(INDEX(Option3!AC$106:AC$117, MATCH($D49, Option3!$G$106:$G$117,0)))*conv_2026*AC$7</f>
        <v>0</v>
      </c>
      <c r="AD49" s="28">
        <f>(INDEX(Option3!AD$106:AD$117, MATCH($D49, Option3!$G$106:$G$117,0)))*conv_2026*AD$7</f>
        <v>0</v>
      </c>
      <c r="AE49" s="28">
        <f>(INDEX(Option3!AE$106:AE$117, MATCH($D49, Option3!$G$106:$G$117,0)))*conv_2026*AE$7</f>
        <v>0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ht="13" x14ac:dyDescent="0.3">
      <c r="A50" s="223" t="s">
        <v>168</v>
      </c>
      <c r="B50" s="223" t="str">
        <f>Option3!A116</f>
        <v>sens</v>
      </c>
      <c r="C50" s="223">
        <f>Option3!C116</f>
        <v>0</v>
      </c>
      <c r="D50" s="223" t="str">
        <f t="shared" si="5"/>
        <v>Option 3sens</v>
      </c>
      <c r="E50" s="215"/>
      <c r="F50" s="28">
        <f t="shared" si="4"/>
        <v>1040142.0438616867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75434.459511970577</v>
      </c>
      <c r="K50" s="28">
        <f>(INDEX(Option3!K$106:K$117, MATCH($D50, Option3!$G$106:$G$117,0)))*conv_2026*K$7</f>
        <v>75675.940682561719</v>
      </c>
      <c r="L50" s="28">
        <f>(INDEX(Option3!L$106:L$117, MATCH($D50, Option3!$G$106:$G$117,0)))*conv_2026*L$7</f>
        <v>75875.227042197832</v>
      </c>
      <c r="M50" s="28">
        <f>(INDEX(Option3!M$106:M$117, MATCH($D50, Option3!$G$106:$G$117,0)))*conv_2026*M$7</f>
        <v>76010.519958581543</v>
      </c>
      <c r="N50" s="28">
        <f>(INDEX(Option3!N$106:N$117, MATCH($D50, Option3!$G$106:$G$117,0)))*conv_2026*N$7</f>
        <v>76174.552551894376</v>
      </c>
      <c r="O50" s="28">
        <f>(INDEX(Option3!O$106:O$117, MATCH($D50, Option3!$G$106:$G$117,0)))*conv_2026*O$7</f>
        <v>76450.464031698779</v>
      </c>
      <c r="P50" s="28">
        <f>(INDEX(Option3!P$106:P$117, MATCH($D50, Option3!$G$106:$G$117,0)))*conv_2026*P$7</f>
        <v>76763.32379182562</v>
      </c>
      <c r="Q50" s="28">
        <f>(INDEX(Option3!Q$106:Q$117, MATCH($D50, Option3!$G$106:$G$117,0)))*conv_2026*Q$7</f>
        <v>76899.733918911123</v>
      </c>
      <c r="R50" s="28">
        <f>(INDEX(Option3!R$106:R$117, MATCH($D50, Option3!$G$106:$G$117,0)))*conv_2026*R$7</f>
        <v>77131.359688869808</v>
      </c>
      <c r="S50" s="28">
        <f>(INDEX(Option3!S$106:S$117, MATCH($D50, Option3!$G$106:$G$117,0)))*conv_2026*S$7</f>
        <v>77365.327560974547</v>
      </c>
      <c r="T50" s="28">
        <f>(INDEX(Option3!T$106:T$117, MATCH($D50, Option3!$G$106:$G$117,0)))*conv_2026*T$7</f>
        <v>77601.62918598023</v>
      </c>
      <c r="U50" s="28">
        <f>(INDEX(Option3!U$106:U$117, MATCH($D50, Option3!$G$106:$G$117,0)))*conv_2026*U$7</f>
        <v>77840.264777048651</v>
      </c>
      <c r="V50" s="28">
        <f>(INDEX(Option3!V$106:V$117, MATCH($D50, Option3!$G$106:$G$117,0)))*conv_2026*V$7</f>
        <v>78081.222628224874</v>
      </c>
      <c r="W50" s="28">
        <f>(INDEX(Option3!W$106:W$117, MATCH($D50, Option3!$G$106:$G$117,0)))*conv_2026*W$7</f>
        <v>78324.491933429847</v>
      </c>
      <c r="X50" s="28">
        <f>(INDEX(Option3!X$106:X$117, MATCH($D50, Option3!$G$106:$G$117,0)))*conv_2026*X$7</f>
        <v>78570.078117669924</v>
      </c>
      <c r="Y50" s="28">
        <f>(INDEX(Option3!Y$106:Y$117, MATCH($D50, Option3!$G$106:$G$117,0)))*conv_2026*Y$7</f>
        <v>78817.975576821715</v>
      </c>
      <c r="Z50" s="28">
        <f>(INDEX(Option3!Z$106:Z$117, MATCH($D50, Option3!$G$106:$G$117,0)))*conv_2026*Z$7</f>
        <v>79068.176129740357</v>
      </c>
      <c r="AA50" s="28">
        <f>(INDEX(Option3!AA$106:AA$117, MATCH($D50, Option3!$G$106:$G$117,0)))*conv_2026*AA$7</f>
        <v>79320.670805079557</v>
      </c>
      <c r="AB50" s="28">
        <f>(INDEX(Option3!AB$106:AB$117, MATCH($D50, Option3!$G$106:$G$117,0)))*conv_2026*AB$7</f>
        <v>79575.450638706112</v>
      </c>
      <c r="AC50" s="28">
        <f>(INDEX(Option3!AC$106:AC$117, MATCH($D50, Option3!$G$106:$G$117,0)))*conv_2026*AC$7</f>
        <v>0</v>
      </c>
      <c r="AD50" s="28">
        <f>(INDEX(Option3!AD$106:AD$117, MATCH($D50, Option3!$G$106:$G$117,0)))*conv_2026*AD$7</f>
        <v>0</v>
      </c>
      <c r="AE50" s="28">
        <f>(INDEX(Option3!AE$106:AE$117, MATCH($D50, Option3!$G$106:$G$117,0)))*conv_2026*AE$7</f>
        <v>0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ht="13" x14ac:dyDescent="0.3">
      <c r="A51" s="223" t="s">
        <v>168</v>
      </c>
      <c r="B51" s="223" t="str">
        <f>Option3!A117</f>
        <v>sens</v>
      </c>
      <c r="C51" s="223">
        <f>Option3!C117</f>
        <v>0</v>
      </c>
      <c r="D51" s="223" t="str">
        <f t="shared" si="5"/>
        <v>Option 3sens</v>
      </c>
      <c r="E51" s="215"/>
      <c r="F51" s="28">
        <f t="shared" si="4"/>
        <v>1040142.0438616867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75434.459511970577</v>
      </c>
      <c r="K51" s="28">
        <f>(INDEX(Option3!K$106:K$117, MATCH($D51, Option3!$G$106:$G$117,0)))*conv_2026*K$7</f>
        <v>75675.940682561719</v>
      </c>
      <c r="L51" s="28">
        <f>(INDEX(Option3!L$106:L$117, MATCH($D51, Option3!$G$106:$G$117,0)))*conv_2026*L$7</f>
        <v>75875.227042197832</v>
      </c>
      <c r="M51" s="28">
        <f>(INDEX(Option3!M$106:M$117, MATCH($D51, Option3!$G$106:$G$117,0)))*conv_2026*M$7</f>
        <v>76010.519958581543</v>
      </c>
      <c r="N51" s="28">
        <f>(INDEX(Option3!N$106:N$117, MATCH($D51, Option3!$G$106:$G$117,0)))*conv_2026*N$7</f>
        <v>76174.552551894376</v>
      </c>
      <c r="O51" s="28">
        <f>(INDEX(Option3!O$106:O$117, MATCH($D51, Option3!$G$106:$G$117,0)))*conv_2026*O$7</f>
        <v>76450.464031698779</v>
      </c>
      <c r="P51" s="28">
        <f>(INDEX(Option3!P$106:P$117, MATCH($D51, Option3!$G$106:$G$117,0)))*conv_2026*P$7</f>
        <v>76763.32379182562</v>
      </c>
      <c r="Q51" s="28">
        <f>(INDEX(Option3!Q$106:Q$117, MATCH($D51, Option3!$G$106:$G$117,0)))*conv_2026*Q$7</f>
        <v>76899.733918911123</v>
      </c>
      <c r="R51" s="28">
        <f>(INDEX(Option3!R$106:R$117, MATCH($D51, Option3!$G$106:$G$117,0)))*conv_2026*R$7</f>
        <v>77131.359688869808</v>
      </c>
      <c r="S51" s="28">
        <f>(INDEX(Option3!S$106:S$117, MATCH($D51, Option3!$G$106:$G$117,0)))*conv_2026*S$7</f>
        <v>77365.327560974547</v>
      </c>
      <c r="T51" s="28">
        <f>(INDEX(Option3!T$106:T$117, MATCH($D51, Option3!$G$106:$G$117,0)))*conv_2026*T$7</f>
        <v>77601.62918598023</v>
      </c>
      <c r="U51" s="28">
        <f>(INDEX(Option3!U$106:U$117, MATCH($D51, Option3!$G$106:$G$117,0)))*conv_2026*U$7</f>
        <v>77840.264777048651</v>
      </c>
      <c r="V51" s="28">
        <f>(INDEX(Option3!V$106:V$117, MATCH($D51, Option3!$G$106:$G$117,0)))*conv_2026*V$7</f>
        <v>78081.222628224874</v>
      </c>
      <c r="W51" s="28">
        <f>(INDEX(Option3!W$106:W$117, MATCH($D51, Option3!$G$106:$G$117,0)))*conv_2026*W$7</f>
        <v>78324.491933429847</v>
      </c>
      <c r="X51" s="28">
        <f>(INDEX(Option3!X$106:X$117, MATCH($D51, Option3!$G$106:$G$117,0)))*conv_2026*X$7</f>
        <v>78570.078117669924</v>
      </c>
      <c r="Y51" s="28">
        <f>(INDEX(Option3!Y$106:Y$117, MATCH($D51, Option3!$G$106:$G$117,0)))*conv_2026*Y$7</f>
        <v>78817.975576821715</v>
      </c>
      <c r="Z51" s="28">
        <f>(INDEX(Option3!Z$106:Z$117, MATCH($D51, Option3!$G$106:$G$117,0)))*conv_2026*Z$7</f>
        <v>79068.176129740357</v>
      </c>
      <c r="AA51" s="28">
        <f>(INDEX(Option3!AA$106:AA$117, MATCH($D51, Option3!$G$106:$G$117,0)))*conv_2026*AA$7</f>
        <v>79320.670805079557</v>
      </c>
      <c r="AB51" s="28">
        <f>(INDEX(Option3!AB$106:AB$117, MATCH($D51, Option3!$G$106:$G$117,0)))*conv_2026*AB$7</f>
        <v>79575.450638706112</v>
      </c>
      <c r="AC51" s="28">
        <f>(INDEX(Option3!AC$106:AC$117, MATCH($D51, Option3!$G$106:$G$117,0)))*conv_2026*AC$7</f>
        <v>0</v>
      </c>
      <c r="AD51" s="28">
        <f>(INDEX(Option3!AD$106:AD$117, MATCH($D51, Option3!$G$106:$G$117,0)))*conv_2026*AD$7</f>
        <v>0</v>
      </c>
      <c r="AE51" s="28">
        <f>(INDEX(Option3!AE$106:AE$117, MATCH($D51, Option3!$G$106:$G$117,0)))*conv_2026*AE$7</f>
        <v>0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ht="13" x14ac:dyDescent="0.3">
      <c r="A52" s="223"/>
      <c r="B52" s="223"/>
      <c r="C52" s="223"/>
      <c r="D52" s="223"/>
      <c r="E52" s="223"/>
      <c r="F52" s="28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</row>
    <row r="53" spans="1:35" s="6" customFormat="1" ht="13" x14ac:dyDescent="0.3">
      <c r="A53" s="223"/>
      <c r="B53" s="223"/>
      <c r="C53" s="223"/>
      <c r="D53" s="223"/>
      <c r="E53" s="223"/>
      <c r="F53" s="28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</row>
    <row r="54" spans="1:35" s="6" customFormat="1" ht="13" x14ac:dyDescent="0.3">
      <c r="A54" s="223"/>
      <c r="B54" s="223"/>
      <c r="C54" s="223"/>
      <c r="D54" s="223"/>
      <c r="E54" s="223"/>
      <c r="F54" s="28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</row>
    <row r="55" spans="1:35" s="6" customFormat="1" ht="13" x14ac:dyDescent="0.3">
      <c r="A55" s="223"/>
      <c r="B55" s="223"/>
      <c r="C55" s="223"/>
      <c r="D55" s="223"/>
      <c r="E55" s="223"/>
      <c r="F55" s="28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</row>
    <row r="56" spans="1:35" s="6" customFormat="1" ht="13" x14ac:dyDescent="0.3">
      <c r="A56" s="223" t="s">
        <v>169</v>
      </c>
      <c r="B56" s="223" t="s">
        <v>22</v>
      </c>
      <c r="C56" s="223" t="s">
        <v>147</v>
      </c>
      <c r="D56" s="223" t="str">
        <f>A56&amp;B56</f>
        <v>Option 4NPV</v>
      </c>
      <c r="E56" s="215"/>
      <c r="F56" s="28">
        <f t="shared" ref="F56:F65" si="6">SUMPRODUCT($H56:$AG56, $H$5:$AG$5)</f>
        <v>1899037.3333871036</v>
      </c>
      <c r="G56" s="218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89442.396687343353</v>
      </c>
      <c r="K56" s="28">
        <f>(INDEX(Option4!K$106:K$117, MATCH($D56, Option4!$G$106:$G$117,0)))*conv_2026*K$7</f>
        <v>96820.757899878139</v>
      </c>
      <c r="L56" s="28">
        <f>(INDEX(Option4!L$106:L$117, MATCH($D56, Option4!$G$106:$G$117,0)))*conv_2026*L$7</f>
        <v>102605.51638245193</v>
      </c>
      <c r="M56" s="28">
        <f>(INDEX(Option4!M$106:M$117, MATCH($D56, Option4!$G$106:$G$117,0)))*conv_2026*M$7</f>
        <v>105984.42924536172</v>
      </c>
      <c r="N56" s="28">
        <f>(INDEX(Option4!N$106:N$117, MATCH($D56, Option4!$G$106:$G$117,0)))*conv_2026*N$7</f>
        <v>110411.151056991</v>
      </c>
      <c r="O56" s="28">
        <f>(INDEX(Option4!O$106:O$117, MATCH($D56, Option4!$G$106:$G$117,0)))*conv_2026*O$7</f>
        <v>119000.65388638794</v>
      </c>
      <c r="P56" s="28">
        <f>(INDEX(Option4!P$106:P$117, MATCH($D56, Option4!$G$106:$G$117,0)))*conv_2026*P$7</f>
        <v>128947.81167305716</v>
      </c>
      <c r="Q56" s="28">
        <f>(INDEX(Option4!Q$106:Q$117, MATCH($D56, Option4!$G$106:$G$117,0)))*conv_2026*Q$7</f>
        <v>132291.05093083624</v>
      </c>
      <c r="R56" s="28">
        <f>(INDEX(Option4!R$106:R$117, MATCH($D56, Option4!$G$106:$G$117,0)))*conv_2026*R$7</f>
        <v>139168.66165678031</v>
      </c>
      <c r="S56" s="28">
        <f>(INDEX(Option4!S$106:S$117, MATCH($D56, Option4!$G$106:$G$117,0)))*conv_2026*S$7</f>
        <v>146114.6077054858</v>
      </c>
      <c r="T56" s="28">
        <f>(INDEX(Option4!T$106:T$117, MATCH($D56, Option4!$G$106:$G$117,0)))*conv_2026*T$7</f>
        <v>153128.67838625956</v>
      </c>
      <c r="U56" s="28">
        <f>(INDEX(Option4!U$106:U$117, MATCH($D56, Option4!$G$106:$G$117,0)))*conv_2026*U$7</f>
        <v>160210.66912105496</v>
      </c>
      <c r="V56" s="28">
        <f>(INDEX(Option4!V$106:V$117, MATCH($D56, Option4!$G$106:$G$117,0)))*conv_2026*V$7</f>
        <v>167360.37556970984</v>
      </c>
      <c r="W56" s="28">
        <f>(INDEX(Option4!W$106:W$117, MATCH($D56, Option4!$G$106:$G$117,0)))*conv_2026*W$7</f>
        <v>174577.6024394104</v>
      </c>
      <c r="X56" s="28">
        <f>(INDEX(Option4!X$106:X$117, MATCH($D56, Option4!$G$106:$G$117,0)))*conv_2026*X$7</f>
        <v>181862.15761125597</v>
      </c>
      <c r="Y56" s="28">
        <f>(INDEX(Option4!Y$106:Y$117, MATCH($D56, Option4!$G$106:$G$117,0)))*conv_2026*Y$7</f>
        <v>189213.85801937728</v>
      </c>
      <c r="Z56" s="28">
        <f>(INDEX(Option4!Z$106:Z$117, MATCH($D56, Option4!$G$106:$G$117,0)))*conv_2026*Z$7</f>
        <v>196632.51494914366</v>
      </c>
      <c r="AA56" s="28">
        <f>(INDEX(Option4!AA$106:AA$117, MATCH($D56, Option4!$G$106:$G$117,0)))*conv_2026*AA$7</f>
        <v>204117.95167714456</v>
      </c>
      <c r="AB56" s="28">
        <f>(INDEX(Option4!AB$106:AB$117, MATCH($D56, Option4!$G$106:$G$117,0)))*conv_2026*AB$7</f>
        <v>211669.99170870721</v>
      </c>
      <c r="AC56" s="28">
        <f>(INDEX(Option4!AC$106:AC$117, MATCH($D56, Option4!$G$106:$G$117,0)))*conv_2026*AC$7</f>
        <v>0</v>
      </c>
      <c r="AD56" s="28">
        <f>(INDEX(Option4!AD$106:AD$117, MATCH($D56, Option4!$G$106:$G$117,0)))*conv_2026*AD$7</f>
        <v>0</v>
      </c>
      <c r="AE56" s="28">
        <f>(INDEX(Option4!AE$106:AE$117, MATCH($D56, Option4!$G$106:$G$117,0)))*conv_2026*AE$7</f>
        <v>0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ht="13" x14ac:dyDescent="0.3">
      <c r="A57" s="217"/>
      <c r="B57" s="217"/>
      <c r="C57" s="217"/>
      <c r="D57" s="217"/>
      <c r="E57" s="217"/>
      <c r="F57" s="217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"/>
      <c r="AI57" s="2"/>
    </row>
    <row r="58" spans="1:35" s="6" customFormat="1" ht="13" x14ac:dyDescent="0.3">
      <c r="A58" s="223" t="s">
        <v>169</v>
      </c>
      <c r="B58" s="223" t="str">
        <f>Option4!A110</f>
        <v>sens1</v>
      </c>
      <c r="C58" s="223" t="str">
        <f>Option4!C110</f>
        <v>Capex 10% higher</v>
      </c>
      <c r="D58" s="223" t="str">
        <f t="shared" ref="D58:D65" si="7">A58&amp;B58</f>
        <v>Option 4sens1</v>
      </c>
      <c r="E58" s="215"/>
      <c r="F58" s="28">
        <f t="shared" si="6"/>
        <v>1689166.0086573563</v>
      </c>
      <c r="G58" s="218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73868.72646467117</v>
      </c>
      <c r="K58" s="28">
        <f>(INDEX(Option4!K$106:K$117, MATCH($D58, Option4!$G$106:$G$117,0)))*conv_2026*K$7</f>
        <v>81247.087677205942</v>
      </c>
      <c r="L58" s="28">
        <f>(INDEX(Option4!L$106:L$117, MATCH($D58, Option4!$G$106:$G$117,0)))*conv_2026*L$7</f>
        <v>87031.846159779743</v>
      </c>
      <c r="M58" s="28">
        <f>(INDEX(Option4!M$106:M$117, MATCH($D58, Option4!$G$106:$G$117,0)))*conv_2026*M$7</f>
        <v>90410.759022689526</v>
      </c>
      <c r="N58" s="28">
        <f>(INDEX(Option4!N$106:N$117, MATCH($D58, Option4!$G$106:$G$117,0)))*conv_2026*N$7</f>
        <v>94837.480834318805</v>
      </c>
      <c r="O58" s="28">
        <f>(INDEX(Option4!O$106:O$117, MATCH($D58, Option4!$G$106:$G$117,0)))*conv_2026*O$7</f>
        <v>103426.98366371574</v>
      </c>
      <c r="P58" s="28">
        <f>(INDEX(Option4!P$106:P$117, MATCH($D58, Option4!$G$106:$G$117,0)))*conv_2026*P$7</f>
        <v>113374.14145038497</v>
      </c>
      <c r="Q58" s="28">
        <f>(INDEX(Option4!Q$106:Q$117, MATCH($D58, Option4!$G$106:$G$117,0)))*conv_2026*Q$7</f>
        <v>116717.38070816404</v>
      </c>
      <c r="R58" s="28">
        <f>(INDEX(Option4!R$106:R$117, MATCH($D58, Option4!$G$106:$G$117,0)))*conv_2026*R$7</f>
        <v>123594.9914341081</v>
      </c>
      <c r="S58" s="28">
        <f>(INDEX(Option4!S$106:S$117, MATCH($D58, Option4!$G$106:$G$117,0)))*conv_2026*S$7</f>
        <v>130540.93748281362</v>
      </c>
      <c r="T58" s="28">
        <f>(INDEX(Option4!T$106:T$117, MATCH($D58, Option4!$G$106:$G$117,0)))*conv_2026*T$7</f>
        <v>137555.00816358736</v>
      </c>
      <c r="U58" s="28">
        <f>(INDEX(Option4!U$106:U$117, MATCH($D58, Option4!$G$106:$G$117,0)))*conv_2026*U$7</f>
        <v>144636.99889838276</v>
      </c>
      <c r="V58" s="28">
        <f>(INDEX(Option4!V$106:V$117, MATCH($D58, Option4!$G$106:$G$117,0)))*conv_2026*V$7</f>
        <v>151786.70534703764</v>
      </c>
      <c r="W58" s="28">
        <f>(INDEX(Option4!W$106:W$117, MATCH($D58, Option4!$G$106:$G$117,0)))*conv_2026*W$7</f>
        <v>159003.93221673821</v>
      </c>
      <c r="X58" s="28">
        <f>(INDEX(Option4!X$106:X$117, MATCH($D58, Option4!$G$106:$G$117,0)))*conv_2026*X$7</f>
        <v>166288.48738858377</v>
      </c>
      <c r="Y58" s="28">
        <f>(INDEX(Option4!Y$106:Y$117, MATCH($D58, Option4!$G$106:$G$117,0)))*conv_2026*Y$7</f>
        <v>173640.18779670511</v>
      </c>
      <c r="Z58" s="28">
        <f>(INDEX(Option4!Z$106:Z$117, MATCH($D58, Option4!$G$106:$G$117,0)))*conv_2026*Z$7</f>
        <v>181058.84472647146</v>
      </c>
      <c r="AA58" s="28">
        <f>(INDEX(Option4!AA$106:AA$117, MATCH($D58, Option4!$G$106:$G$117,0)))*conv_2026*AA$7</f>
        <v>188544.28145447237</v>
      </c>
      <c r="AB58" s="28">
        <f>(INDEX(Option4!AB$106:AB$117, MATCH($D58, Option4!$G$106:$G$117,0)))*conv_2026*AB$7</f>
        <v>196096.32148603501</v>
      </c>
      <c r="AC58" s="28">
        <f>(INDEX(Option4!AC$106:AC$117, MATCH($D58, Option4!$G$106:$G$117,0)))*conv_2026*AC$7</f>
        <v>0</v>
      </c>
      <c r="AD58" s="28">
        <f>(INDEX(Option4!AD$106:AD$117, MATCH($D58, Option4!$G$106:$G$117,0)))*conv_2026*AD$7</f>
        <v>0</v>
      </c>
      <c r="AE58" s="28">
        <f>(INDEX(Option4!AE$106:AE$117, MATCH($D58, Option4!$G$106:$G$117,0)))*conv_2026*AE$7</f>
        <v>0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ht="13" x14ac:dyDescent="0.3">
      <c r="A59" s="223" t="s">
        <v>169</v>
      </c>
      <c r="B59" s="223" t="str">
        <f>Option4!A111</f>
        <v>sens2</v>
      </c>
      <c r="C59" s="223" t="str">
        <f>Option4!C111</f>
        <v>Capex 10% lower</v>
      </c>
      <c r="D59" s="223" t="str">
        <f t="shared" si="7"/>
        <v>Option 4sens2</v>
      </c>
      <c r="E59" s="215"/>
      <c r="F59" s="28">
        <f t="shared" si="6"/>
        <v>2108908.658116851</v>
      </c>
      <c r="G59" s="223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105016.06691001555</v>
      </c>
      <c r="K59" s="28">
        <f>(INDEX(Option4!K$106:K$117, MATCH($D59, Option4!$G$106:$G$117,0)))*conv_2026*K$7</f>
        <v>112394.42812255034</v>
      </c>
      <c r="L59" s="28">
        <f>(INDEX(Option4!L$106:L$117, MATCH($D59, Option4!$G$106:$G$117,0)))*conv_2026*L$7</f>
        <v>118179.18660512412</v>
      </c>
      <c r="M59" s="28">
        <f>(INDEX(Option4!M$106:M$117, MATCH($D59, Option4!$G$106:$G$117,0)))*conv_2026*M$7</f>
        <v>121558.09946803391</v>
      </c>
      <c r="N59" s="28">
        <f>(INDEX(Option4!N$106:N$117, MATCH($D59, Option4!$G$106:$G$117,0)))*conv_2026*N$7</f>
        <v>125984.8212796632</v>
      </c>
      <c r="O59" s="28">
        <f>(INDEX(Option4!O$106:O$117, MATCH($D59, Option4!$G$106:$G$117,0)))*conv_2026*O$7</f>
        <v>134574.32410906014</v>
      </c>
      <c r="P59" s="28">
        <f>(INDEX(Option4!P$106:P$117, MATCH($D59, Option4!$G$106:$G$117,0)))*conv_2026*P$7</f>
        <v>144521.48189572935</v>
      </c>
      <c r="Q59" s="28">
        <f>(INDEX(Option4!Q$106:Q$117, MATCH($D59, Option4!$G$106:$G$117,0)))*conv_2026*Q$7</f>
        <v>147864.72115350844</v>
      </c>
      <c r="R59" s="28">
        <f>(INDEX(Option4!R$106:R$117, MATCH($D59, Option4!$G$106:$G$117,0)))*conv_2026*R$7</f>
        <v>154742.33187945248</v>
      </c>
      <c r="S59" s="28">
        <f>(INDEX(Option4!S$106:S$117, MATCH($D59, Option4!$G$106:$G$117,0)))*conv_2026*S$7</f>
        <v>161688.277928158</v>
      </c>
      <c r="T59" s="28">
        <f>(INDEX(Option4!T$106:T$117, MATCH($D59, Option4!$G$106:$G$117,0)))*conv_2026*T$7</f>
        <v>168702.34860893176</v>
      </c>
      <c r="U59" s="28">
        <f>(INDEX(Option4!U$106:U$117, MATCH($D59, Option4!$G$106:$G$117,0)))*conv_2026*U$7</f>
        <v>175784.33934372716</v>
      </c>
      <c r="V59" s="28">
        <f>(INDEX(Option4!V$106:V$117, MATCH($D59, Option4!$G$106:$G$117,0)))*conv_2026*V$7</f>
        <v>182934.04579238204</v>
      </c>
      <c r="W59" s="28">
        <f>(INDEX(Option4!W$106:W$117, MATCH($D59, Option4!$G$106:$G$117,0)))*conv_2026*W$7</f>
        <v>190151.2726620826</v>
      </c>
      <c r="X59" s="28">
        <f>(INDEX(Option4!X$106:X$117, MATCH($D59, Option4!$G$106:$G$117,0)))*conv_2026*X$7</f>
        <v>197435.82783392817</v>
      </c>
      <c r="Y59" s="28">
        <f>(INDEX(Option4!Y$106:Y$117, MATCH($D59, Option4!$G$106:$G$117,0)))*conv_2026*Y$7</f>
        <v>204787.52824204948</v>
      </c>
      <c r="Z59" s="28">
        <f>(INDEX(Option4!Z$106:Z$117, MATCH($D59, Option4!$G$106:$G$117,0)))*conv_2026*Z$7</f>
        <v>212206.18517181583</v>
      </c>
      <c r="AA59" s="28">
        <f>(INDEX(Option4!AA$106:AA$117, MATCH($D59, Option4!$G$106:$G$117,0)))*conv_2026*AA$7</f>
        <v>219691.62189981676</v>
      </c>
      <c r="AB59" s="28">
        <f>(INDEX(Option4!AB$106:AB$117, MATCH($D59, Option4!$G$106:$G$117,0)))*conv_2026*AB$7</f>
        <v>227243.66193137941</v>
      </c>
      <c r="AC59" s="28">
        <f>(INDEX(Option4!AC$106:AC$117, MATCH($D59, Option4!$G$106:$G$117,0)))*conv_2026*AC$7</f>
        <v>0</v>
      </c>
      <c r="AD59" s="28">
        <f>(INDEX(Option4!AD$106:AD$117, MATCH($D59, Option4!$G$106:$G$117,0)))*conv_2026*AD$7</f>
        <v>0</v>
      </c>
      <c r="AE59" s="28">
        <f>(INDEX(Option4!AE$106:AE$117, MATCH($D59, Option4!$G$106:$G$117,0)))*conv_2026*AE$7</f>
        <v>0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ht="13" x14ac:dyDescent="0.3">
      <c r="A60" s="223" t="s">
        <v>169</v>
      </c>
      <c r="B60" s="223" t="str">
        <f>Option4!A112</f>
        <v>sens3</v>
      </c>
      <c r="C60" s="223" t="str">
        <f>Option4!C112</f>
        <v>Total benefits 10% higher</v>
      </c>
      <c r="D60" s="223" t="str">
        <f t="shared" si="7"/>
        <v>Option 4sens3</v>
      </c>
      <c r="E60" s="215"/>
      <c r="F60" s="28">
        <f t="shared" si="6"/>
        <v>2298812.3914555623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113960.30657874988</v>
      </c>
      <c r="K60" s="28">
        <f>(INDEX(Option4!K$106:K$117, MATCH($D60, Option4!$G$106:$G$117,0)))*conv_2026*K$7</f>
        <v>122076.50391253813</v>
      </c>
      <c r="L60" s="28">
        <f>(INDEX(Option4!L$106:L$117, MATCH($D60, Option4!$G$106:$G$117,0)))*conv_2026*L$7</f>
        <v>128439.73824336931</v>
      </c>
      <c r="M60" s="28">
        <f>(INDEX(Option4!M$106:M$117, MATCH($D60, Option4!$G$106:$G$117,0)))*conv_2026*M$7</f>
        <v>132156.54239257006</v>
      </c>
      <c r="N60" s="28">
        <f>(INDEX(Option4!N$106:N$117, MATCH($D60, Option4!$G$106:$G$117,0)))*conv_2026*N$7</f>
        <v>137025.93638536229</v>
      </c>
      <c r="O60" s="28">
        <f>(INDEX(Option4!O$106:O$117, MATCH($D60, Option4!$G$106:$G$117,0)))*conv_2026*O$7</f>
        <v>146474.38949769892</v>
      </c>
      <c r="P60" s="28">
        <f>(INDEX(Option4!P$106:P$117, MATCH($D60, Option4!$G$106:$G$117,0)))*conv_2026*P$7</f>
        <v>157416.26306303506</v>
      </c>
      <c r="Q60" s="28">
        <f>(INDEX(Option4!Q$106:Q$117, MATCH($D60, Option4!$G$106:$G$117,0)))*conv_2026*Q$7</f>
        <v>161093.82624659204</v>
      </c>
      <c r="R60" s="28">
        <f>(INDEX(Option4!R$106:R$117, MATCH($D60, Option4!$G$106:$G$117,0)))*conv_2026*R$7</f>
        <v>168659.19804513053</v>
      </c>
      <c r="S60" s="28">
        <f>(INDEX(Option4!S$106:S$117, MATCH($D60, Option4!$G$106:$G$117,0)))*conv_2026*S$7</f>
        <v>176299.73869870658</v>
      </c>
      <c r="T60" s="28">
        <f>(INDEX(Option4!T$106:T$117, MATCH($D60, Option4!$G$106:$G$117,0)))*conv_2026*T$7</f>
        <v>184015.21644755773</v>
      </c>
      <c r="U60" s="28">
        <f>(INDEX(Option4!U$106:U$117, MATCH($D60, Option4!$G$106:$G$117,0)))*conv_2026*U$7</f>
        <v>191805.40625583264</v>
      </c>
      <c r="V60" s="28">
        <f>(INDEX(Option4!V$106:V$117, MATCH($D60, Option4!$G$106:$G$117,0)))*conv_2026*V$7</f>
        <v>199670.08334935302</v>
      </c>
      <c r="W60" s="28">
        <f>(INDEX(Option4!W$106:W$117, MATCH($D60, Option4!$G$106:$G$117,0)))*conv_2026*W$7</f>
        <v>207609.03290602367</v>
      </c>
      <c r="X60" s="28">
        <f>(INDEX(Option4!X$106:X$117, MATCH($D60, Option4!$G$106:$G$117,0)))*conv_2026*X$7</f>
        <v>215622.04359505375</v>
      </c>
      <c r="Y60" s="28">
        <f>(INDEX(Option4!Y$106:Y$117, MATCH($D60, Option4!$G$106:$G$117,0)))*conv_2026*Y$7</f>
        <v>223708.91404398723</v>
      </c>
      <c r="Z60" s="28">
        <f>(INDEX(Option4!Z$106:Z$117, MATCH($D60, Option4!$G$106:$G$117,0)))*conv_2026*Z$7</f>
        <v>231869.43666673021</v>
      </c>
      <c r="AA60" s="28">
        <f>(INDEX(Option4!AA$106:AA$117, MATCH($D60, Option4!$G$106:$G$117,0)))*conv_2026*AA$7</f>
        <v>240103.41706753121</v>
      </c>
      <c r="AB60" s="28">
        <f>(INDEX(Option4!AB$106:AB$117, MATCH($D60, Option4!$G$106:$G$117,0)))*conv_2026*AB$7</f>
        <v>248410.6611022501</v>
      </c>
      <c r="AC60" s="28">
        <f>(INDEX(Option4!AC$106:AC$117, MATCH($D60, Option4!$G$106:$G$117,0)))*conv_2026*AC$7</f>
        <v>0</v>
      </c>
      <c r="AD60" s="28">
        <f>(INDEX(Option4!AD$106:AD$117, MATCH($D60, Option4!$G$106:$G$117,0)))*conv_2026*AD$7</f>
        <v>0</v>
      </c>
      <c r="AE60" s="28">
        <f>(INDEX(Option4!AE$106:AE$117, MATCH($D60, Option4!$G$106:$G$117,0)))*conv_2026*AE$7</f>
        <v>0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ht="13" x14ac:dyDescent="0.3">
      <c r="A61" s="223" t="s">
        <v>169</v>
      </c>
      <c r="B61" s="223" t="str">
        <f>Option4!A113</f>
        <v>sens4</v>
      </c>
      <c r="C61" s="223" t="str">
        <f>Option4!C113</f>
        <v>Total benefits 10% lower</v>
      </c>
      <c r="D61" s="223" t="str">
        <f t="shared" si="7"/>
        <v>Option 4sens4</v>
      </c>
      <c r="E61" s="215"/>
      <c r="F61" s="28">
        <f t="shared" si="6"/>
        <v>1499262.2753186459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64924.486795936835</v>
      </c>
      <c r="K61" s="28">
        <f>(INDEX(Option4!K$106:K$117, MATCH($D61, Option4!$G$106:$G$117,0)))*conv_2026*K$7</f>
        <v>71565.011887218134</v>
      </c>
      <c r="L61" s="28">
        <f>(INDEX(Option4!L$106:L$117, MATCH($D61, Option4!$G$106:$G$117,0)))*conv_2026*L$7</f>
        <v>76771.294521534553</v>
      </c>
      <c r="M61" s="28">
        <f>(INDEX(Option4!M$106:M$117, MATCH($D61, Option4!$G$106:$G$117,0)))*conv_2026*M$7</f>
        <v>79812.316098153358</v>
      </c>
      <c r="N61" s="28">
        <f>(INDEX(Option4!N$106:N$117, MATCH($D61, Option4!$G$106:$G$117,0)))*conv_2026*N$7</f>
        <v>83796.365728619712</v>
      </c>
      <c r="O61" s="28">
        <f>(INDEX(Option4!O$106:O$117, MATCH($D61, Option4!$G$106:$G$117,0)))*conv_2026*O$7</f>
        <v>91526.918275076954</v>
      </c>
      <c r="P61" s="28">
        <f>(INDEX(Option4!P$106:P$117, MATCH($D61, Option4!$G$106:$G$117,0)))*conv_2026*P$7</f>
        <v>100479.36028307925</v>
      </c>
      <c r="Q61" s="28">
        <f>(INDEX(Option4!Q$106:Q$117, MATCH($D61, Option4!$G$106:$G$117,0)))*conv_2026*Q$7</f>
        <v>103488.27561508043</v>
      </c>
      <c r="R61" s="28">
        <f>(INDEX(Option4!R$106:R$117, MATCH($D61, Option4!$G$106:$G$117,0)))*conv_2026*R$7</f>
        <v>109678.12526843007</v>
      </c>
      <c r="S61" s="28">
        <f>(INDEX(Option4!S$106:S$117, MATCH($D61, Option4!$G$106:$G$117,0)))*conv_2026*S$7</f>
        <v>115929.47671226504</v>
      </c>
      <c r="T61" s="28">
        <f>(INDEX(Option4!T$106:T$117, MATCH($D61, Option4!$G$106:$G$117,0)))*conv_2026*T$7</f>
        <v>122242.14032496141</v>
      </c>
      <c r="U61" s="28">
        <f>(INDEX(Option4!U$106:U$117, MATCH($D61, Option4!$G$106:$G$117,0)))*conv_2026*U$7</f>
        <v>128615.93198627727</v>
      </c>
      <c r="V61" s="28">
        <f>(INDEX(Option4!V$106:V$117, MATCH($D61, Option4!$G$106:$G$117,0)))*conv_2026*V$7</f>
        <v>135050.66779006668</v>
      </c>
      <c r="W61" s="28">
        <f>(INDEX(Option4!W$106:W$117, MATCH($D61, Option4!$G$106:$G$117,0)))*conv_2026*W$7</f>
        <v>141546.17197279719</v>
      </c>
      <c r="X61" s="28">
        <f>(INDEX(Option4!X$106:X$117, MATCH($D61, Option4!$G$106:$G$117,0)))*conv_2026*X$7</f>
        <v>148102.27162745816</v>
      </c>
      <c r="Y61" s="28">
        <f>(INDEX(Option4!Y$106:Y$117, MATCH($D61, Option4!$G$106:$G$117,0)))*conv_2026*Y$7</f>
        <v>154718.80199476736</v>
      </c>
      <c r="Z61" s="28">
        <f>(INDEX(Option4!Z$106:Z$117, MATCH($D61, Option4!$G$106:$G$117,0)))*conv_2026*Z$7</f>
        <v>161395.59323155708</v>
      </c>
      <c r="AA61" s="28">
        <f>(INDEX(Option4!AA$106:AA$117, MATCH($D61, Option4!$G$106:$G$117,0)))*conv_2026*AA$7</f>
        <v>168132.48628675792</v>
      </c>
      <c r="AB61" s="28">
        <f>(INDEX(Option4!AB$106:AB$117, MATCH($D61, Option4!$G$106:$G$117,0)))*conv_2026*AB$7</f>
        <v>174929.32231516429</v>
      </c>
      <c r="AC61" s="28">
        <f>(INDEX(Option4!AC$106:AC$117, MATCH($D61, Option4!$G$106:$G$117,0)))*conv_2026*AC$7</f>
        <v>0</v>
      </c>
      <c r="AD61" s="28">
        <f>(INDEX(Option4!AD$106:AD$117, MATCH($D61, Option4!$G$106:$G$117,0)))*conv_2026*AD$7</f>
        <v>0</v>
      </c>
      <c r="AE61" s="28">
        <f>(INDEX(Option4!AE$106:AE$117, MATCH($D61, Option4!$G$106:$G$117,0)))*conv_2026*AE$7</f>
        <v>0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ht="13" x14ac:dyDescent="0.3">
      <c r="A62" s="223" t="s">
        <v>169</v>
      </c>
      <c r="B62" s="223" t="str">
        <f>Option4!A114</f>
        <v>sens5</v>
      </c>
      <c r="C62" s="223" t="str">
        <f>Option4!C114</f>
        <v>Capex 10% higher &amp; Total benefits 10% lower</v>
      </c>
      <c r="D62" s="223" t="str">
        <f t="shared" si="7"/>
        <v>Option 4sens5</v>
      </c>
      <c r="E62" s="215"/>
      <c r="F62" s="28">
        <f t="shared" si="6"/>
        <v>1289390.9505888985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49350.816573264652</v>
      </c>
      <c r="K62" s="28">
        <f>(INDEX(Option4!K$106:K$117, MATCH($D62, Option4!$G$106:$G$117,0)))*conv_2026*K$7</f>
        <v>55991.341664545944</v>
      </c>
      <c r="L62" s="28">
        <f>(INDEX(Option4!L$106:L$117, MATCH($D62, Option4!$G$106:$G$117,0)))*conv_2026*L$7</f>
        <v>61197.624298862364</v>
      </c>
      <c r="M62" s="28">
        <f>(INDEX(Option4!M$106:M$117, MATCH($D62, Option4!$G$106:$G$117,0)))*conv_2026*M$7</f>
        <v>64238.645875481168</v>
      </c>
      <c r="N62" s="28">
        <f>(INDEX(Option4!N$106:N$117, MATCH($D62, Option4!$G$106:$G$117,0)))*conv_2026*N$7</f>
        <v>68222.695505947529</v>
      </c>
      <c r="O62" s="28">
        <f>(INDEX(Option4!O$106:O$117, MATCH($D62, Option4!$G$106:$G$117,0)))*conv_2026*O$7</f>
        <v>75953.248052404757</v>
      </c>
      <c r="P62" s="28">
        <f>(INDEX(Option4!P$106:P$117, MATCH($D62, Option4!$G$106:$G$117,0)))*conv_2026*P$7</f>
        <v>84905.690060407069</v>
      </c>
      <c r="Q62" s="28">
        <f>(INDEX(Option4!Q$106:Q$117, MATCH($D62, Option4!$G$106:$G$117,0)))*conv_2026*Q$7</f>
        <v>87914.605392408237</v>
      </c>
      <c r="R62" s="28">
        <f>(INDEX(Option4!R$106:R$117, MATCH($D62, Option4!$G$106:$G$117,0)))*conv_2026*R$7</f>
        <v>94104.455045757888</v>
      </c>
      <c r="S62" s="28">
        <f>(INDEX(Option4!S$106:S$117, MATCH($D62, Option4!$G$106:$G$117,0)))*conv_2026*S$7</f>
        <v>100355.80648959285</v>
      </c>
      <c r="T62" s="28">
        <f>(INDEX(Option4!T$106:T$117, MATCH($D62, Option4!$G$106:$G$117,0)))*conv_2026*T$7</f>
        <v>106668.47010228924</v>
      </c>
      <c r="U62" s="28">
        <f>(INDEX(Option4!U$106:U$117, MATCH($D62, Option4!$G$106:$G$117,0)))*conv_2026*U$7</f>
        <v>113042.26176360509</v>
      </c>
      <c r="V62" s="28">
        <f>(INDEX(Option4!V$106:V$117, MATCH($D62, Option4!$G$106:$G$117,0)))*conv_2026*V$7</f>
        <v>119476.99756739449</v>
      </c>
      <c r="W62" s="28">
        <f>(INDEX(Option4!W$106:W$117, MATCH($D62, Option4!$G$106:$G$117,0)))*conv_2026*W$7</f>
        <v>125972.501750125</v>
      </c>
      <c r="X62" s="28">
        <f>(INDEX(Option4!X$106:X$117, MATCH($D62, Option4!$G$106:$G$117,0)))*conv_2026*X$7</f>
        <v>132528.60140478599</v>
      </c>
      <c r="Y62" s="28">
        <f>(INDEX(Option4!Y$106:Y$117, MATCH($D62, Option4!$G$106:$G$117,0)))*conv_2026*Y$7</f>
        <v>139145.13177209516</v>
      </c>
      <c r="Z62" s="28">
        <f>(INDEX(Option4!Z$106:Z$117, MATCH($D62, Option4!$G$106:$G$117,0)))*conv_2026*Z$7</f>
        <v>145821.92300888489</v>
      </c>
      <c r="AA62" s="28">
        <f>(INDEX(Option4!AA$106:AA$117, MATCH($D62, Option4!$G$106:$G$117,0)))*conv_2026*AA$7</f>
        <v>152558.81606408575</v>
      </c>
      <c r="AB62" s="28">
        <f>(INDEX(Option4!AB$106:AB$117, MATCH($D62, Option4!$G$106:$G$117,0)))*conv_2026*AB$7</f>
        <v>159355.65209249212</v>
      </c>
      <c r="AC62" s="28">
        <f>(INDEX(Option4!AC$106:AC$117, MATCH($D62, Option4!$G$106:$G$117,0)))*conv_2026*AC$7</f>
        <v>0</v>
      </c>
      <c r="AD62" s="28">
        <f>(INDEX(Option4!AD$106:AD$117, MATCH($D62, Option4!$G$106:$G$117,0)))*conv_2026*AD$7</f>
        <v>0</v>
      </c>
      <c r="AE62" s="28">
        <f>(INDEX(Option4!AE$106:AE$117, MATCH($D62, Option4!$G$106:$G$117,0)))*conv_2026*AE$7</f>
        <v>0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ht="13" x14ac:dyDescent="0.3">
      <c r="A63" s="223" t="s">
        <v>169</v>
      </c>
      <c r="B63" s="223" t="str">
        <f>Option4!A115</f>
        <v>sens</v>
      </c>
      <c r="C63" s="223">
        <f>Option4!C115</f>
        <v>0</v>
      </c>
      <c r="D63" s="223" t="str">
        <f t="shared" si="7"/>
        <v>Option 4sens</v>
      </c>
      <c r="E63" s="215"/>
      <c r="F63" s="28">
        <f t="shared" si="6"/>
        <v>1899037.3333871036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89442.396687343353</v>
      </c>
      <c r="K63" s="28">
        <f>(INDEX(Option4!K$106:K$117, MATCH($D63, Option4!$G$106:$G$117,0)))*conv_2026*K$7</f>
        <v>96820.757899878139</v>
      </c>
      <c r="L63" s="28">
        <f>(INDEX(Option4!L$106:L$117, MATCH($D63, Option4!$G$106:$G$117,0)))*conv_2026*L$7</f>
        <v>102605.51638245193</v>
      </c>
      <c r="M63" s="28">
        <f>(INDEX(Option4!M$106:M$117, MATCH($D63, Option4!$G$106:$G$117,0)))*conv_2026*M$7</f>
        <v>105984.42924536172</v>
      </c>
      <c r="N63" s="28">
        <f>(INDEX(Option4!N$106:N$117, MATCH($D63, Option4!$G$106:$G$117,0)))*conv_2026*N$7</f>
        <v>110411.151056991</v>
      </c>
      <c r="O63" s="28">
        <f>(INDEX(Option4!O$106:O$117, MATCH($D63, Option4!$G$106:$G$117,0)))*conv_2026*O$7</f>
        <v>119000.65388638794</v>
      </c>
      <c r="P63" s="28">
        <f>(INDEX(Option4!P$106:P$117, MATCH($D63, Option4!$G$106:$G$117,0)))*conv_2026*P$7</f>
        <v>128947.81167305716</v>
      </c>
      <c r="Q63" s="28">
        <f>(INDEX(Option4!Q$106:Q$117, MATCH($D63, Option4!$G$106:$G$117,0)))*conv_2026*Q$7</f>
        <v>132291.05093083624</v>
      </c>
      <c r="R63" s="28">
        <f>(INDEX(Option4!R$106:R$117, MATCH($D63, Option4!$G$106:$G$117,0)))*conv_2026*R$7</f>
        <v>139168.66165678031</v>
      </c>
      <c r="S63" s="28">
        <f>(INDEX(Option4!S$106:S$117, MATCH($D63, Option4!$G$106:$G$117,0)))*conv_2026*S$7</f>
        <v>146114.6077054858</v>
      </c>
      <c r="T63" s="28">
        <f>(INDEX(Option4!T$106:T$117, MATCH($D63, Option4!$G$106:$G$117,0)))*conv_2026*T$7</f>
        <v>153128.67838625956</v>
      </c>
      <c r="U63" s="28">
        <f>(INDEX(Option4!U$106:U$117, MATCH($D63, Option4!$G$106:$G$117,0)))*conv_2026*U$7</f>
        <v>160210.66912105496</v>
      </c>
      <c r="V63" s="28">
        <f>(INDEX(Option4!V$106:V$117, MATCH($D63, Option4!$G$106:$G$117,0)))*conv_2026*V$7</f>
        <v>167360.37556970984</v>
      </c>
      <c r="W63" s="28">
        <f>(INDEX(Option4!W$106:W$117, MATCH($D63, Option4!$G$106:$G$117,0)))*conv_2026*W$7</f>
        <v>174577.6024394104</v>
      </c>
      <c r="X63" s="28">
        <f>(INDEX(Option4!X$106:X$117, MATCH($D63, Option4!$G$106:$G$117,0)))*conv_2026*X$7</f>
        <v>181862.15761125597</v>
      </c>
      <c r="Y63" s="28">
        <f>(INDEX(Option4!Y$106:Y$117, MATCH($D63, Option4!$G$106:$G$117,0)))*conv_2026*Y$7</f>
        <v>189213.85801937728</v>
      </c>
      <c r="Z63" s="28">
        <f>(INDEX(Option4!Z$106:Z$117, MATCH($D63, Option4!$G$106:$G$117,0)))*conv_2026*Z$7</f>
        <v>196632.51494914366</v>
      </c>
      <c r="AA63" s="28">
        <f>(INDEX(Option4!AA$106:AA$117, MATCH($D63, Option4!$G$106:$G$117,0)))*conv_2026*AA$7</f>
        <v>204117.95167714456</v>
      </c>
      <c r="AB63" s="28">
        <f>(INDEX(Option4!AB$106:AB$117, MATCH($D63, Option4!$G$106:$G$117,0)))*conv_2026*AB$7</f>
        <v>211669.99170870721</v>
      </c>
      <c r="AC63" s="28">
        <f>(INDEX(Option4!AC$106:AC$117, MATCH($D63, Option4!$G$106:$G$117,0)))*conv_2026*AC$7</f>
        <v>0</v>
      </c>
      <c r="AD63" s="28">
        <f>(INDEX(Option4!AD$106:AD$117, MATCH($D63, Option4!$G$106:$G$117,0)))*conv_2026*AD$7</f>
        <v>0</v>
      </c>
      <c r="AE63" s="28">
        <f>(INDEX(Option4!AE$106:AE$117, MATCH($D63, Option4!$G$106:$G$117,0)))*conv_2026*AE$7</f>
        <v>0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ht="13" x14ac:dyDescent="0.3">
      <c r="A64" s="223" t="s">
        <v>169</v>
      </c>
      <c r="B64" s="223" t="str">
        <f>Option4!A116</f>
        <v>sens</v>
      </c>
      <c r="C64" s="223">
        <f>Option4!C116</f>
        <v>0</v>
      </c>
      <c r="D64" s="223" t="str">
        <f t="shared" si="7"/>
        <v>Option 4sens</v>
      </c>
      <c r="E64" s="215"/>
      <c r="F64" s="28">
        <f t="shared" si="6"/>
        <v>1899037.3333871036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89442.396687343353</v>
      </c>
      <c r="K64" s="28">
        <f>(INDEX(Option4!K$106:K$117, MATCH($D64, Option4!$G$106:$G$117,0)))*conv_2026*K$7</f>
        <v>96820.757899878139</v>
      </c>
      <c r="L64" s="28">
        <f>(INDEX(Option4!L$106:L$117, MATCH($D64, Option4!$G$106:$G$117,0)))*conv_2026*L$7</f>
        <v>102605.51638245193</v>
      </c>
      <c r="M64" s="28">
        <f>(INDEX(Option4!M$106:M$117, MATCH($D64, Option4!$G$106:$G$117,0)))*conv_2026*M$7</f>
        <v>105984.42924536172</v>
      </c>
      <c r="N64" s="28">
        <f>(INDEX(Option4!N$106:N$117, MATCH($D64, Option4!$G$106:$G$117,0)))*conv_2026*N$7</f>
        <v>110411.151056991</v>
      </c>
      <c r="O64" s="28">
        <f>(INDEX(Option4!O$106:O$117, MATCH($D64, Option4!$G$106:$G$117,0)))*conv_2026*O$7</f>
        <v>119000.65388638794</v>
      </c>
      <c r="P64" s="28">
        <f>(INDEX(Option4!P$106:P$117, MATCH($D64, Option4!$G$106:$G$117,0)))*conv_2026*P$7</f>
        <v>128947.81167305716</v>
      </c>
      <c r="Q64" s="28">
        <f>(INDEX(Option4!Q$106:Q$117, MATCH($D64, Option4!$G$106:$G$117,0)))*conv_2026*Q$7</f>
        <v>132291.05093083624</v>
      </c>
      <c r="R64" s="28">
        <f>(INDEX(Option4!R$106:R$117, MATCH($D64, Option4!$G$106:$G$117,0)))*conv_2026*R$7</f>
        <v>139168.66165678031</v>
      </c>
      <c r="S64" s="28">
        <f>(INDEX(Option4!S$106:S$117, MATCH($D64, Option4!$G$106:$G$117,0)))*conv_2026*S$7</f>
        <v>146114.6077054858</v>
      </c>
      <c r="T64" s="28">
        <f>(INDEX(Option4!T$106:T$117, MATCH($D64, Option4!$G$106:$G$117,0)))*conv_2026*T$7</f>
        <v>153128.67838625956</v>
      </c>
      <c r="U64" s="28">
        <f>(INDEX(Option4!U$106:U$117, MATCH($D64, Option4!$G$106:$G$117,0)))*conv_2026*U$7</f>
        <v>160210.66912105496</v>
      </c>
      <c r="V64" s="28">
        <f>(INDEX(Option4!V$106:V$117, MATCH($D64, Option4!$G$106:$G$117,0)))*conv_2026*V$7</f>
        <v>167360.37556970984</v>
      </c>
      <c r="W64" s="28">
        <f>(INDEX(Option4!W$106:W$117, MATCH($D64, Option4!$G$106:$G$117,0)))*conv_2026*W$7</f>
        <v>174577.6024394104</v>
      </c>
      <c r="X64" s="28">
        <f>(INDEX(Option4!X$106:X$117, MATCH($D64, Option4!$G$106:$G$117,0)))*conv_2026*X$7</f>
        <v>181862.15761125597</v>
      </c>
      <c r="Y64" s="28">
        <f>(INDEX(Option4!Y$106:Y$117, MATCH($D64, Option4!$G$106:$G$117,0)))*conv_2026*Y$7</f>
        <v>189213.85801937728</v>
      </c>
      <c r="Z64" s="28">
        <f>(INDEX(Option4!Z$106:Z$117, MATCH($D64, Option4!$G$106:$G$117,0)))*conv_2026*Z$7</f>
        <v>196632.51494914366</v>
      </c>
      <c r="AA64" s="28">
        <f>(INDEX(Option4!AA$106:AA$117, MATCH($D64, Option4!$G$106:$G$117,0)))*conv_2026*AA$7</f>
        <v>204117.95167714456</v>
      </c>
      <c r="AB64" s="28">
        <f>(INDEX(Option4!AB$106:AB$117, MATCH($D64, Option4!$G$106:$G$117,0)))*conv_2026*AB$7</f>
        <v>211669.99170870721</v>
      </c>
      <c r="AC64" s="28">
        <f>(INDEX(Option4!AC$106:AC$117, MATCH($D64, Option4!$G$106:$G$117,0)))*conv_2026*AC$7</f>
        <v>0</v>
      </c>
      <c r="AD64" s="28">
        <f>(INDEX(Option4!AD$106:AD$117, MATCH($D64, Option4!$G$106:$G$117,0)))*conv_2026*AD$7</f>
        <v>0</v>
      </c>
      <c r="AE64" s="28">
        <f>(INDEX(Option4!AE$106:AE$117, MATCH($D64, Option4!$G$106:$G$117,0)))*conv_2026*AE$7</f>
        <v>0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ht="13" x14ac:dyDescent="0.3">
      <c r="A65" s="223" t="s">
        <v>169</v>
      </c>
      <c r="B65" s="223" t="str">
        <f>Option4!A117</f>
        <v>sens</v>
      </c>
      <c r="C65" s="223">
        <f>Option4!C117</f>
        <v>0</v>
      </c>
      <c r="D65" s="223" t="str">
        <f t="shared" si="7"/>
        <v>Option 4sens</v>
      </c>
      <c r="E65" s="215"/>
      <c r="F65" s="28">
        <f t="shared" si="6"/>
        <v>1899037.3333871036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89442.396687343353</v>
      </c>
      <c r="K65" s="28">
        <f>(INDEX(Option4!K$106:K$117, MATCH($D65, Option4!$G$106:$G$117,0)))*conv_2026*K$7</f>
        <v>96820.757899878139</v>
      </c>
      <c r="L65" s="28">
        <f>(INDEX(Option4!L$106:L$117, MATCH($D65, Option4!$G$106:$G$117,0)))*conv_2026*L$7</f>
        <v>102605.51638245193</v>
      </c>
      <c r="M65" s="28">
        <f>(INDEX(Option4!M$106:M$117, MATCH($D65, Option4!$G$106:$G$117,0)))*conv_2026*M$7</f>
        <v>105984.42924536172</v>
      </c>
      <c r="N65" s="28">
        <f>(INDEX(Option4!N$106:N$117, MATCH($D65, Option4!$G$106:$G$117,0)))*conv_2026*N$7</f>
        <v>110411.151056991</v>
      </c>
      <c r="O65" s="28">
        <f>(INDEX(Option4!O$106:O$117, MATCH($D65, Option4!$G$106:$G$117,0)))*conv_2026*O$7</f>
        <v>119000.65388638794</v>
      </c>
      <c r="P65" s="28">
        <f>(INDEX(Option4!P$106:P$117, MATCH($D65, Option4!$G$106:$G$117,0)))*conv_2026*P$7</f>
        <v>128947.81167305716</v>
      </c>
      <c r="Q65" s="28">
        <f>(INDEX(Option4!Q$106:Q$117, MATCH($D65, Option4!$G$106:$G$117,0)))*conv_2026*Q$7</f>
        <v>132291.05093083624</v>
      </c>
      <c r="R65" s="28">
        <f>(INDEX(Option4!R$106:R$117, MATCH($D65, Option4!$G$106:$G$117,0)))*conv_2026*R$7</f>
        <v>139168.66165678031</v>
      </c>
      <c r="S65" s="28">
        <f>(INDEX(Option4!S$106:S$117, MATCH($D65, Option4!$G$106:$G$117,0)))*conv_2026*S$7</f>
        <v>146114.6077054858</v>
      </c>
      <c r="T65" s="28">
        <f>(INDEX(Option4!T$106:T$117, MATCH($D65, Option4!$G$106:$G$117,0)))*conv_2026*T$7</f>
        <v>153128.67838625956</v>
      </c>
      <c r="U65" s="28">
        <f>(INDEX(Option4!U$106:U$117, MATCH($D65, Option4!$G$106:$G$117,0)))*conv_2026*U$7</f>
        <v>160210.66912105496</v>
      </c>
      <c r="V65" s="28">
        <f>(INDEX(Option4!V$106:V$117, MATCH($D65, Option4!$G$106:$G$117,0)))*conv_2026*V$7</f>
        <v>167360.37556970984</v>
      </c>
      <c r="W65" s="28">
        <f>(INDEX(Option4!W$106:W$117, MATCH($D65, Option4!$G$106:$G$117,0)))*conv_2026*W$7</f>
        <v>174577.6024394104</v>
      </c>
      <c r="X65" s="28">
        <f>(INDEX(Option4!X$106:X$117, MATCH($D65, Option4!$G$106:$G$117,0)))*conv_2026*X$7</f>
        <v>181862.15761125597</v>
      </c>
      <c r="Y65" s="28">
        <f>(INDEX(Option4!Y$106:Y$117, MATCH($D65, Option4!$G$106:$G$117,0)))*conv_2026*Y$7</f>
        <v>189213.85801937728</v>
      </c>
      <c r="Z65" s="28">
        <f>(INDEX(Option4!Z$106:Z$117, MATCH($D65, Option4!$G$106:$G$117,0)))*conv_2026*Z$7</f>
        <v>196632.51494914366</v>
      </c>
      <c r="AA65" s="28">
        <f>(INDEX(Option4!AA$106:AA$117, MATCH($D65, Option4!$G$106:$G$117,0)))*conv_2026*AA$7</f>
        <v>204117.95167714456</v>
      </c>
      <c r="AB65" s="28">
        <f>(INDEX(Option4!AB$106:AB$117, MATCH($D65, Option4!$G$106:$G$117,0)))*conv_2026*AB$7</f>
        <v>211669.99170870721</v>
      </c>
      <c r="AC65" s="28">
        <f>(INDEX(Option4!AC$106:AC$117, MATCH($D65, Option4!$G$106:$G$117,0)))*conv_2026*AC$7</f>
        <v>0</v>
      </c>
      <c r="AD65" s="28">
        <f>(INDEX(Option4!AD$106:AD$117, MATCH($D65, Option4!$G$106:$G$117,0)))*conv_2026*AD$7</f>
        <v>0</v>
      </c>
      <c r="AE65" s="28">
        <f>(INDEX(Option4!AE$106:AE$117, MATCH($D65, Option4!$G$106:$G$117,0)))*conv_2026*AE$7</f>
        <v>0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ht="13" x14ac:dyDescent="0.3">
      <c r="A66" s="223"/>
      <c r="B66" s="223"/>
      <c r="C66" s="223"/>
      <c r="D66" s="223"/>
      <c r="E66" s="223"/>
      <c r="F66" s="28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  <c r="AD66" s="223"/>
      <c r="AE66" s="223"/>
      <c r="AF66" s="223"/>
      <c r="AG66" s="223"/>
    </row>
    <row r="67" spans="1:35" s="6" customFormat="1" ht="13" x14ac:dyDescent="0.3">
      <c r="A67" s="223"/>
      <c r="B67" s="223"/>
      <c r="C67" s="223"/>
      <c r="D67" s="223"/>
      <c r="E67" s="223"/>
      <c r="F67" s="28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  <c r="AD67" s="223"/>
      <c r="AE67" s="223"/>
      <c r="AF67" s="223"/>
      <c r="AG67" s="223"/>
    </row>
    <row r="68" spans="1:35" s="6" customFormat="1" ht="13" x14ac:dyDescent="0.3">
      <c r="A68" s="223"/>
      <c r="B68" s="223"/>
      <c r="C68" s="223"/>
      <c r="D68" s="223"/>
      <c r="E68" s="223"/>
      <c r="F68" s="28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  <c r="AD68" s="223"/>
      <c r="AE68" s="223"/>
      <c r="AF68" s="223"/>
      <c r="AG68" s="223"/>
    </row>
    <row r="69" spans="1:35" s="6" customFormat="1" ht="13" x14ac:dyDescent="0.3">
      <c r="A69" s="223"/>
      <c r="B69" s="223"/>
      <c r="C69" s="223"/>
      <c r="D69" s="223"/>
      <c r="E69" s="223"/>
      <c r="F69" s="28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  <c r="AD69" s="223"/>
      <c r="AE69" s="223"/>
      <c r="AF69" s="223"/>
      <c r="AG69" s="223"/>
    </row>
    <row r="70" spans="1:35" s="6" customFormat="1" ht="13" x14ac:dyDescent="0.3">
      <c r="A70" s="223" t="s">
        <v>170</v>
      </c>
      <c r="B70" s="223" t="s">
        <v>22</v>
      </c>
      <c r="C70" s="223" t="s">
        <v>147</v>
      </c>
      <c r="D70" s="223" t="str">
        <f>A70&amp;B70</f>
        <v>Option 5NPV</v>
      </c>
      <c r="E70" s="215"/>
      <c r="F70" s="28">
        <f t="shared" ref="F70:F79" si="8">SUMPRODUCT($H70:$AG70, $H$5:$AG$5)</f>
        <v>0</v>
      </c>
      <c r="G70" s="218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ht="13" x14ac:dyDescent="0.3">
      <c r="A71" s="217"/>
      <c r="B71" s="217"/>
      <c r="C71" s="217"/>
      <c r="D71" s="217"/>
      <c r="E71" s="217"/>
      <c r="F71" s="217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218"/>
      <c r="Z71" s="218"/>
      <c r="AA71" s="218"/>
      <c r="AB71" s="218"/>
      <c r="AC71" s="218"/>
      <c r="AD71" s="218"/>
      <c r="AE71" s="218"/>
      <c r="AF71" s="218"/>
      <c r="AG71" s="218"/>
      <c r="AH71" s="2"/>
      <c r="AI71" s="2"/>
    </row>
    <row r="72" spans="1:35" s="6" customFormat="1" ht="13" x14ac:dyDescent="0.3">
      <c r="A72" s="223" t="s">
        <v>170</v>
      </c>
      <c r="B72" s="223" t="str">
        <f>Option5!A110</f>
        <v>sens1</v>
      </c>
      <c r="C72" s="223" t="str">
        <f>Option5!C110</f>
        <v>Capex 10% higher</v>
      </c>
      <c r="D72" s="223" t="str">
        <f t="shared" ref="D72:D79" si="9">A72&amp;B72</f>
        <v>Option 5sens1</v>
      </c>
      <c r="E72" s="215"/>
      <c r="F72" s="28">
        <f t="shared" si="8"/>
        <v>0</v>
      </c>
      <c r="G72" s="218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ht="13" x14ac:dyDescent="0.3">
      <c r="A73" s="223" t="s">
        <v>170</v>
      </c>
      <c r="B73" s="223" t="str">
        <f>Option5!A111</f>
        <v>sens2</v>
      </c>
      <c r="C73" s="223" t="str">
        <f>Option5!C111</f>
        <v>Capex 10% lower</v>
      </c>
      <c r="D73" s="223" t="str">
        <f t="shared" si="9"/>
        <v>Option 5sens2</v>
      </c>
      <c r="E73" s="215"/>
      <c r="F73" s="28">
        <f t="shared" si="8"/>
        <v>0</v>
      </c>
      <c r="G73" s="223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ht="13" x14ac:dyDescent="0.3">
      <c r="A74" s="223" t="s">
        <v>170</v>
      </c>
      <c r="B74" s="223" t="str">
        <f>Option5!A112</f>
        <v>sens3</v>
      </c>
      <c r="C74" s="223" t="str">
        <f>Option5!C112</f>
        <v>Total benefits 10% higher</v>
      </c>
      <c r="D74" s="223" t="str">
        <f t="shared" si="9"/>
        <v>Option 5sens3</v>
      </c>
      <c r="E74" s="215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ht="13" x14ac:dyDescent="0.3">
      <c r="A75" s="223" t="s">
        <v>170</v>
      </c>
      <c r="B75" s="223" t="str">
        <f>Option5!A113</f>
        <v>sens4</v>
      </c>
      <c r="C75" s="223" t="str">
        <f>Option5!C113</f>
        <v>Total benefits 10% lower</v>
      </c>
      <c r="D75" s="223" t="str">
        <f t="shared" si="9"/>
        <v>Option 5sens4</v>
      </c>
      <c r="E75" s="215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ht="13" x14ac:dyDescent="0.3">
      <c r="A76" s="223" t="s">
        <v>170</v>
      </c>
      <c r="B76" s="223" t="str">
        <f>Option5!A114</f>
        <v>sens5</v>
      </c>
      <c r="C76" s="223" t="str">
        <f>Option5!C114</f>
        <v>Capex 10% higher &amp; Total benefits 10% lower</v>
      </c>
      <c r="D76" s="223" t="str">
        <f t="shared" si="9"/>
        <v>Option 5sens5</v>
      </c>
      <c r="E76" s="215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ht="13" x14ac:dyDescent="0.3">
      <c r="A77" s="223" t="s">
        <v>170</v>
      </c>
      <c r="B77" s="223" t="str">
        <f>Option5!A115</f>
        <v>sens</v>
      </c>
      <c r="C77" s="223">
        <f>Option5!C115</f>
        <v>0</v>
      </c>
      <c r="D77" s="223" t="str">
        <f t="shared" si="9"/>
        <v>Option 5sens</v>
      </c>
      <c r="E77" s="215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ht="13" x14ac:dyDescent="0.3">
      <c r="A78" s="223" t="s">
        <v>170</v>
      </c>
      <c r="B78" s="223" t="str">
        <f>Option5!A116</f>
        <v>sens</v>
      </c>
      <c r="C78" s="223">
        <f>Option5!C116</f>
        <v>0</v>
      </c>
      <c r="D78" s="223" t="str">
        <f t="shared" si="9"/>
        <v>Option 5sens</v>
      </c>
      <c r="E78" s="215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ht="13" x14ac:dyDescent="0.3">
      <c r="A79" s="223" t="s">
        <v>170</v>
      </c>
      <c r="B79" s="223" t="str">
        <f>Option5!A117</f>
        <v>sens</v>
      </c>
      <c r="C79" s="223">
        <f>Option5!C117</f>
        <v>0</v>
      </c>
      <c r="D79" s="223" t="str">
        <f t="shared" si="9"/>
        <v>Option 5sens</v>
      </c>
      <c r="E79" s="215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3">
      <c r="F80" s="220"/>
    </row>
    <row r="81" spans="1:34" s="6" customFormat="1" x14ac:dyDescent="0.3">
      <c r="F81" s="220"/>
    </row>
    <row r="82" spans="1:34" s="6" customFormat="1" x14ac:dyDescent="0.3">
      <c r="F82" s="220"/>
    </row>
    <row r="83" spans="1:34" s="6" customFormat="1" x14ac:dyDescent="0.3">
      <c r="F83" s="220"/>
    </row>
    <row r="84" spans="1:34" s="6" customFormat="1" ht="14.5" x14ac:dyDescent="0.35">
      <c r="A84" s="177" t="s">
        <v>24</v>
      </c>
      <c r="B84" s="48"/>
      <c r="C84" s="17"/>
      <c r="D84" s="17"/>
      <c r="E84" s="73"/>
      <c r="F84" s="17"/>
      <c r="G84" s="197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8"/>
      <c r="AH84" s="8"/>
    </row>
    <row r="85" spans="1:34" s="6" customFormat="1" x14ac:dyDescent="0.3">
      <c r="F85" s="220"/>
    </row>
    <row r="86" spans="1:34" s="6" customFormat="1" x14ac:dyDescent="0.3">
      <c r="F86" s="220"/>
    </row>
    <row r="87" spans="1:34" s="6" customFormat="1" x14ac:dyDescent="0.3">
      <c r="E87" s="220"/>
    </row>
    <row r="88" spans="1:34" s="6" customFormat="1" x14ac:dyDescent="0.3">
      <c r="C88" s="234" t="b" cm="1">
        <f t="array" ref="C88:G88">TRANSPOSE(Data!F9:F13)</f>
        <v>0</v>
      </c>
      <c r="D88" s="234" t="b">
        <v>0</v>
      </c>
      <c r="E88" s="235" t="b">
        <v>0</v>
      </c>
      <c r="F88" s="234" t="b">
        <v>0</v>
      </c>
      <c r="G88" s="234" t="b">
        <v>1</v>
      </c>
      <c r="K88" s="6" t="b">
        <f>AND(_xlfn.ANCHORARRAY(C88))</f>
        <v>0</v>
      </c>
    </row>
    <row r="89" spans="1:34" s="6" customFormat="1" ht="13" x14ac:dyDescent="0.3">
      <c r="A89" s="53"/>
      <c r="B89" s="53"/>
      <c r="C89" s="236" t="str" cm="1">
        <f t="array" ref="C89:G89">TRANSPOSE(options)</f>
        <v>Option 1 (base case)</v>
      </c>
      <c r="D89" s="236" t="str">
        <v>Option 2</v>
      </c>
      <c r="E89" s="236" t="str">
        <v>Option 3</v>
      </c>
      <c r="F89" s="236" t="str">
        <v>Option 4</v>
      </c>
      <c r="G89" s="236" t="str">
        <v>Option 5</v>
      </c>
      <c r="I89" s="236" t="s">
        <v>171</v>
      </c>
      <c r="K89" s="53" t="s">
        <v>172</v>
      </c>
    </row>
    <row r="90" spans="1:34" s="6" customFormat="1" ht="13" x14ac:dyDescent="0.3">
      <c r="A90" s="226" t="s">
        <v>22</v>
      </c>
      <c r="B90" s="226" t="s">
        <v>173</v>
      </c>
      <c r="C90" s="93">
        <f t="shared" ref="C90:G98" si="10">IF(OR($B90=0,C$88),"", INDEX($F$14:$F$81, MATCH(C$89&amp;$A90,$D$14:$D$81,0))/10^6)</f>
        <v>0</v>
      </c>
      <c r="D90" s="93">
        <f t="shared" si="10"/>
        <v>2.1158746996655835</v>
      </c>
      <c r="E90" s="93">
        <f t="shared" si="10"/>
        <v>1.0401420438616866</v>
      </c>
      <c r="F90" s="93">
        <f t="shared" si="10"/>
        <v>1.8990373333871036</v>
      </c>
      <c r="G90" s="93" t="str">
        <f t="shared" si="10"/>
        <v/>
      </c>
      <c r="H90" s="162"/>
      <c r="I90" s="93">
        <f t="shared" ref="I90:I98" si="11">_xlfn.MAXIFS(C90:G90,_xlfn.ANCHORARRAY( C$88),FALSE)</f>
        <v>2.1158746996655835</v>
      </c>
      <c r="K90" s="6" t="str">
        <f t="shared" ref="K90:K98" si="12">IF(OR(B90=0,$K$88),"", INDEX(_xlfn.ANCHORARRAY($C$89), MATCH(I90, $C90:$G90,0)))</f>
        <v>Option 2</v>
      </c>
    </row>
    <row r="91" spans="1:34" s="6" customFormat="1" ht="13" x14ac:dyDescent="0.3">
      <c r="A91" s="226" t="str">
        <f>"sens"&amp;Assumptions!B111</f>
        <v>sens1</v>
      </c>
      <c r="B91" s="226" t="str">
        <f>Assumptions!C111</f>
        <v>Capex 10% higher</v>
      </c>
      <c r="C91" s="93">
        <f t="shared" si="10"/>
        <v>0</v>
      </c>
      <c r="D91" s="93">
        <f t="shared" si="10"/>
        <v>1.7368707455230099</v>
      </c>
      <c r="E91" s="93">
        <f t="shared" si="10"/>
        <v>0.97303358906610271</v>
      </c>
      <c r="F91" s="93">
        <f t="shared" si="10"/>
        <v>1.6891660086573563</v>
      </c>
      <c r="G91" s="93" t="str">
        <f t="shared" si="10"/>
        <v/>
      </c>
      <c r="H91" s="162"/>
      <c r="I91" s="93">
        <f t="shared" si="11"/>
        <v>1.7368707455230099</v>
      </c>
      <c r="K91" s="6" t="str">
        <f t="shared" si="12"/>
        <v>Option 2</v>
      </c>
    </row>
    <row r="92" spans="1:34" s="6" customFormat="1" ht="13" x14ac:dyDescent="0.3">
      <c r="A92" s="226" t="str">
        <f>"sens"&amp;Assumptions!B112</f>
        <v>sens2</v>
      </c>
      <c r="B92" s="226" t="str">
        <f>Assumptions!C112</f>
        <v>Capex 10% lower</v>
      </c>
      <c r="C92" s="93">
        <f t="shared" si="10"/>
        <v>0</v>
      </c>
      <c r="D92" s="93">
        <f t="shared" si="10"/>
        <v>2.4948786538081564</v>
      </c>
      <c r="E92" s="93">
        <f t="shared" si="10"/>
        <v>1.1072504986572711</v>
      </c>
      <c r="F92" s="93">
        <f t="shared" si="10"/>
        <v>2.1089086581168508</v>
      </c>
      <c r="G92" s="93" t="str">
        <f t="shared" si="10"/>
        <v/>
      </c>
      <c r="H92" s="162"/>
      <c r="I92" s="93">
        <f t="shared" si="11"/>
        <v>2.4948786538081564</v>
      </c>
      <c r="K92" s="6" t="str">
        <f t="shared" si="12"/>
        <v>Option 2</v>
      </c>
    </row>
    <row r="93" spans="1:34" s="6" customFormat="1" ht="13" x14ac:dyDescent="0.3">
      <c r="A93" s="226" t="str">
        <f>"sens"&amp;Assumptions!B113</f>
        <v>sens3</v>
      </c>
      <c r="B93" s="226" t="str">
        <f>Assumptions!C113</f>
        <v>Total benefits 10% higher</v>
      </c>
      <c r="C93" s="93">
        <f t="shared" si="10"/>
        <v>0</v>
      </c>
      <c r="D93" s="93">
        <f t="shared" si="10"/>
        <v>2.7064661237747152</v>
      </c>
      <c r="E93" s="93">
        <f t="shared" si="10"/>
        <v>1.2112647030434398</v>
      </c>
      <c r="F93" s="93">
        <f t="shared" si="10"/>
        <v>2.2988123914555625</v>
      </c>
      <c r="G93" s="93" t="str">
        <f t="shared" si="10"/>
        <v/>
      </c>
      <c r="H93" s="162"/>
      <c r="I93" s="93">
        <f t="shared" si="11"/>
        <v>2.7064661237747152</v>
      </c>
      <c r="K93" s="6" t="str">
        <f t="shared" si="12"/>
        <v>Option 2</v>
      </c>
    </row>
    <row r="94" spans="1:34" s="6" customFormat="1" ht="13" x14ac:dyDescent="0.3">
      <c r="A94" s="226" t="str">
        <f>"sens"&amp;Assumptions!B114</f>
        <v>sens4</v>
      </c>
      <c r="B94" s="226" t="str">
        <f>Assumptions!C114</f>
        <v>Total benefits 10% lower</v>
      </c>
      <c r="C94" s="93">
        <f t="shared" si="10"/>
        <v>0</v>
      </c>
      <c r="D94" s="93">
        <f t="shared" si="10"/>
        <v>1.5252832755564516</v>
      </c>
      <c r="E94" s="93">
        <f t="shared" si="10"/>
        <v>0.869019384679934</v>
      </c>
      <c r="F94" s="93">
        <f t="shared" si="10"/>
        <v>1.499262275318646</v>
      </c>
      <c r="G94" s="93" t="str">
        <f t="shared" si="10"/>
        <v/>
      </c>
      <c r="H94" s="162"/>
      <c r="I94" s="93">
        <f t="shared" si="11"/>
        <v>1.5252832755564516</v>
      </c>
      <c r="K94" s="6" t="str">
        <f t="shared" si="12"/>
        <v>Option 2</v>
      </c>
    </row>
    <row r="95" spans="1:34" s="6" customFormat="1" ht="13" x14ac:dyDescent="0.3">
      <c r="A95" s="226" t="str">
        <f>"sens"&amp;Assumptions!B115</f>
        <v>sens5</v>
      </c>
      <c r="B95" s="226" t="str">
        <f>Assumptions!C115</f>
        <v>Capex 10% higher &amp; Total benefits 10% lower</v>
      </c>
      <c r="C95" s="93">
        <f t="shared" si="10"/>
        <v>0</v>
      </c>
      <c r="D95" s="93">
        <f t="shared" si="10"/>
        <v>1.1462793214138787</v>
      </c>
      <c r="E95" s="93">
        <f t="shared" si="10"/>
        <v>0.8019109298843502</v>
      </c>
      <c r="F95" s="93">
        <f t="shared" si="10"/>
        <v>1.2893909505888985</v>
      </c>
      <c r="G95" s="93" t="str">
        <f t="shared" si="10"/>
        <v/>
      </c>
      <c r="H95" s="162"/>
      <c r="I95" s="93">
        <f t="shared" si="11"/>
        <v>1.2893909505888985</v>
      </c>
      <c r="K95" s="6" t="str">
        <f t="shared" si="12"/>
        <v>Option 4</v>
      </c>
    </row>
    <row r="96" spans="1:34" s="6" customFormat="1" ht="13" x14ac:dyDescent="0.3">
      <c r="A96" s="226" t="str">
        <f>"sens"&amp;Assumptions!B116</f>
        <v>sens</v>
      </c>
      <c r="B96" s="226">
        <f>Assumptions!C116</f>
        <v>0</v>
      </c>
      <c r="C96" s="93" t="str">
        <f t="shared" si="10"/>
        <v/>
      </c>
      <c r="D96" s="93" t="str">
        <f t="shared" si="10"/>
        <v/>
      </c>
      <c r="E96" s="93" t="str">
        <f t="shared" si="10"/>
        <v/>
      </c>
      <c r="F96" s="93" t="str">
        <f t="shared" si="10"/>
        <v/>
      </c>
      <c r="G96" s="93" t="str">
        <f t="shared" si="10"/>
        <v/>
      </c>
      <c r="H96" s="162"/>
      <c r="I96" s="93">
        <f t="shared" si="11"/>
        <v>0</v>
      </c>
      <c r="K96" s="6" t="str">
        <f t="shared" si="12"/>
        <v/>
      </c>
    </row>
    <row r="97" spans="1:11" ht="13" x14ac:dyDescent="0.3">
      <c r="A97" s="226" t="str">
        <f>"sens"&amp;Assumptions!B117</f>
        <v>sens</v>
      </c>
      <c r="B97" s="226">
        <f>Assumptions!C117</f>
        <v>0</v>
      </c>
      <c r="C97" s="93" t="str">
        <f t="shared" si="10"/>
        <v/>
      </c>
      <c r="D97" s="93" t="str">
        <f t="shared" si="10"/>
        <v/>
      </c>
      <c r="E97" s="93" t="str">
        <f t="shared" si="10"/>
        <v/>
      </c>
      <c r="F97" s="93" t="str">
        <f t="shared" si="10"/>
        <v/>
      </c>
      <c r="G97" s="93" t="str">
        <f t="shared" si="10"/>
        <v/>
      </c>
      <c r="H97" s="239"/>
      <c r="I97" s="93">
        <f t="shared" si="11"/>
        <v>0</v>
      </c>
      <c r="K97" s="6" t="str">
        <f t="shared" si="12"/>
        <v/>
      </c>
    </row>
    <row r="98" spans="1:11" ht="13" x14ac:dyDescent="0.3">
      <c r="A98" s="226" t="str">
        <f>"sens"&amp;Assumptions!B118</f>
        <v>sens</v>
      </c>
      <c r="B98" s="226">
        <f>Assumptions!C118</f>
        <v>0</v>
      </c>
      <c r="C98" s="93" t="str">
        <f t="shared" si="10"/>
        <v/>
      </c>
      <c r="D98" s="93" t="str">
        <f t="shared" si="10"/>
        <v/>
      </c>
      <c r="E98" s="93" t="str">
        <f t="shared" si="10"/>
        <v/>
      </c>
      <c r="F98" s="93" t="str">
        <f t="shared" si="10"/>
        <v/>
      </c>
      <c r="G98" s="93" t="str">
        <f t="shared" si="10"/>
        <v/>
      </c>
      <c r="H98" s="239"/>
      <c r="I98" s="93">
        <f t="shared" si="11"/>
        <v>0</v>
      </c>
      <c r="K98" s="6" t="str">
        <f t="shared" si="12"/>
        <v/>
      </c>
    </row>
    <row r="99" spans="1:11" x14ac:dyDescent="0.3">
      <c r="C99" s="28"/>
      <c r="E99"/>
      <c r="F99" s="8"/>
    </row>
    <row r="100" spans="1:11" x14ac:dyDescent="0.3">
      <c r="E100"/>
      <c r="F100" s="8"/>
    </row>
    <row r="101" spans="1:11" x14ac:dyDescent="0.3">
      <c r="E101"/>
      <c r="F101" s="8"/>
    </row>
    <row r="102" spans="1:11" x14ac:dyDescent="0.3">
      <c r="E102"/>
      <c r="F102" s="8"/>
    </row>
    <row r="103" spans="1:11" x14ac:dyDescent="0.3">
      <c r="E103"/>
      <c r="F103" s="8"/>
    </row>
    <row r="104" spans="1:11" x14ac:dyDescent="0.3">
      <c r="E104"/>
      <c r="F104" s="8"/>
    </row>
    <row r="105" spans="1:11" x14ac:dyDescent="0.3">
      <c r="E105"/>
      <c r="F105" s="8"/>
    </row>
    <row r="106" spans="1:11" x14ac:dyDescent="0.3"/>
    <row r="107" spans="1:11" x14ac:dyDescent="0.3"/>
    <row r="108" spans="1:11" x14ac:dyDescent="0.3"/>
    <row r="109" spans="1:11" x14ac:dyDescent="0.3"/>
    <row r="110" spans="1:11" x14ac:dyDescent="0.3"/>
    <row r="111" spans="1:11" x14ac:dyDescent="0.3"/>
    <row r="112" spans="1:11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F5163-69F2-4B23-A1D3-4374371C1F1C}">
  <sheetPr codeName="Sheet4">
    <tabColor rgb="FFFFFF00"/>
  </sheetPr>
  <dimension ref="A1:AR54"/>
  <sheetViews>
    <sheetView showGridLines="0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31.765625" style="1" bestFit="1" customWidth="1"/>
    <col min="5" max="5" width="19.4609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CHA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174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175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7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86"/>
      <c r="E10" s="288" t="s">
        <v>51</v>
      </c>
      <c r="F10" s="288" t="s">
        <v>91</v>
      </c>
      <c r="G10" s="288" t="s">
        <v>92</v>
      </c>
      <c r="H10" s="288" t="s">
        <v>93</v>
      </c>
      <c r="I10" s="288" t="s">
        <v>94</v>
      </c>
      <c r="J10" s="288" t="s">
        <v>95</v>
      </c>
      <c r="K10" s="288" t="s">
        <v>176</v>
      </c>
      <c r="L10" s="288" t="s">
        <v>177</v>
      </c>
      <c r="M10" s="288" t="s">
        <v>178</v>
      </c>
      <c r="N10" s="288" t="s">
        <v>179</v>
      </c>
      <c r="O10" s="288" t="s">
        <v>180</v>
      </c>
      <c r="P10" s="288" t="s">
        <v>181</v>
      </c>
      <c r="Q10" s="288" t="s">
        <v>182</v>
      </c>
      <c r="R10" s="288" t="s">
        <v>183</v>
      </c>
      <c r="S10" s="288" t="s">
        <v>184</v>
      </c>
      <c r="T10" s="288" t="s">
        <v>185</v>
      </c>
      <c r="U10" s="288" t="s">
        <v>186</v>
      </c>
      <c r="V10" s="288" t="s">
        <v>187</v>
      </c>
      <c r="W10" s="288" t="s">
        <v>188</v>
      </c>
      <c r="X10" s="288" t="s">
        <v>189</v>
      </c>
      <c r="Y10" s="288" t="s">
        <v>190</v>
      </c>
      <c r="Z10" s="288" t="s">
        <v>191</v>
      </c>
      <c r="AA10" s="288" t="s">
        <v>192</v>
      </c>
      <c r="AB10" s="288" t="s">
        <v>193</v>
      </c>
      <c r="AC10" s="288" t="s">
        <v>194</v>
      </c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9" t="s">
        <v>103</v>
      </c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90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92" t="s">
        <v>198</v>
      </c>
      <c r="E13" s="293">
        <f>E12</f>
        <v>0</v>
      </c>
      <c r="F13" s="293">
        <f t="shared" ref="F13:AC13" si="0">F12</f>
        <v>0</v>
      </c>
      <c r="G13" s="293">
        <f t="shared" si="0"/>
        <v>0</v>
      </c>
      <c r="H13" s="293">
        <f t="shared" si="0"/>
        <v>0</v>
      </c>
      <c r="I13" s="293">
        <f t="shared" si="0"/>
        <v>0</v>
      </c>
      <c r="J13" s="293">
        <f t="shared" si="0"/>
        <v>0</v>
      </c>
      <c r="K13" s="293">
        <f t="shared" si="0"/>
        <v>0</v>
      </c>
      <c r="L13" s="293">
        <f t="shared" si="0"/>
        <v>0</v>
      </c>
      <c r="M13" s="293">
        <f t="shared" si="0"/>
        <v>0</v>
      </c>
      <c r="N13" s="293">
        <f t="shared" si="0"/>
        <v>0</v>
      </c>
      <c r="O13" s="293">
        <f t="shared" si="0"/>
        <v>0</v>
      </c>
      <c r="P13" s="293">
        <f t="shared" si="0"/>
        <v>0</v>
      </c>
      <c r="Q13" s="293">
        <f t="shared" si="0"/>
        <v>0</v>
      </c>
      <c r="R13" s="293">
        <f t="shared" si="0"/>
        <v>0</v>
      </c>
      <c r="S13" s="293">
        <f t="shared" si="0"/>
        <v>0</v>
      </c>
      <c r="T13" s="293">
        <f t="shared" si="0"/>
        <v>0</v>
      </c>
      <c r="U13" s="293">
        <f t="shared" si="0"/>
        <v>0</v>
      </c>
      <c r="V13" s="293">
        <f t="shared" si="0"/>
        <v>0</v>
      </c>
      <c r="W13" s="293">
        <f t="shared" si="0"/>
        <v>0</v>
      </c>
      <c r="X13" s="293">
        <f t="shared" si="0"/>
        <v>0</v>
      </c>
      <c r="Y13" s="293">
        <f t="shared" si="0"/>
        <v>0</v>
      </c>
      <c r="Z13" s="293">
        <f t="shared" si="0"/>
        <v>0</v>
      </c>
      <c r="AA13" s="293">
        <f t="shared" si="0"/>
        <v>0</v>
      </c>
      <c r="AB13" s="293">
        <f t="shared" si="0"/>
        <v>0</v>
      </c>
      <c r="AC13" s="293">
        <f t="shared" si="0"/>
        <v>0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94"/>
      <c r="B16" s="284" t="str">
        <f>Assumptions!C15&amp;" - "&amp;Assumptions!E15</f>
        <v>Option 2 - Replace transformer #2 completed in 2027-2028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</row>
    <row r="17" spans="1:44" x14ac:dyDescent="0.3">
      <c r="A17" s="286"/>
      <c r="B17" s="286"/>
      <c r="C17" s="286"/>
      <c r="D17" s="286" t="s">
        <v>345</v>
      </c>
      <c r="E17" s="381">
        <v>6595499.631176821</v>
      </c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 t="s">
        <v>346</v>
      </c>
      <c r="E18" s="379">
        <f>E17*Misc_calcs!F23</f>
        <v>6104131.0312949438</v>
      </c>
      <c r="F18" s="380"/>
      <c r="G18" s="380"/>
      <c r="H18" s="380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x14ac:dyDescent="0.3">
      <c r="A19" s="286"/>
      <c r="B19" s="286"/>
      <c r="C19" s="286"/>
      <c r="D19" s="286"/>
      <c r="E19" s="288" t="s">
        <v>51</v>
      </c>
      <c r="F19" s="288" t="s">
        <v>91</v>
      </c>
      <c r="G19" s="288" t="s">
        <v>92</v>
      </c>
      <c r="H19" s="288" t="s">
        <v>93</v>
      </c>
      <c r="I19" s="288" t="s">
        <v>94</v>
      </c>
      <c r="J19" s="288" t="s">
        <v>95</v>
      </c>
      <c r="K19" s="288" t="s">
        <v>176</v>
      </c>
      <c r="L19" s="288" t="s">
        <v>177</v>
      </c>
      <c r="M19" s="288" t="s">
        <v>178</v>
      </c>
      <c r="N19" s="288" t="s">
        <v>179</v>
      </c>
      <c r="O19" s="288" t="s">
        <v>180</v>
      </c>
      <c r="P19" s="288" t="s">
        <v>181</v>
      </c>
      <c r="Q19" s="288" t="s">
        <v>182</v>
      </c>
      <c r="R19" s="288" t="s">
        <v>183</v>
      </c>
      <c r="S19" s="288" t="s">
        <v>184</v>
      </c>
      <c r="T19" s="288" t="s">
        <v>185</v>
      </c>
      <c r="U19" s="288" t="s">
        <v>186</v>
      </c>
      <c r="V19" s="288" t="s">
        <v>187</v>
      </c>
      <c r="W19" s="288" t="s">
        <v>188</v>
      </c>
      <c r="X19" s="288" t="s">
        <v>189</v>
      </c>
      <c r="Y19" s="288" t="s">
        <v>190</v>
      </c>
      <c r="Z19" s="288" t="s">
        <v>191</v>
      </c>
      <c r="AA19" s="288" t="s">
        <v>192</v>
      </c>
      <c r="AB19" s="288" t="s">
        <v>193</v>
      </c>
      <c r="AC19" s="288" t="s">
        <v>194</v>
      </c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</row>
    <row r="20" spans="1:44" x14ac:dyDescent="0.3">
      <c r="A20" s="286"/>
      <c r="B20" s="286"/>
      <c r="C20" s="286"/>
      <c r="D20" s="290" t="s">
        <v>197</v>
      </c>
      <c r="E20" s="291">
        <f>2/3*$E$18</f>
        <v>4069420.6875299625</v>
      </c>
      <c r="F20" s="291">
        <f>1/3*$E$18</f>
        <v>2034710.3437649813</v>
      </c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92" t="s">
        <v>198</v>
      </c>
      <c r="E21" s="295">
        <f>E20</f>
        <v>4069420.6875299625</v>
      </c>
      <c r="F21" s="295">
        <f t="shared" ref="F21:AC21" si="1">F20</f>
        <v>2034710.3437649813</v>
      </c>
      <c r="G21" s="295">
        <f t="shared" si="1"/>
        <v>0</v>
      </c>
      <c r="H21" s="295">
        <f t="shared" si="1"/>
        <v>0</v>
      </c>
      <c r="I21" s="295">
        <f t="shared" si="1"/>
        <v>0</v>
      </c>
      <c r="J21" s="295">
        <f t="shared" si="1"/>
        <v>0</v>
      </c>
      <c r="K21" s="295">
        <f t="shared" si="1"/>
        <v>0</v>
      </c>
      <c r="L21" s="295">
        <f t="shared" si="1"/>
        <v>0</v>
      </c>
      <c r="M21" s="295">
        <f t="shared" si="1"/>
        <v>0</v>
      </c>
      <c r="N21" s="295">
        <f t="shared" si="1"/>
        <v>0</v>
      </c>
      <c r="O21" s="295">
        <f t="shared" si="1"/>
        <v>0</v>
      </c>
      <c r="P21" s="295">
        <f t="shared" si="1"/>
        <v>0</v>
      </c>
      <c r="Q21" s="295">
        <f t="shared" si="1"/>
        <v>0</v>
      </c>
      <c r="R21" s="295">
        <f t="shared" si="1"/>
        <v>0</v>
      </c>
      <c r="S21" s="295">
        <f t="shared" si="1"/>
        <v>0</v>
      </c>
      <c r="T21" s="295">
        <f t="shared" si="1"/>
        <v>0</v>
      </c>
      <c r="U21" s="295">
        <f t="shared" si="1"/>
        <v>0</v>
      </c>
      <c r="V21" s="295">
        <f t="shared" si="1"/>
        <v>0</v>
      </c>
      <c r="W21" s="295">
        <f t="shared" si="1"/>
        <v>0</v>
      </c>
      <c r="X21" s="295">
        <f t="shared" si="1"/>
        <v>0</v>
      </c>
      <c r="Y21" s="295">
        <f t="shared" si="1"/>
        <v>0</v>
      </c>
      <c r="Z21" s="295">
        <f t="shared" si="1"/>
        <v>0</v>
      </c>
      <c r="AA21" s="295">
        <f t="shared" si="1"/>
        <v>0</v>
      </c>
      <c r="AB21" s="295">
        <f t="shared" si="1"/>
        <v>0</v>
      </c>
      <c r="AC21" s="295">
        <f t="shared" si="1"/>
        <v>0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86"/>
      <c r="E22" s="380"/>
      <c r="F22" s="380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/>
      <c r="E23" s="288" t="s">
        <v>51</v>
      </c>
      <c r="F23" s="288" t="s">
        <v>91</v>
      </c>
      <c r="G23" s="288" t="s">
        <v>92</v>
      </c>
      <c r="H23" s="288" t="s">
        <v>93</v>
      </c>
      <c r="I23" s="288" t="s">
        <v>94</v>
      </c>
      <c r="J23" s="288" t="s">
        <v>95</v>
      </c>
      <c r="K23" s="288" t="s">
        <v>176</v>
      </c>
      <c r="L23" s="288" t="s">
        <v>177</v>
      </c>
      <c r="M23" s="288" t="s">
        <v>178</v>
      </c>
      <c r="N23" s="288" t="s">
        <v>179</v>
      </c>
      <c r="O23" s="288" t="s">
        <v>180</v>
      </c>
      <c r="P23" s="288" t="s">
        <v>181</v>
      </c>
      <c r="Q23" s="288" t="s">
        <v>182</v>
      </c>
      <c r="R23" s="288" t="s">
        <v>183</v>
      </c>
      <c r="S23" s="288" t="s">
        <v>184</v>
      </c>
      <c r="T23" s="288" t="s">
        <v>185</v>
      </c>
      <c r="U23" s="288" t="s">
        <v>186</v>
      </c>
      <c r="V23" s="288" t="s">
        <v>187</v>
      </c>
      <c r="W23" s="288" t="s">
        <v>188</v>
      </c>
      <c r="X23" s="288" t="s">
        <v>189</v>
      </c>
      <c r="Y23" s="288" t="s">
        <v>190</v>
      </c>
      <c r="Z23" s="288" t="s">
        <v>191</v>
      </c>
      <c r="AA23" s="288" t="s">
        <v>192</v>
      </c>
      <c r="AB23" s="288" t="s">
        <v>193</v>
      </c>
      <c r="AC23" s="288" t="s">
        <v>194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9" t="s">
        <v>195</v>
      </c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90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92" t="s">
        <v>196</v>
      </c>
      <c r="E26" s="293">
        <f>E25</f>
        <v>0</v>
      </c>
      <c r="F26" s="293">
        <f t="shared" ref="F26:AC26" si="2">F25</f>
        <v>0</v>
      </c>
      <c r="G26" s="293">
        <f t="shared" si="2"/>
        <v>0</v>
      </c>
      <c r="H26" s="293">
        <f t="shared" si="2"/>
        <v>0</v>
      </c>
      <c r="I26" s="293">
        <f t="shared" si="2"/>
        <v>0</v>
      </c>
      <c r="J26" s="293">
        <f t="shared" si="2"/>
        <v>0</v>
      </c>
      <c r="K26" s="293">
        <f t="shared" si="2"/>
        <v>0</v>
      </c>
      <c r="L26" s="293">
        <f t="shared" si="2"/>
        <v>0</v>
      </c>
      <c r="M26" s="293">
        <f t="shared" si="2"/>
        <v>0</v>
      </c>
      <c r="N26" s="293">
        <f t="shared" si="2"/>
        <v>0</v>
      </c>
      <c r="O26" s="293">
        <f t="shared" si="2"/>
        <v>0</v>
      </c>
      <c r="P26" s="293">
        <f t="shared" si="2"/>
        <v>0</v>
      </c>
      <c r="Q26" s="293">
        <f t="shared" si="2"/>
        <v>0</v>
      </c>
      <c r="R26" s="293">
        <f t="shared" si="2"/>
        <v>0</v>
      </c>
      <c r="S26" s="293">
        <f t="shared" si="2"/>
        <v>0</v>
      </c>
      <c r="T26" s="293">
        <f t="shared" si="2"/>
        <v>0</v>
      </c>
      <c r="U26" s="293">
        <f t="shared" si="2"/>
        <v>0</v>
      </c>
      <c r="V26" s="293">
        <f t="shared" si="2"/>
        <v>0</v>
      </c>
      <c r="W26" s="293">
        <f t="shared" si="2"/>
        <v>0</v>
      </c>
      <c r="X26" s="293">
        <f t="shared" si="2"/>
        <v>0</v>
      </c>
      <c r="Y26" s="293">
        <f t="shared" si="2"/>
        <v>0</v>
      </c>
      <c r="Z26" s="293">
        <f t="shared" si="2"/>
        <v>0</v>
      </c>
      <c r="AA26" s="293">
        <f t="shared" si="2"/>
        <v>0</v>
      </c>
      <c r="AB26" s="293">
        <f t="shared" si="2"/>
        <v>0</v>
      </c>
      <c r="AC26" s="293">
        <f t="shared" si="2"/>
        <v>0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29" spans="1:44" x14ac:dyDescent="0.3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</row>
    <row r="30" spans="1:44" x14ac:dyDescent="0.3">
      <c r="A30" s="294"/>
      <c r="B30" s="284" t="str">
        <f>Assumptions!C16&amp;" - "&amp;Assumptions!E16</f>
        <v>Option 3 - Refurb transformer #2 completed in 2026-2027</v>
      </c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</row>
    <row r="31" spans="1:44" x14ac:dyDescent="0.3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51</v>
      </c>
      <c r="F33" s="288" t="s">
        <v>91</v>
      </c>
      <c r="G33" s="288" t="s">
        <v>92</v>
      </c>
      <c r="H33" s="288" t="s">
        <v>93</v>
      </c>
      <c r="I33" s="288" t="s">
        <v>94</v>
      </c>
      <c r="J33" s="288" t="s">
        <v>95</v>
      </c>
      <c r="K33" s="288" t="s">
        <v>176</v>
      </c>
      <c r="L33" s="288" t="s">
        <v>177</v>
      </c>
      <c r="M33" s="288" t="s">
        <v>178</v>
      </c>
      <c r="N33" s="288" t="s">
        <v>179</v>
      </c>
      <c r="O33" s="288" t="s">
        <v>180</v>
      </c>
      <c r="P33" s="288" t="s">
        <v>181</v>
      </c>
      <c r="Q33" s="288" t="s">
        <v>182</v>
      </c>
      <c r="R33" s="288" t="s">
        <v>183</v>
      </c>
      <c r="S33" s="288" t="s">
        <v>184</v>
      </c>
      <c r="T33" s="288" t="s">
        <v>185</v>
      </c>
      <c r="U33" s="288" t="s">
        <v>186</v>
      </c>
      <c r="V33" s="288" t="s">
        <v>187</v>
      </c>
      <c r="W33" s="288" t="s">
        <v>188</v>
      </c>
      <c r="X33" s="288" t="s">
        <v>189</v>
      </c>
      <c r="Y33" s="288" t="s">
        <v>190</v>
      </c>
      <c r="Z33" s="288" t="s">
        <v>191</v>
      </c>
      <c r="AA33" s="288" t="s">
        <v>192</v>
      </c>
      <c r="AB33" s="288" t="s">
        <v>193</v>
      </c>
      <c r="AC33" s="288" t="s">
        <v>194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0" t="s">
        <v>197</v>
      </c>
      <c r="E34" s="291">
        <v>639520</v>
      </c>
      <c r="F34" s="291"/>
      <c r="G34" s="291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92" t="s">
        <v>198</v>
      </c>
      <c r="E35" s="295">
        <f>E34</f>
        <v>639520</v>
      </c>
      <c r="F35" s="295">
        <f t="shared" ref="F35:AC35" si="3">F34</f>
        <v>0</v>
      </c>
      <c r="G35" s="295">
        <f t="shared" si="3"/>
        <v>0</v>
      </c>
      <c r="H35" s="295">
        <f t="shared" si="3"/>
        <v>0</v>
      </c>
      <c r="I35" s="295">
        <f t="shared" si="3"/>
        <v>0</v>
      </c>
      <c r="J35" s="295">
        <f t="shared" si="3"/>
        <v>0</v>
      </c>
      <c r="K35" s="295">
        <f t="shared" si="3"/>
        <v>0</v>
      </c>
      <c r="L35" s="295">
        <f t="shared" si="3"/>
        <v>0</v>
      </c>
      <c r="M35" s="295">
        <f t="shared" si="3"/>
        <v>0</v>
      </c>
      <c r="N35" s="295">
        <f t="shared" si="3"/>
        <v>0</v>
      </c>
      <c r="O35" s="295">
        <f t="shared" si="3"/>
        <v>0</v>
      </c>
      <c r="P35" s="295">
        <f t="shared" si="3"/>
        <v>0</v>
      </c>
      <c r="Q35" s="295">
        <f t="shared" si="3"/>
        <v>0</v>
      </c>
      <c r="R35" s="295">
        <f t="shared" si="3"/>
        <v>0</v>
      </c>
      <c r="S35" s="295">
        <f t="shared" si="3"/>
        <v>0</v>
      </c>
      <c r="T35" s="295">
        <f t="shared" si="3"/>
        <v>0</v>
      </c>
      <c r="U35" s="295">
        <f t="shared" si="3"/>
        <v>0</v>
      </c>
      <c r="V35" s="295">
        <f t="shared" si="3"/>
        <v>0</v>
      </c>
      <c r="W35" s="295">
        <f t="shared" si="3"/>
        <v>0</v>
      </c>
      <c r="X35" s="295">
        <f t="shared" si="3"/>
        <v>0</v>
      </c>
      <c r="Y35" s="295">
        <f t="shared" si="3"/>
        <v>0</v>
      </c>
      <c r="Z35" s="295">
        <f t="shared" si="3"/>
        <v>0</v>
      </c>
      <c r="AA35" s="295">
        <f t="shared" si="3"/>
        <v>0</v>
      </c>
      <c r="AB35" s="295">
        <f t="shared" si="3"/>
        <v>0</v>
      </c>
      <c r="AC35" s="295">
        <f t="shared" si="3"/>
        <v>0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/>
      <c r="E37" s="288" t="s">
        <v>51</v>
      </c>
      <c r="F37" s="288" t="s">
        <v>91</v>
      </c>
      <c r="G37" s="288" t="s">
        <v>92</v>
      </c>
      <c r="H37" s="288" t="s">
        <v>93</v>
      </c>
      <c r="I37" s="288" t="s">
        <v>94</v>
      </c>
      <c r="J37" s="288" t="s">
        <v>95</v>
      </c>
      <c r="K37" s="288" t="s">
        <v>176</v>
      </c>
      <c r="L37" s="288" t="s">
        <v>177</v>
      </c>
      <c r="M37" s="288" t="s">
        <v>178</v>
      </c>
      <c r="N37" s="288" t="s">
        <v>179</v>
      </c>
      <c r="O37" s="288" t="s">
        <v>180</v>
      </c>
      <c r="P37" s="288" t="s">
        <v>181</v>
      </c>
      <c r="Q37" s="288" t="s">
        <v>182</v>
      </c>
      <c r="R37" s="288" t="s">
        <v>183</v>
      </c>
      <c r="S37" s="288" t="s">
        <v>184</v>
      </c>
      <c r="T37" s="288" t="s">
        <v>185</v>
      </c>
      <c r="U37" s="288" t="s">
        <v>186</v>
      </c>
      <c r="V37" s="288" t="s">
        <v>187</v>
      </c>
      <c r="W37" s="288" t="s">
        <v>188</v>
      </c>
      <c r="X37" s="288" t="s">
        <v>189</v>
      </c>
      <c r="Y37" s="288" t="s">
        <v>190</v>
      </c>
      <c r="Z37" s="288" t="s">
        <v>191</v>
      </c>
      <c r="AA37" s="288" t="s">
        <v>192</v>
      </c>
      <c r="AB37" s="288" t="s">
        <v>193</v>
      </c>
      <c r="AC37" s="288" t="s">
        <v>194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9" t="s">
        <v>195</v>
      </c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90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292" t="s">
        <v>196</v>
      </c>
      <c r="E40" s="293">
        <v>0</v>
      </c>
      <c r="F40" s="293">
        <v>0</v>
      </c>
      <c r="G40" s="293">
        <v>0</v>
      </c>
      <c r="H40" s="293">
        <v>0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1" spans="1:44" x14ac:dyDescent="0.3">
      <c r="A41" s="286"/>
      <c r="B41" s="286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</row>
    <row r="42" spans="1:44" x14ac:dyDescent="0.3">
      <c r="A42" s="286"/>
      <c r="B42" s="286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</row>
    <row r="43" spans="1:44" x14ac:dyDescent="0.3">
      <c r="A43" s="286"/>
      <c r="B43" s="286"/>
      <c r="C43" s="286"/>
      <c r="D43" s="286"/>
      <c r="E43" s="286"/>
      <c r="F43" s="297"/>
      <c r="G43" s="286"/>
      <c r="H43" s="286"/>
      <c r="I43" s="286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</row>
    <row r="44" spans="1:44" x14ac:dyDescent="0.3">
      <c r="A44" s="294"/>
      <c r="B44" s="284" t="str">
        <f>Assumptions!C17&amp;" - "&amp;Assumptions!E17</f>
        <v>Option 4 - Make site emergency spare ready in 2026-2027</v>
      </c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</row>
    <row r="45" spans="1:44" x14ac:dyDescent="0.3">
      <c r="A45" s="286"/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86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/>
      <c r="E47" s="288" t="s">
        <v>51</v>
      </c>
      <c r="F47" s="288" t="s">
        <v>91</v>
      </c>
      <c r="G47" s="288" t="s">
        <v>92</v>
      </c>
      <c r="H47" s="288" t="s">
        <v>93</v>
      </c>
      <c r="I47" s="288" t="s">
        <v>94</v>
      </c>
      <c r="J47" s="288" t="s">
        <v>95</v>
      </c>
      <c r="K47" s="288" t="s">
        <v>176</v>
      </c>
      <c r="L47" s="288" t="s">
        <v>177</v>
      </c>
      <c r="M47" s="288" t="s">
        <v>178</v>
      </c>
      <c r="N47" s="288" t="s">
        <v>179</v>
      </c>
      <c r="O47" s="288" t="s">
        <v>180</v>
      </c>
      <c r="P47" s="288" t="s">
        <v>181</v>
      </c>
      <c r="Q47" s="288" t="s">
        <v>182</v>
      </c>
      <c r="R47" s="288" t="s">
        <v>183</v>
      </c>
      <c r="S47" s="288" t="s">
        <v>184</v>
      </c>
      <c r="T47" s="288" t="s">
        <v>185</v>
      </c>
      <c r="U47" s="288" t="s">
        <v>186</v>
      </c>
      <c r="V47" s="288" t="s">
        <v>187</v>
      </c>
      <c r="W47" s="288" t="s">
        <v>188</v>
      </c>
      <c r="X47" s="288" t="s">
        <v>189</v>
      </c>
      <c r="Y47" s="288" t="s">
        <v>190</v>
      </c>
      <c r="Z47" s="288" t="s">
        <v>191</v>
      </c>
      <c r="AA47" s="288" t="s">
        <v>192</v>
      </c>
      <c r="AB47" s="288" t="s">
        <v>193</v>
      </c>
      <c r="AC47" s="288" t="s">
        <v>194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90" t="s">
        <v>197</v>
      </c>
      <c r="E48" s="291">
        <v>2000000</v>
      </c>
      <c r="F48" s="291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92" t="s">
        <v>198</v>
      </c>
      <c r="E49" s="295">
        <f>E48</f>
        <v>2000000</v>
      </c>
      <c r="F49" s="295">
        <f t="shared" ref="F49:AC49" si="4">F48</f>
        <v>0</v>
      </c>
      <c r="G49" s="295">
        <f t="shared" si="4"/>
        <v>0</v>
      </c>
      <c r="H49" s="295">
        <f t="shared" si="4"/>
        <v>0</v>
      </c>
      <c r="I49" s="295">
        <f t="shared" si="4"/>
        <v>0</v>
      </c>
      <c r="J49" s="295">
        <f t="shared" si="4"/>
        <v>0</v>
      </c>
      <c r="K49" s="295">
        <f t="shared" si="4"/>
        <v>0</v>
      </c>
      <c r="L49" s="295">
        <f t="shared" si="4"/>
        <v>0</v>
      </c>
      <c r="M49" s="295">
        <f t="shared" si="4"/>
        <v>0</v>
      </c>
      <c r="N49" s="295">
        <f t="shared" si="4"/>
        <v>0</v>
      </c>
      <c r="O49" s="295">
        <f t="shared" si="4"/>
        <v>0</v>
      </c>
      <c r="P49" s="295">
        <f t="shared" si="4"/>
        <v>0</v>
      </c>
      <c r="Q49" s="295">
        <f t="shared" si="4"/>
        <v>0</v>
      </c>
      <c r="R49" s="295">
        <f t="shared" si="4"/>
        <v>0</v>
      </c>
      <c r="S49" s="295">
        <f t="shared" si="4"/>
        <v>0</v>
      </c>
      <c r="T49" s="295">
        <f t="shared" si="4"/>
        <v>0</v>
      </c>
      <c r="U49" s="295">
        <f t="shared" si="4"/>
        <v>0</v>
      </c>
      <c r="V49" s="295">
        <f t="shared" si="4"/>
        <v>0</v>
      </c>
      <c r="W49" s="295">
        <f t="shared" si="4"/>
        <v>0</v>
      </c>
      <c r="X49" s="295">
        <f t="shared" si="4"/>
        <v>0</v>
      </c>
      <c r="Y49" s="295">
        <f t="shared" si="4"/>
        <v>0</v>
      </c>
      <c r="Z49" s="295">
        <f t="shared" si="4"/>
        <v>0</v>
      </c>
      <c r="AA49" s="295">
        <f t="shared" si="4"/>
        <v>0</v>
      </c>
      <c r="AB49" s="295">
        <f t="shared" si="4"/>
        <v>0</v>
      </c>
      <c r="AC49" s="295">
        <f t="shared" si="4"/>
        <v>0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/>
      <c r="E51" s="288" t="s">
        <v>51</v>
      </c>
      <c r="F51" s="288" t="s">
        <v>91</v>
      </c>
      <c r="G51" s="288" t="s">
        <v>92</v>
      </c>
      <c r="H51" s="288" t="s">
        <v>93</v>
      </c>
      <c r="I51" s="288" t="s">
        <v>94</v>
      </c>
      <c r="J51" s="288" t="s">
        <v>95</v>
      </c>
      <c r="K51" s="288" t="s">
        <v>176</v>
      </c>
      <c r="L51" s="288" t="s">
        <v>177</v>
      </c>
      <c r="M51" s="288" t="s">
        <v>178</v>
      </c>
      <c r="N51" s="288" t="s">
        <v>179</v>
      </c>
      <c r="O51" s="288" t="s">
        <v>180</v>
      </c>
      <c r="P51" s="288" t="s">
        <v>181</v>
      </c>
      <c r="Q51" s="288" t="s">
        <v>182</v>
      </c>
      <c r="R51" s="288" t="s">
        <v>183</v>
      </c>
      <c r="S51" s="288" t="s">
        <v>184</v>
      </c>
      <c r="T51" s="288" t="s">
        <v>185</v>
      </c>
      <c r="U51" s="288" t="s">
        <v>186</v>
      </c>
      <c r="V51" s="288" t="s">
        <v>187</v>
      </c>
      <c r="W51" s="288" t="s">
        <v>188</v>
      </c>
      <c r="X51" s="288" t="s">
        <v>189</v>
      </c>
      <c r="Y51" s="288" t="s">
        <v>190</v>
      </c>
      <c r="Z51" s="288" t="s">
        <v>191</v>
      </c>
      <c r="AA51" s="288" t="s">
        <v>192</v>
      </c>
      <c r="AB51" s="288" t="s">
        <v>193</v>
      </c>
      <c r="AC51" s="288" t="s">
        <v>194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289" t="s">
        <v>195</v>
      </c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  <row r="53" spans="1:44" x14ac:dyDescent="0.3">
      <c r="A53" s="286"/>
      <c r="B53" s="286"/>
      <c r="C53" s="286"/>
      <c r="D53" s="290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</row>
    <row r="54" spans="1:44" x14ac:dyDescent="0.3">
      <c r="A54" s="286"/>
      <c r="B54" s="286"/>
      <c r="C54" s="286"/>
      <c r="D54" s="292" t="s">
        <v>196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5710-E35D-4694-9BC6-D8FD8F8BE172}">
  <sheetPr codeName="Sheet10">
    <tabColor rgb="FFFFFF00"/>
  </sheetPr>
  <dimension ref="A1:AR53"/>
  <sheetViews>
    <sheetView showGridLines="0" topLeftCell="G1" workbookViewId="0">
      <selection activeCell="X11" sqref="E11:X15"/>
    </sheetView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23.84375" style="1" bestFit="1" customWidth="1"/>
    <col min="5" max="5" width="12.15234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CHA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199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175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6"/>
      <c r="E9" s="288" t="s">
        <v>51</v>
      </c>
      <c r="F9" s="288" t="s">
        <v>91</v>
      </c>
      <c r="G9" s="288" t="s">
        <v>92</v>
      </c>
      <c r="H9" s="288" t="s">
        <v>93</v>
      </c>
      <c r="I9" s="288" t="s">
        <v>94</v>
      </c>
      <c r="J9" s="288" t="s">
        <v>95</v>
      </c>
      <c r="K9" s="288" t="s">
        <v>176</v>
      </c>
      <c r="L9" s="288" t="s">
        <v>177</v>
      </c>
      <c r="M9" s="288" t="s">
        <v>178</v>
      </c>
      <c r="N9" s="288" t="s">
        <v>179</v>
      </c>
      <c r="O9" s="288" t="s">
        <v>180</v>
      </c>
      <c r="P9" s="288" t="s">
        <v>181</v>
      </c>
      <c r="Q9" s="288" t="s">
        <v>182</v>
      </c>
      <c r="R9" s="288" t="s">
        <v>183</v>
      </c>
      <c r="S9" s="288" t="s">
        <v>184</v>
      </c>
      <c r="T9" s="288" t="s">
        <v>185</v>
      </c>
      <c r="U9" s="288" t="s">
        <v>186</v>
      </c>
      <c r="V9" s="288" t="s">
        <v>187</v>
      </c>
      <c r="W9" s="288" t="s">
        <v>188</v>
      </c>
      <c r="X9" s="288" t="s">
        <v>189</v>
      </c>
      <c r="Y9" s="288" t="s">
        <v>190</v>
      </c>
      <c r="Z9" s="288" t="s">
        <v>191</v>
      </c>
      <c r="AA9" s="288" t="s">
        <v>192</v>
      </c>
      <c r="AB9" s="288" t="s">
        <v>193</v>
      </c>
      <c r="AC9" s="288" t="s">
        <v>194</v>
      </c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99" t="s">
        <v>200</v>
      </c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6" t="s">
        <v>201</v>
      </c>
      <c r="E11" s="300">
        <f>'Tx risks'!F16</f>
        <v>285320.88237505034</v>
      </c>
      <c r="F11" s="300">
        <f>'Tx risks'!G16</f>
        <v>295287.36990711221</v>
      </c>
      <c r="G11" s="300">
        <f>'Tx risks'!H16</f>
        <v>304173.7203946443</v>
      </c>
      <c r="H11" s="300">
        <f>'Tx risks'!I16</f>
        <v>311140.7003087753</v>
      </c>
      <c r="I11" s="300">
        <f>'Tx risks'!J16</f>
        <v>315210.02787676285</v>
      </c>
      <c r="J11" s="300">
        <f>'Tx risks'!K16</f>
        <v>320547.86498746503</v>
      </c>
      <c r="K11" s="300">
        <f>'Tx risks'!L16</f>
        <v>330889.42654053797</v>
      </c>
      <c r="L11" s="300">
        <f>'Tx risks'!M16</f>
        <v>342866.66141804599</v>
      </c>
      <c r="M11" s="300">
        <f>'Tx risks'!N16</f>
        <v>346896.1687025521</v>
      </c>
      <c r="N11" s="300">
        <f>'Tx risks'!O16</f>
        <v>355179.45820060186</v>
      </c>
      <c r="O11" s="300">
        <f>'Tx risks'!P16</f>
        <v>363545.0497928611</v>
      </c>
      <c r="P11" s="300">
        <f>'Tx risks'!Q16</f>
        <v>371992.68972877495</v>
      </c>
      <c r="Q11" s="300">
        <f>'Tx risks'!R16</f>
        <v>380522.13161977479</v>
      </c>
      <c r="R11" s="300">
        <f>'Tx risks'!S16</f>
        <v>389133.12936380506</v>
      </c>
      <c r="S11" s="300">
        <f>'Tx risks'!T16</f>
        <v>397825.44775530783</v>
      </c>
      <c r="T11" s="300">
        <f>'Tx risks'!U16</f>
        <v>406598.85541134502</v>
      </c>
      <c r="U11" s="300">
        <f>'Tx risks'!V16</f>
        <v>415453.13185232208</v>
      </c>
      <c r="V11" s="300">
        <f>'Tx risks'!W16</f>
        <v>424388.04979536857</v>
      </c>
      <c r="W11" s="300">
        <f>'Tx risks'!X16</f>
        <v>433403.3963996669</v>
      </c>
      <c r="X11" s="300">
        <f>'Tx risks'!Y16</f>
        <v>442498.95909989538</v>
      </c>
      <c r="Y11" s="300">
        <f>'Tx risks'!Z16</f>
        <v>451674.5362376523</v>
      </c>
      <c r="Z11" s="300">
        <f>'Tx risks'!AA16</f>
        <v>460929.92642823589</v>
      </c>
      <c r="AA11" s="300">
        <f>'Tx risks'!AB16</f>
        <v>470264.92855308962</v>
      </c>
      <c r="AB11" s="300">
        <f>'Tx risks'!AC16</f>
        <v>479679.35595213843</v>
      </c>
      <c r="AC11" s="300">
        <f>'Tx risks'!AD16</f>
        <v>489173.01513320534</v>
      </c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86" t="s">
        <v>202</v>
      </c>
      <c r="E12" s="300">
        <f>'Tx risks'!F17</f>
        <v>584.88390844473759</v>
      </c>
      <c r="F12" s="300">
        <f>'Tx risks'!G17</f>
        <v>600.50471135378461</v>
      </c>
      <c r="G12" s="300">
        <f>'Tx risks'!H17</f>
        <v>616.29465798613819</v>
      </c>
      <c r="H12" s="300">
        <f>'Tx risks'!I17</f>
        <v>632.25297447689923</v>
      </c>
      <c r="I12" s="300">
        <f>'Tx risks'!J17</f>
        <v>648.37888696116886</v>
      </c>
      <c r="J12" s="300">
        <f>'Tx risks'!K17</f>
        <v>664.67167220072349</v>
      </c>
      <c r="K12" s="300">
        <f>'Tx risks'!L17</f>
        <v>681.13058526019313</v>
      </c>
      <c r="L12" s="300">
        <f>'Tx risks'!M17</f>
        <v>697.75491736611889</v>
      </c>
      <c r="M12" s="300">
        <f>'Tx risks'!N17</f>
        <v>714.54397420980615</v>
      </c>
      <c r="N12" s="300">
        <f>'Tx risks'!O17</f>
        <v>731.49704701779626</v>
      </c>
      <c r="O12" s="300">
        <f>'Tx risks'!P17</f>
        <v>748.61347041092324</v>
      </c>
      <c r="P12" s="300">
        <f>'Tx risks'!Q17</f>
        <v>765.89257901002202</v>
      </c>
      <c r="Q12" s="300">
        <f>'Tx risks'!R17</f>
        <v>783.3337219006911</v>
      </c>
      <c r="R12" s="300">
        <f>'Tx risks'!S17</f>
        <v>800.93624816852969</v>
      </c>
      <c r="S12" s="300">
        <f>'Tx risks'!T17</f>
        <v>818.69952859628359</v>
      </c>
      <c r="T12" s="300">
        <f>'Tx risks'!U17</f>
        <v>836.6229411990804</v>
      </c>
      <c r="U12" s="300">
        <f>'Tx risks'!V17</f>
        <v>854.70588568919459</v>
      </c>
      <c r="V12" s="300">
        <f>'Tx risks'!W17</f>
        <v>872.94774731413656</v>
      </c>
      <c r="W12" s="300">
        <f>'Tx risks'!X17</f>
        <v>891.3479402509455</v>
      </c>
      <c r="X12" s="300">
        <f>'Tx risks'!Y17</f>
        <v>909.90587867666011</v>
      </c>
      <c r="Y12" s="300">
        <f>'Tx risks'!Z17</f>
        <v>928.62099846546607</v>
      </c>
      <c r="Z12" s="300">
        <f>'Tx risks'!AA17</f>
        <v>947.4927354915493</v>
      </c>
      <c r="AA12" s="300">
        <f>'Tx risks'!AB17</f>
        <v>947.4927354915493</v>
      </c>
      <c r="AB12" s="300">
        <f>'Tx risks'!AC17</f>
        <v>947.4927354915493</v>
      </c>
      <c r="AC12" s="300">
        <f>'Tx risks'!AD17</f>
        <v>947.4927354915493</v>
      </c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86" t="s">
        <v>203</v>
      </c>
      <c r="E13" s="300">
        <f>'Tx risks'!F18</f>
        <v>23694.818430286083</v>
      </c>
      <c r="F13" s="300">
        <f>'Tx risks'!G18</f>
        <v>24327.648438636581</v>
      </c>
      <c r="G13" s="300">
        <f>'Tx risks'!H18</f>
        <v>24967.330797948533</v>
      </c>
      <c r="H13" s="300">
        <f>'Tx risks'!I18</f>
        <v>25613.834157405119</v>
      </c>
      <c r="I13" s="300">
        <f>'Tx risks'!J18</f>
        <v>26267.127166189533</v>
      </c>
      <c r="J13" s="300">
        <f>'Tx risks'!K18</f>
        <v>26927.180524472977</v>
      </c>
      <c r="K13" s="300">
        <f>'Tx risks'!L18</f>
        <v>27593.964053431777</v>
      </c>
      <c r="L13" s="300">
        <f>'Tx risks'!M18</f>
        <v>28267.44903923371</v>
      </c>
      <c r="M13" s="300">
        <f>'Tx risks'!N18</f>
        <v>28947.607354043135</v>
      </c>
      <c r="N13" s="300">
        <f>'Tx risks'!O18</f>
        <v>29634.410284027828</v>
      </c>
      <c r="O13" s="300">
        <f>'Tx risks'!P18</f>
        <v>30327.830873345283</v>
      </c>
      <c r="P13" s="300">
        <f>'Tx risks'!Q18</f>
        <v>31027.842166153012</v>
      </c>
      <c r="Q13" s="300">
        <f>'Tx risks'!R18</f>
        <v>31734.417792605094</v>
      </c>
      <c r="R13" s="300">
        <f>'Tx risks'!S18</f>
        <v>32447.531382855599</v>
      </c>
      <c r="S13" s="300">
        <f>'Tx risks'!T18</f>
        <v>33167.15744605349</v>
      </c>
      <c r="T13" s="300">
        <f>'Tx risks'!U18</f>
        <v>33893.270784345987</v>
      </c>
      <c r="U13" s="300">
        <f>'Tx risks'!V18</f>
        <v>34625.847078875187</v>
      </c>
      <c r="V13" s="300">
        <f>'Tx risks'!W18</f>
        <v>35364.861424786606</v>
      </c>
      <c r="W13" s="300">
        <f>'Tx risks'!X18</f>
        <v>36110.290089218928</v>
      </c>
      <c r="X13" s="300">
        <f>'Tx risks'!Y18</f>
        <v>36862.109339310824</v>
      </c>
      <c r="Y13" s="300">
        <f>'Tx risks'!Z18</f>
        <v>37620.296321195812</v>
      </c>
      <c r="Z13" s="300">
        <f>'Tx risks'!AA18</f>
        <v>38384.82818100744</v>
      </c>
      <c r="AA13" s="300">
        <f>'Tx risks'!AB18</f>
        <v>38384.82818100744</v>
      </c>
      <c r="AB13" s="300">
        <f>'Tx risks'!AC18</f>
        <v>38384.82818100744</v>
      </c>
      <c r="AC13" s="300">
        <f>'Tx risks'!AD18</f>
        <v>38384.82818100744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 t="s">
        <v>204</v>
      </c>
      <c r="E14" s="300">
        <f>'Tx risks'!F19</f>
        <v>2122.0329984000005</v>
      </c>
      <c r="F14" s="300">
        <f>'Tx risks'!G19</f>
        <v>2178.7072524800001</v>
      </c>
      <c r="G14" s="300">
        <f>'Tx risks'!H19</f>
        <v>2235.9951814400001</v>
      </c>
      <c r="H14" s="300">
        <f>'Tx risks'!I19</f>
        <v>2293.8939775999997</v>
      </c>
      <c r="I14" s="300">
        <f>'Tx risks'!J19</f>
        <v>2352.4008332799999</v>
      </c>
      <c r="J14" s="300">
        <f>'Tx risks'!K19</f>
        <v>2411.51312448</v>
      </c>
      <c r="K14" s="300">
        <f>'Tx risks'!L19</f>
        <v>2471.2281484800001</v>
      </c>
      <c r="L14" s="300">
        <f>'Tx risks'!M19</f>
        <v>2531.5433337599998</v>
      </c>
      <c r="M14" s="300">
        <f>'Tx risks'!N19</f>
        <v>2592.4561612799998</v>
      </c>
      <c r="N14" s="300">
        <f>'Tx risks'!O19</f>
        <v>2653.9640595200003</v>
      </c>
      <c r="O14" s="300">
        <f>'Tx risks'!P19</f>
        <v>2716.0646144000002</v>
      </c>
      <c r="P14" s="300">
        <f>'Tx risks'!Q19</f>
        <v>2778.7554118400003</v>
      </c>
      <c r="Q14" s="300">
        <f>'Tx risks'!R19</f>
        <v>2842.0340902400003</v>
      </c>
      <c r="R14" s="300">
        <f>'Tx risks'!S19</f>
        <v>2905.8982879999999</v>
      </c>
      <c r="S14" s="300">
        <f>'Tx risks'!T19</f>
        <v>2970.3457222400002</v>
      </c>
      <c r="T14" s="300">
        <f>'Tx risks'!U19</f>
        <v>3035.3741363200002</v>
      </c>
      <c r="U14" s="300">
        <f>'Tx risks'!V19</f>
        <v>3100.98135232</v>
      </c>
      <c r="V14" s="300">
        <f>'Tx risks'!W19</f>
        <v>3167.1651398399999</v>
      </c>
      <c r="W14" s="300">
        <f>'Tx risks'!X19</f>
        <v>3233.92337344</v>
      </c>
      <c r="X14" s="300">
        <f>'Tx risks'!Y19</f>
        <v>3301.2539276800003</v>
      </c>
      <c r="Y14" s="300">
        <f>'Tx risks'!Z19</f>
        <v>3369.1547558400002</v>
      </c>
      <c r="Z14" s="300">
        <f>'Tx risks'!AA19</f>
        <v>3437.6238112000001</v>
      </c>
      <c r="AA14" s="300">
        <f>'Tx risks'!AB19</f>
        <v>3437.6238112000001</v>
      </c>
      <c r="AB14" s="300">
        <f>'Tx risks'!AC19</f>
        <v>3437.6238112000001</v>
      </c>
      <c r="AC14" s="300">
        <f>'Tx risks'!AD19</f>
        <v>3437.6238112000001</v>
      </c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 t="s">
        <v>205</v>
      </c>
      <c r="E15" s="300">
        <f>'Tx risks'!F20</f>
        <v>141000</v>
      </c>
      <c r="F15" s="300">
        <f>'Tx risks'!G20</f>
        <v>141000</v>
      </c>
      <c r="G15" s="300">
        <f>'Tx risks'!H20</f>
        <v>141000</v>
      </c>
      <c r="H15" s="300">
        <f>'Tx risks'!I20</f>
        <v>141000</v>
      </c>
      <c r="I15" s="300">
        <f>'Tx risks'!J20</f>
        <v>141000</v>
      </c>
      <c r="J15" s="300">
        <f>'Tx risks'!K20</f>
        <v>141000</v>
      </c>
      <c r="K15" s="300">
        <f>'Tx risks'!L20</f>
        <v>141000</v>
      </c>
      <c r="L15" s="300">
        <f>'Tx risks'!M20</f>
        <v>141000</v>
      </c>
      <c r="M15" s="300">
        <f>'Tx risks'!N20</f>
        <v>141000</v>
      </c>
      <c r="N15" s="300">
        <f>'Tx risks'!O20</f>
        <v>141000</v>
      </c>
      <c r="O15" s="300">
        <f>'Tx risks'!P20</f>
        <v>141000</v>
      </c>
      <c r="P15" s="300">
        <f>'Tx risks'!Q20</f>
        <v>141000</v>
      </c>
      <c r="Q15" s="300">
        <f>'Tx risks'!R20</f>
        <v>141000</v>
      </c>
      <c r="R15" s="300">
        <f>'Tx risks'!S20</f>
        <v>141000</v>
      </c>
      <c r="S15" s="300">
        <f>'Tx risks'!T20</f>
        <v>141000</v>
      </c>
      <c r="T15" s="300">
        <f>'Tx risks'!U20</f>
        <v>141000</v>
      </c>
      <c r="U15" s="300">
        <f>'Tx risks'!V20</f>
        <v>141000</v>
      </c>
      <c r="V15" s="300">
        <f>'Tx risks'!W20</f>
        <v>141000</v>
      </c>
      <c r="W15" s="300">
        <f>'Tx risks'!X20</f>
        <v>141000</v>
      </c>
      <c r="X15" s="300">
        <f>'Tx risks'!Y20</f>
        <v>141000</v>
      </c>
      <c r="Y15" s="300">
        <f>'Tx risks'!Z20</f>
        <v>141000</v>
      </c>
      <c r="Z15" s="300">
        <f>'Tx risks'!AA20</f>
        <v>141000</v>
      </c>
      <c r="AA15" s="300">
        <f>'Tx risks'!AB20</f>
        <v>141000</v>
      </c>
      <c r="AB15" s="300">
        <f>'Tx risks'!AC20</f>
        <v>141000</v>
      </c>
      <c r="AC15" s="300">
        <f>'Tx risks'!AD20</f>
        <v>141000</v>
      </c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86"/>
      <c r="B16" s="286"/>
      <c r="C16" s="286"/>
      <c r="D16" s="301" t="s">
        <v>206</v>
      </c>
      <c r="E16" s="295">
        <f>SUM(E11:E15)</f>
        <v>452722.61771218112</v>
      </c>
      <c r="F16" s="295">
        <f t="shared" ref="F16:AC16" si="0">SUM(F11:F15)</f>
        <v>463394.23030958255</v>
      </c>
      <c r="G16" s="295">
        <f t="shared" si="0"/>
        <v>472993.341032019</v>
      </c>
      <c r="H16" s="295">
        <f t="shared" si="0"/>
        <v>480680.6814182573</v>
      </c>
      <c r="I16" s="295">
        <f t="shared" si="0"/>
        <v>485477.93476319354</v>
      </c>
      <c r="J16" s="295">
        <f t="shared" si="0"/>
        <v>491551.23030861875</v>
      </c>
      <c r="K16" s="295">
        <f t="shared" si="0"/>
        <v>502635.7493277099</v>
      </c>
      <c r="L16" s="295">
        <f t="shared" si="0"/>
        <v>515363.40870840586</v>
      </c>
      <c r="M16" s="295">
        <f t="shared" si="0"/>
        <v>520150.776192085</v>
      </c>
      <c r="N16" s="295">
        <f t="shared" si="0"/>
        <v>529199.32959116739</v>
      </c>
      <c r="O16" s="295">
        <f t="shared" si="0"/>
        <v>538337.55875101732</v>
      </c>
      <c r="P16" s="295">
        <f t="shared" si="0"/>
        <v>547565.17988577799</v>
      </c>
      <c r="Q16" s="295">
        <f t="shared" si="0"/>
        <v>556881.91722452058</v>
      </c>
      <c r="R16" s="295">
        <f t="shared" si="0"/>
        <v>566287.49528282927</v>
      </c>
      <c r="S16" s="295">
        <f t="shared" si="0"/>
        <v>575781.65045219753</v>
      </c>
      <c r="T16" s="295">
        <f t="shared" si="0"/>
        <v>585364.12327321013</v>
      </c>
      <c r="U16" s="295">
        <f t="shared" si="0"/>
        <v>595034.66616920638</v>
      </c>
      <c r="V16" s="295">
        <f t="shared" si="0"/>
        <v>604793.02410730929</v>
      </c>
      <c r="W16" s="295">
        <f t="shared" si="0"/>
        <v>614638.95780257671</v>
      </c>
      <c r="X16" s="295">
        <f t="shared" si="0"/>
        <v>624572.22824556287</v>
      </c>
      <c r="Y16" s="295">
        <f t="shared" si="0"/>
        <v>634592.6083131535</v>
      </c>
      <c r="Z16" s="295">
        <f t="shared" si="0"/>
        <v>644699.87115593487</v>
      </c>
      <c r="AA16" s="295">
        <f t="shared" si="0"/>
        <v>654034.87328078866</v>
      </c>
      <c r="AB16" s="295">
        <f t="shared" si="0"/>
        <v>663449.30067983747</v>
      </c>
      <c r="AC16" s="295">
        <f t="shared" si="0"/>
        <v>672942.95986090438</v>
      </c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</row>
    <row r="17" spans="1:44" x14ac:dyDescent="0.3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ht="13.5" x14ac:dyDescent="0.3">
      <c r="A19" s="283"/>
      <c r="B19" s="284" t="str">
        <f>Workings_costs!B16</f>
        <v>Option 2 - Replace transformer #2 completed in 2027-2028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3"/>
    </row>
    <row r="20" spans="1:44" x14ac:dyDescent="0.3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86"/>
      <c r="E21" s="288" t="s">
        <v>51</v>
      </c>
      <c r="F21" s="288" t="s">
        <v>91</v>
      </c>
      <c r="G21" s="288" t="s">
        <v>92</v>
      </c>
      <c r="H21" s="288" t="s">
        <v>93</v>
      </c>
      <c r="I21" s="288" t="s">
        <v>94</v>
      </c>
      <c r="J21" s="288" t="s">
        <v>95</v>
      </c>
      <c r="K21" s="288" t="s">
        <v>176</v>
      </c>
      <c r="L21" s="288" t="s">
        <v>177</v>
      </c>
      <c r="M21" s="288" t="s">
        <v>178</v>
      </c>
      <c r="N21" s="288" t="s">
        <v>179</v>
      </c>
      <c r="O21" s="288" t="s">
        <v>180</v>
      </c>
      <c r="P21" s="288" t="s">
        <v>181</v>
      </c>
      <c r="Q21" s="288" t="s">
        <v>182</v>
      </c>
      <c r="R21" s="288" t="s">
        <v>183</v>
      </c>
      <c r="S21" s="288" t="s">
        <v>184</v>
      </c>
      <c r="T21" s="288" t="s">
        <v>185</v>
      </c>
      <c r="U21" s="288" t="s">
        <v>186</v>
      </c>
      <c r="V21" s="288" t="s">
        <v>187</v>
      </c>
      <c r="W21" s="288" t="s">
        <v>188</v>
      </c>
      <c r="X21" s="288" t="s">
        <v>189</v>
      </c>
      <c r="Y21" s="288" t="s">
        <v>190</v>
      </c>
      <c r="Z21" s="288" t="s">
        <v>191</v>
      </c>
      <c r="AA21" s="288" t="s">
        <v>192</v>
      </c>
      <c r="AB21" s="288" t="s">
        <v>193</v>
      </c>
      <c r="AC21" s="288" t="s">
        <v>194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99" t="s">
        <v>200</v>
      </c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 t="s">
        <v>201</v>
      </c>
      <c r="E23" s="300">
        <f>E11</f>
        <v>285320.88237505034</v>
      </c>
      <c r="F23" s="300">
        <f>F11</f>
        <v>295287.36990711221</v>
      </c>
      <c r="G23" s="300">
        <f>'Tx risks'!H38</f>
        <v>8594.4254921832544</v>
      </c>
      <c r="H23" s="300">
        <f>'Tx risks'!I38</f>
        <v>15644.76116492097</v>
      </c>
      <c r="I23" s="300">
        <f>'Tx risks'!J38</f>
        <v>22090.83339452885</v>
      </c>
      <c r="J23" s="300">
        <f>'Tx risks'!K38</f>
        <v>28333.643254693496</v>
      </c>
      <c r="K23" s="300">
        <f>'Tx risks'!L38</f>
        <v>34925.48728605808</v>
      </c>
      <c r="L23" s="300">
        <f>'Tx risks'!M38</f>
        <v>41748.404739524543</v>
      </c>
      <c r="M23" s="300">
        <f>'Tx risks'!N38</f>
        <v>47581.918547826048</v>
      </c>
      <c r="N23" s="300">
        <f>'Tx risks'!O38</f>
        <v>53935.834089683405</v>
      </c>
      <c r="O23" s="300">
        <f>'Tx risks'!P38</f>
        <v>60315.675736609679</v>
      </c>
      <c r="P23" s="300">
        <f>'Tx risks'!Q38</f>
        <v>66731.384179967223</v>
      </c>
      <c r="Q23" s="300">
        <f>'Tx risks'!R38</f>
        <v>73190.486309715881</v>
      </c>
      <c r="R23" s="300">
        <f>'Tx risks'!S38</f>
        <v>79698.853667541582</v>
      </c>
      <c r="S23" s="300">
        <f>'Tx risks'!T38</f>
        <v>86261.140351670023</v>
      </c>
      <c r="T23" s="300">
        <f>'Tx risks'!U38</f>
        <v>92881.081490684752</v>
      </c>
      <c r="U23" s="300">
        <f>'Tx risks'!V38</f>
        <v>99561.718578844098</v>
      </c>
      <c r="V23" s="300">
        <f>'Tx risks'!W38</f>
        <v>106305.55793649037</v>
      </c>
      <c r="W23" s="300">
        <f>'Tx risks'!X38</f>
        <v>113114.68482679724</v>
      </c>
      <c r="X23" s="300">
        <f>'Tx risks'!Y38</f>
        <v>119990.82509070248</v>
      </c>
      <c r="Y23" s="300">
        <f>'Tx risks'!Z38</f>
        <v>126935.44602088649</v>
      </c>
      <c r="Z23" s="300">
        <f>'Tx risks'!AA38</f>
        <v>133949.78319873824</v>
      </c>
      <c r="AA23" s="300">
        <f>'Tx risks'!AB38</f>
        <v>141034.87383365346</v>
      </c>
      <c r="AB23" s="300">
        <f>'Tx risks'!AC38</f>
        <v>148191.61463105766</v>
      </c>
      <c r="AC23" s="300">
        <f>'Tx risks'!AD38</f>
        <v>155420.75678568424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6" t="s">
        <v>202</v>
      </c>
      <c r="E24" s="300">
        <f t="shared" ref="E24:F27" si="1">E12</f>
        <v>584.88390844473759</v>
      </c>
      <c r="F24" s="300">
        <f t="shared" si="1"/>
        <v>600.50471135378461</v>
      </c>
      <c r="G24" s="300">
        <f>'Tx risks'!H39</f>
        <v>308.39594936474509</v>
      </c>
      <c r="H24" s="300">
        <f>'Tx risks'!I39</f>
        <v>316.93425031301842</v>
      </c>
      <c r="I24" s="300">
        <f>'Tx risks'!J39</f>
        <v>325.79875339719177</v>
      </c>
      <c r="J24" s="300">
        <f>'Tx risks'!K39</f>
        <v>334.96026872256891</v>
      </c>
      <c r="K24" s="300">
        <f>'Tx risks'!L39</f>
        <v>344.40044411923094</v>
      </c>
      <c r="L24" s="300">
        <f>'Tx risks'!M39</f>
        <v>354.10612388389421</v>
      </c>
      <c r="M24" s="300">
        <f>'Tx risks'!N39</f>
        <v>364.06715736809332</v>
      </c>
      <c r="N24" s="300">
        <f>'Tx risks'!O39</f>
        <v>374.2753358179927</v>
      </c>
      <c r="O24" s="300">
        <f>'Tx risks'!P39</f>
        <v>384.72381378380783</v>
      </c>
      <c r="P24" s="300">
        <f>'Tx risks'!Q39</f>
        <v>395.40674026831147</v>
      </c>
      <c r="Q24" s="300">
        <f>'Tx risks'!R39</f>
        <v>406.31900920964631</v>
      </c>
      <c r="R24" s="300">
        <f>'Tx risks'!S39</f>
        <v>417.45610760129836</v>
      </c>
      <c r="S24" s="300">
        <f>'Tx risks'!T39</f>
        <v>428.81400339017216</v>
      </c>
      <c r="T24" s="300">
        <f>'Tx risks'!U39</f>
        <v>440.38904783943082</v>
      </c>
      <c r="U24" s="300">
        <f>'Tx risks'!V39</f>
        <v>452.17792128562871</v>
      </c>
      <c r="V24" s="300">
        <f>'Tx risks'!W39</f>
        <v>464.17756804727208</v>
      </c>
      <c r="W24" s="300">
        <f>'Tx risks'!X39</f>
        <v>476.38517834386312</v>
      </c>
      <c r="X24" s="300">
        <f>'Tx risks'!Y39</f>
        <v>488.79813043684169</v>
      </c>
      <c r="Y24" s="300">
        <f>'Tx risks'!Z39</f>
        <v>501.41399424577747</v>
      </c>
      <c r="Z24" s="300">
        <f>'Tx risks'!AA39</f>
        <v>514.23048795407556</v>
      </c>
      <c r="AA24" s="300">
        <f>'Tx risks'!AB39</f>
        <v>514.23048795407556</v>
      </c>
      <c r="AB24" s="300">
        <f>'Tx risks'!AC39</f>
        <v>514.23048795407556</v>
      </c>
      <c r="AC24" s="300">
        <f>'Tx risks'!AD39</f>
        <v>514.23048795407556</v>
      </c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86" t="s">
        <v>203</v>
      </c>
      <c r="E25" s="300">
        <f t="shared" si="1"/>
        <v>23694.818430286083</v>
      </c>
      <c r="F25" s="300">
        <f t="shared" si="1"/>
        <v>24327.648438636581</v>
      </c>
      <c r="G25" s="300">
        <f>'Tx risks'!H40</f>
        <v>12493.737508122553</v>
      </c>
      <c r="H25" s="300">
        <f>'Tx risks'!I40</f>
        <v>12839.641178494416</v>
      </c>
      <c r="I25" s="300">
        <f>'Tx risks'!J40</f>
        <v>13198.759950649943</v>
      </c>
      <c r="J25" s="300">
        <f>'Tx risks'!K40</f>
        <v>13569.911283498768</v>
      </c>
      <c r="K25" s="300">
        <f>'Tx risks'!L40</f>
        <v>13952.351693885088</v>
      </c>
      <c r="L25" s="300">
        <f>'Tx risks'!M40</f>
        <v>14345.548217923033</v>
      </c>
      <c r="M25" s="300">
        <f>'Tx risks'!N40</f>
        <v>14749.089632515392</v>
      </c>
      <c r="N25" s="300">
        <f>'Tx risks'!O40</f>
        <v>15162.64338460529</v>
      </c>
      <c r="O25" s="300">
        <f>'Tx risks'!P40</f>
        <v>15585.932151313131</v>
      </c>
      <c r="P25" s="300">
        <f>'Tx risks'!Q40</f>
        <v>16018.718897023924</v>
      </c>
      <c r="Q25" s="300">
        <f>'Tx risks'!R40</f>
        <v>16460.796764946339</v>
      </c>
      <c r="R25" s="300">
        <f>'Tx risks'!S40</f>
        <v>16911.982924148666</v>
      </c>
      <c r="S25" s="300">
        <f>'Tx risks'!T40</f>
        <v>17372.114028085347</v>
      </c>
      <c r="T25" s="300">
        <f>'Tx risks'!U40</f>
        <v>17841.04225912008</v>
      </c>
      <c r="U25" s="300">
        <f>'Tx risks'!V40</f>
        <v>18318.633131038681</v>
      </c>
      <c r="V25" s="300">
        <f>'Tx risks'!W40</f>
        <v>18804.762852064465</v>
      </c>
      <c r="W25" s="300">
        <f>'Tx risks'!X40</f>
        <v>19299.317592362546</v>
      </c>
      <c r="X25" s="300">
        <f>'Tx risks'!Y40</f>
        <v>19802.191140053521</v>
      </c>
      <c r="Y25" s="300">
        <f>'Tx risks'!Z40</f>
        <v>20313.285047712623</v>
      </c>
      <c r="Z25" s="300">
        <f>'Tx risks'!AA40</f>
        <v>20832.506874379993</v>
      </c>
      <c r="AA25" s="300">
        <f>'Tx risks'!AB40</f>
        <v>20832.506874379993</v>
      </c>
      <c r="AB25" s="300">
        <f>'Tx risks'!AC40</f>
        <v>20832.506874379993</v>
      </c>
      <c r="AC25" s="300">
        <f>'Tx risks'!AD40</f>
        <v>20832.506874379993</v>
      </c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86" t="s">
        <v>204</v>
      </c>
      <c r="E26" s="300">
        <f t="shared" si="1"/>
        <v>2122.0329984000005</v>
      </c>
      <c r="F26" s="300">
        <f t="shared" si="1"/>
        <v>2178.7072524800001</v>
      </c>
      <c r="G26" s="300">
        <f>'Tx risks'!H41</f>
        <v>1118.89961696</v>
      </c>
      <c r="H26" s="300">
        <f>'Tx risks'!I41</f>
        <v>1149.8776556799999</v>
      </c>
      <c r="I26" s="300">
        <f>'Tx risks'!J41</f>
        <v>1182.0391971199999</v>
      </c>
      <c r="J26" s="300">
        <f>'Tx risks'!K41</f>
        <v>1215.2783366399999</v>
      </c>
      <c r="K26" s="300">
        <f>'Tx risks'!L41</f>
        <v>1249.5284902400001</v>
      </c>
      <c r="L26" s="300">
        <f>'Tx risks'!M41</f>
        <v>1284.7419273600001</v>
      </c>
      <c r="M26" s="300">
        <f>'Tx risks'!N41</f>
        <v>1320.88182016</v>
      </c>
      <c r="N26" s="300">
        <f>'Tx risks'!O41</f>
        <v>1357.91838624</v>
      </c>
      <c r="O26" s="300">
        <f>'Tx risks'!P41</f>
        <v>1395.8267894400001</v>
      </c>
      <c r="P26" s="300">
        <f>'Tx risks'!Q41</f>
        <v>1434.5858016000002</v>
      </c>
      <c r="Q26" s="300">
        <f>'Tx risks'!R41</f>
        <v>1474.17689728</v>
      </c>
      <c r="R26" s="300">
        <f>'Tx risks'!S41</f>
        <v>1514.58370272</v>
      </c>
      <c r="S26" s="300">
        <f>'Tx risks'!T41</f>
        <v>1555.7915891200003</v>
      </c>
      <c r="T26" s="300">
        <f>'Tx risks'!U41</f>
        <v>1597.7873184000002</v>
      </c>
      <c r="U26" s="300">
        <f>'Tx risks'!V41</f>
        <v>1640.5588464</v>
      </c>
      <c r="V26" s="300">
        <f>'Tx risks'!W41</f>
        <v>1684.0950867199999</v>
      </c>
      <c r="W26" s="300">
        <f>'Tx risks'!X41</f>
        <v>1728.3858451200001</v>
      </c>
      <c r="X26" s="300">
        <f>'Tx risks'!Y41</f>
        <v>1773.4216096</v>
      </c>
      <c r="Y26" s="300">
        <f>'Tx risks'!Z41</f>
        <v>1819.19356352</v>
      </c>
      <c r="Z26" s="300">
        <f>'Tx risks'!AA41</f>
        <v>1865.6934281599999</v>
      </c>
      <c r="AA26" s="300">
        <f>'Tx risks'!AB41</f>
        <v>1865.6934281599999</v>
      </c>
      <c r="AB26" s="300">
        <f>'Tx risks'!AC41</f>
        <v>1865.6934281599999</v>
      </c>
      <c r="AC26" s="300">
        <f>'Tx risks'!AD41</f>
        <v>1865.6934281599999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 t="s">
        <v>205</v>
      </c>
      <c r="E27" s="300">
        <f t="shared" si="1"/>
        <v>141000</v>
      </c>
      <c r="F27" s="300">
        <f t="shared" si="1"/>
        <v>141000</v>
      </c>
      <c r="G27" s="300">
        <f>'Tx risks'!H42</f>
        <v>35250</v>
      </c>
      <c r="H27" s="300">
        <f>'Tx risks'!I42</f>
        <v>35250</v>
      </c>
      <c r="I27" s="300">
        <f>'Tx risks'!J42</f>
        <v>35250</v>
      </c>
      <c r="J27" s="300">
        <f>'Tx risks'!K42</f>
        <v>35250</v>
      </c>
      <c r="K27" s="300">
        <f>'Tx risks'!L42</f>
        <v>35250</v>
      </c>
      <c r="L27" s="300">
        <f>'Tx risks'!M42</f>
        <v>35250</v>
      </c>
      <c r="M27" s="300">
        <f>'Tx risks'!N42</f>
        <v>35250</v>
      </c>
      <c r="N27" s="300">
        <f>'Tx risks'!O42</f>
        <v>35250</v>
      </c>
      <c r="O27" s="300">
        <f>'Tx risks'!P42</f>
        <v>35250</v>
      </c>
      <c r="P27" s="300">
        <f>'Tx risks'!Q42</f>
        <v>35250</v>
      </c>
      <c r="Q27" s="300">
        <f>'Tx risks'!R42</f>
        <v>35250</v>
      </c>
      <c r="R27" s="300">
        <f>'Tx risks'!S42</f>
        <v>35250</v>
      </c>
      <c r="S27" s="300">
        <f>'Tx risks'!T42</f>
        <v>35250</v>
      </c>
      <c r="T27" s="300">
        <f>'Tx risks'!U42</f>
        <v>35250</v>
      </c>
      <c r="U27" s="300">
        <f>'Tx risks'!V42</f>
        <v>35250</v>
      </c>
      <c r="V27" s="300">
        <f>'Tx risks'!W42</f>
        <v>35250</v>
      </c>
      <c r="W27" s="300">
        <f>'Tx risks'!X42</f>
        <v>35250</v>
      </c>
      <c r="X27" s="300">
        <f>'Tx risks'!Y42</f>
        <v>35250</v>
      </c>
      <c r="Y27" s="300">
        <f>'Tx risks'!Z42</f>
        <v>35250</v>
      </c>
      <c r="Z27" s="300">
        <f>'Tx risks'!AA42</f>
        <v>35250</v>
      </c>
      <c r="AA27" s="300">
        <f>'Tx risks'!AB42</f>
        <v>35250</v>
      </c>
      <c r="AB27" s="300">
        <f>'Tx risks'!AC42</f>
        <v>35250</v>
      </c>
      <c r="AC27" s="300">
        <f>'Tx risks'!AD42</f>
        <v>35250</v>
      </c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301" t="s">
        <v>206</v>
      </c>
      <c r="E28" s="295">
        <f>SUM(E23:E27)</f>
        <v>452722.61771218112</v>
      </c>
      <c r="F28" s="295">
        <f t="shared" ref="F28:AC28" si="2">SUM(F23:F27)</f>
        <v>463394.23030958255</v>
      </c>
      <c r="G28" s="295">
        <f t="shared" si="2"/>
        <v>57765.45856663055</v>
      </c>
      <c r="H28" s="295">
        <f t="shared" si="2"/>
        <v>65201.214249408404</v>
      </c>
      <c r="I28" s="295">
        <f t="shared" si="2"/>
        <v>72047.431295695977</v>
      </c>
      <c r="J28" s="295">
        <f t="shared" si="2"/>
        <v>78703.793143554838</v>
      </c>
      <c r="K28" s="295">
        <f t="shared" si="2"/>
        <v>85721.7679143024</v>
      </c>
      <c r="L28" s="295">
        <f t="shared" si="2"/>
        <v>92982.801008691473</v>
      </c>
      <c r="M28" s="295">
        <f t="shared" si="2"/>
        <v>99265.957157869532</v>
      </c>
      <c r="N28" s="295">
        <f t="shared" si="2"/>
        <v>106080.67119634668</v>
      </c>
      <c r="O28" s="295">
        <f t="shared" si="2"/>
        <v>112932.15849114662</v>
      </c>
      <c r="P28" s="295">
        <f t="shared" si="2"/>
        <v>119830.09561885946</v>
      </c>
      <c r="Q28" s="295">
        <f t="shared" si="2"/>
        <v>126781.77898115187</v>
      </c>
      <c r="R28" s="295">
        <f t="shared" si="2"/>
        <v>133792.87640201155</v>
      </c>
      <c r="S28" s="295">
        <f t="shared" si="2"/>
        <v>140867.85997226555</v>
      </c>
      <c r="T28" s="295">
        <f t="shared" si="2"/>
        <v>148010.30011604427</v>
      </c>
      <c r="U28" s="295">
        <f t="shared" si="2"/>
        <v>155223.08847756841</v>
      </c>
      <c r="V28" s="295">
        <f t="shared" si="2"/>
        <v>162508.59344332211</v>
      </c>
      <c r="W28" s="295">
        <f t="shared" si="2"/>
        <v>169868.77344262364</v>
      </c>
      <c r="X28" s="295">
        <f t="shared" si="2"/>
        <v>177305.23597079283</v>
      </c>
      <c r="Y28" s="295">
        <f t="shared" si="2"/>
        <v>184819.33862636492</v>
      </c>
      <c r="Z28" s="295">
        <f t="shared" si="2"/>
        <v>192412.21398923232</v>
      </c>
      <c r="AA28" s="295">
        <f t="shared" si="2"/>
        <v>199497.30462414754</v>
      </c>
      <c r="AB28" s="295">
        <f t="shared" si="2"/>
        <v>206654.04542155174</v>
      </c>
      <c r="AC28" s="295">
        <f t="shared" si="2"/>
        <v>213883.18757617832</v>
      </c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31" spans="1:44" ht="13.5" x14ac:dyDescent="0.3">
      <c r="A31" s="283"/>
      <c r="B31" s="284" t="str">
        <f>Workings_costs!B30</f>
        <v>Option 3 - Refurb transformer #2 completed in 2026-2027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3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51</v>
      </c>
      <c r="F33" s="288" t="s">
        <v>91</v>
      </c>
      <c r="G33" s="288" t="s">
        <v>92</v>
      </c>
      <c r="H33" s="288" t="s">
        <v>93</v>
      </c>
      <c r="I33" s="288" t="s">
        <v>94</v>
      </c>
      <c r="J33" s="288" t="s">
        <v>95</v>
      </c>
      <c r="K33" s="288" t="s">
        <v>176</v>
      </c>
      <c r="L33" s="288" t="s">
        <v>177</v>
      </c>
      <c r="M33" s="288" t="s">
        <v>178</v>
      </c>
      <c r="N33" s="288" t="s">
        <v>179</v>
      </c>
      <c r="O33" s="288" t="s">
        <v>180</v>
      </c>
      <c r="P33" s="288" t="s">
        <v>181</v>
      </c>
      <c r="Q33" s="288" t="s">
        <v>182</v>
      </c>
      <c r="R33" s="288" t="s">
        <v>183</v>
      </c>
      <c r="S33" s="288" t="s">
        <v>184</v>
      </c>
      <c r="T33" s="288" t="s">
        <v>185</v>
      </c>
      <c r="U33" s="288" t="s">
        <v>186</v>
      </c>
      <c r="V33" s="288" t="s">
        <v>187</v>
      </c>
      <c r="W33" s="288" t="s">
        <v>188</v>
      </c>
      <c r="X33" s="288" t="s">
        <v>189</v>
      </c>
      <c r="Y33" s="288" t="s">
        <v>190</v>
      </c>
      <c r="Z33" s="288" t="s">
        <v>191</v>
      </c>
      <c r="AA33" s="288" t="s">
        <v>192</v>
      </c>
      <c r="AB33" s="288" t="s">
        <v>193</v>
      </c>
      <c r="AC33" s="288" t="s">
        <v>194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9" t="s">
        <v>200</v>
      </c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86" t="s">
        <v>201</v>
      </c>
      <c r="E35" s="300">
        <f>E11</f>
        <v>285320.88237505034</v>
      </c>
      <c r="F35" s="300">
        <f>'Tx risks'!G60</f>
        <v>289351.04363172705</v>
      </c>
      <c r="G35" s="300">
        <f>'Tx risks'!H60</f>
        <v>298057.92140397278</v>
      </c>
      <c r="H35" s="300">
        <f>'Tx risks'!I60</f>
        <v>304883.9683711339</v>
      </c>
      <c r="I35" s="300">
        <f>'Tx risks'!J60</f>
        <v>308870.59749541851</v>
      </c>
      <c r="J35" s="300">
        <f>'Tx risks'!K60</f>
        <v>314100.17703790509</v>
      </c>
      <c r="K35" s="300">
        <f>'Tx risks'!L60</f>
        <v>324232.79537231335</v>
      </c>
      <c r="L35" s="300">
        <f>'Tx risks'!M60</f>
        <v>335968.10681912466</v>
      </c>
      <c r="M35" s="300">
        <f>'Tx risks'!N60</f>
        <v>339915.53336810472</v>
      </c>
      <c r="N35" s="300">
        <f>'Tx risks'!O60</f>
        <v>348031.1078672937</v>
      </c>
      <c r="O35" s="300">
        <f>'Tx risks'!P60</f>
        <v>356227.26888973918</v>
      </c>
      <c r="P35" s="300">
        <f>'Tx risks'!Q60</f>
        <v>364503.76842082356</v>
      </c>
      <c r="Q35" s="300">
        <f>'Tx risks'!R60</f>
        <v>372860.35872394982</v>
      </c>
      <c r="R35" s="300">
        <f>'Tx risks'!S60</f>
        <v>381296.80223693937</v>
      </c>
      <c r="S35" s="300">
        <f>'Tx risks'!T60</f>
        <v>389812.87157831149</v>
      </c>
      <c r="T35" s="300">
        <f>'Tx risks'!U60</f>
        <v>398408.32973151957</v>
      </c>
      <c r="U35" s="300">
        <f>'Tx risks'!V60</f>
        <v>407082.95976440102</v>
      </c>
      <c r="V35" s="300">
        <f>'Tx risks'!W60</f>
        <v>415836.54005819414</v>
      </c>
      <c r="W35" s="300">
        <f>'Tx risks'!X60</f>
        <v>424668.86413295206</v>
      </c>
      <c r="X35" s="300">
        <f>'Tx risks'!Y60</f>
        <v>433579.72577770706</v>
      </c>
      <c r="Y35" s="300">
        <f>'Tx risks'!Z60</f>
        <v>442568.9140795602</v>
      </c>
      <c r="Z35" s="300">
        <f>'Tx risks'!AA60</f>
        <v>451636.2283032579</v>
      </c>
      <c r="AA35" s="300">
        <f>'Tx risks'!AB60</f>
        <v>460781.48783298203</v>
      </c>
      <c r="AB35" s="300">
        <f>'Tx risks'!AC60</f>
        <v>470004.49245157401</v>
      </c>
      <c r="AC35" s="300">
        <f>'Tx risks'!AD60</f>
        <v>479305.057090252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 t="s">
        <v>202</v>
      </c>
      <c r="E36" s="300">
        <f t="shared" ref="E36" si="3">E12</f>
        <v>584.88390844473759</v>
      </c>
      <c r="F36" s="300">
        <f>'Tx risks'!G61</f>
        <v>420.35330228707852</v>
      </c>
      <c r="G36" s="300">
        <f>'Tx risks'!H61</f>
        <v>431.40626276001137</v>
      </c>
      <c r="H36" s="300">
        <f>'Tx risks'!I61</f>
        <v>442.57708213382955</v>
      </c>
      <c r="I36" s="300">
        <f>'Tx risks'!J61</f>
        <v>453.86522521224754</v>
      </c>
      <c r="J36" s="300">
        <f>'Tx risks'!K61</f>
        <v>465.27017126374471</v>
      </c>
      <c r="K36" s="300">
        <f>'Tx risks'!L61</f>
        <v>476.79141402156455</v>
      </c>
      <c r="L36" s="300">
        <f>'Tx risks'!M61</f>
        <v>488.42844721895079</v>
      </c>
      <c r="M36" s="300">
        <f>'Tx risks'!N61</f>
        <v>500.18077905391141</v>
      </c>
      <c r="N36" s="300">
        <f>'Tx risks'!O61</f>
        <v>512.04793218921907</v>
      </c>
      <c r="O36" s="300">
        <f>'Tx risks'!P61</f>
        <v>524.02942928764628</v>
      </c>
      <c r="P36" s="300">
        <f>'Tx risks'!Q61</f>
        <v>536.12480747672998</v>
      </c>
      <c r="Q36" s="300">
        <f>'Tx risks'!R61</f>
        <v>548.33360388400729</v>
      </c>
      <c r="R36" s="300">
        <f>'Tx risks'!S61</f>
        <v>560.65537010177968</v>
      </c>
      <c r="S36" s="300">
        <f>'Tx risks'!T61</f>
        <v>573.08967218711314</v>
      </c>
      <c r="T36" s="300">
        <f>'Tx risks'!U61</f>
        <v>585.63606173230914</v>
      </c>
      <c r="U36" s="300">
        <f>'Tx risks'!V61</f>
        <v>598.29411925919806</v>
      </c>
      <c r="V36" s="300">
        <f>'Tx risks'!W61</f>
        <v>611.06341805722809</v>
      </c>
      <c r="W36" s="300">
        <f>'Tx risks'!X61</f>
        <v>623.94355311299432</v>
      </c>
      <c r="X36" s="300">
        <f>'Tx risks'!Y61</f>
        <v>636.93411941309137</v>
      </c>
      <c r="Y36" s="300">
        <f>'Tx risks'!Z61</f>
        <v>650.03470471173193</v>
      </c>
      <c r="Z36" s="300">
        <f>'Tx risks'!AA61</f>
        <v>663.24491122789345</v>
      </c>
      <c r="AA36" s="300">
        <f>'Tx risks'!AB61</f>
        <v>663.24491122789345</v>
      </c>
      <c r="AB36" s="300">
        <f>'Tx risks'!AC61</f>
        <v>663.24491122789345</v>
      </c>
      <c r="AC36" s="300">
        <f>'Tx risks'!AD61</f>
        <v>663.24491122789345</v>
      </c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 t="s">
        <v>203</v>
      </c>
      <c r="E37" s="300">
        <f t="shared" ref="E37" si="4">E13</f>
        <v>23694.818430286083</v>
      </c>
      <c r="F37" s="300">
        <f>'Tx risks'!G62</f>
        <v>23841.095715982407</v>
      </c>
      <c r="G37" s="300">
        <f>'Tx risks'!H62</f>
        <v>24467.984305048842</v>
      </c>
      <c r="H37" s="300">
        <f>'Tx risks'!I62</f>
        <v>25101.557474257021</v>
      </c>
      <c r="I37" s="300">
        <f>'Tx risks'!J62</f>
        <v>25741.784868984312</v>
      </c>
      <c r="J37" s="300">
        <f>'Tx risks'!K62</f>
        <v>26388.636955003283</v>
      </c>
      <c r="K37" s="300">
        <f>'Tx risks'!L62</f>
        <v>27042.085018481706</v>
      </c>
      <c r="L37" s="300">
        <f>'Tx risks'!M62</f>
        <v>27702.100345587365</v>
      </c>
      <c r="M37" s="300">
        <f>'Tx risks'!N62</f>
        <v>28368.655042883234</v>
      </c>
      <c r="N37" s="300">
        <f>'Tx risks'!O62</f>
        <v>29041.722037327509</v>
      </c>
      <c r="O37" s="300">
        <f>'Tx risks'!P62</f>
        <v>29721.274255878379</v>
      </c>
      <c r="P37" s="300">
        <f>'Tx risks'!Q62</f>
        <v>30407.285445889233</v>
      </c>
      <c r="Q37" s="300">
        <f>'Tx risks'!R62</f>
        <v>31099.729354713465</v>
      </c>
      <c r="R37" s="300">
        <f>'Tx risks'!S62</f>
        <v>31798.58055009969</v>
      </c>
      <c r="S37" s="300">
        <f>'Tx risks'!T62</f>
        <v>32503.814420191702</v>
      </c>
      <c r="T37" s="300">
        <f>'Tx risks'!U62</f>
        <v>33215.405532738114</v>
      </c>
      <c r="U37" s="300">
        <f>'Tx risks'!V62</f>
        <v>33933.330096277925</v>
      </c>
      <c r="V37" s="300">
        <f>'Tx risks'!W62</f>
        <v>34657.563909152552</v>
      </c>
      <c r="W37" s="300">
        <f>'Tx risks'!X62</f>
        <v>35388.084000296229</v>
      </c>
      <c r="X37" s="300">
        <f>'Tx risks'!Y62</f>
        <v>36124.867398643168</v>
      </c>
      <c r="Y37" s="300">
        <f>'Tx risks'!Z62</f>
        <v>36867.89072292998</v>
      </c>
      <c r="Z37" s="300">
        <f>'Tx risks'!AA62</f>
        <v>37617.131412288494</v>
      </c>
      <c r="AA37" s="300">
        <f>'Tx risks'!AB62</f>
        <v>37617.131412288494</v>
      </c>
      <c r="AB37" s="300">
        <f>'Tx risks'!AC62</f>
        <v>37617.131412288494</v>
      </c>
      <c r="AC37" s="300">
        <f>'Tx risks'!AD62</f>
        <v>37617.131412288494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6" t="s">
        <v>204</v>
      </c>
      <c r="E38" s="300">
        <f t="shared" ref="E38" si="5">E14</f>
        <v>2122.0329984000005</v>
      </c>
      <c r="F38" s="300">
        <f>'Tx risks'!G63</f>
        <v>1372.5855832319999</v>
      </c>
      <c r="G38" s="300">
        <f>'Tx risks'!H63</f>
        <v>1408.6769713919998</v>
      </c>
      <c r="H38" s="300">
        <f>'Tx risks'!I63</f>
        <v>1445.153205888</v>
      </c>
      <c r="I38" s="300">
        <f>'Tx risks'!J63</f>
        <v>1482.012539136</v>
      </c>
      <c r="J38" s="300">
        <f>'Tx risks'!K63</f>
        <v>1519.2532707840001</v>
      </c>
      <c r="K38" s="300">
        <f>'Tx risks'!L63</f>
        <v>1556.8737477119998</v>
      </c>
      <c r="L38" s="300">
        <f>'Tx risks'!M63</f>
        <v>1594.8723167999999</v>
      </c>
      <c r="M38" s="300">
        <f>'Tx risks'!N63</f>
        <v>1633.2473721599999</v>
      </c>
      <c r="N38" s="300">
        <f>'Tx risks'!O63</f>
        <v>1671.9973551359999</v>
      </c>
      <c r="O38" s="300">
        <f>'Tx risks'!P63</f>
        <v>1711.120707072</v>
      </c>
      <c r="P38" s="300">
        <f>'Tx risks'!Q63</f>
        <v>1750.6159165439997</v>
      </c>
      <c r="Q38" s="300">
        <f>'Tx risks'!R63</f>
        <v>1790.481472128</v>
      </c>
      <c r="R38" s="300">
        <f>'Tx risks'!S63</f>
        <v>1830.7159096319999</v>
      </c>
      <c r="S38" s="300">
        <f>'Tx risks'!T63</f>
        <v>1871.3178120960001</v>
      </c>
      <c r="T38" s="300">
        <f>'Tx risks'!U63</f>
        <v>1912.2857153279999</v>
      </c>
      <c r="U38" s="300">
        <f>'Tx risks'!V63</f>
        <v>1953.6182495999999</v>
      </c>
      <c r="V38" s="300">
        <f>'Tx risks'!W63</f>
        <v>1995.3140215679998</v>
      </c>
      <c r="W38" s="300">
        <f>'Tx risks'!X63</f>
        <v>2037.3717087360001</v>
      </c>
      <c r="X38" s="300">
        <f>'Tx risks'!Y63</f>
        <v>2079.7899886079999</v>
      </c>
      <c r="Y38" s="300">
        <f>'Tx risks'!Z63</f>
        <v>2122.5675150719999</v>
      </c>
      <c r="Z38" s="300">
        <f>'Tx risks'!AA63</f>
        <v>2165.702989248</v>
      </c>
      <c r="AA38" s="300">
        <f>'Tx risks'!AB63</f>
        <v>2165.702989248</v>
      </c>
      <c r="AB38" s="300">
        <f>'Tx risks'!AC63</f>
        <v>2165.702989248</v>
      </c>
      <c r="AC38" s="300">
        <f>'Tx risks'!AD63</f>
        <v>2165.702989248</v>
      </c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86" t="s">
        <v>205</v>
      </c>
      <c r="E39" s="300">
        <f t="shared" ref="E39" si="6">E15</f>
        <v>141000</v>
      </c>
      <c r="F39" s="300">
        <f>'Tx risks'!G64</f>
        <v>35250</v>
      </c>
      <c r="G39" s="300">
        <f>'Tx risks'!H64</f>
        <v>35250</v>
      </c>
      <c r="H39" s="300">
        <f>'Tx risks'!I64</f>
        <v>35250</v>
      </c>
      <c r="I39" s="300">
        <f>'Tx risks'!J64</f>
        <v>35250</v>
      </c>
      <c r="J39" s="300">
        <f>'Tx risks'!K64</f>
        <v>35250</v>
      </c>
      <c r="K39" s="300">
        <f>'Tx risks'!L64</f>
        <v>35250</v>
      </c>
      <c r="L39" s="300">
        <f>'Tx risks'!M64</f>
        <v>35250</v>
      </c>
      <c r="M39" s="300">
        <f>'Tx risks'!N64</f>
        <v>35250</v>
      </c>
      <c r="N39" s="300">
        <f>'Tx risks'!O64</f>
        <v>35250</v>
      </c>
      <c r="O39" s="300">
        <f>'Tx risks'!P64</f>
        <v>35250</v>
      </c>
      <c r="P39" s="300">
        <f>'Tx risks'!Q64</f>
        <v>35250</v>
      </c>
      <c r="Q39" s="300">
        <f>'Tx risks'!R64</f>
        <v>35250</v>
      </c>
      <c r="R39" s="300">
        <f>'Tx risks'!S64</f>
        <v>35250</v>
      </c>
      <c r="S39" s="300">
        <f>'Tx risks'!T64</f>
        <v>35250</v>
      </c>
      <c r="T39" s="300">
        <f>'Tx risks'!U64</f>
        <v>35250</v>
      </c>
      <c r="U39" s="300">
        <f>'Tx risks'!V64</f>
        <v>35250</v>
      </c>
      <c r="V39" s="300">
        <f>'Tx risks'!W64</f>
        <v>35250</v>
      </c>
      <c r="W39" s="300">
        <f>'Tx risks'!X64</f>
        <v>35250</v>
      </c>
      <c r="X39" s="300">
        <f>'Tx risks'!Y64</f>
        <v>35250</v>
      </c>
      <c r="Y39" s="300">
        <f>'Tx risks'!Z64</f>
        <v>35250</v>
      </c>
      <c r="Z39" s="300">
        <f>'Tx risks'!AA64</f>
        <v>35250</v>
      </c>
      <c r="AA39" s="300">
        <f>'Tx risks'!AB64</f>
        <v>35250</v>
      </c>
      <c r="AB39" s="300">
        <f>'Tx risks'!AC64</f>
        <v>35250</v>
      </c>
      <c r="AC39" s="300">
        <f>'Tx risks'!AD64</f>
        <v>35250</v>
      </c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301" t="s">
        <v>206</v>
      </c>
      <c r="E40" s="295">
        <f t="shared" ref="E40:F40" si="7">SUM(E35:E39)</f>
        <v>452722.61771218112</v>
      </c>
      <c r="F40" s="295">
        <f t="shared" si="7"/>
        <v>350235.07823322853</v>
      </c>
      <c r="G40" s="295">
        <f>SUM(G35:G39)</f>
        <v>359615.98894317361</v>
      </c>
      <c r="H40" s="295">
        <f t="shared" ref="H40:AC40" si="8">SUM(H35:H39)</f>
        <v>367123.25613341277</v>
      </c>
      <c r="I40" s="295">
        <f t="shared" si="8"/>
        <v>371798.26012875105</v>
      </c>
      <c r="J40" s="295">
        <f t="shared" si="8"/>
        <v>377723.33743495605</v>
      </c>
      <c r="K40" s="295">
        <f t="shared" si="8"/>
        <v>388558.54555252864</v>
      </c>
      <c r="L40" s="295">
        <f t="shared" si="8"/>
        <v>401003.50792873098</v>
      </c>
      <c r="M40" s="295">
        <f t="shared" si="8"/>
        <v>405667.61656220187</v>
      </c>
      <c r="N40" s="295">
        <f t="shared" si="8"/>
        <v>414506.8751919464</v>
      </c>
      <c r="O40" s="295">
        <f t="shared" si="8"/>
        <v>423433.69328197726</v>
      </c>
      <c r="P40" s="295">
        <f t="shared" si="8"/>
        <v>432447.79459073348</v>
      </c>
      <c r="Q40" s="295">
        <f t="shared" si="8"/>
        <v>441548.90315467532</v>
      </c>
      <c r="R40" s="295">
        <f t="shared" si="8"/>
        <v>450736.75406677282</v>
      </c>
      <c r="S40" s="295">
        <f t="shared" si="8"/>
        <v>460011.09348278627</v>
      </c>
      <c r="T40" s="295">
        <f t="shared" si="8"/>
        <v>469371.65704131802</v>
      </c>
      <c r="U40" s="295">
        <f t="shared" si="8"/>
        <v>478818.20222953818</v>
      </c>
      <c r="V40" s="295">
        <f t="shared" si="8"/>
        <v>488350.48140697187</v>
      </c>
      <c r="W40" s="295">
        <f t="shared" si="8"/>
        <v>497968.26339509728</v>
      </c>
      <c r="X40" s="295">
        <f t="shared" si="8"/>
        <v>507671.3172843713</v>
      </c>
      <c r="Y40" s="295">
        <f t="shared" si="8"/>
        <v>517459.40702227392</v>
      </c>
      <c r="Z40" s="295">
        <f t="shared" si="8"/>
        <v>527332.3076160223</v>
      </c>
      <c r="AA40" s="295">
        <f t="shared" si="8"/>
        <v>536477.56714574643</v>
      </c>
      <c r="AB40" s="295">
        <f t="shared" si="8"/>
        <v>545700.57176433841</v>
      </c>
      <c r="AC40" s="295">
        <f t="shared" si="8"/>
        <v>555001.1364030164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4" spans="1:44" ht="13.5" x14ac:dyDescent="0.3">
      <c r="A44" s="283"/>
      <c r="B44" s="284" t="str">
        <f>Workings_costs!B44</f>
        <v>Option 4 - Make site emergency spare ready in 2026-2027</v>
      </c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  <c r="V44" s="285"/>
      <c r="W44" s="285"/>
      <c r="X44" s="285"/>
      <c r="Y44" s="285"/>
      <c r="Z44" s="285"/>
      <c r="AA44" s="285"/>
      <c r="AB44" s="285"/>
      <c r="AC44" s="285"/>
      <c r="AD44" s="285"/>
      <c r="AE44" s="285"/>
      <c r="AF44" s="285"/>
      <c r="AG44" s="285"/>
      <c r="AH44" s="285"/>
      <c r="AI44" s="285"/>
      <c r="AJ44" s="285"/>
      <c r="AK44" s="285"/>
      <c r="AL44" s="285"/>
      <c r="AM44" s="285"/>
      <c r="AN44" s="285"/>
      <c r="AO44" s="285"/>
      <c r="AP44" s="285"/>
      <c r="AQ44" s="285"/>
      <c r="AR44" s="283"/>
    </row>
    <row r="45" spans="1:44" x14ac:dyDescent="0.3">
      <c r="A45" s="286"/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86"/>
      <c r="E46" s="288" t="s">
        <v>51</v>
      </c>
      <c r="F46" s="288" t="s">
        <v>91</v>
      </c>
      <c r="G46" s="288" t="s">
        <v>92</v>
      </c>
      <c r="H46" s="288" t="s">
        <v>93</v>
      </c>
      <c r="I46" s="288" t="s">
        <v>94</v>
      </c>
      <c r="J46" s="288" t="s">
        <v>95</v>
      </c>
      <c r="K46" s="288" t="s">
        <v>176</v>
      </c>
      <c r="L46" s="288" t="s">
        <v>177</v>
      </c>
      <c r="M46" s="288" t="s">
        <v>178</v>
      </c>
      <c r="N46" s="288" t="s">
        <v>179</v>
      </c>
      <c r="O46" s="288" t="s">
        <v>180</v>
      </c>
      <c r="P46" s="288" t="s">
        <v>181</v>
      </c>
      <c r="Q46" s="288" t="s">
        <v>182</v>
      </c>
      <c r="R46" s="288" t="s">
        <v>183</v>
      </c>
      <c r="S46" s="288" t="s">
        <v>184</v>
      </c>
      <c r="T46" s="288" t="s">
        <v>185</v>
      </c>
      <c r="U46" s="288" t="s">
        <v>186</v>
      </c>
      <c r="V46" s="288" t="s">
        <v>187</v>
      </c>
      <c r="W46" s="288" t="s">
        <v>188</v>
      </c>
      <c r="X46" s="288" t="s">
        <v>189</v>
      </c>
      <c r="Y46" s="288" t="s">
        <v>190</v>
      </c>
      <c r="Z46" s="288" t="s">
        <v>191</v>
      </c>
      <c r="AA46" s="288" t="s">
        <v>192</v>
      </c>
      <c r="AB46" s="288" t="s">
        <v>193</v>
      </c>
      <c r="AC46" s="288" t="s">
        <v>194</v>
      </c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99" t="s">
        <v>200</v>
      </c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290"/>
      <c r="AA47" s="290"/>
      <c r="AB47" s="290"/>
      <c r="AC47" s="290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86" t="s">
        <v>201</v>
      </c>
      <c r="E48" s="300">
        <f>E11</f>
        <v>285320.88237505034</v>
      </c>
      <c r="F48" s="300">
        <f>'Tx risks'!G82</f>
        <v>73745.945726040547</v>
      </c>
      <c r="G48" s="300">
        <f>'Tx risks'!H82</f>
        <v>75965.281535782968</v>
      </c>
      <c r="H48" s="300">
        <f>'Tx risks'!I82</f>
        <v>77705.210537135601</v>
      </c>
      <c r="I48" s="300">
        <f>'Tx risks'!J82</f>
        <v>78721.385649843287</v>
      </c>
      <c r="J48" s="300">
        <f>'Tx risks'!K82</f>
        <v>80059.280436972898</v>
      </c>
      <c r="K48" s="300">
        <f>'Tx risks'!L82</f>
        <v>82639.451650248026</v>
      </c>
      <c r="L48" s="300">
        <f>'Tx risks'!M82</f>
        <v>85628.532511475438</v>
      </c>
      <c r="M48" s="300">
        <f>'Tx risks'!N82</f>
        <v>86637.121659700846</v>
      </c>
      <c r="N48" s="300">
        <f>'Tx risks'!O82</f>
        <v>88705.869698314345</v>
      </c>
      <c r="O48" s="300">
        <f>'Tx risks'!P82</f>
        <v>90795.172705083576</v>
      </c>
      <c r="P48" s="300">
        <f>'Tx risks'!Q82</f>
        <v>92904.967307493047</v>
      </c>
      <c r="Q48" s="300">
        <f>'Tx risks'!R82</f>
        <v>95035.19197168661</v>
      </c>
      <c r="R48" s="300">
        <f>'Tx risks'!S82</f>
        <v>97185.785235371091</v>
      </c>
      <c r="S48" s="300">
        <f>'Tx risks'!T82</f>
        <v>99356.688357655425</v>
      </c>
      <c r="T48" s="300">
        <f>'Tx risks'!U82</f>
        <v>101547.84355235263</v>
      </c>
      <c r="U48" s="300">
        <f>'Tx risks'!V82</f>
        <v>103759.19575638785</v>
      </c>
      <c r="V48" s="300">
        <f>'Tx risks'!W82</f>
        <v>105990.68820757681</v>
      </c>
      <c r="W48" s="300">
        <f>'Tx risks'!X82</f>
        <v>108242.26775063855</v>
      </c>
      <c r="X48" s="300">
        <f>'Tx risks'!Y82</f>
        <v>110513.88129910329</v>
      </c>
      <c r="Y48" s="300">
        <f>'Tx risks'!Z82</f>
        <v>112805.47849050652</v>
      </c>
      <c r="Z48" s="300">
        <f>'Tx risks'!AA82</f>
        <v>115117.00903074631</v>
      </c>
      <c r="AA48" s="300">
        <f>'Tx risks'!AB82</f>
        <v>117448.4226921962</v>
      </c>
      <c r="AB48" s="300">
        <f>'Tx risks'!AC82</f>
        <v>119799.67285823665</v>
      </c>
      <c r="AC48" s="300">
        <f>'Tx risks'!AD82</f>
        <v>122170.71120593853</v>
      </c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86" t="s">
        <v>202</v>
      </c>
      <c r="E49" s="300">
        <f t="shared" ref="E49:E52" si="9">E12</f>
        <v>584.88390844473759</v>
      </c>
      <c r="F49" s="300">
        <f>'Tx risks'!G83</f>
        <v>600.50471135378461</v>
      </c>
      <c r="G49" s="300">
        <f>'Tx risks'!H83</f>
        <v>616.29465798613819</v>
      </c>
      <c r="H49" s="300">
        <f>'Tx risks'!I83</f>
        <v>632.25297447689923</v>
      </c>
      <c r="I49" s="300">
        <f>'Tx risks'!J83</f>
        <v>648.37888696116886</v>
      </c>
      <c r="J49" s="300">
        <f>'Tx risks'!K83</f>
        <v>664.67167220072349</v>
      </c>
      <c r="K49" s="300">
        <f>'Tx risks'!L83</f>
        <v>681.13058526019313</v>
      </c>
      <c r="L49" s="300">
        <f>'Tx risks'!M83</f>
        <v>697.75491736611889</v>
      </c>
      <c r="M49" s="300">
        <f>'Tx risks'!N83</f>
        <v>714.54397420980615</v>
      </c>
      <c r="N49" s="300">
        <f>'Tx risks'!O83</f>
        <v>731.49704701779626</v>
      </c>
      <c r="O49" s="300">
        <f>'Tx risks'!P83</f>
        <v>748.61347041092324</v>
      </c>
      <c r="P49" s="300">
        <f>'Tx risks'!Q83</f>
        <v>765.89257901002202</v>
      </c>
      <c r="Q49" s="300">
        <f>'Tx risks'!R83</f>
        <v>783.3337219006911</v>
      </c>
      <c r="R49" s="300">
        <f>'Tx risks'!S83</f>
        <v>800.93624816852969</v>
      </c>
      <c r="S49" s="300">
        <f>'Tx risks'!T83</f>
        <v>818.69952859628359</v>
      </c>
      <c r="T49" s="300">
        <f>'Tx risks'!U83</f>
        <v>836.6229411990804</v>
      </c>
      <c r="U49" s="300">
        <f>'Tx risks'!V83</f>
        <v>854.70588568919459</v>
      </c>
      <c r="V49" s="300">
        <f>'Tx risks'!W83</f>
        <v>872.94774731413656</v>
      </c>
      <c r="W49" s="300">
        <f>'Tx risks'!X83</f>
        <v>891.3479402509455</v>
      </c>
      <c r="X49" s="300">
        <f>'Tx risks'!Y83</f>
        <v>909.90587867666011</v>
      </c>
      <c r="Y49" s="300">
        <f>'Tx risks'!Z83</f>
        <v>928.62099846546607</v>
      </c>
      <c r="Z49" s="300">
        <f>'Tx risks'!AA83</f>
        <v>947.4927354915493</v>
      </c>
      <c r="AA49" s="300">
        <f>'Tx risks'!AB83</f>
        <v>947.4927354915493</v>
      </c>
      <c r="AB49" s="300">
        <f>'Tx risks'!AC83</f>
        <v>947.4927354915493</v>
      </c>
      <c r="AC49" s="300">
        <f>'Tx risks'!AD83</f>
        <v>947.4927354915493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 t="s">
        <v>203</v>
      </c>
      <c r="E50" s="300">
        <f t="shared" si="9"/>
        <v>23694.818430286083</v>
      </c>
      <c r="F50" s="300">
        <f>'Tx risks'!G84</f>
        <v>24327.648438636581</v>
      </c>
      <c r="G50" s="300">
        <f>'Tx risks'!H84</f>
        <v>24967.330797948533</v>
      </c>
      <c r="H50" s="300">
        <f>'Tx risks'!I84</f>
        <v>25613.834157405119</v>
      </c>
      <c r="I50" s="300">
        <f>'Tx risks'!J84</f>
        <v>26267.127166189533</v>
      </c>
      <c r="J50" s="300">
        <f>'Tx risks'!K84</f>
        <v>26927.180524472977</v>
      </c>
      <c r="K50" s="300">
        <f>'Tx risks'!L84</f>
        <v>27593.964053431777</v>
      </c>
      <c r="L50" s="300">
        <f>'Tx risks'!M84</f>
        <v>28267.44903923371</v>
      </c>
      <c r="M50" s="300">
        <f>'Tx risks'!N84</f>
        <v>28947.607354043135</v>
      </c>
      <c r="N50" s="300">
        <f>'Tx risks'!O84</f>
        <v>29634.410284027828</v>
      </c>
      <c r="O50" s="300">
        <f>'Tx risks'!P84</f>
        <v>30327.830873345283</v>
      </c>
      <c r="P50" s="300">
        <f>'Tx risks'!Q84</f>
        <v>31027.842166153012</v>
      </c>
      <c r="Q50" s="300">
        <f>'Tx risks'!R84</f>
        <v>31734.417792605094</v>
      </c>
      <c r="R50" s="300">
        <f>'Tx risks'!S84</f>
        <v>32447.531382855599</v>
      </c>
      <c r="S50" s="300">
        <f>'Tx risks'!T84</f>
        <v>33167.15744605349</v>
      </c>
      <c r="T50" s="300">
        <f>'Tx risks'!U84</f>
        <v>33893.270784345987</v>
      </c>
      <c r="U50" s="300">
        <f>'Tx risks'!V84</f>
        <v>34625.847078875187</v>
      </c>
      <c r="V50" s="300">
        <f>'Tx risks'!W84</f>
        <v>35364.861424786606</v>
      </c>
      <c r="W50" s="300">
        <f>'Tx risks'!X84</f>
        <v>36110.290089218928</v>
      </c>
      <c r="X50" s="300">
        <f>'Tx risks'!Y84</f>
        <v>36862.109339310824</v>
      </c>
      <c r="Y50" s="300">
        <f>'Tx risks'!Z84</f>
        <v>37620.296321195812</v>
      </c>
      <c r="Z50" s="300">
        <f>'Tx risks'!AA84</f>
        <v>38384.82818100744</v>
      </c>
      <c r="AA50" s="300">
        <f>'Tx risks'!AB84</f>
        <v>38384.82818100744</v>
      </c>
      <c r="AB50" s="300">
        <f>'Tx risks'!AC84</f>
        <v>38384.82818100744</v>
      </c>
      <c r="AC50" s="300">
        <f>'Tx risks'!AD84</f>
        <v>38384.82818100744</v>
      </c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 t="s">
        <v>204</v>
      </c>
      <c r="E51" s="300">
        <f t="shared" si="9"/>
        <v>2122.0329984000005</v>
      </c>
      <c r="F51" s="300">
        <f>'Tx risks'!G85</f>
        <v>2178.7072524800001</v>
      </c>
      <c r="G51" s="300">
        <f>'Tx risks'!H85</f>
        <v>2235.9951814400001</v>
      </c>
      <c r="H51" s="300">
        <f>'Tx risks'!I85</f>
        <v>2293.8939775999997</v>
      </c>
      <c r="I51" s="300">
        <f>'Tx risks'!J85</f>
        <v>2352.4008332799999</v>
      </c>
      <c r="J51" s="300">
        <f>'Tx risks'!K85</f>
        <v>2411.51312448</v>
      </c>
      <c r="K51" s="300">
        <f>'Tx risks'!L85</f>
        <v>2471.2281484800001</v>
      </c>
      <c r="L51" s="300">
        <f>'Tx risks'!M85</f>
        <v>2531.5433337599998</v>
      </c>
      <c r="M51" s="300">
        <f>'Tx risks'!N85</f>
        <v>2592.4561612799998</v>
      </c>
      <c r="N51" s="300">
        <f>'Tx risks'!O85</f>
        <v>2653.9640595200003</v>
      </c>
      <c r="O51" s="300">
        <f>'Tx risks'!P85</f>
        <v>2716.0646144000002</v>
      </c>
      <c r="P51" s="300">
        <f>'Tx risks'!Q85</f>
        <v>2778.7554118400003</v>
      </c>
      <c r="Q51" s="300">
        <f>'Tx risks'!R85</f>
        <v>2842.0340902400003</v>
      </c>
      <c r="R51" s="300">
        <f>'Tx risks'!S85</f>
        <v>2905.8982879999999</v>
      </c>
      <c r="S51" s="300">
        <f>'Tx risks'!T85</f>
        <v>2970.3457222400002</v>
      </c>
      <c r="T51" s="300">
        <f>'Tx risks'!U85</f>
        <v>3035.3741363200002</v>
      </c>
      <c r="U51" s="300">
        <f>'Tx risks'!V85</f>
        <v>3100.98135232</v>
      </c>
      <c r="V51" s="300">
        <f>'Tx risks'!W85</f>
        <v>3167.1651398399999</v>
      </c>
      <c r="W51" s="300">
        <f>'Tx risks'!X85</f>
        <v>3233.92337344</v>
      </c>
      <c r="X51" s="300">
        <f>'Tx risks'!Y85</f>
        <v>3301.2539276800003</v>
      </c>
      <c r="Y51" s="300">
        <f>'Tx risks'!Z85</f>
        <v>3369.1547558400002</v>
      </c>
      <c r="Z51" s="300">
        <f>'Tx risks'!AA85</f>
        <v>3437.6238112000001</v>
      </c>
      <c r="AA51" s="300">
        <f>'Tx risks'!AB85</f>
        <v>3437.6238112000001</v>
      </c>
      <c r="AB51" s="300">
        <f>'Tx risks'!AC85</f>
        <v>3437.6238112000001</v>
      </c>
      <c r="AC51" s="300">
        <f>'Tx risks'!AD85</f>
        <v>3437.6238112000001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286" t="s">
        <v>205</v>
      </c>
      <c r="E52" s="300">
        <f t="shared" si="9"/>
        <v>141000</v>
      </c>
      <c r="F52" s="300">
        <f>'Tx risks'!G86</f>
        <v>141000</v>
      </c>
      <c r="G52" s="300">
        <f>'Tx risks'!H86</f>
        <v>141000</v>
      </c>
      <c r="H52" s="300">
        <f>'Tx risks'!I86</f>
        <v>141000</v>
      </c>
      <c r="I52" s="300">
        <f>'Tx risks'!J86</f>
        <v>141000</v>
      </c>
      <c r="J52" s="300">
        <f>'Tx risks'!K86</f>
        <v>141000</v>
      </c>
      <c r="K52" s="300">
        <f>'Tx risks'!L86</f>
        <v>141000</v>
      </c>
      <c r="L52" s="300">
        <f>'Tx risks'!M86</f>
        <v>141000</v>
      </c>
      <c r="M52" s="300">
        <f>'Tx risks'!N86</f>
        <v>141000</v>
      </c>
      <c r="N52" s="300">
        <f>'Tx risks'!O86</f>
        <v>141000</v>
      </c>
      <c r="O52" s="300">
        <f>'Tx risks'!P86</f>
        <v>141000</v>
      </c>
      <c r="P52" s="300">
        <f>'Tx risks'!Q86</f>
        <v>141000</v>
      </c>
      <c r="Q52" s="300">
        <f>'Tx risks'!R86</f>
        <v>141000</v>
      </c>
      <c r="R52" s="300">
        <f>'Tx risks'!S86</f>
        <v>141000</v>
      </c>
      <c r="S52" s="300">
        <f>'Tx risks'!T86</f>
        <v>141000</v>
      </c>
      <c r="T52" s="300">
        <f>'Tx risks'!U86</f>
        <v>141000</v>
      </c>
      <c r="U52" s="300">
        <f>'Tx risks'!V86</f>
        <v>141000</v>
      </c>
      <c r="V52" s="300">
        <f>'Tx risks'!W86</f>
        <v>141000</v>
      </c>
      <c r="W52" s="300">
        <f>'Tx risks'!X86</f>
        <v>141000</v>
      </c>
      <c r="X52" s="300">
        <f>'Tx risks'!Y86</f>
        <v>141000</v>
      </c>
      <c r="Y52" s="300">
        <f>'Tx risks'!Z86</f>
        <v>141000</v>
      </c>
      <c r="Z52" s="300">
        <f>'Tx risks'!AA86</f>
        <v>141000</v>
      </c>
      <c r="AA52" s="300">
        <f>'Tx risks'!AB86</f>
        <v>141000</v>
      </c>
      <c r="AB52" s="300">
        <f>'Tx risks'!AC86</f>
        <v>141000</v>
      </c>
      <c r="AC52" s="300">
        <f>'Tx risks'!AD86</f>
        <v>141000</v>
      </c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  <row r="53" spans="1:44" x14ac:dyDescent="0.3">
      <c r="A53" s="286"/>
      <c r="B53" s="286"/>
      <c r="C53" s="286"/>
      <c r="D53" s="301" t="s">
        <v>206</v>
      </c>
      <c r="E53" s="295">
        <f t="shared" ref="E53:F53" si="10">SUM(E48:E52)</f>
        <v>452722.61771218112</v>
      </c>
      <c r="F53" s="295">
        <f t="shared" si="10"/>
        <v>241852.80612851091</v>
      </c>
      <c r="G53" s="295">
        <f>SUM(G48:G52)</f>
        <v>244784.90217315764</v>
      </c>
      <c r="H53" s="295">
        <f t="shared" ref="H53:AC53" si="11">SUM(H48:H52)</f>
        <v>247245.1916466176</v>
      </c>
      <c r="I53" s="295">
        <f t="shared" si="11"/>
        <v>248989.29253627401</v>
      </c>
      <c r="J53" s="295">
        <f t="shared" si="11"/>
        <v>251062.6457581266</v>
      </c>
      <c r="K53" s="295">
        <f t="shared" si="11"/>
        <v>254385.77443742001</v>
      </c>
      <c r="L53" s="295">
        <f t="shared" si="11"/>
        <v>258125.27980183528</v>
      </c>
      <c r="M53" s="295">
        <f t="shared" si="11"/>
        <v>259891.72914923378</v>
      </c>
      <c r="N53" s="295">
        <f t="shared" si="11"/>
        <v>262725.74108887999</v>
      </c>
      <c r="O53" s="295">
        <f t="shared" si="11"/>
        <v>265587.68166323978</v>
      </c>
      <c r="P53" s="295">
        <f t="shared" si="11"/>
        <v>268477.45746449608</v>
      </c>
      <c r="Q53" s="295">
        <f t="shared" si="11"/>
        <v>271394.9775764324</v>
      </c>
      <c r="R53" s="295">
        <f t="shared" si="11"/>
        <v>274340.15115439519</v>
      </c>
      <c r="S53" s="295">
        <f t="shared" si="11"/>
        <v>277312.89105454518</v>
      </c>
      <c r="T53" s="295">
        <f t="shared" si="11"/>
        <v>280313.11141421768</v>
      </c>
      <c r="U53" s="295">
        <f t="shared" si="11"/>
        <v>283340.73007327225</v>
      </c>
      <c r="V53" s="295">
        <f t="shared" si="11"/>
        <v>286395.66251951759</v>
      </c>
      <c r="W53" s="295">
        <f t="shared" si="11"/>
        <v>289477.8291535484</v>
      </c>
      <c r="X53" s="295">
        <f t="shared" si="11"/>
        <v>292587.15044477076</v>
      </c>
      <c r="Y53" s="295">
        <f t="shared" si="11"/>
        <v>295723.55056600779</v>
      </c>
      <c r="Z53" s="295">
        <f t="shared" si="11"/>
        <v>298886.95375844534</v>
      </c>
      <c r="AA53" s="295">
        <f t="shared" si="11"/>
        <v>301218.36741989519</v>
      </c>
      <c r="AB53" s="295">
        <f t="shared" si="11"/>
        <v>303569.61758593563</v>
      </c>
      <c r="AC53" s="295">
        <f t="shared" si="11"/>
        <v>305940.65593363752</v>
      </c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41-0DA1-4029-A2C0-179BECD38DA6}">
  <sheetPr codeName="Sheet12"/>
  <dimension ref="A1:AJ91"/>
  <sheetViews>
    <sheetView showGridLines="0" zoomScale="80" zoomScaleNormal="80" workbookViewId="0"/>
  </sheetViews>
  <sheetFormatPr defaultRowHeight="13.5" x14ac:dyDescent="0.3"/>
  <cols>
    <col min="1" max="1" width="27.84375" bestFit="1" customWidth="1"/>
    <col min="3" max="3" width="19.15234375" bestFit="1" customWidth="1"/>
    <col min="4" max="4" width="9.84375" bestFit="1" customWidth="1"/>
    <col min="5" max="5" width="11.3828125" bestFit="1" customWidth="1"/>
    <col min="6" max="6" width="12.15234375" bestFit="1" customWidth="1"/>
    <col min="7" max="7" width="9.84375" bestFit="1" customWidth="1"/>
  </cols>
  <sheetData>
    <row r="1" spans="1:36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36" ht="18.5" x14ac:dyDescent="0.45">
      <c r="A2" s="50" t="str">
        <f>proj</f>
        <v>CHA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5" spans="1:36" x14ac:dyDescent="0.3">
      <c r="A5" s="350" t="s">
        <v>207</v>
      </c>
      <c r="B5" s="350"/>
      <c r="C5" s="351" t="s">
        <v>208</v>
      </c>
      <c r="D5" s="351"/>
      <c r="F5" s="352" t="s">
        <v>209</v>
      </c>
      <c r="G5" s="353" t="s">
        <v>210</v>
      </c>
      <c r="H5" s="351" t="s">
        <v>211</v>
      </c>
      <c r="I5" s="351" t="s">
        <v>212</v>
      </c>
    </row>
    <row r="6" spans="1:36" x14ac:dyDescent="0.3">
      <c r="A6" s="354" t="s">
        <v>213</v>
      </c>
      <c r="B6" s="355" t="s">
        <v>70</v>
      </c>
      <c r="C6" s="356" t="s">
        <v>214</v>
      </c>
      <c r="D6" s="357"/>
      <c r="F6" s="356" t="s">
        <v>215</v>
      </c>
      <c r="G6" s="358" t="b">
        <v>1</v>
      </c>
      <c r="H6" s="353">
        <v>1</v>
      </c>
      <c r="I6" s="359"/>
    </row>
    <row r="7" spans="1:36" x14ac:dyDescent="0.3">
      <c r="A7" s="354" t="s">
        <v>216</v>
      </c>
      <c r="B7" s="355" t="s">
        <v>217</v>
      </c>
      <c r="C7" s="356" t="s">
        <v>218</v>
      </c>
      <c r="D7" s="357"/>
      <c r="F7" s="356" t="s">
        <v>219</v>
      </c>
      <c r="G7" s="358">
        <v>1.57467624E-3</v>
      </c>
      <c r="H7" s="353">
        <v>1</v>
      </c>
      <c r="I7" s="359"/>
    </row>
    <row r="8" spans="1:36" x14ac:dyDescent="0.3">
      <c r="A8" s="360" t="s">
        <v>67</v>
      </c>
      <c r="B8" s="361">
        <v>26.719967551056794</v>
      </c>
      <c r="C8" s="360" t="s">
        <v>220</v>
      </c>
      <c r="D8" s="362">
        <v>7324957.2000000002</v>
      </c>
      <c r="F8" s="356" t="s">
        <v>221</v>
      </c>
      <c r="G8" s="358">
        <v>1.57467624E-3</v>
      </c>
      <c r="H8" s="353">
        <v>1</v>
      </c>
      <c r="I8" s="359"/>
    </row>
    <row r="9" spans="1:36" x14ac:dyDescent="0.3">
      <c r="A9" s="360" t="s">
        <v>222</v>
      </c>
      <c r="B9" s="307">
        <v>0.5</v>
      </c>
      <c r="C9" s="360" t="s">
        <v>223</v>
      </c>
      <c r="D9" s="362">
        <v>164000</v>
      </c>
      <c r="F9" s="356" t="s">
        <v>224</v>
      </c>
      <c r="G9" s="363">
        <v>0</v>
      </c>
      <c r="H9" s="353">
        <v>1</v>
      </c>
      <c r="I9" s="359"/>
    </row>
    <row r="10" spans="1:36" ht="19.5" customHeight="1" x14ac:dyDescent="0.3">
      <c r="A10" s="364" t="s">
        <v>225</v>
      </c>
      <c r="B10" s="365" t="s">
        <v>226</v>
      </c>
      <c r="C10" s="351" t="s">
        <v>227</v>
      </c>
      <c r="D10" s="350" t="s">
        <v>228</v>
      </c>
      <c r="E10" s="351">
        <v>2025</v>
      </c>
      <c r="F10" s="351">
        <v>2026</v>
      </c>
      <c r="G10" s="351">
        <v>2027</v>
      </c>
      <c r="H10" s="351">
        <v>2028</v>
      </c>
      <c r="I10" s="351">
        <v>2029</v>
      </c>
      <c r="J10" s="351">
        <v>2030</v>
      </c>
      <c r="K10" s="351">
        <v>2031</v>
      </c>
      <c r="L10" s="351">
        <v>2032</v>
      </c>
      <c r="M10" s="351">
        <v>2033</v>
      </c>
      <c r="N10" s="351">
        <v>2034</v>
      </c>
      <c r="O10" s="351">
        <v>2035</v>
      </c>
      <c r="P10" s="351">
        <v>2036</v>
      </c>
      <c r="Q10" s="351">
        <v>2037</v>
      </c>
      <c r="R10" s="351">
        <v>2038</v>
      </c>
      <c r="S10" s="351">
        <v>2039</v>
      </c>
      <c r="T10" s="351">
        <v>2040</v>
      </c>
      <c r="U10" s="351">
        <v>2041</v>
      </c>
      <c r="V10" s="351">
        <v>2042</v>
      </c>
      <c r="W10" s="351">
        <v>2043</v>
      </c>
      <c r="X10" s="351">
        <v>2044</v>
      </c>
      <c r="Y10" s="351">
        <v>2045</v>
      </c>
      <c r="Z10" s="351">
        <v>2046</v>
      </c>
      <c r="AA10" s="351">
        <v>2047</v>
      </c>
      <c r="AB10" s="366">
        <v>2048</v>
      </c>
      <c r="AC10" s="366">
        <v>2049</v>
      </c>
      <c r="AD10" s="366">
        <v>2050</v>
      </c>
      <c r="AE10" s="366">
        <v>2051</v>
      </c>
      <c r="AF10" s="366">
        <v>2052</v>
      </c>
      <c r="AG10" s="366">
        <v>2053</v>
      </c>
      <c r="AH10" s="366">
        <v>2054</v>
      </c>
      <c r="AI10" s="366">
        <v>2055</v>
      </c>
      <c r="AJ10" s="366">
        <v>2056</v>
      </c>
    </row>
    <row r="11" spans="1:36" x14ac:dyDescent="0.3">
      <c r="A11" s="354" t="s">
        <v>229</v>
      </c>
      <c r="B11" s="367" t="b">
        <v>0</v>
      </c>
      <c r="C11" s="368">
        <v>2000000</v>
      </c>
      <c r="D11" s="354"/>
      <c r="E11" s="302"/>
      <c r="F11" s="302"/>
      <c r="G11" s="302"/>
      <c r="H11" s="302"/>
      <c r="I11" s="302"/>
      <c r="J11" s="302"/>
      <c r="K11" s="302"/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2"/>
      <c r="AB11" s="302"/>
      <c r="AC11" s="302"/>
      <c r="AD11" s="302"/>
      <c r="AE11" s="302"/>
      <c r="AF11" s="302"/>
      <c r="AG11" s="302"/>
      <c r="AH11" s="302"/>
      <c r="AI11" s="302"/>
      <c r="AJ11" s="302"/>
    </row>
    <row r="12" spans="1:36" x14ac:dyDescent="0.3">
      <c r="A12" s="354" t="s">
        <v>231</v>
      </c>
      <c r="B12" s="367" t="b">
        <v>0</v>
      </c>
      <c r="C12" s="368">
        <v>50000</v>
      </c>
      <c r="D12" s="354" t="s">
        <v>350</v>
      </c>
      <c r="E12" s="303">
        <v>10169.417131588432</v>
      </c>
      <c r="F12" s="303">
        <v>10678.189703256794</v>
      </c>
      <c r="G12" s="303">
        <v>11051.187444104264</v>
      </c>
      <c r="H12" s="303">
        <v>11383.760845271461</v>
      </c>
      <c r="I12" s="303">
        <v>11644.501428163952</v>
      </c>
      <c r="J12" s="303">
        <v>11796.796806525166</v>
      </c>
      <c r="K12" s="303">
        <v>11996.566402072114</v>
      </c>
      <c r="L12" s="303">
        <v>12383.601361351619</v>
      </c>
      <c r="M12" s="303">
        <v>12831.851713999757</v>
      </c>
      <c r="N12" s="303">
        <v>12982.656810480748</v>
      </c>
      <c r="O12" s="303">
        <v>13292.660536429217</v>
      </c>
      <c r="P12" s="303">
        <v>13605.744434314727</v>
      </c>
      <c r="Q12" s="303">
        <v>13921.899007473246</v>
      </c>
      <c r="R12" s="303">
        <v>14241.115034764511</v>
      </c>
      <c r="S12" s="303">
        <v>14563.383305771064</v>
      </c>
      <c r="T12" s="303">
        <v>14888.695017879001</v>
      </c>
      <c r="U12" s="303">
        <v>15217.041511536707</v>
      </c>
      <c r="V12" s="303">
        <v>15548.414535252332</v>
      </c>
      <c r="W12" s="303">
        <v>15882.805582920093</v>
      </c>
      <c r="X12" s="303">
        <v>16220.206688930859</v>
      </c>
      <c r="Y12" s="303">
        <v>16560.609897985982</v>
      </c>
      <c r="Z12" s="303">
        <v>16904.007662980424</v>
      </c>
      <c r="AA12" s="303">
        <v>17250.392447052422</v>
      </c>
      <c r="AB12" s="303">
        <v>17599.756723300747</v>
      </c>
      <c r="AC12" s="303">
        <v>17952.093505935667</v>
      </c>
      <c r="AD12" s="303">
        <v>18307.395553474696</v>
      </c>
      <c r="AE12" s="303">
        <v>18665.65603276623</v>
      </c>
      <c r="AF12" s="303">
        <v>19026.868386405553</v>
      </c>
      <c r="AG12" s="303">
        <v>19026.868386405553</v>
      </c>
      <c r="AH12" s="303">
        <v>19026.868386405553</v>
      </c>
      <c r="AI12" s="303">
        <v>19026.868386405553</v>
      </c>
      <c r="AJ12" s="303">
        <v>19026.868386405553</v>
      </c>
    </row>
    <row r="13" spans="1:36" x14ac:dyDescent="0.3">
      <c r="A13" s="354" t="s">
        <v>232</v>
      </c>
      <c r="B13" s="367" t="b">
        <v>0</v>
      </c>
      <c r="C13" s="368">
        <v>300000</v>
      </c>
      <c r="D13" s="354" t="s">
        <v>234</v>
      </c>
      <c r="E13" s="304">
        <v>3.14935248E-3</v>
      </c>
      <c r="F13" s="304">
        <v>3.2348064000000004E-3</v>
      </c>
      <c r="G13" s="304">
        <v>3.3212000800000004E-3</v>
      </c>
      <c r="H13" s="304">
        <v>3.4085292400000003E-3</v>
      </c>
      <c r="I13" s="304">
        <v>3.4967895999999999E-3</v>
      </c>
      <c r="J13" s="304">
        <v>3.5859768799999998E-3</v>
      </c>
      <c r="K13" s="304">
        <v>3.6760870799999999E-3</v>
      </c>
      <c r="L13" s="304">
        <v>3.7671160800000002E-3</v>
      </c>
      <c r="M13" s="304">
        <v>3.8590599599999998E-3</v>
      </c>
      <c r="N13" s="304">
        <v>3.9519148799999999E-3</v>
      </c>
      <c r="O13" s="304">
        <v>4.0456769200000004E-3</v>
      </c>
      <c r="P13" s="304">
        <v>4.1403424000000001E-3</v>
      </c>
      <c r="Q13" s="304">
        <v>4.2359076400000006E-3</v>
      </c>
      <c r="R13" s="304">
        <v>4.3323690400000007E-3</v>
      </c>
      <c r="S13" s="304">
        <v>4.429723E-3</v>
      </c>
      <c r="T13" s="304">
        <v>4.5279660400000003E-3</v>
      </c>
      <c r="U13" s="304">
        <v>4.6270947200000006E-3</v>
      </c>
      <c r="V13" s="304">
        <v>4.7271057200000003E-3</v>
      </c>
      <c r="W13" s="304">
        <v>4.8279956399999999E-3</v>
      </c>
      <c r="X13" s="304">
        <v>4.9297612400000003E-3</v>
      </c>
      <c r="Y13" s="304">
        <v>5.0323992800000005E-3</v>
      </c>
      <c r="Z13" s="304">
        <v>5.13590664E-3</v>
      </c>
      <c r="AA13" s="304">
        <v>5.2402802E-3</v>
      </c>
      <c r="AB13" s="304">
        <v>5.2402802E-3</v>
      </c>
      <c r="AC13" s="304">
        <v>5.2402802E-3</v>
      </c>
      <c r="AD13" s="304">
        <v>5.2402802E-3</v>
      </c>
      <c r="AE13" s="304">
        <v>5.2402802E-3</v>
      </c>
      <c r="AF13" s="304">
        <v>5.2402802E-3</v>
      </c>
      <c r="AG13" s="304">
        <v>5.2402802E-3</v>
      </c>
      <c r="AH13" s="304">
        <v>5.2402802E-3</v>
      </c>
      <c r="AI13" s="304">
        <v>5.2402802E-3</v>
      </c>
      <c r="AJ13" s="304">
        <v>5.2402802E-3</v>
      </c>
    </row>
    <row r="14" spans="1:36" x14ac:dyDescent="0.3">
      <c r="A14" s="354" t="s">
        <v>233</v>
      </c>
      <c r="B14" s="367" t="b">
        <v>0</v>
      </c>
      <c r="C14" s="368">
        <v>4000</v>
      </c>
      <c r="D14" s="354" t="s">
        <v>236</v>
      </c>
      <c r="E14" s="304">
        <v>1.259740992E-2</v>
      </c>
      <c r="F14" s="304">
        <v>1.2939225600000001E-2</v>
      </c>
      <c r="G14" s="304">
        <v>1.3284800320000002E-2</v>
      </c>
      <c r="H14" s="304">
        <v>1.3634116960000001E-2</v>
      </c>
      <c r="I14" s="304">
        <v>1.39871584E-2</v>
      </c>
      <c r="J14" s="304">
        <v>1.4343907519999999E-2</v>
      </c>
      <c r="K14" s="304">
        <v>1.4704348319999999E-2</v>
      </c>
      <c r="L14" s="304">
        <v>1.5068464320000001E-2</v>
      </c>
      <c r="M14" s="304">
        <v>1.5436239839999999E-2</v>
      </c>
      <c r="N14" s="304">
        <v>1.580765952E-2</v>
      </c>
      <c r="O14" s="304">
        <v>1.6182707680000002E-2</v>
      </c>
      <c r="P14" s="304">
        <v>1.65613696E-2</v>
      </c>
      <c r="Q14" s="304">
        <v>1.6943630560000002E-2</v>
      </c>
      <c r="R14" s="304">
        <v>1.7329476160000003E-2</v>
      </c>
      <c r="S14" s="304">
        <v>1.7718892E-2</v>
      </c>
      <c r="T14" s="304">
        <v>1.8111864160000001E-2</v>
      </c>
      <c r="U14" s="304">
        <v>1.8508378880000002E-2</v>
      </c>
      <c r="V14" s="304">
        <v>1.8908422880000001E-2</v>
      </c>
      <c r="W14" s="304">
        <v>1.931198256E-2</v>
      </c>
      <c r="X14" s="304">
        <v>1.9719044960000001E-2</v>
      </c>
      <c r="Y14" s="304">
        <v>2.0129597120000002E-2</v>
      </c>
      <c r="Z14" s="304">
        <v>2.054362656E-2</v>
      </c>
      <c r="AA14" s="304">
        <v>2.09611208E-2</v>
      </c>
      <c r="AB14" s="304">
        <v>2.09611208E-2</v>
      </c>
      <c r="AC14" s="304">
        <v>2.09611208E-2</v>
      </c>
      <c r="AD14" s="304">
        <v>2.09611208E-2</v>
      </c>
      <c r="AE14" s="304">
        <v>2.09611208E-2</v>
      </c>
      <c r="AF14" s="304">
        <v>2.09611208E-2</v>
      </c>
      <c r="AG14" s="304">
        <v>2.09611208E-2</v>
      </c>
      <c r="AH14" s="304">
        <v>2.09611208E-2</v>
      </c>
      <c r="AI14" s="304">
        <v>2.09611208E-2</v>
      </c>
      <c r="AJ14" s="304">
        <v>2.09611208E-2</v>
      </c>
    </row>
    <row r="15" spans="1:36" x14ac:dyDescent="0.3">
      <c r="A15" s="354" t="s">
        <v>235</v>
      </c>
      <c r="B15" s="367" t="b">
        <v>0</v>
      </c>
      <c r="C15" s="368">
        <v>650</v>
      </c>
      <c r="D15" s="354"/>
      <c r="E15" s="354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354"/>
      <c r="U15" s="354"/>
      <c r="V15" s="354"/>
      <c r="W15" s="354"/>
      <c r="X15" s="354"/>
      <c r="Y15" s="354"/>
      <c r="Z15" s="354"/>
      <c r="AA15" s="354"/>
      <c r="AB15" s="354"/>
      <c r="AC15" s="354"/>
      <c r="AD15" s="354"/>
      <c r="AE15" s="354"/>
      <c r="AF15" s="354"/>
      <c r="AG15" s="354"/>
      <c r="AH15" s="354"/>
      <c r="AI15" s="354"/>
      <c r="AJ15" s="354"/>
    </row>
    <row r="16" spans="1:36" x14ac:dyDescent="0.3">
      <c r="A16" s="354" t="s">
        <v>237</v>
      </c>
      <c r="B16" s="369" t="b">
        <v>0</v>
      </c>
      <c r="C16" s="368">
        <v>300000</v>
      </c>
      <c r="D16" s="354" t="s">
        <v>201</v>
      </c>
      <c r="E16" s="305">
        <v>271726.49576920399</v>
      </c>
      <c r="F16" s="305">
        <v>285320.88237505034</v>
      </c>
      <c r="G16" s="305">
        <v>295287.36990711221</v>
      </c>
      <c r="H16" s="305">
        <v>304173.7203946443</v>
      </c>
      <c r="I16" s="305">
        <v>311140.7003087753</v>
      </c>
      <c r="J16" s="305">
        <v>315210.02787676285</v>
      </c>
      <c r="K16" s="305">
        <v>320547.86498746503</v>
      </c>
      <c r="L16" s="305">
        <v>330889.42654053797</v>
      </c>
      <c r="M16" s="305">
        <v>342866.66141804599</v>
      </c>
      <c r="N16" s="305">
        <v>346896.1687025521</v>
      </c>
      <c r="O16" s="305">
        <v>355179.45820060186</v>
      </c>
      <c r="P16" s="305">
        <v>363545.0497928611</v>
      </c>
      <c r="Q16" s="305">
        <v>371992.68972877495</v>
      </c>
      <c r="R16" s="305">
        <v>380522.13161977479</v>
      </c>
      <c r="S16" s="305">
        <v>389133.12936380506</v>
      </c>
      <c r="T16" s="305">
        <v>397825.44775530783</v>
      </c>
      <c r="U16" s="305">
        <v>406598.85541134502</v>
      </c>
      <c r="V16" s="305">
        <v>415453.13185232208</v>
      </c>
      <c r="W16" s="305">
        <v>424388.04979536857</v>
      </c>
      <c r="X16" s="305">
        <v>433403.3963996669</v>
      </c>
      <c r="Y16" s="305">
        <v>442498.95909989538</v>
      </c>
      <c r="Z16" s="305">
        <v>451674.5362376523</v>
      </c>
      <c r="AA16" s="305">
        <v>460929.92642823589</v>
      </c>
      <c r="AB16" s="305">
        <v>470264.92855308962</v>
      </c>
      <c r="AC16" s="305">
        <v>479679.35595213843</v>
      </c>
      <c r="AD16" s="305">
        <v>489173.01513320534</v>
      </c>
      <c r="AE16" s="305">
        <v>498745.72351470112</v>
      </c>
      <c r="AF16" s="305">
        <v>508397.30588298471</v>
      </c>
      <c r="AG16" s="305">
        <v>508397.30588298471</v>
      </c>
      <c r="AH16" s="305">
        <v>508397.30588298471</v>
      </c>
      <c r="AI16" s="305">
        <v>508397.30588298471</v>
      </c>
      <c r="AJ16" s="305">
        <v>508397.30588298471</v>
      </c>
    </row>
    <row r="17" spans="1:36" x14ac:dyDescent="0.3">
      <c r="A17" s="354" t="s">
        <v>238</v>
      </c>
      <c r="B17" s="369" t="b">
        <v>0</v>
      </c>
      <c r="C17" s="368">
        <v>639520.09377524676</v>
      </c>
      <c r="D17" s="354" t="s">
        <v>240</v>
      </c>
      <c r="E17" s="306">
        <v>569.43302312389608</v>
      </c>
      <c r="F17" s="306">
        <v>584.88390844473759</v>
      </c>
      <c r="G17" s="306">
        <v>600.50471135378461</v>
      </c>
      <c r="H17" s="306">
        <v>616.29465798613819</v>
      </c>
      <c r="I17" s="306">
        <v>632.25297447689923</v>
      </c>
      <c r="J17" s="306">
        <v>648.37888696116886</v>
      </c>
      <c r="K17" s="306">
        <v>664.67167220072349</v>
      </c>
      <c r="L17" s="306">
        <v>681.13058526019313</v>
      </c>
      <c r="M17" s="306">
        <v>697.75491736611889</v>
      </c>
      <c r="N17" s="306">
        <v>714.54397420980615</v>
      </c>
      <c r="O17" s="306">
        <v>731.49704701779626</v>
      </c>
      <c r="P17" s="306">
        <v>748.61347041092324</v>
      </c>
      <c r="Q17" s="306">
        <v>765.89257901002202</v>
      </c>
      <c r="R17" s="306">
        <v>783.3337219006911</v>
      </c>
      <c r="S17" s="306">
        <v>800.93624816852969</v>
      </c>
      <c r="T17" s="306">
        <v>818.69952859628359</v>
      </c>
      <c r="U17" s="306">
        <v>836.6229411990804</v>
      </c>
      <c r="V17" s="306">
        <v>854.70588568919459</v>
      </c>
      <c r="W17" s="306">
        <v>872.94774731413656</v>
      </c>
      <c r="X17" s="306">
        <v>891.3479402509455</v>
      </c>
      <c r="Y17" s="306">
        <v>909.90587867666011</v>
      </c>
      <c r="Z17" s="306">
        <v>928.62099846546607</v>
      </c>
      <c r="AA17" s="306">
        <v>947.4927354915493</v>
      </c>
      <c r="AB17" s="306">
        <v>947.4927354915493</v>
      </c>
      <c r="AC17" s="306">
        <v>947.4927354915493</v>
      </c>
      <c r="AD17" s="306">
        <v>947.4927354915493</v>
      </c>
      <c r="AE17" s="306">
        <v>947.4927354915493</v>
      </c>
      <c r="AF17" s="306">
        <v>947.4927354915493</v>
      </c>
      <c r="AG17" s="306">
        <v>947.4927354915493</v>
      </c>
      <c r="AH17" s="306">
        <v>947.4927354915493</v>
      </c>
      <c r="AI17" s="306">
        <v>947.4927354915493</v>
      </c>
      <c r="AJ17" s="306">
        <v>947.4927354915493</v>
      </c>
    </row>
    <row r="18" spans="1:36" x14ac:dyDescent="0.3">
      <c r="A18" s="354" t="s">
        <v>239</v>
      </c>
      <c r="B18" s="367" t="b">
        <v>0</v>
      </c>
      <c r="C18" s="368">
        <v>6104131</v>
      </c>
      <c r="D18" s="354" t="s">
        <v>242</v>
      </c>
      <c r="E18" s="306">
        <v>23068.872123713856</v>
      </c>
      <c r="F18" s="306">
        <v>23694.818430286083</v>
      </c>
      <c r="G18" s="306">
        <v>24327.648438636581</v>
      </c>
      <c r="H18" s="306">
        <v>24967.330797948533</v>
      </c>
      <c r="I18" s="306">
        <v>25613.834157405119</v>
      </c>
      <c r="J18" s="306">
        <v>26267.127166189533</v>
      </c>
      <c r="K18" s="306">
        <v>26927.180524472977</v>
      </c>
      <c r="L18" s="306">
        <v>27593.964053431777</v>
      </c>
      <c r="M18" s="306">
        <v>28267.44903923371</v>
      </c>
      <c r="N18" s="306">
        <v>28947.607354043135</v>
      </c>
      <c r="O18" s="306">
        <v>29634.410284027828</v>
      </c>
      <c r="P18" s="306">
        <v>30327.830873345283</v>
      </c>
      <c r="Q18" s="306">
        <v>31027.842166153012</v>
      </c>
      <c r="R18" s="306">
        <v>31734.417792605094</v>
      </c>
      <c r="S18" s="306">
        <v>32447.531382855599</v>
      </c>
      <c r="T18" s="306">
        <v>33167.15744605349</v>
      </c>
      <c r="U18" s="306">
        <v>33893.270784345987</v>
      </c>
      <c r="V18" s="306">
        <v>34625.847078875187</v>
      </c>
      <c r="W18" s="306">
        <v>35364.861424786606</v>
      </c>
      <c r="X18" s="306">
        <v>36110.290089218928</v>
      </c>
      <c r="Y18" s="306">
        <v>36862.109339310824</v>
      </c>
      <c r="Z18" s="306">
        <v>37620.296321195812</v>
      </c>
      <c r="AA18" s="306">
        <v>38384.82818100744</v>
      </c>
      <c r="AB18" s="306">
        <v>38384.82818100744</v>
      </c>
      <c r="AC18" s="306">
        <v>38384.82818100744</v>
      </c>
      <c r="AD18" s="306">
        <v>38384.82818100744</v>
      </c>
      <c r="AE18" s="306">
        <v>38384.82818100744</v>
      </c>
      <c r="AF18" s="306">
        <v>38384.82818100744</v>
      </c>
      <c r="AG18" s="306">
        <v>38384.82818100744</v>
      </c>
      <c r="AH18" s="306">
        <v>38384.82818100744</v>
      </c>
      <c r="AI18" s="306">
        <v>38384.82818100744</v>
      </c>
      <c r="AJ18" s="306">
        <v>38384.82818100744</v>
      </c>
    </row>
    <row r="19" spans="1:36" x14ac:dyDescent="0.3">
      <c r="A19" s="354" t="s">
        <v>241</v>
      </c>
      <c r="B19" s="367" t="b">
        <v>0</v>
      </c>
      <c r="C19" s="368">
        <v>0</v>
      </c>
      <c r="D19" s="354" t="s">
        <v>244</v>
      </c>
      <c r="E19" s="306">
        <v>2065.9752268799998</v>
      </c>
      <c r="F19" s="306">
        <v>2122.0329984000005</v>
      </c>
      <c r="G19" s="306">
        <v>2178.7072524800001</v>
      </c>
      <c r="H19" s="306">
        <v>2235.9951814400001</v>
      </c>
      <c r="I19" s="306">
        <v>2293.8939775999997</v>
      </c>
      <c r="J19" s="306">
        <v>2352.4008332799999</v>
      </c>
      <c r="K19" s="306">
        <v>2411.51312448</v>
      </c>
      <c r="L19" s="306">
        <v>2471.2281484800001</v>
      </c>
      <c r="M19" s="306">
        <v>2531.5433337599998</v>
      </c>
      <c r="N19" s="306">
        <v>2592.4561612799998</v>
      </c>
      <c r="O19" s="306">
        <v>2653.9640595200003</v>
      </c>
      <c r="P19" s="306">
        <v>2716.0646144000002</v>
      </c>
      <c r="Q19" s="306">
        <v>2778.7554118400003</v>
      </c>
      <c r="R19" s="306">
        <v>2842.0340902400003</v>
      </c>
      <c r="S19" s="306">
        <v>2905.8982879999999</v>
      </c>
      <c r="T19" s="306">
        <v>2970.3457222400002</v>
      </c>
      <c r="U19" s="306">
        <v>3035.3741363200002</v>
      </c>
      <c r="V19" s="306">
        <v>3100.98135232</v>
      </c>
      <c r="W19" s="306">
        <v>3167.1651398399999</v>
      </c>
      <c r="X19" s="306">
        <v>3233.92337344</v>
      </c>
      <c r="Y19" s="306">
        <v>3301.2539276800003</v>
      </c>
      <c r="Z19" s="306">
        <v>3369.1547558400002</v>
      </c>
      <c r="AA19" s="306">
        <v>3437.6238112000001</v>
      </c>
      <c r="AB19" s="306">
        <v>3437.6238112000001</v>
      </c>
      <c r="AC19" s="306">
        <v>3437.6238112000001</v>
      </c>
      <c r="AD19" s="306">
        <v>3437.6238112000001</v>
      </c>
      <c r="AE19" s="306">
        <v>3437.6238112000001</v>
      </c>
      <c r="AF19" s="306">
        <v>3437.6238112000001</v>
      </c>
      <c r="AG19" s="306">
        <v>3437.6238112000001</v>
      </c>
      <c r="AH19" s="306">
        <v>3437.6238112000001</v>
      </c>
      <c r="AI19" s="306">
        <v>3437.6238112000001</v>
      </c>
      <c r="AJ19" s="306">
        <v>3437.6238112000001</v>
      </c>
    </row>
    <row r="20" spans="1:36" x14ac:dyDescent="0.3">
      <c r="A20" s="354" t="s">
        <v>243</v>
      </c>
      <c r="B20" s="367" t="b">
        <v>0</v>
      </c>
      <c r="C20" s="368">
        <v>0</v>
      </c>
      <c r="D20" s="354" t="s">
        <v>246</v>
      </c>
      <c r="E20" s="306">
        <v>141000</v>
      </c>
      <c r="F20" s="306">
        <v>141000</v>
      </c>
      <c r="G20" s="306">
        <v>141000</v>
      </c>
      <c r="H20" s="306">
        <v>141000</v>
      </c>
      <c r="I20" s="306">
        <v>141000</v>
      </c>
      <c r="J20" s="306">
        <v>141000</v>
      </c>
      <c r="K20" s="306">
        <v>141000</v>
      </c>
      <c r="L20" s="306">
        <v>141000</v>
      </c>
      <c r="M20" s="306">
        <v>141000</v>
      </c>
      <c r="N20" s="306">
        <v>141000</v>
      </c>
      <c r="O20" s="306">
        <v>141000</v>
      </c>
      <c r="P20" s="306">
        <v>141000</v>
      </c>
      <c r="Q20" s="306">
        <v>141000</v>
      </c>
      <c r="R20" s="306">
        <v>141000</v>
      </c>
      <c r="S20" s="306">
        <v>141000</v>
      </c>
      <c r="T20" s="306">
        <v>141000</v>
      </c>
      <c r="U20" s="306">
        <v>141000</v>
      </c>
      <c r="V20" s="306">
        <v>141000</v>
      </c>
      <c r="W20" s="306">
        <v>141000</v>
      </c>
      <c r="X20" s="306">
        <v>141000</v>
      </c>
      <c r="Y20" s="306">
        <v>141000</v>
      </c>
      <c r="Z20" s="306">
        <v>141000</v>
      </c>
      <c r="AA20" s="306">
        <v>141000</v>
      </c>
      <c r="AB20" s="306">
        <v>141000</v>
      </c>
      <c r="AC20" s="306">
        <v>141000</v>
      </c>
      <c r="AD20" s="306">
        <v>141000</v>
      </c>
      <c r="AE20" s="306">
        <v>141000</v>
      </c>
      <c r="AF20" s="306">
        <v>141000</v>
      </c>
      <c r="AG20" s="306">
        <v>141000</v>
      </c>
      <c r="AH20" s="306">
        <v>141000</v>
      </c>
      <c r="AI20" s="306">
        <v>141000</v>
      </c>
      <c r="AJ20" s="306">
        <v>141000</v>
      </c>
    </row>
    <row r="21" spans="1:36" x14ac:dyDescent="0.3">
      <c r="A21" s="354" t="s">
        <v>245</v>
      </c>
      <c r="B21" s="367" t="b">
        <v>0</v>
      </c>
      <c r="C21" s="368">
        <v>0</v>
      </c>
      <c r="D21" s="354" t="s">
        <v>248</v>
      </c>
      <c r="E21" s="370">
        <v>0</v>
      </c>
      <c r="F21" s="370">
        <v>0</v>
      </c>
      <c r="G21" s="370">
        <v>0</v>
      </c>
      <c r="H21" s="370">
        <v>0</v>
      </c>
      <c r="I21" s="370">
        <v>0</v>
      </c>
      <c r="J21" s="370">
        <v>0</v>
      </c>
      <c r="K21" s="370">
        <v>0</v>
      </c>
      <c r="L21" s="370">
        <v>0</v>
      </c>
      <c r="M21" s="370">
        <v>0</v>
      </c>
      <c r="N21" s="370">
        <v>0</v>
      </c>
      <c r="O21" s="370">
        <v>0</v>
      </c>
      <c r="P21" s="370">
        <v>0</v>
      </c>
      <c r="Q21" s="370">
        <v>0</v>
      </c>
      <c r="R21" s="370">
        <v>0</v>
      </c>
      <c r="S21" s="370">
        <v>0</v>
      </c>
      <c r="T21" s="370">
        <v>0</v>
      </c>
      <c r="U21" s="370">
        <v>0</v>
      </c>
      <c r="V21" s="370">
        <v>0</v>
      </c>
      <c r="W21" s="370">
        <v>0</v>
      </c>
      <c r="X21" s="370">
        <v>0</v>
      </c>
      <c r="Y21" s="370">
        <v>0</v>
      </c>
      <c r="Z21" s="370">
        <v>0</v>
      </c>
      <c r="AA21" s="370">
        <v>0</v>
      </c>
      <c r="AB21" s="370">
        <v>0</v>
      </c>
      <c r="AC21" s="370">
        <v>0</v>
      </c>
      <c r="AD21" s="370">
        <v>0</v>
      </c>
      <c r="AE21" s="370">
        <v>0</v>
      </c>
      <c r="AF21" s="370">
        <v>0</v>
      </c>
      <c r="AG21" s="370">
        <v>0</v>
      </c>
      <c r="AH21" s="370">
        <v>0</v>
      </c>
      <c r="AI21" s="370">
        <v>0</v>
      </c>
      <c r="AJ21" s="370">
        <v>0</v>
      </c>
    </row>
    <row r="22" spans="1:36" x14ac:dyDescent="0.3">
      <c r="A22" s="354" t="s">
        <v>247</v>
      </c>
      <c r="B22" s="367" t="b">
        <v>1</v>
      </c>
      <c r="C22" s="368">
        <v>0</v>
      </c>
      <c r="D22" s="354" t="s">
        <v>250</v>
      </c>
      <c r="E22" s="370">
        <v>0</v>
      </c>
      <c r="F22" s="370">
        <v>0</v>
      </c>
      <c r="G22" s="370">
        <v>0</v>
      </c>
      <c r="H22" s="370">
        <v>0</v>
      </c>
      <c r="I22" s="370">
        <v>0</v>
      </c>
      <c r="J22" s="370">
        <v>0</v>
      </c>
      <c r="K22" s="370">
        <v>0</v>
      </c>
      <c r="L22" s="370">
        <v>0</v>
      </c>
      <c r="M22" s="370">
        <v>0</v>
      </c>
      <c r="N22" s="370">
        <v>0</v>
      </c>
      <c r="O22" s="370">
        <v>0</v>
      </c>
      <c r="P22" s="370">
        <v>0</v>
      </c>
      <c r="Q22" s="370">
        <v>0</v>
      </c>
      <c r="R22" s="370">
        <v>0</v>
      </c>
      <c r="S22" s="370">
        <v>0</v>
      </c>
      <c r="T22" s="370">
        <v>0</v>
      </c>
      <c r="U22" s="370">
        <v>0</v>
      </c>
      <c r="V22" s="370">
        <v>0</v>
      </c>
      <c r="W22" s="370">
        <v>0</v>
      </c>
      <c r="X22" s="370">
        <v>0</v>
      </c>
      <c r="Y22" s="370">
        <v>0</v>
      </c>
      <c r="Z22" s="370">
        <v>0</v>
      </c>
      <c r="AA22" s="370">
        <v>0</v>
      </c>
      <c r="AB22" s="370">
        <v>0</v>
      </c>
      <c r="AC22" s="370">
        <v>0</v>
      </c>
      <c r="AD22" s="370">
        <v>0</v>
      </c>
      <c r="AE22" s="370">
        <v>0</v>
      </c>
      <c r="AF22" s="370">
        <v>0</v>
      </c>
      <c r="AG22" s="370">
        <v>0</v>
      </c>
      <c r="AH22" s="370">
        <v>0</v>
      </c>
      <c r="AI22" s="370">
        <v>0</v>
      </c>
      <c r="AJ22" s="370">
        <v>0</v>
      </c>
    </row>
    <row r="23" spans="1:36" x14ac:dyDescent="0.3">
      <c r="A23" s="354" t="s">
        <v>249</v>
      </c>
      <c r="B23" s="369">
        <v>0</v>
      </c>
      <c r="C23" s="368">
        <v>0</v>
      </c>
      <c r="D23" s="372" t="s">
        <v>251</v>
      </c>
      <c r="E23" s="373">
        <v>0</v>
      </c>
      <c r="F23" s="373">
        <v>0</v>
      </c>
      <c r="G23" s="373">
        <v>0</v>
      </c>
      <c r="H23" s="373">
        <v>0</v>
      </c>
      <c r="I23" s="373">
        <v>0</v>
      </c>
      <c r="J23" s="373">
        <v>0</v>
      </c>
      <c r="K23" s="373">
        <v>0</v>
      </c>
      <c r="L23" s="373">
        <v>0</v>
      </c>
      <c r="M23" s="373">
        <v>0</v>
      </c>
      <c r="N23" s="373">
        <v>0</v>
      </c>
      <c r="O23" s="373">
        <v>0</v>
      </c>
      <c r="P23" s="373">
        <v>0</v>
      </c>
      <c r="Q23" s="373">
        <v>0</v>
      </c>
      <c r="R23" s="373">
        <v>0</v>
      </c>
      <c r="S23" s="373">
        <v>0</v>
      </c>
      <c r="T23" s="373">
        <v>0</v>
      </c>
      <c r="U23" s="373">
        <v>0</v>
      </c>
      <c r="V23" s="373">
        <v>0</v>
      </c>
      <c r="W23" s="373">
        <v>0</v>
      </c>
      <c r="X23" s="373">
        <v>0</v>
      </c>
      <c r="Y23" s="373">
        <v>0</v>
      </c>
      <c r="Z23" s="373">
        <v>0</v>
      </c>
      <c r="AA23" s="373">
        <v>0</v>
      </c>
      <c r="AB23" s="373">
        <v>0</v>
      </c>
      <c r="AC23" s="373">
        <v>0</v>
      </c>
      <c r="AD23" s="373">
        <v>0</v>
      </c>
      <c r="AE23" s="373">
        <v>0</v>
      </c>
      <c r="AF23" s="373">
        <v>0</v>
      </c>
      <c r="AG23" s="373">
        <v>0</v>
      </c>
      <c r="AH23" s="373">
        <v>0</v>
      </c>
      <c r="AI23" s="373">
        <v>0</v>
      </c>
      <c r="AJ23" s="373">
        <v>0</v>
      </c>
    </row>
    <row r="24" spans="1:36" x14ac:dyDescent="0.3">
      <c r="A24" s="371"/>
      <c r="B24" s="371"/>
      <c r="C24" s="368">
        <v>0</v>
      </c>
      <c r="D24" s="375" t="s">
        <v>252</v>
      </c>
      <c r="E24" s="376">
        <v>438430.77614292171</v>
      </c>
      <c r="F24" s="376">
        <v>452722.61771218112</v>
      </c>
      <c r="G24" s="376">
        <v>463394.23030958255</v>
      </c>
      <c r="H24" s="376">
        <v>472993.341032019</v>
      </c>
      <c r="I24" s="376">
        <v>480680.6814182573</v>
      </c>
      <c r="J24" s="376">
        <v>485477.93476319354</v>
      </c>
      <c r="K24" s="376">
        <v>491551.23030861875</v>
      </c>
      <c r="L24" s="376">
        <v>502635.7493277099</v>
      </c>
      <c r="M24" s="376">
        <v>515363.40870840586</v>
      </c>
      <c r="N24" s="376">
        <v>520150.776192085</v>
      </c>
      <c r="O24" s="376">
        <v>529199.32959116739</v>
      </c>
      <c r="P24" s="376">
        <v>538337.55875101732</v>
      </c>
      <c r="Q24" s="376">
        <v>547565.17988577799</v>
      </c>
      <c r="R24" s="376">
        <v>556881.91722452058</v>
      </c>
      <c r="S24" s="376">
        <v>566287.49528282927</v>
      </c>
      <c r="T24" s="376">
        <v>575781.65045219753</v>
      </c>
      <c r="U24" s="376">
        <v>585364.12327321013</v>
      </c>
      <c r="V24" s="376">
        <v>595034.66616920638</v>
      </c>
      <c r="W24" s="376">
        <v>604793.02410730929</v>
      </c>
      <c r="X24" s="376">
        <v>614638.95780257671</v>
      </c>
      <c r="Y24" s="376">
        <v>624572.22824556287</v>
      </c>
      <c r="Z24" s="376">
        <v>634592.6083131535</v>
      </c>
      <c r="AA24" s="376">
        <v>644699.87115593487</v>
      </c>
      <c r="AB24" s="376">
        <v>654034.87328078866</v>
      </c>
      <c r="AC24" s="376">
        <v>663449.30067983747</v>
      </c>
      <c r="AD24" s="376">
        <v>672942.95986090438</v>
      </c>
      <c r="AE24" s="376">
        <v>682515.66824240016</v>
      </c>
      <c r="AF24" s="376">
        <v>692167.2506106837</v>
      </c>
      <c r="AG24" s="376">
        <v>692167.2506106837</v>
      </c>
      <c r="AH24" s="376">
        <v>692167.2506106837</v>
      </c>
      <c r="AI24" s="376">
        <v>692167.2506106837</v>
      </c>
      <c r="AJ24" s="376">
        <v>692167.2506106837</v>
      </c>
    </row>
    <row r="25" spans="1:36" x14ac:dyDescent="0.3">
      <c r="A25" s="374"/>
      <c r="B25" s="374"/>
      <c r="C25" s="374"/>
    </row>
    <row r="27" spans="1:36" x14ac:dyDescent="0.3">
      <c r="A27" s="350" t="s">
        <v>207</v>
      </c>
      <c r="B27" s="350"/>
      <c r="C27" s="351" t="s">
        <v>208</v>
      </c>
      <c r="D27" s="351"/>
      <c r="F27" s="352" t="s">
        <v>209</v>
      </c>
      <c r="G27" s="353" t="s">
        <v>210</v>
      </c>
      <c r="H27" s="351" t="s">
        <v>211</v>
      </c>
      <c r="I27" s="351" t="s">
        <v>212</v>
      </c>
    </row>
    <row r="28" spans="1:36" x14ac:dyDescent="0.3">
      <c r="A28" s="354" t="s">
        <v>213</v>
      </c>
      <c r="B28" s="355" t="s">
        <v>70</v>
      </c>
      <c r="C28" s="356" t="s">
        <v>214</v>
      </c>
      <c r="D28" s="357"/>
      <c r="F28" s="356" t="s">
        <v>215</v>
      </c>
      <c r="G28" s="358" t="b">
        <v>1</v>
      </c>
      <c r="H28" s="353">
        <v>1</v>
      </c>
      <c r="I28" s="359"/>
    </row>
    <row r="29" spans="1:36" x14ac:dyDescent="0.3">
      <c r="A29" s="354" t="s">
        <v>216</v>
      </c>
      <c r="B29" s="355" t="s">
        <v>217</v>
      </c>
      <c r="C29" s="356" t="s">
        <v>218</v>
      </c>
      <c r="D29" s="357"/>
      <c r="F29" s="356" t="s">
        <v>219</v>
      </c>
      <c r="G29" s="358">
        <v>1.57467624E-3</v>
      </c>
      <c r="H29" s="353">
        <v>1</v>
      </c>
      <c r="I29" s="359"/>
    </row>
    <row r="30" spans="1:36" x14ac:dyDescent="0.3">
      <c r="A30" s="360" t="s">
        <v>67</v>
      </c>
      <c r="B30" s="361">
        <v>26.719967551056794</v>
      </c>
      <c r="C30" s="360" t="s">
        <v>220</v>
      </c>
      <c r="D30" s="362">
        <v>7324957.2000000002</v>
      </c>
      <c r="F30" s="356" t="s">
        <v>221</v>
      </c>
      <c r="G30" s="358">
        <v>1.57467624E-3</v>
      </c>
      <c r="H30" s="353">
        <v>1</v>
      </c>
      <c r="I30" s="359"/>
    </row>
    <row r="31" spans="1:36" x14ac:dyDescent="0.3">
      <c r="A31" s="360" t="s">
        <v>222</v>
      </c>
      <c r="B31" s="307">
        <v>0.5</v>
      </c>
      <c r="C31" s="360" t="s">
        <v>223</v>
      </c>
      <c r="D31" s="362">
        <v>164000</v>
      </c>
      <c r="F31" s="356" t="s">
        <v>224</v>
      </c>
      <c r="G31" s="363">
        <v>0</v>
      </c>
      <c r="H31" s="353">
        <v>1</v>
      </c>
      <c r="I31" s="359"/>
    </row>
    <row r="32" spans="1:36" x14ac:dyDescent="0.3">
      <c r="A32" s="364" t="s">
        <v>253</v>
      </c>
      <c r="B32" s="365" t="s">
        <v>226</v>
      </c>
      <c r="C32" s="351" t="s">
        <v>227</v>
      </c>
      <c r="D32" s="350" t="s">
        <v>228</v>
      </c>
      <c r="E32" s="351">
        <v>2025</v>
      </c>
      <c r="F32" s="351">
        <v>2026</v>
      </c>
      <c r="G32" s="351">
        <v>2027</v>
      </c>
      <c r="H32" s="351">
        <v>2028</v>
      </c>
      <c r="I32" s="351">
        <v>2029</v>
      </c>
      <c r="J32" s="351">
        <v>2030</v>
      </c>
      <c r="K32" s="351">
        <v>2031</v>
      </c>
      <c r="L32" s="351">
        <v>2032</v>
      </c>
      <c r="M32" s="351">
        <v>2033</v>
      </c>
      <c r="N32" s="351">
        <v>2034</v>
      </c>
      <c r="O32" s="351">
        <v>2035</v>
      </c>
      <c r="P32" s="351">
        <v>2036</v>
      </c>
      <c r="Q32" s="351">
        <v>2037</v>
      </c>
      <c r="R32" s="351">
        <v>2038</v>
      </c>
      <c r="S32" s="351">
        <v>2039</v>
      </c>
      <c r="T32" s="351">
        <v>2040</v>
      </c>
      <c r="U32" s="351">
        <v>2041</v>
      </c>
      <c r="V32" s="351">
        <v>2042</v>
      </c>
      <c r="W32" s="351">
        <v>2043</v>
      </c>
      <c r="X32" s="351">
        <v>2044</v>
      </c>
      <c r="Y32" s="351">
        <v>2045</v>
      </c>
      <c r="Z32" s="351">
        <v>2046</v>
      </c>
      <c r="AA32" s="351">
        <v>2047</v>
      </c>
      <c r="AB32" s="366">
        <v>2048</v>
      </c>
      <c r="AC32" s="366">
        <v>2049</v>
      </c>
      <c r="AD32" s="366">
        <v>2050</v>
      </c>
      <c r="AE32" s="366">
        <v>2051</v>
      </c>
      <c r="AF32" s="366">
        <v>2052</v>
      </c>
      <c r="AG32" s="366">
        <v>2053</v>
      </c>
      <c r="AH32" s="366">
        <v>2054</v>
      </c>
      <c r="AI32" s="366">
        <v>2055</v>
      </c>
      <c r="AJ32" s="366">
        <v>2056</v>
      </c>
    </row>
    <row r="33" spans="1:36" x14ac:dyDescent="0.3">
      <c r="A33" s="354" t="s">
        <v>229</v>
      </c>
      <c r="B33" s="367" t="b">
        <v>0</v>
      </c>
      <c r="C33" s="368">
        <v>2000000</v>
      </c>
      <c r="D33" s="354"/>
      <c r="E33" s="302"/>
      <c r="F33" s="302"/>
      <c r="G33" s="302"/>
      <c r="H33" s="302"/>
      <c r="I33" s="302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2"/>
      <c r="AB33" s="302"/>
      <c r="AC33" s="302"/>
      <c r="AD33" s="302"/>
      <c r="AE33" s="302"/>
      <c r="AF33" s="302"/>
      <c r="AG33" s="302"/>
      <c r="AH33" s="302"/>
      <c r="AI33" s="302"/>
      <c r="AJ33" s="302"/>
    </row>
    <row r="34" spans="1:36" x14ac:dyDescent="0.3">
      <c r="A34" s="354" t="s">
        <v>231</v>
      </c>
      <c r="B34" s="367" t="b">
        <v>0</v>
      </c>
      <c r="C34" s="368">
        <v>50000</v>
      </c>
      <c r="D34" s="354" t="s">
        <v>350</v>
      </c>
      <c r="E34" s="303"/>
      <c r="F34" s="303"/>
      <c r="G34" s="303"/>
      <c r="H34" s="303">
        <v>321.64805124710335</v>
      </c>
      <c r="I34" s="303">
        <v>585.50823967232736</v>
      </c>
      <c r="J34" s="303">
        <v>826.7537508164055</v>
      </c>
      <c r="K34" s="303">
        <v>1060.3921281174191</v>
      </c>
      <c r="L34" s="303">
        <v>1307.0931773896093</v>
      </c>
      <c r="M34" s="303">
        <v>1562.4421945779409</v>
      </c>
      <c r="N34" s="303">
        <v>1780.7625872638514</v>
      </c>
      <c r="O34" s="303">
        <v>2018.5591163844883</v>
      </c>
      <c r="P34" s="303">
        <v>2257.3259350468093</v>
      </c>
      <c r="Q34" s="303">
        <v>2497.4350755649757</v>
      </c>
      <c r="R34" s="303">
        <v>2739.1682332646074</v>
      </c>
      <c r="S34" s="303">
        <v>2982.7451517391319</v>
      </c>
      <c r="T34" s="303">
        <v>3228.3400115228933</v>
      </c>
      <c r="U34" s="303">
        <v>3476.0926005320407</v>
      </c>
      <c r="V34" s="303">
        <v>3726.1167472827401</v>
      </c>
      <c r="W34" s="303">
        <v>3978.5062513029102</v>
      </c>
      <c r="X34" s="303">
        <v>4233.3391539737659</v>
      </c>
      <c r="Y34" s="303">
        <v>4490.6800452292</v>
      </c>
      <c r="Z34" s="303">
        <v>4750.5838387841195</v>
      </c>
      <c r="AA34" s="303">
        <v>5013.09677651313</v>
      </c>
      <c r="AB34" s="303">
        <v>5278.2576761802775</v>
      </c>
      <c r="AC34" s="303">
        <v>5546.1000971611056</v>
      </c>
      <c r="AD34" s="303">
        <v>5816.6521530651044</v>
      </c>
      <c r="AE34" s="303">
        <v>6089.9380259711506</v>
      </c>
      <c r="AF34" s="303">
        <v>6365.9782640398043</v>
      </c>
      <c r="AG34" s="303">
        <v>6365.9782640398043</v>
      </c>
      <c r="AH34" s="303">
        <v>6365.9782640398043</v>
      </c>
      <c r="AI34" s="303">
        <v>6365.9782640398043</v>
      </c>
      <c r="AJ34" s="303">
        <v>6365.9782640398043</v>
      </c>
    </row>
    <row r="35" spans="1:36" x14ac:dyDescent="0.3">
      <c r="A35" s="354" t="s">
        <v>232</v>
      </c>
      <c r="B35" s="367" t="b">
        <v>0</v>
      </c>
      <c r="C35" s="368">
        <v>300000</v>
      </c>
      <c r="D35" s="354" t="s">
        <v>234</v>
      </c>
      <c r="E35" s="304"/>
      <c r="F35" s="304"/>
      <c r="G35" s="304"/>
      <c r="H35" s="304">
        <v>1.7056396600000001E-3</v>
      </c>
      <c r="I35" s="304">
        <v>1.75286228E-3</v>
      </c>
      <c r="J35" s="304">
        <v>1.8018890199999998E-3</v>
      </c>
      <c r="K35" s="304">
        <v>1.85255844E-3</v>
      </c>
      <c r="L35" s="304">
        <v>1.90476904E-3</v>
      </c>
      <c r="M35" s="304">
        <v>1.95844806E-3</v>
      </c>
      <c r="N35" s="304">
        <v>2.0135393599999998E-3</v>
      </c>
      <c r="O35" s="304">
        <v>2.0699975400000001E-3</v>
      </c>
      <c r="P35" s="304">
        <v>2.1277847400000003E-3</v>
      </c>
      <c r="Q35" s="304">
        <v>2.1868686000000004E-3</v>
      </c>
      <c r="R35" s="304">
        <v>2.2472208800000002E-3</v>
      </c>
      <c r="S35" s="304">
        <v>2.3088166200000001E-3</v>
      </c>
      <c r="T35" s="304">
        <v>2.3716335200000003E-3</v>
      </c>
      <c r="U35" s="304">
        <v>2.4356514000000002E-3</v>
      </c>
      <c r="V35" s="304">
        <v>2.5008519E-3</v>
      </c>
      <c r="W35" s="304">
        <v>2.56721812E-3</v>
      </c>
      <c r="X35" s="304">
        <v>2.6347345200000002E-3</v>
      </c>
      <c r="Y35" s="304">
        <v>2.7033866000000001E-3</v>
      </c>
      <c r="Z35" s="304">
        <v>2.77316092E-3</v>
      </c>
      <c r="AA35" s="304">
        <v>2.84404486E-3</v>
      </c>
      <c r="AB35" s="304">
        <v>2.84404486E-3</v>
      </c>
      <c r="AC35" s="304">
        <v>2.84404486E-3</v>
      </c>
      <c r="AD35" s="304">
        <v>2.84404486E-3</v>
      </c>
      <c r="AE35" s="304">
        <v>2.84404486E-3</v>
      </c>
      <c r="AF35" s="304">
        <v>2.84404486E-3</v>
      </c>
      <c r="AG35" s="304">
        <v>2.84404486E-3</v>
      </c>
      <c r="AH35" s="304">
        <v>2.84404486E-3</v>
      </c>
      <c r="AI35" s="304">
        <v>2.84404486E-3</v>
      </c>
      <c r="AJ35" s="304">
        <v>2.84404486E-3</v>
      </c>
    </row>
    <row r="36" spans="1:36" x14ac:dyDescent="0.3">
      <c r="A36" s="354" t="s">
        <v>233</v>
      </c>
      <c r="B36" s="367" t="b">
        <v>0</v>
      </c>
      <c r="C36" s="368">
        <v>4000</v>
      </c>
      <c r="D36" s="354" t="s">
        <v>236</v>
      </c>
      <c r="E36" s="304"/>
      <c r="F36" s="304"/>
      <c r="G36" s="304"/>
      <c r="H36" s="304">
        <v>6.8225586400000003E-3</v>
      </c>
      <c r="I36" s="304">
        <v>7.0114491199999998E-3</v>
      </c>
      <c r="J36" s="304">
        <v>7.2075560799999992E-3</v>
      </c>
      <c r="K36" s="304">
        <v>7.41023376E-3</v>
      </c>
      <c r="L36" s="304">
        <v>7.61907616E-3</v>
      </c>
      <c r="M36" s="304">
        <v>7.8337922399999999E-3</v>
      </c>
      <c r="N36" s="304">
        <v>8.0541574399999993E-3</v>
      </c>
      <c r="O36" s="304">
        <v>8.2799901600000003E-3</v>
      </c>
      <c r="P36" s="304">
        <v>8.5111389600000011E-3</v>
      </c>
      <c r="Q36" s="304">
        <v>8.7474744000000017E-3</v>
      </c>
      <c r="R36" s="304">
        <v>8.988883520000001E-3</v>
      </c>
      <c r="S36" s="304">
        <v>9.2352664800000005E-3</v>
      </c>
      <c r="T36" s="304">
        <v>9.486534080000001E-3</v>
      </c>
      <c r="U36" s="304">
        <v>9.7426056000000007E-3</v>
      </c>
      <c r="V36" s="304">
        <v>1.00034076E-2</v>
      </c>
      <c r="W36" s="304">
        <v>1.026887248E-2</v>
      </c>
      <c r="X36" s="304">
        <v>1.0538938080000001E-2</v>
      </c>
      <c r="Y36" s="304">
        <v>1.08135464E-2</v>
      </c>
      <c r="Z36" s="304">
        <v>1.109264368E-2</v>
      </c>
      <c r="AA36" s="304">
        <v>1.137617944E-2</v>
      </c>
      <c r="AB36" s="304">
        <v>1.137617944E-2</v>
      </c>
      <c r="AC36" s="304">
        <v>1.137617944E-2</v>
      </c>
      <c r="AD36" s="304">
        <v>1.137617944E-2</v>
      </c>
      <c r="AE36" s="304">
        <v>1.137617944E-2</v>
      </c>
      <c r="AF36" s="304">
        <v>1.137617944E-2</v>
      </c>
      <c r="AG36" s="304">
        <v>1.137617944E-2</v>
      </c>
      <c r="AH36" s="304">
        <v>1.137617944E-2</v>
      </c>
      <c r="AI36" s="304">
        <v>1.137617944E-2</v>
      </c>
      <c r="AJ36" s="304">
        <v>1.137617944E-2</v>
      </c>
    </row>
    <row r="37" spans="1:36" x14ac:dyDescent="0.3">
      <c r="A37" s="354" t="s">
        <v>235</v>
      </c>
      <c r="B37" s="367" t="b">
        <v>0</v>
      </c>
      <c r="C37" s="368">
        <v>650</v>
      </c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  <c r="AD37" s="354"/>
      <c r="AE37" s="354"/>
      <c r="AF37" s="354"/>
      <c r="AG37" s="354"/>
      <c r="AH37" s="354"/>
      <c r="AI37" s="354"/>
      <c r="AJ37" s="354"/>
    </row>
    <row r="38" spans="1:36" x14ac:dyDescent="0.3">
      <c r="A38" s="354" t="s">
        <v>237</v>
      </c>
      <c r="B38" s="369" t="b">
        <v>0</v>
      </c>
      <c r="C38" s="368">
        <v>300000</v>
      </c>
      <c r="D38" s="354" t="s">
        <v>201</v>
      </c>
      <c r="E38" s="370">
        <v>0</v>
      </c>
      <c r="F38" s="370">
        <v>0</v>
      </c>
      <c r="G38" s="370">
        <v>0</v>
      </c>
      <c r="H38" s="305">
        <v>8594.4254921832544</v>
      </c>
      <c r="I38" s="305">
        <v>15644.76116492097</v>
      </c>
      <c r="J38" s="305">
        <v>22090.83339452885</v>
      </c>
      <c r="K38" s="305">
        <v>28333.643254693496</v>
      </c>
      <c r="L38" s="305">
        <v>34925.48728605808</v>
      </c>
      <c r="M38" s="305">
        <v>41748.404739524543</v>
      </c>
      <c r="N38" s="305">
        <v>47581.918547826048</v>
      </c>
      <c r="O38" s="305">
        <v>53935.834089683405</v>
      </c>
      <c r="P38" s="305">
        <v>60315.675736609679</v>
      </c>
      <c r="Q38" s="305">
        <v>66731.384179967223</v>
      </c>
      <c r="R38" s="305">
        <v>73190.486309715881</v>
      </c>
      <c r="S38" s="305">
        <v>79698.853667541582</v>
      </c>
      <c r="T38" s="305">
        <v>86261.140351670023</v>
      </c>
      <c r="U38" s="305">
        <v>92881.081490684752</v>
      </c>
      <c r="V38" s="305">
        <v>99561.718578844098</v>
      </c>
      <c r="W38" s="305">
        <v>106305.55793649037</v>
      </c>
      <c r="X38" s="305">
        <v>113114.68482679724</v>
      </c>
      <c r="Y38" s="305">
        <v>119990.82509070248</v>
      </c>
      <c r="Z38" s="305">
        <v>126935.44602088649</v>
      </c>
      <c r="AA38" s="305">
        <v>133949.78319873824</v>
      </c>
      <c r="AB38" s="305">
        <v>141034.87383365346</v>
      </c>
      <c r="AC38" s="305">
        <v>148191.61463105766</v>
      </c>
      <c r="AD38" s="305">
        <v>155420.75678568424</v>
      </c>
      <c r="AE38" s="305">
        <v>162722.946441896</v>
      </c>
      <c r="AF38" s="305">
        <v>170098.73264587641</v>
      </c>
      <c r="AG38" s="305">
        <v>170098.73264587641</v>
      </c>
      <c r="AH38" s="305">
        <v>170098.73264587641</v>
      </c>
      <c r="AI38" s="305">
        <v>170098.73264587641</v>
      </c>
      <c r="AJ38" s="305">
        <v>170098.73264587641</v>
      </c>
    </row>
    <row r="39" spans="1:36" x14ac:dyDescent="0.3">
      <c r="A39" s="354" t="s">
        <v>238</v>
      </c>
      <c r="B39" s="369" t="b">
        <v>0</v>
      </c>
      <c r="C39" s="368">
        <v>639520.09377524676</v>
      </c>
      <c r="D39" s="354" t="s">
        <v>240</v>
      </c>
      <c r="E39" s="370">
        <v>0</v>
      </c>
      <c r="F39" s="370">
        <v>0</v>
      </c>
      <c r="G39" s="370">
        <v>0</v>
      </c>
      <c r="H39" s="306">
        <v>308.39594936474509</v>
      </c>
      <c r="I39" s="306">
        <v>316.93425031301842</v>
      </c>
      <c r="J39" s="306">
        <v>325.79875339719177</v>
      </c>
      <c r="K39" s="306">
        <v>334.96026872256891</v>
      </c>
      <c r="L39" s="306">
        <v>344.40044411923094</v>
      </c>
      <c r="M39" s="306">
        <v>354.10612388389421</v>
      </c>
      <c r="N39" s="306">
        <v>364.06715736809332</v>
      </c>
      <c r="O39" s="306">
        <v>374.2753358179927</v>
      </c>
      <c r="P39" s="306">
        <v>384.72381378380783</v>
      </c>
      <c r="Q39" s="306">
        <v>395.40674026831147</v>
      </c>
      <c r="R39" s="306">
        <v>406.31900920964631</v>
      </c>
      <c r="S39" s="306">
        <v>417.45610760129836</v>
      </c>
      <c r="T39" s="306">
        <v>428.81400339017216</v>
      </c>
      <c r="U39" s="306">
        <v>440.38904783943082</v>
      </c>
      <c r="V39" s="306">
        <v>452.17792128562871</v>
      </c>
      <c r="W39" s="306">
        <v>464.17756804727208</v>
      </c>
      <c r="X39" s="306">
        <v>476.38517834386312</v>
      </c>
      <c r="Y39" s="306">
        <v>488.79813043684169</v>
      </c>
      <c r="Z39" s="306">
        <v>501.41399424577747</v>
      </c>
      <c r="AA39" s="306">
        <v>514.23048795407556</v>
      </c>
      <c r="AB39" s="306">
        <v>514.23048795407556</v>
      </c>
      <c r="AC39" s="306">
        <v>514.23048795407556</v>
      </c>
      <c r="AD39" s="306">
        <v>514.23048795407556</v>
      </c>
      <c r="AE39" s="306">
        <v>514.23048795407556</v>
      </c>
      <c r="AF39" s="306">
        <v>514.23048795407556</v>
      </c>
      <c r="AG39" s="306">
        <v>514.23048795407556</v>
      </c>
      <c r="AH39" s="306">
        <v>514.23048795407556</v>
      </c>
      <c r="AI39" s="306">
        <v>514.23048795407556</v>
      </c>
      <c r="AJ39" s="306">
        <v>514.23048795407556</v>
      </c>
    </row>
    <row r="40" spans="1:36" x14ac:dyDescent="0.3">
      <c r="A40" s="354" t="s">
        <v>239</v>
      </c>
      <c r="B40" s="367" t="b">
        <v>1</v>
      </c>
      <c r="C40" s="368">
        <v>6104131</v>
      </c>
      <c r="D40" s="354" t="s">
        <v>242</v>
      </c>
      <c r="E40" s="370">
        <v>0</v>
      </c>
      <c r="F40" s="370">
        <v>0</v>
      </c>
      <c r="G40" s="370">
        <v>0</v>
      </c>
      <c r="H40" s="306">
        <v>12493.737508122553</v>
      </c>
      <c r="I40" s="306">
        <v>12839.641178494416</v>
      </c>
      <c r="J40" s="306">
        <v>13198.759950649943</v>
      </c>
      <c r="K40" s="306">
        <v>13569.911283498768</v>
      </c>
      <c r="L40" s="306">
        <v>13952.351693885088</v>
      </c>
      <c r="M40" s="306">
        <v>14345.548217923033</v>
      </c>
      <c r="N40" s="306">
        <v>14749.089632515392</v>
      </c>
      <c r="O40" s="306">
        <v>15162.64338460529</v>
      </c>
      <c r="P40" s="306">
        <v>15585.932151313131</v>
      </c>
      <c r="Q40" s="306">
        <v>16018.718897023924</v>
      </c>
      <c r="R40" s="306">
        <v>16460.796764946339</v>
      </c>
      <c r="S40" s="306">
        <v>16911.982924148666</v>
      </c>
      <c r="T40" s="306">
        <v>17372.114028085347</v>
      </c>
      <c r="U40" s="306">
        <v>17841.04225912008</v>
      </c>
      <c r="V40" s="306">
        <v>18318.633131038681</v>
      </c>
      <c r="W40" s="306">
        <v>18804.762852064465</v>
      </c>
      <c r="X40" s="306">
        <v>19299.317592362546</v>
      </c>
      <c r="Y40" s="306">
        <v>19802.191140053521</v>
      </c>
      <c r="Z40" s="306">
        <v>20313.285047712623</v>
      </c>
      <c r="AA40" s="306">
        <v>20832.506874379993</v>
      </c>
      <c r="AB40" s="306">
        <v>20832.506874379993</v>
      </c>
      <c r="AC40" s="306">
        <v>20832.506874379993</v>
      </c>
      <c r="AD40" s="306">
        <v>20832.506874379993</v>
      </c>
      <c r="AE40" s="306">
        <v>20832.506874379993</v>
      </c>
      <c r="AF40" s="306">
        <v>20832.506874379993</v>
      </c>
      <c r="AG40" s="306">
        <v>20832.506874379993</v>
      </c>
      <c r="AH40" s="306">
        <v>20832.506874379993</v>
      </c>
      <c r="AI40" s="306">
        <v>20832.506874379993</v>
      </c>
      <c r="AJ40" s="306">
        <v>20832.506874379993</v>
      </c>
    </row>
    <row r="41" spans="1:36" x14ac:dyDescent="0.3">
      <c r="A41" s="354" t="s">
        <v>241</v>
      </c>
      <c r="B41" s="367" t="b">
        <v>0</v>
      </c>
      <c r="C41" s="368">
        <v>0</v>
      </c>
      <c r="D41" s="354" t="s">
        <v>244</v>
      </c>
      <c r="E41" s="370">
        <v>0</v>
      </c>
      <c r="F41" s="370">
        <v>0</v>
      </c>
      <c r="G41" s="370">
        <v>0</v>
      </c>
      <c r="H41" s="306">
        <v>1118.89961696</v>
      </c>
      <c r="I41" s="306">
        <v>1149.8776556799999</v>
      </c>
      <c r="J41" s="306">
        <v>1182.0391971199999</v>
      </c>
      <c r="K41" s="306">
        <v>1215.2783366399999</v>
      </c>
      <c r="L41" s="306">
        <v>1249.5284902400001</v>
      </c>
      <c r="M41" s="306">
        <v>1284.7419273600001</v>
      </c>
      <c r="N41" s="306">
        <v>1320.88182016</v>
      </c>
      <c r="O41" s="306">
        <v>1357.91838624</v>
      </c>
      <c r="P41" s="306">
        <v>1395.8267894400001</v>
      </c>
      <c r="Q41" s="306">
        <v>1434.5858016000002</v>
      </c>
      <c r="R41" s="306">
        <v>1474.17689728</v>
      </c>
      <c r="S41" s="306">
        <v>1514.58370272</v>
      </c>
      <c r="T41" s="306">
        <v>1555.7915891200003</v>
      </c>
      <c r="U41" s="306">
        <v>1597.7873184000002</v>
      </c>
      <c r="V41" s="306">
        <v>1640.5588464</v>
      </c>
      <c r="W41" s="306">
        <v>1684.0950867199999</v>
      </c>
      <c r="X41" s="306">
        <v>1728.3858451200001</v>
      </c>
      <c r="Y41" s="306">
        <v>1773.4216096</v>
      </c>
      <c r="Z41" s="306">
        <v>1819.19356352</v>
      </c>
      <c r="AA41" s="306">
        <v>1865.6934281599999</v>
      </c>
      <c r="AB41" s="306">
        <v>1865.6934281599999</v>
      </c>
      <c r="AC41" s="306">
        <v>1865.6934281599999</v>
      </c>
      <c r="AD41" s="306">
        <v>1865.6934281599999</v>
      </c>
      <c r="AE41" s="306">
        <v>1865.6934281599999</v>
      </c>
      <c r="AF41" s="306">
        <v>1865.6934281599999</v>
      </c>
      <c r="AG41" s="306">
        <v>1865.6934281599999</v>
      </c>
      <c r="AH41" s="306">
        <v>1865.6934281599999</v>
      </c>
      <c r="AI41" s="306">
        <v>1865.6934281599999</v>
      </c>
      <c r="AJ41" s="306">
        <v>1865.6934281599999</v>
      </c>
    </row>
    <row r="42" spans="1:36" x14ac:dyDescent="0.3">
      <c r="A42" s="354" t="s">
        <v>243</v>
      </c>
      <c r="B42" s="367" t="b">
        <v>0</v>
      </c>
      <c r="C42" s="368">
        <v>0</v>
      </c>
      <c r="D42" s="354" t="s">
        <v>246</v>
      </c>
      <c r="E42" s="370">
        <v>0</v>
      </c>
      <c r="F42" s="370">
        <v>0</v>
      </c>
      <c r="G42" s="370">
        <v>0</v>
      </c>
      <c r="H42" s="306">
        <v>35250</v>
      </c>
      <c r="I42" s="306">
        <v>35250</v>
      </c>
      <c r="J42" s="306">
        <v>35250</v>
      </c>
      <c r="K42" s="306">
        <v>35250</v>
      </c>
      <c r="L42" s="306">
        <v>35250</v>
      </c>
      <c r="M42" s="306">
        <v>35250</v>
      </c>
      <c r="N42" s="306">
        <v>35250</v>
      </c>
      <c r="O42" s="306">
        <v>35250</v>
      </c>
      <c r="P42" s="306">
        <v>35250</v>
      </c>
      <c r="Q42" s="306">
        <v>35250</v>
      </c>
      <c r="R42" s="306">
        <v>35250</v>
      </c>
      <c r="S42" s="306">
        <v>35250</v>
      </c>
      <c r="T42" s="306">
        <v>35250</v>
      </c>
      <c r="U42" s="306">
        <v>35250</v>
      </c>
      <c r="V42" s="306">
        <v>35250</v>
      </c>
      <c r="W42" s="306">
        <v>35250</v>
      </c>
      <c r="X42" s="306">
        <v>35250</v>
      </c>
      <c r="Y42" s="306">
        <v>35250</v>
      </c>
      <c r="Z42" s="306">
        <v>35250</v>
      </c>
      <c r="AA42" s="306">
        <v>35250</v>
      </c>
      <c r="AB42" s="306">
        <v>35250</v>
      </c>
      <c r="AC42" s="306">
        <v>35250</v>
      </c>
      <c r="AD42" s="306">
        <v>35250</v>
      </c>
      <c r="AE42" s="306">
        <v>35250</v>
      </c>
      <c r="AF42" s="306">
        <v>35250</v>
      </c>
      <c r="AG42" s="306">
        <v>35250</v>
      </c>
      <c r="AH42" s="306">
        <v>35250</v>
      </c>
      <c r="AI42" s="306">
        <v>35250</v>
      </c>
      <c r="AJ42" s="306">
        <v>35250</v>
      </c>
    </row>
    <row r="43" spans="1:36" x14ac:dyDescent="0.3">
      <c r="A43" s="354" t="s">
        <v>245</v>
      </c>
      <c r="B43" s="367" t="b">
        <v>0</v>
      </c>
      <c r="C43" s="368">
        <v>0</v>
      </c>
      <c r="D43" s="354" t="s">
        <v>248</v>
      </c>
      <c r="E43" s="370">
        <v>0</v>
      </c>
      <c r="F43" s="370">
        <v>0</v>
      </c>
      <c r="G43" s="370">
        <v>0</v>
      </c>
      <c r="H43" s="370">
        <v>0</v>
      </c>
      <c r="I43" s="370">
        <v>0</v>
      </c>
      <c r="J43" s="370">
        <v>0</v>
      </c>
      <c r="K43" s="370">
        <v>0</v>
      </c>
      <c r="L43" s="370">
        <v>0</v>
      </c>
      <c r="M43" s="370">
        <v>0</v>
      </c>
      <c r="N43" s="370">
        <v>0</v>
      </c>
      <c r="O43" s="370">
        <v>0</v>
      </c>
      <c r="P43" s="370">
        <v>0</v>
      </c>
      <c r="Q43" s="370">
        <v>0</v>
      </c>
      <c r="R43" s="370">
        <v>0</v>
      </c>
      <c r="S43" s="370">
        <v>0</v>
      </c>
      <c r="T43" s="370">
        <v>0</v>
      </c>
      <c r="U43" s="370">
        <v>0</v>
      </c>
      <c r="V43" s="370">
        <v>0</v>
      </c>
      <c r="W43" s="370">
        <v>0</v>
      </c>
      <c r="X43" s="370">
        <v>0</v>
      </c>
      <c r="Y43" s="370">
        <v>0</v>
      </c>
      <c r="Z43" s="370">
        <v>0</v>
      </c>
      <c r="AA43" s="370">
        <v>0</v>
      </c>
      <c r="AB43" s="370">
        <v>0</v>
      </c>
      <c r="AC43" s="370">
        <v>0</v>
      </c>
      <c r="AD43" s="370">
        <v>0</v>
      </c>
      <c r="AE43" s="370">
        <v>0</v>
      </c>
      <c r="AF43" s="370">
        <v>0</v>
      </c>
      <c r="AG43" s="370">
        <v>0</v>
      </c>
      <c r="AH43" s="370">
        <v>0</v>
      </c>
      <c r="AI43" s="370">
        <v>0</v>
      </c>
      <c r="AJ43" s="370">
        <v>0</v>
      </c>
    </row>
    <row r="44" spans="1:36" x14ac:dyDescent="0.3">
      <c r="A44" s="354" t="s">
        <v>247</v>
      </c>
      <c r="B44" s="367" t="b">
        <v>1</v>
      </c>
      <c r="C44" s="368">
        <v>0</v>
      </c>
      <c r="D44" s="354" t="s">
        <v>250</v>
      </c>
      <c r="E44" s="370">
        <v>0</v>
      </c>
      <c r="F44" s="370">
        <v>0</v>
      </c>
      <c r="G44" s="370">
        <v>0</v>
      </c>
      <c r="H44" s="370">
        <v>0</v>
      </c>
      <c r="I44" s="370">
        <v>0</v>
      </c>
      <c r="J44" s="370">
        <v>0</v>
      </c>
      <c r="K44" s="370">
        <v>0</v>
      </c>
      <c r="L44" s="370">
        <v>0</v>
      </c>
      <c r="M44" s="370">
        <v>0</v>
      </c>
      <c r="N44" s="370">
        <v>0</v>
      </c>
      <c r="O44" s="370">
        <v>0</v>
      </c>
      <c r="P44" s="370">
        <v>0</v>
      </c>
      <c r="Q44" s="370">
        <v>0</v>
      </c>
      <c r="R44" s="370">
        <v>0</v>
      </c>
      <c r="S44" s="370">
        <v>0</v>
      </c>
      <c r="T44" s="370">
        <v>0</v>
      </c>
      <c r="U44" s="370">
        <v>0</v>
      </c>
      <c r="V44" s="370">
        <v>0</v>
      </c>
      <c r="W44" s="370">
        <v>0</v>
      </c>
      <c r="X44" s="370">
        <v>0</v>
      </c>
      <c r="Y44" s="370">
        <v>0</v>
      </c>
      <c r="Z44" s="370">
        <v>0</v>
      </c>
      <c r="AA44" s="370">
        <v>0</v>
      </c>
      <c r="AB44" s="370">
        <v>0</v>
      </c>
      <c r="AC44" s="370">
        <v>0</v>
      </c>
      <c r="AD44" s="370">
        <v>0</v>
      </c>
      <c r="AE44" s="370">
        <v>0</v>
      </c>
      <c r="AF44" s="370">
        <v>0</v>
      </c>
      <c r="AG44" s="370">
        <v>0</v>
      </c>
      <c r="AH44" s="370">
        <v>0</v>
      </c>
      <c r="AI44" s="370">
        <v>0</v>
      </c>
      <c r="AJ44" s="370">
        <v>0</v>
      </c>
    </row>
    <row r="45" spans="1:36" x14ac:dyDescent="0.3">
      <c r="A45" s="354" t="s">
        <v>249</v>
      </c>
      <c r="B45" s="369">
        <v>0</v>
      </c>
      <c r="C45" s="368">
        <v>0</v>
      </c>
      <c r="D45" s="372" t="s">
        <v>251</v>
      </c>
      <c r="E45" s="373">
        <v>0</v>
      </c>
      <c r="F45" s="373">
        <v>0</v>
      </c>
      <c r="G45" s="373">
        <v>0</v>
      </c>
      <c r="H45" s="373">
        <v>260241.7482101621</v>
      </c>
      <c r="I45" s="373">
        <v>260241.7482101621</v>
      </c>
      <c r="J45" s="373">
        <v>260241.7482101621</v>
      </c>
      <c r="K45" s="373">
        <v>260241.7482101621</v>
      </c>
      <c r="L45" s="373">
        <v>260241.7482101621</v>
      </c>
      <c r="M45" s="373">
        <v>260241.7482101621</v>
      </c>
      <c r="N45" s="373">
        <v>260241.7482101621</v>
      </c>
      <c r="O45" s="373">
        <v>260241.7482101621</v>
      </c>
      <c r="P45" s="373">
        <v>260241.7482101621</v>
      </c>
      <c r="Q45" s="373">
        <v>260241.7482101621</v>
      </c>
      <c r="R45" s="373">
        <v>260241.7482101621</v>
      </c>
      <c r="S45" s="373">
        <v>260241.7482101621</v>
      </c>
      <c r="T45" s="373">
        <v>260241.7482101621</v>
      </c>
      <c r="U45" s="373">
        <v>260241.7482101621</v>
      </c>
      <c r="V45" s="373">
        <v>260241.7482101621</v>
      </c>
      <c r="W45" s="373">
        <v>260241.7482101621</v>
      </c>
      <c r="X45" s="373">
        <v>260241.7482101621</v>
      </c>
      <c r="Y45" s="373">
        <v>260241.7482101621</v>
      </c>
      <c r="Z45" s="373">
        <v>260241.7482101621</v>
      </c>
      <c r="AA45" s="373">
        <v>260241.7482101621</v>
      </c>
      <c r="AB45" s="373">
        <v>260241.7482101621</v>
      </c>
      <c r="AC45" s="373">
        <v>260241.7482101621</v>
      </c>
      <c r="AD45" s="373">
        <v>260241.7482101621</v>
      </c>
      <c r="AE45" s="373">
        <v>260241.7482101621</v>
      </c>
      <c r="AF45" s="373">
        <v>260241.7482101621</v>
      </c>
      <c r="AG45" s="373">
        <v>260241.7482101621</v>
      </c>
      <c r="AH45" s="373">
        <v>260241.7482101621</v>
      </c>
      <c r="AI45" s="373">
        <v>260241.7482101621</v>
      </c>
      <c r="AJ45" s="373">
        <v>260241.7482101621</v>
      </c>
    </row>
    <row r="46" spans="1:36" x14ac:dyDescent="0.3">
      <c r="A46" s="371"/>
      <c r="B46" s="371"/>
      <c r="C46" s="368">
        <v>0</v>
      </c>
      <c r="D46" s="375" t="s">
        <v>252</v>
      </c>
      <c r="E46" s="376">
        <v>0</v>
      </c>
      <c r="F46" s="376">
        <v>0</v>
      </c>
      <c r="G46" s="376">
        <v>0</v>
      </c>
      <c r="H46" s="376">
        <v>318007.20677679265</v>
      </c>
      <c r="I46" s="376">
        <v>325442.9624595705</v>
      </c>
      <c r="J46" s="376">
        <v>332289.1795058581</v>
      </c>
      <c r="K46" s="376">
        <v>338945.54135371692</v>
      </c>
      <c r="L46" s="376">
        <v>345963.51612446451</v>
      </c>
      <c r="M46" s="376">
        <v>353224.54921885359</v>
      </c>
      <c r="N46" s="376">
        <v>359507.70536803163</v>
      </c>
      <c r="O46" s="376">
        <v>366322.41940650879</v>
      </c>
      <c r="P46" s="376">
        <v>373173.90670130873</v>
      </c>
      <c r="Q46" s="376">
        <v>380071.84382902156</v>
      </c>
      <c r="R46" s="376">
        <v>387023.52719131397</v>
      </c>
      <c r="S46" s="376">
        <v>394034.62461217365</v>
      </c>
      <c r="T46" s="376">
        <v>401109.60818242765</v>
      </c>
      <c r="U46" s="376">
        <v>408252.04832620639</v>
      </c>
      <c r="V46" s="376">
        <v>415464.83668773051</v>
      </c>
      <c r="W46" s="376">
        <v>422750.34165348421</v>
      </c>
      <c r="X46" s="376">
        <v>430110.52165278571</v>
      </c>
      <c r="Y46" s="376">
        <v>437546.98418095493</v>
      </c>
      <c r="Z46" s="376">
        <v>445061.08683652699</v>
      </c>
      <c r="AA46" s="376">
        <v>452653.96219939442</v>
      </c>
      <c r="AB46" s="376">
        <v>459739.05283430964</v>
      </c>
      <c r="AC46" s="376">
        <v>466895.79363171384</v>
      </c>
      <c r="AD46" s="376">
        <v>474124.93578634039</v>
      </c>
      <c r="AE46" s="376">
        <v>481427.12544255215</v>
      </c>
      <c r="AF46" s="376">
        <v>488802.91164653259</v>
      </c>
      <c r="AG46" s="376">
        <v>488802.91164653259</v>
      </c>
      <c r="AH46" s="376">
        <v>488802.91164653259</v>
      </c>
      <c r="AI46" s="376">
        <v>488802.91164653259</v>
      </c>
      <c r="AJ46" s="376">
        <v>488802.91164653259</v>
      </c>
    </row>
    <row r="47" spans="1:36" x14ac:dyDescent="0.3">
      <c r="A47" s="374"/>
      <c r="B47" s="374"/>
      <c r="C47" s="374"/>
    </row>
    <row r="49" spans="1:36" x14ac:dyDescent="0.3">
      <c r="A49" s="350" t="s">
        <v>207</v>
      </c>
      <c r="B49" s="350"/>
      <c r="C49" s="351" t="s">
        <v>208</v>
      </c>
      <c r="D49" s="351"/>
      <c r="F49" s="352" t="s">
        <v>209</v>
      </c>
      <c r="G49" s="353" t="s">
        <v>210</v>
      </c>
      <c r="H49" s="351" t="s">
        <v>211</v>
      </c>
      <c r="I49" s="351" t="s">
        <v>212</v>
      </c>
    </row>
    <row r="50" spans="1:36" x14ac:dyDescent="0.3">
      <c r="A50" s="354" t="s">
        <v>213</v>
      </c>
      <c r="B50" s="355" t="s">
        <v>70</v>
      </c>
      <c r="C50" s="356" t="s">
        <v>214</v>
      </c>
      <c r="D50" s="357"/>
      <c r="F50" s="356" t="s">
        <v>215</v>
      </c>
      <c r="G50" s="358" t="b">
        <v>1</v>
      </c>
      <c r="H50" s="353">
        <v>1</v>
      </c>
      <c r="I50" s="359"/>
    </row>
    <row r="51" spans="1:36" x14ac:dyDescent="0.3">
      <c r="A51" s="354" t="s">
        <v>216</v>
      </c>
      <c r="B51" s="355" t="s">
        <v>217</v>
      </c>
      <c r="C51" s="356" t="s">
        <v>218</v>
      </c>
      <c r="D51" s="357"/>
      <c r="F51" s="356" t="s">
        <v>219</v>
      </c>
      <c r="G51" s="358">
        <v>1.5431827039999999E-3</v>
      </c>
      <c r="H51" s="353">
        <v>1</v>
      </c>
      <c r="I51" s="359"/>
    </row>
    <row r="52" spans="1:36" x14ac:dyDescent="0.3">
      <c r="A52" s="360" t="s">
        <v>67</v>
      </c>
      <c r="B52" s="361">
        <v>26.719967551056794</v>
      </c>
      <c r="C52" s="360" t="s">
        <v>220</v>
      </c>
      <c r="D52" s="362">
        <v>7324957.2000000002</v>
      </c>
      <c r="F52" s="356" t="s">
        <v>221</v>
      </c>
      <c r="G52" s="358">
        <v>1.5431827039999999E-3</v>
      </c>
      <c r="H52" s="353">
        <v>1</v>
      </c>
      <c r="I52" s="359"/>
    </row>
    <row r="53" spans="1:36" x14ac:dyDescent="0.3">
      <c r="A53" s="360" t="s">
        <v>222</v>
      </c>
      <c r="B53" s="307">
        <v>0.5</v>
      </c>
      <c r="C53" s="360" t="s">
        <v>223</v>
      </c>
      <c r="D53" s="362">
        <v>164000</v>
      </c>
      <c r="F53" s="356" t="s">
        <v>224</v>
      </c>
      <c r="G53" s="363">
        <v>0</v>
      </c>
      <c r="H53" s="353">
        <v>1</v>
      </c>
      <c r="I53" s="359"/>
    </row>
    <row r="54" spans="1:36" x14ac:dyDescent="0.3">
      <c r="A54" s="364" t="s">
        <v>347</v>
      </c>
      <c r="B54" s="365" t="s">
        <v>226</v>
      </c>
      <c r="C54" s="351" t="s">
        <v>227</v>
      </c>
      <c r="D54" s="350" t="s">
        <v>228</v>
      </c>
      <c r="E54" s="351">
        <v>2025</v>
      </c>
      <c r="F54" s="351">
        <v>2026</v>
      </c>
      <c r="G54" s="351">
        <v>2027</v>
      </c>
      <c r="H54" s="351">
        <v>2028</v>
      </c>
      <c r="I54" s="351">
        <v>2029</v>
      </c>
      <c r="J54" s="351">
        <v>2030</v>
      </c>
      <c r="K54" s="351">
        <v>2031</v>
      </c>
      <c r="L54" s="351">
        <v>2032</v>
      </c>
      <c r="M54" s="351">
        <v>2033</v>
      </c>
      <c r="N54" s="351">
        <v>2034</v>
      </c>
      <c r="O54" s="351">
        <v>2035</v>
      </c>
      <c r="P54" s="351">
        <v>2036</v>
      </c>
      <c r="Q54" s="351">
        <v>2037</v>
      </c>
      <c r="R54" s="351">
        <v>2038</v>
      </c>
      <c r="S54" s="351">
        <v>2039</v>
      </c>
      <c r="T54" s="351">
        <v>2040</v>
      </c>
      <c r="U54" s="351">
        <v>2041</v>
      </c>
      <c r="V54" s="351">
        <v>2042</v>
      </c>
      <c r="W54" s="351">
        <v>2043</v>
      </c>
      <c r="X54" s="351">
        <v>2044</v>
      </c>
      <c r="Y54" s="351">
        <v>2045</v>
      </c>
      <c r="Z54" s="351">
        <v>2046</v>
      </c>
      <c r="AA54" s="351">
        <v>2047</v>
      </c>
      <c r="AB54" s="366">
        <v>2048</v>
      </c>
      <c r="AC54" s="366">
        <v>2049</v>
      </c>
      <c r="AD54" s="366">
        <v>2050</v>
      </c>
      <c r="AE54" s="366">
        <v>2051</v>
      </c>
      <c r="AF54" s="366">
        <v>2052</v>
      </c>
      <c r="AG54" s="366">
        <v>2053</v>
      </c>
      <c r="AH54" s="366">
        <v>2054</v>
      </c>
      <c r="AI54" s="366">
        <v>2055</v>
      </c>
      <c r="AJ54" s="366">
        <v>2056</v>
      </c>
    </row>
    <row r="55" spans="1:36" x14ac:dyDescent="0.3">
      <c r="A55" s="354" t="s">
        <v>229</v>
      </c>
      <c r="B55" s="367" t="b">
        <v>0</v>
      </c>
      <c r="C55" s="368">
        <v>2000000</v>
      </c>
      <c r="D55" s="354"/>
      <c r="E55" s="302"/>
      <c r="F55" s="302"/>
      <c r="G55" s="302"/>
      <c r="H55" s="302"/>
      <c r="I55" s="302"/>
      <c r="J55" s="302"/>
      <c r="K55" s="302"/>
      <c r="L55" s="302"/>
      <c r="M55" s="302"/>
      <c r="N55" s="302"/>
      <c r="O55" s="302"/>
      <c r="P55" s="302"/>
      <c r="Q55" s="302"/>
      <c r="R55" s="302"/>
      <c r="S55" s="302"/>
      <c r="T55" s="302"/>
      <c r="U55" s="302"/>
      <c r="V55" s="302"/>
      <c r="W55" s="302"/>
      <c r="X55" s="302"/>
      <c r="Y55" s="302"/>
      <c r="Z55" s="302"/>
      <c r="AA55" s="302"/>
      <c r="AB55" s="302"/>
      <c r="AC55" s="302"/>
      <c r="AD55" s="302"/>
      <c r="AE55" s="302"/>
      <c r="AF55" s="302"/>
      <c r="AG55" s="302"/>
      <c r="AH55" s="302"/>
      <c r="AI55" s="302"/>
      <c r="AJ55" s="302"/>
    </row>
    <row r="56" spans="1:36" x14ac:dyDescent="0.3">
      <c r="A56" s="354" t="s">
        <v>231</v>
      </c>
      <c r="B56" s="367" t="b">
        <v>0</v>
      </c>
      <c r="C56" s="368">
        <v>50000</v>
      </c>
      <c r="D56" s="354" t="s">
        <v>350</v>
      </c>
      <c r="E56" s="303"/>
      <c r="F56" s="303"/>
      <c r="G56" s="303">
        <v>10829.019274773895</v>
      </c>
      <c r="H56" s="303">
        <v>11154.875874547399</v>
      </c>
      <c r="I56" s="303">
        <v>11410.342014396478</v>
      </c>
      <c r="J56" s="303">
        <v>11559.542387363508</v>
      </c>
      <c r="K56" s="303">
        <v>11755.260422293522</v>
      </c>
      <c r="L56" s="303">
        <v>12134.475640839231</v>
      </c>
      <c r="M56" s="303">
        <v>12573.671961882188</v>
      </c>
      <c r="N56" s="303">
        <v>12721.405170818061</v>
      </c>
      <c r="O56" s="303">
        <v>13025.132130204584</v>
      </c>
      <c r="P56" s="303">
        <v>13331.875055950437</v>
      </c>
      <c r="Q56" s="303">
        <v>13641.624666060165</v>
      </c>
      <c r="R56" s="303">
        <v>13954.371688943273</v>
      </c>
      <c r="S56" s="303">
        <v>14270.107233788867</v>
      </c>
      <c r="T56" s="303">
        <v>14588.822790800661</v>
      </c>
      <c r="U56" s="303">
        <v>14910.509489588143</v>
      </c>
      <c r="V56" s="303">
        <v>15235.159211422793</v>
      </c>
      <c r="W56" s="303">
        <v>15562.763662179204</v>
      </c>
      <c r="X56" s="303">
        <v>15893.315114305075</v>
      </c>
      <c r="Y56" s="303">
        <v>16226.805850314689</v>
      </c>
      <c r="Z56" s="303">
        <v>16563.227976751652</v>
      </c>
      <c r="AA56" s="303">
        <v>16902.573981059919</v>
      </c>
      <c r="AB56" s="303">
        <v>17244.837103657253</v>
      </c>
      <c r="AC56" s="303">
        <v>17590.009851377421</v>
      </c>
      <c r="AD56" s="303">
        <v>17938.085297985144</v>
      </c>
      <c r="AE56" s="303">
        <v>18289.056712710808</v>
      </c>
      <c r="AF56" s="303">
        <v>18642.917560306851</v>
      </c>
      <c r="AG56" s="303">
        <v>18642.917560306851</v>
      </c>
      <c r="AH56" s="303">
        <v>18642.917560306851</v>
      </c>
      <c r="AI56" s="303">
        <v>18642.917560306851</v>
      </c>
      <c r="AJ56" s="303">
        <v>18642.917560306851</v>
      </c>
    </row>
    <row r="57" spans="1:36" x14ac:dyDescent="0.3">
      <c r="A57" s="354" t="s">
        <v>232</v>
      </c>
      <c r="B57" s="367" t="b">
        <v>0</v>
      </c>
      <c r="C57" s="368">
        <v>300000</v>
      </c>
      <c r="D57" s="354" t="s">
        <v>234</v>
      </c>
      <c r="E57" s="304"/>
      <c r="F57" s="304"/>
      <c r="G57" s="304">
        <v>3.254776112E-3</v>
      </c>
      <c r="H57" s="304">
        <v>3.3403586720000002E-3</v>
      </c>
      <c r="I57" s="304">
        <v>3.4268538080000003E-3</v>
      </c>
      <c r="J57" s="304">
        <v>3.5142573760000005E-3</v>
      </c>
      <c r="K57" s="304">
        <v>3.6025653440000006E-3</v>
      </c>
      <c r="L57" s="304">
        <v>3.6917737920000005E-3</v>
      </c>
      <c r="M57" s="304">
        <v>3.7818788000000005E-3</v>
      </c>
      <c r="N57" s="304">
        <v>3.8728765600000003E-3</v>
      </c>
      <c r="O57" s="304">
        <v>3.9647633759999999E-3</v>
      </c>
      <c r="P57" s="304">
        <v>4.0575355520000005E-3</v>
      </c>
      <c r="Q57" s="304">
        <v>4.1511895040000002E-3</v>
      </c>
      <c r="R57" s="304">
        <v>4.2457216480000001E-3</v>
      </c>
      <c r="S57" s="304">
        <v>4.3411285120000002E-3</v>
      </c>
      <c r="T57" s="304">
        <v>4.4374067360000002E-3</v>
      </c>
      <c r="U57" s="304">
        <v>4.5345528480000008E-3</v>
      </c>
      <c r="V57" s="304">
        <v>4.6325636000000003E-3</v>
      </c>
      <c r="W57" s="304">
        <v>4.7314356879999998E-3</v>
      </c>
      <c r="X57" s="304">
        <v>4.8311659760000005E-3</v>
      </c>
      <c r="Y57" s="304">
        <v>4.9317513280000003E-3</v>
      </c>
      <c r="Z57" s="304">
        <v>5.0331885520000005E-3</v>
      </c>
      <c r="AA57" s="304">
        <v>5.1354745680000004E-3</v>
      </c>
      <c r="AB57" s="304">
        <v>5.1354745680000004E-3</v>
      </c>
      <c r="AC57" s="304">
        <v>5.1354745680000004E-3</v>
      </c>
      <c r="AD57" s="304">
        <v>5.1354745680000004E-3</v>
      </c>
      <c r="AE57" s="304">
        <v>5.1354745680000004E-3</v>
      </c>
      <c r="AF57" s="304">
        <v>5.1354745680000004E-3</v>
      </c>
      <c r="AG57" s="304">
        <v>5.1354745680000004E-3</v>
      </c>
      <c r="AH57" s="304">
        <v>5.1354745680000004E-3</v>
      </c>
      <c r="AI57" s="304">
        <v>5.1354745680000004E-3</v>
      </c>
      <c r="AJ57" s="304">
        <v>5.1354745680000004E-3</v>
      </c>
    </row>
    <row r="58" spans="1:36" x14ac:dyDescent="0.3">
      <c r="A58" s="354" t="s">
        <v>233</v>
      </c>
      <c r="B58" s="367" t="b">
        <v>0</v>
      </c>
      <c r="C58" s="368">
        <v>4000</v>
      </c>
      <c r="D58" s="354" t="s">
        <v>236</v>
      </c>
      <c r="E58" s="304"/>
      <c r="F58" s="304"/>
      <c r="G58" s="304">
        <v>8.3694242879999992E-3</v>
      </c>
      <c r="H58" s="304">
        <v>8.589493727999999E-3</v>
      </c>
      <c r="I58" s="304">
        <v>8.811909792E-3</v>
      </c>
      <c r="J58" s="304">
        <v>9.0366618239999998E-3</v>
      </c>
      <c r="K58" s="304">
        <v>9.2637394559999999E-3</v>
      </c>
      <c r="L58" s="304">
        <v>9.4931326079999989E-3</v>
      </c>
      <c r="M58" s="304">
        <v>9.724831199999999E-3</v>
      </c>
      <c r="N58" s="304">
        <v>9.9588254399999993E-3</v>
      </c>
      <c r="O58" s="304">
        <v>1.0195105824E-2</v>
      </c>
      <c r="P58" s="304">
        <v>1.0433662848E-2</v>
      </c>
      <c r="Q58" s="304">
        <v>1.0674487295999999E-2</v>
      </c>
      <c r="R58" s="304">
        <v>1.0917569952E-2</v>
      </c>
      <c r="S58" s="304">
        <v>1.1162901887999999E-2</v>
      </c>
      <c r="T58" s="304">
        <v>1.1410474464E-2</v>
      </c>
      <c r="U58" s="304">
        <v>1.1660278752E-2</v>
      </c>
      <c r="V58" s="304">
        <v>1.1912306399999999E-2</v>
      </c>
      <c r="W58" s="304">
        <v>1.2166548911999999E-2</v>
      </c>
      <c r="X58" s="304">
        <v>1.2422998224E-2</v>
      </c>
      <c r="Y58" s="304">
        <v>1.2681646272E-2</v>
      </c>
      <c r="Z58" s="304">
        <v>1.2942484847999999E-2</v>
      </c>
      <c r="AA58" s="304">
        <v>1.3205506032E-2</v>
      </c>
      <c r="AB58" s="304">
        <v>1.3205506032E-2</v>
      </c>
      <c r="AC58" s="304">
        <v>1.3205506032E-2</v>
      </c>
      <c r="AD58" s="304">
        <v>1.3205506032E-2</v>
      </c>
      <c r="AE58" s="304">
        <v>1.3205506032E-2</v>
      </c>
      <c r="AF58" s="304">
        <v>1.3205506032E-2</v>
      </c>
      <c r="AG58" s="304">
        <v>1.3205506032E-2</v>
      </c>
      <c r="AH58" s="304">
        <v>1.3205506032E-2</v>
      </c>
      <c r="AI58" s="304">
        <v>1.3205506032E-2</v>
      </c>
      <c r="AJ58" s="304">
        <v>1.3205506032E-2</v>
      </c>
    </row>
    <row r="59" spans="1:36" x14ac:dyDescent="0.3">
      <c r="A59" s="354" t="s">
        <v>235</v>
      </c>
      <c r="B59" s="367" t="b">
        <v>0</v>
      </c>
      <c r="C59" s="368">
        <v>650</v>
      </c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4"/>
      <c r="AA59" s="354"/>
      <c r="AB59" s="354"/>
      <c r="AC59" s="354"/>
      <c r="AD59" s="354"/>
      <c r="AE59" s="354"/>
      <c r="AF59" s="354"/>
      <c r="AG59" s="354"/>
      <c r="AH59" s="354"/>
      <c r="AI59" s="354"/>
      <c r="AJ59" s="354"/>
    </row>
    <row r="60" spans="1:36" x14ac:dyDescent="0.3">
      <c r="A60" s="354" t="s">
        <v>237</v>
      </c>
      <c r="B60" s="369" t="b">
        <v>0</v>
      </c>
      <c r="C60" s="368">
        <v>300000</v>
      </c>
      <c r="D60" s="354" t="s">
        <v>201</v>
      </c>
      <c r="E60" s="370">
        <v>0</v>
      </c>
      <c r="F60" s="370">
        <v>0</v>
      </c>
      <c r="G60" s="305">
        <v>289351.04363172705</v>
      </c>
      <c r="H60" s="305">
        <v>298057.92140397278</v>
      </c>
      <c r="I60" s="305">
        <v>304883.9683711339</v>
      </c>
      <c r="J60" s="305">
        <v>308870.59749541851</v>
      </c>
      <c r="K60" s="305">
        <v>314100.17703790509</v>
      </c>
      <c r="L60" s="305">
        <v>324232.79537231335</v>
      </c>
      <c r="M60" s="305">
        <v>335968.10681912466</v>
      </c>
      <c r="N60" s="305">
        <v>339915.53336810472</v>
      </c>
      <c r="O60" s="305">
        <v>348031.1078672937</v>
      </c>
      <c r="P60" s="305">
        <v>356227.26888973918</v>
      </c>
      <c r="Q60" s="305">
        <v>364503.76842082356</v>
      </c>
      <c r="R60" s="305">
        <v>372860.35872394982</v>
      </c>
      <c r="S60" s="305">
        <v>381296.80223693937</v>
      </c>
      <c r="T60" s="305">
        <v>389812.87157831149</v>
      </c>
      <c r="U60" s="305">
        <v>398408.32973151957</v>
      </c>
      <c r="V60" s="305">
        <v>407082.95976440102</v>
      </c>
      <c r="W60" s="305">
        <v>415836.54005819414</v>
      </c>
      <c r="X60" s="305">
        <v>424668.86413295206</v>
      </c>
      <c r="Y60" s="305">
        <v>433579.72577770706</v>
      </c>
      <c r="Z60" s="305">
        <v>442568.9140795602</v>
      </c>
      <c r="AA60" s="305">
        <v>451636.2283032579</v>
      </c>
      <c r="AB60" s="305">
        <v>460781.48783298203</v>
      </c>
      <c r="AC60" s="305">
        <v>470004.49245157401</v>
      </c>
      <c r="AD60" s="305">
        <v>479305.057090252</v>
      </c>
      <c r="AE60" s="305">
        <v>488683.0019030702</v>
      </c>
      <c r="AF60" s="305">
        <v>498138.15226842591</v>
      </c>
      <c r="AG60" s="305">
        <v>498138.15226842591</v>
      </c>
      <c r="AH60" s="305">
        <v>498138.15226842591</v>
      </c>
      <c r="AI60" s="305">
        <v>498138.15226842591</v>
      </c>
      <c r="AJ60" s="305">
        <v>498138.15226842591</v>
      </c>
    </row>
    <row r="61" spans="1:36" x14ac:dyDescent="0.3">
      <c r="A61" s="354" t="s">
        <v>238</v>
      </c>
      <c r="B61" s="369" t="b">
        <v>1</v>
      </c>
      <c r="C61" s="368">
        <v>639520.09377524676</v>
      </c>
      <c r="D61" s="354" t="s">
        <v>240</v>
      </c>
      <c r="E61" s="370">
        <v>0</v>
      </c>
      <c r="F61" s="370">
        <v>0</v>
      </c>
      <c r="G61" s="306">
        <v>420.35330228707852</v>
      </c>
      <c r="H61" s="306">
        <v>431.40626276001137</v>
      </c>
      <c r="I61" s="306">
        <v>442.57708213382955</v>
      </c>
      <c r="J61" s="306">
        <v>453.86522521224754</v>
      </c>
      <c r="K61" s="306">
        <v>465.27017126374471</v>
      </c>
      <c r="L61" s="306">
        <v>476.79141402156455</v>
      </c>
      <c r="M61" s="306">
        <v>488.42844721895079</v>
      </c>
      <c r="N61" s="306">
        <v>500.18077905391141</v>
      </c>
      <c r="O61" s="306">
        <v>512.04793218921907</v>
      </c>
      <c r="P61" s="306">
        <v>524.02942928764628</v>
      </c>
      <c r="Q61" s="306">
        <v>536.12480747672998</v>
      </c>
      <c r="R61" s="306">
        <v>548.33360388400729</v>
      </c>
      <c r="S61" s="306">
        <v>560.65537010177968</v>
      </c>
      <c r="T61" s="306">
        <v>573.08967218711314</v>
      </c>
      <c r="U61" s="306">
        <v>585.63606173230914</v>
      </c>
      <c r="V61" s="306">
        <v>598.29411925919806</v>
      </c>
      <c r="W61" s="306">
        <v>611.06341805722809</v>
      </c>
      <c r="X61" s="306">
        <v>623.94355311299432</v>
      </c>
      <c r="Y61" s="306">
        <v>636.93411941309137</v>
      </c>
      <c r="Z61" s="306">
        <v>650.03470471173193</v>
      </c>
      <c r="AA61" s="306">
        <v>663.24491122789345</v>
      </c>
      <c r="AB61" s="306">
        <v>663.24491122789345</v>
      </c>
      <c r="AC61" s="306">
        <v>663.24491122789345</v>
      </c>
      <c r="AD61" s="306">
        <v>663.24491122789345</v>
      </c>
      <c r="AE61" s="306">
        <v>663.24491122789345</v>
      </c>
      <c r="AF61" s="306">
        <v>663.24491122789345</v>
      </c>
      <c r="AG61" s="306">
        <v>663.24491122789345</v>
      </c>
      <c r="AH61" s="306">
        <v>663.24491122789345</v>
      </c>
      <c r="AI61" s="306">
        <v>663.24491122789345</v>
      </c>
      <c r="AJ61" s="306">
        <v>663.24491122789345</v>
      </c>
    </row>
    <row r="62" spans="1:36" x14ac:dyDescent="0.3">
      <c r="A62" s="354" t="s">
        <v>239</v>
      </c>
      <c r="B62" s="367" t="b">
        <v>0</v>
      </c>
      <c r="C62" s="368">
        <v>6104131</v>
      </c>
      <c r="D62" s="354" t="s">
        <v>242</v>
      </c>
      <c r="E62" s="370">
        <v>0</v>
      </c>
      <c r="F62" s="370">
        <v>0</v>
      </c>
      <c r="G62" s="306">
        <v>23841.095715982407</v>
      </c>
      <c r="H62" s="306">
        <v>24467.984305048842</v>
      </c>
      <c r="I62" s="306">
        <v>25101.557474257021</v>
      </c>
      <c r="J62" s="306">
        <v>25741.784868984312</v>
      </c>
      <c r="K62" s="306">
        <v>26388.636955003283</v>
      </c>
      <c r="L62" s="306">
        <v>27042.085018481706</v>
      </c>
      <c r="M62" s="306">
        <v>27702.100345587365</v>
      </c>
      <c r="N62" s="306">
        <v>28368.655042883234</v>
      </c>
      <c r="O62" s="306">
        <v>29041.722037327509</v>
      </c>
      <c r="P62" s="306">
        <v>29721.274255878379</v>
      </c>
      <c r="Q62" s="306">
        <v>30407.285445889233</v>
      </c>
      <c r="R62" s="306">
        <v>31099.729354713465</v>
      </c>
      <c r="S62" s="306">
        <v>31798.58055009969</v>
      </c>
      <c r="T62" s="306">
        <v>32503.814420191702</v>
      </c>
      <c r="U62" s="306">
        <v>33215.405532738114</v>
      </c>
      <c r="V62" s="306">
        <v>33933.330096277925</v>
      </c>
      <c r="W62" s="306">
        <v>34657.563909152552</v>
      </c>
      <c r="X62" s="306">
        <v>35388.084000296229</v>
      </c>
      <c r="Y62" s="306">
        <v>36124.867398643168</v>
      </c>
      <c r="Z62" s="306">
        <v>36867.89072292998</v>
      </c>
      <c r="AA62" s="306">
        <v>37617.131412288494</v>
      </c>
      <c r="AB62" s="306">
        <v>37617.131412288494</v>
      </c>
      <c r="AC62" s="306">
        <v>37617.131412288494</v>
      </c>
      <c r="AD62" s="306">
        <v>37617.131412288494</v>
      </c>
      <c r="AE62" s="306">
        <v>37617.131412288494</v>
      </c>
      <c r="AF62" s="306">
        <v>37617.131412288494</v>
      </c>
      <c r="AG62" s="306">
        <v>37617.131412288494</v>
      </c>
      <c r="AH62" s="306">
        <v>37617.131412288494</v>
      </c>
      <c r="AI62" s="306">
        <v>37617.131412288494</v>
      </c>
      <c r="AJ62" s="306">
        <v>37617.131412288494</v>
      </c>
    </row>
    <row r="63" spans="1:36" x14ac:dyDescent="0.3">
      <c r="A63" s="354" t="s">
        <v>241</v>
      </c>
      <c r="B63" s="367" t="b">
        <v>0</v>
      </c>
      <c r="C63" s="368">
        <v>0</v>
      </c>
      <c r="D63" s="354" t="s">
        <v>244</v>
      </c>
      <c r="E63" s="370">
        <v>0</v>
      </c>
      <c r="F63" s="370">
        <v>0</v>
      </c>
      <c r="G63" s="306">
        <v>1372.5855832319999</v>
      </c>
      <c r="H63" s="306">
        <v>1408.6769713919998</v>
      </c>
      <c r="I63" s="306">
        <v>1445.153205888</v>
      </c>
      <c r="J63" s="306">
        <v>1482.012539136</v>
      </c>
      <c r="K63" s="306">
        <v>1519.2532707840001</v>
      </c>
      <c r="L63" s="306">
        <v>1556.8737477119998</v>
      </c>
      <c r="M63" s="306">
        <v>1594.8723167999999</v>
      </c>
      <c r="N63" s="306">
        <v>1633.2473721599999</v>
      </c>
      <c r="O63" s="306">
        <v>1671.9973551359999</v>
      </c>
      <c r="P63" s="306">
        <v>1711.120707072</v>
      </c>
      <c r="Q63" s="306">
        <v>1750.6159165439997</v>
      </c>
      <c r="R63" s="306">
        <v>1790.481472128</v>
      </c>
      <c r="S63" s="306">
        <v>1830.7159096319999</v>
      </c>
      <c r="T63" s="306">
        <v>1871.3178120960001</v>
      </c>
      <c r="U63" s="306">
        <v>1912.2857153279999</v>
      </c>
      <c r="V63" s="306">
        <v>1953.6182495999999</v>
      </c>
      <c r="W63" s="306">
        <v>1995.3140215679998</v>
      </c>
      <c r="X63" s="306">
        <v>2037.3717087360001</v>
      </c>
      <c r="Y63" s="306">
        <v>2079.7899886079999</v>
      </c>
      <c r="Z63" s="306">
        <v>2122.5675150719999</v>
      </c>
      <c r="AA63" s="306">
        <v>2165.702989248</v>
      </c>
      <c r="AB63" s="306">
        <v>2165.702989248</v>
      </c>
      <c r="AC63" s="306">
        <v>2165.702989248</v>
      </c>
      <c r="AD63" s="306">
        <v>2165.702989248</v>
      </c>
      <c r="AE63" s="306">
        <v>2165.702989248</v>
      </c>
      <c r="AF63" s="306">
        <v>2165.702989248</v>
      </c>
      <c r="AG63" s="306">
        <v>2165.702989248</v>
      </c>
      <c r="AH63" s="306">
        <v>2165.702989248</v>
      </c>
      <c r="AI63" s="306">
        <v>2165.702989248</v>
      </c>
      <c r="AJ63" s="306">
        <v>2165.702989248</v>
      </c>
    </row>
    <row r="64" spans="1:36" x14ac:dyDescent="0.3">
      <c r="A64" s="354" t="s">
        <v>243</v>
      </c>
      <c r="B64" s="367" t="b">
        <v>0</v>
      </c>
      <c r="C64" s="368">
        <v>0</v>
      </c>
      <c r="D64" s="354" t="s">
        <v>246</v>
      </c>
      <c r="E64" s="370">
        <v>0</v>
      </c>
      <c r="F64" s="370">
        <v>0</v>
      </c>
      <c r="G64" s="306">
        <v>35250</v>
      </c>
      <c r="H64" s="306">
        <v>35250</v>
      </c>
      <c r="I64" s="306">
        <v>35250</v>
      </c>
      <c r="J64" s="306">
        <v>35250</v>
      </c>
      <c r="K64" s="306">
        <v>35250</v>
      </c>
      <c r="L64" s="306">
        <v>35250</v>
      </c>
      <c r="M64" s="306">
        <v>35250</v>
      </c>
      <c r="N64" s="306">
        <v>35250</v>
      </c>
      <c r="O64" s="306">
        <v>35250</v>
      </c>
      <c r="P64" s="306">
        <v>35250</v>
      </c>
      <c r="Q64" s="306">
        <v>35250</v>
      </c>
      <c r="R64" s="306">
        <v>35250</v>
      </c>
      <c r="S64" s="306">
        <v>35250</v>
      </c>
      <c r="T64" s="306">
        <v>35250</v>
      </c>
      <c r="U64" s="306">
        <v>35250</v>
      </c>
      <c r="V64" s="306">
        <v>35250</v>
      </c>
      <c r="W64" s="306">
        <v>35250</v>
      </c>
      <c r="X64" s="306">
        <v>35250</v>
      </c>
      <c r="Y64" s="306">
        <v>35250</v>
      </c>
      <c r="Z64" s="306">
        <v>35250</v>
      </c>
      <c r="AA64" s="306">
        <v>35250</v>
      </c>
      <c r="AB64" s="306">
        <v>35250</v>
      </c>
      <c r="AC64" s="306">
        <v>35250</v>
      </c>
      <c r="AD64" s="306">
        <v>35250</v>
      </c>
      <c r="AE64" s="306">
        <v>35250</v>
      </c>
      <c r="AF64" s="306">
        <v>35250</v>
      </c>
      <c r="AG64" s="306">
        <v>35250</v>
      </c>
      <c r="AH64" s="306">
        <v>35250</v>
      </c>
      <c r="AI64" s="306">
        <v>35250</v>
      </c>
      <c r="AJ64" s="306">
        <v>35250</v>
      </c>
    </row>
    <row r="65" spans="1:36" x14ac:dyDescent="0.3">
      <c r="A65" s="354" t="s">
        <v>245</v>
      </c>
      <c r="B65" s="367" t="b">
        <v>0</v>
      </c>
      <c r="C65" s="368">
        <v>0</v>
      </c>
      <c r="D65" s="354" t="s">
        <v>248</v>
      </c>
      <c r="E65" s="370">
        <v>0</v>
      </c>
      <c r="F65" s="370">
        <v>0</v>
      </c>
      <c r="G65" s="370">
        <v>0</v>
      </c>
      <c r="H65" s="370">
        <v>0</v>
      </c>
      <c r="I65" s="370">
        <v>0</v>
      </c>
      <c r="J65" s="370">
        <v>0</v>
      </c>
      <c r="K65" s="370">
        <v>0</v>
      </c>
      <c r="L65" s="370">
        <v>0</v>
      </c>
      <c r="M65" s="370">
        <v>0</v>
      </c>
      <c r="N65" s="370">
        <v>0</v>
      </c>
      <c r="O65" s="370">
        <v>0</v>
      </c>
      <c r="P65" s="370">
        <v>0</v>
      </c>
      <c r="Q65" s="370">
        <v>0</v>
      </c>
      <c r="R65" s="370">
        <v>0</v>
      </c>
      <c r="S65" s="370">
        <v>0</v>
      </c>
      <c r="T65" s="370">
        <v>0</v>
      </c>
      <c r="U65" s="370">
        <v>0</v>
      </c>
      <c r="V65" s="370">
        <v>0</v>
      </c>
      <c r="W65" s="370">
        <v>0</v>
      </c>
      <c r="X65" s="370">
        <v>0</v>
      </c>
      <c r="Y65" s="370">
        <v>0</v>
      </c>
      <c r="Z65" s="370">
        <v>0</v>
      </c>
      <c r="AA65" s="370">
        <v>0</v>
      </c>
      <c r="AB65" s="370">
        <v>0</v>
      </c>
      <c r="AC65" s="370">
        <v>0</v>
      </c>
      <c r="AD65" s="370">
        <v>0</v>
      </c>
      <c r="AE65" s="370">
        <v>0</v>
      </c>
      <c r="AF65" s="370">
        <v>0</v>
      </c>
      <c r="AG65" s="370">
        <v>0</v>
      </c>
      <c r="AH65" s="370">
        <v>0</v>
      </c>
      <c r="AI65" s="370">
        <v>0</v>
      </c>
      <c r="AJ65" s="370">
        <v>0</v>
      </c>
    </row>
    <row r="66" spans="1:36" x14ac:dyDescent="0.3">
      <c r="A66" s="354" t="s">
        <v>247</v>
      </c>
      <c r="B66" s="367" t="b">
        <v>1</v>
      </c>
      <c r="C66" s="368">
        <v>0</v>
      </c>
      <c r="D66" s="354" t="s">
        <v>250</v>
      </c>
      <c r="E66" s="370">
        <v>0</v>
      </c>
      <c r="F66" s="370">
        <v>0</v>
      </c>
      <c r="G66" s="370">
        <v>0</v>
      </c>
      <c r="H66" s="370">
        <v>0</v>
      </c>
      <c r="I66" s="370">
        <v>0</v>
      </c>
      <c r="J66" s="370">
        <v>0</v>
      </c>
      <c r="K66" s="370">
        <v>0</v>
      </c>
      <c r="L66" s="370">
        <v>0</v>
      </c>
      <c r="M66" s="370">
        <v>0</v>
      </c>
      <c r="N66" s="370">
        <v>0</v>
      </c>
      <c r="O66" s="370">
        <v>0</v>
      </c>
      <c r="P66" s="370">
        <v>0</v>
      </c>
      <c r="Q66" s="370">
        <v>0</v>
      </c>
      <c r="R66" s="370">
        <v>0</v>
      </c>
      <c r="S66" s="370">
        <v>0</v>
      </c>
      <c r="T66" s="370">
        <v>0</v>
      </c>
      <c r="U66" s="370">
        <v>0</v>
      </c>
      <c r="V66" s="370">
        <v>0</v>
      </c>
      <c r="W66" s="370">
        <v>0</v>
      </c>
      <c r="X66" s="370">
        <v>0</v>
      </c>
      <c r="Y66" s="370">
        <v>0</v>
      </c>
      <c r="Z66" s="370">
        <v>0</v>
      </c>
      <c r="AA66" s="370">
        <v>0</v>
      </c>
      <c r="AB66" s="370">
        <v>0</v>
      </c>
      <c r="AC66" s="370">
        <v>0</v>
      </c>
      <c r="AD66" s="370">
        <v>0</v>
      </c>
      <c r="AE66" s="370">
        <v>0</v>
      </c>
      <c r="AF66" s="370">
        <v>0</v>
      </c>
      <c r="AG66" s="370">
        <v>0</v>
      </c>
      <c r="AH66" s="370">
        <v>0</v>
      </c>
      <c r="AI66" s="370">
        <v>0</v>
      </c>
      <c r="AJ66" s="370">
        <v>0</v>
      </c>
    </row>
    <row r="67" spans="1:36" x14ac:dyDescent="0.3">
      <c r="A67" s="354" t="s">
        <v>249</v>
      </c>
      <c r="B67" s="369">
        <v>0</v>
      </c>
      <c r="C67" s="368">
        <v>0</v>
      </c>
      <c r="D67" s="372" t="s">
        <v>251</v>
      </c>
      <c r="E67" s="373">
        <v>0</v>
      </c>
      <c r="F67" s="373">
        <v>0</v>
      </c>
      <c r="G67" s="373">
        <v>44997.322422408251</v>
      </c>
      <c r="H67" s="373">
        <v>44997.322422408251</v>
      </c>
      <c r="I67" s="373">
        <v>44997.322422408251</v>
      </c>
      <c r="J67" s="373">
        <v>44997.322422408251</v>
      </c>
      <c r="K67" s="373">
        <v>44997.322422408251</v>
      </c>
      <c r="L67" s="373">
        <v>44997.322422408251</v>
      </c>
      <c r="M67" s="373">
        <v>44997.322422408251</v>
      </c>
      <c r="N67" s="373">
        <v>44997.322422408251</v>
      </c>
      <c r="O67" s="373">
        <v>44997.322422408251</v>
      </c>
      <c r="P67" s="373">
        <v>44997.322422408251</v>
      </c>
      <c r="Q67" s="373">
        <v>44997.322422408251</v>
      </c>
      <c r="R67" s="373">
        <v>44997.322422408251</v>
      </c>
      <c r="S67" s="373">
        <v>44997.322422408251</v>
      </c>
      <c r="T67" s="373">
        <v>44997.322422408251</v>
      </c>
      <c r="U67" s="373">
        <v>44997.322422408251</v>
      </c>
      <c r="V67" s="373">
        <v>44997.322422408251</v>
      </c>
      <c r="W67" s="373">
        <v>44997.322422408251</v>
      </c>
      <c r="X67" s="373">
        <v>44997.322422408251</v>
      </c>
      <c r="Y67" s="373">
        <v>44997.322422408251</v>
      </c>
      <c r="Z67" s="373">
        <v>44997.322422408251</v>
      </c>
      <c r="AA67" s="373">
        <v>44997.322422408251</v>
      </c>
      <c r="AB67" s="373">
        <v>44997.322422408251</v>
      </c>
      <c r="AC67" s="373">
        <v>44997.322422408251</v>
      </c>
      <c r="AD67" s="373">
        <v>44997.322422408251</v>
      </c>
      <c r="AE67" s="373">
        <v>44997.322422408251</v>
      </c>
      <c r="AF67" s="373">
        <v>44997.322422408251</v>
      </c>
      <c r="AG67" s="373">
        <v>44997.322422408251</v>
      </c>
      <c r="AH67" s="373">
        <v>44997.322422408251</v>
      </c>
      <c r="AI67" s="373">
        <v>44997.322422408251</v>
      </c>
      <c r="AJ67" s="373">
        <v>44997.322422408251</v>
      </c>
    </row>
    <row r="68" spans="1:36" x14ac:dyDescent="0.3">
      <c r="A68" s="371"/>
      <c r="B68" s="371"/>
      <c r="C68" s="368">
        <v>0</v>
      </c>
      <c r="D68" s="375" t="s">
        <v>252</v>
      </c>
      <c r="E68" s="376">
        <v>0</v>
      </c>
      <c r="F68" s="376">
        <v>0</v>
      </c>
      <c r="G68" s="376">
        <v>395232.4006556368</v>
      </c>
      <c r="H68" s="376">
        <v>404613.31136558187</v>
      </c>
      <c r="I68" s="376">
        <v>412120.57855582103</v>
      </c>
      <c r="J68" s="376">
        <v>416795.58255115931</v>
      </c>
      <c r="K68" s="376">
        <v>422720.65985736431</v>
      </c>
      <c r="L68" s="376">
        <v>433555.8679749369</v>
      </c>
      <c r="M68" s="376">
        <v>446000.83035113924</v>
      </c>
      <c r="N68" s="376">
        <v>450664.93898461014</v>
      </c>
      <c r="O68" s="376">
        <v>459504.19761435466</v>
      </c>
      <c r="P68" s="376">
        <v>468431.01570438553</v>
      </c>
      <c r="Q68" s="376">
        <v>477445.11701314175</v>
      </c>
      <c r="R68" s="376">
        <v>486546.22557708359</v>
      </c>
      <c r="S68" s="376">
        <v>495734.07648918108</v>
      </c>
      <c r="T68" s="376">
        <v>505008.41590519453</v>
      </c>
      <c r="U68" s="376">
        <v>514368.97946372628</v>
      </c>
      <c r="V68" s="376">
        <v>523815.52465194644</v>
      </c>
      <c r="W68" s="376">
        <v>533347.80382938008</v>
      </c>
      <c r="X68" s="376">
        <v>542965.58581750549</v>
      </c>
      <c r="Y68" s="376">
        <v>552668.6397067795</v>
      </c>
      <c r="Z68" s="376">
        <v>562456.72944468213</v>
      </c>
      <c r="AA68" s="376">
        <v>572329.63003843057</v>
      </c>
      <c r="AB68" s="376">
        <v>581474.8895681547</v>
      </c>
      <c r="AC68" s="376">
        <v>590697.89418674668</v>
      </c>
      <c r="AD68" s="376">
        <v>599998.45882542466</v>
      </c>
      <c r="AE68" s="376">
        <v>609376.40363824286</v>
      </c>
      <c r="AF68" s="376">
        <v>618831.55400359852</v>
      </c>
      <c r="AG68" s="376">
        <v>618831.55400359852</v>
      </c>
      <c r="AH68" s="376">
        <v>618831.55400359852</v>
      </c>
      <c r="AI68" s="376">
        <v>618831.55400359852</v>
      </c>
      <c r="AJ68" s="376">
        <v>618831.55400359852</v>
      </c>
    </row>
    <row r="69" spans="1:36" x14ac:dyDescent="0.3">
      <c r="A69" s="374"/>
      <c r="B69" s="374"/>
      <c r="C69" s="374"/>
    </row>
    <row r="71" spans="1:36" x14ac:dyDescent="0.3">
      <c r="A71" s="350" t="s">
        <v>207</v>
      </c>
      <c r="B71" s="350"/>
      <c r="C71" s="351" t="s">
        <v>208</v>
      </c>
      <c r="D71" s="351"/>
      <c r="F71" s="352" t="s">
        <v>209</v>
      </c>
      <c r="G71" s="353" t="s">
        <v>210</v>
      </c>
      <c r="H71" s="351" t="s">
        <v>211</v>
      </c>
      <c r="I71" s="351" t="s">
        <v>212</v>
      </c>
    </row>
    <row r="72" spans="1:36" x14ac:dyDescent="0.3">
      <c r="A72" s="354" t="s">
        <v>213</v>
      </c>
      <c r="B72" s="355" t="s">
        <v>70</v>
      </c>
      <c r="C72" s="356" t="s">
        <v>214</v>
      </c>
      <c r="D72" s="357"/>
      <c r="F72" s="356" t="s">
        <v>215</v>
      </c>
      <c r="G72" s="358" t="b">
        <v>1</v>
      </c>
      <c r="H72" s="353">
        <v>1</v>
      </c>
      <c r="I72" s="359"/>
    </row>
    <row r="73" spans="1:36" x14ac:dyDescent="0.3">
      <c r="A73" s="354" t="s">
        <v>216</v>
      </c>
      <c r="B73" s="355" t="s">
        <v>217</v>
      </c>
      <c r="C73" s="356" t="s">
        <v>218</v>
      </c>
      <c r="D73" s="357"/>
      <c r="F73" s="356" t="s">
        <v>219</v>
      </c>
      <c r="G73" s="358">
        <v>1.57467624E-3</v>
      </c>
      <c r="H73" s="353">
        <v>1</v>
      </c>
      <c r="I73" s="359"/>
    </row>
    <row r="74" spans="1:36" x14ac:dyDescent="0.3">
      <c r="A74" s="360" t="s">
        <v>67</v>
      </c>
      <c r="B74" s="361">
        <v>26.719967551056794</v>
      </c>
      <c r="C74" s="360" t="s">
        <v>220</v>
      </c>
      <c r="D74" s="362">
        <v>7324957.2000000002</v>
      </c>
      <c r="F74" s="356" t="s">
        <v>221</v>
      </c>
      <c r="G74" s="358">
        <v>1.57467624E-3</v>
      </c>
      <c r="H74" s="353">
        <v>1</v>
      </c>
      <c r="I74" s="359"/>
    </row>
    <row r="75" spans="1:36" x14ac:dyDescent="0.3">
      <c r="A75" s="360" t="s">
        <v>222</v>
      </c>
      <c r="B75" s="307">
        <v>0.5</v>
      </c>
      <c r="C75" s="360" t="s">
        <v>223</v>
      </c>
      <c r="D75" s="362">
        <v>164000</v>
      </c>
      <c r="F75" s="356" t="s">
        <v>224</v>
      </c>
      <c r="G75" s="363">
        <v>0</v>
      </c>
      <c r="H75" s="353">
        <v>1</v>
      </c>
      <c r="I75" s="359"/>
    </row>
    <row r="76" spans="1:36" x14ac:dyDescent="0.3">
      <c r="A76" s="364" t="s">
        <v>343</v>
      </c>
      <c r="B76" s="365" t="s">
        <v>226</v>
      </c>
      <c r="C76" s="351" t="s">
        <v>227</v>
      </c>
      <c r="D76" s="350" t="s">
        <v>228</v>
      </c>
      <c r="E76" s="351">
        <v>2025</v>
      </c>
      <c r="F76" s="351">
        <v>2026</v>
      </c>
      <c r="G76" s="351">
        <v>2027</v>
      </c>
      <c r="H76" s="351">
        <v>2028</v>
      </c>
      <c r="I76" s="351">
        <v>2029</v>
      </c>
      <c r="J76" s="351">
        <v>2030</v>
      </c>
      <c r="K76" s="351">
        <v>2031</v>
      </c>
      <c r="L76" s="351">
        <v>2032</v>
      </c>
      <c r="M76" s="351">
        <v>2033</v>
      </c>
      <c r="N76" s="351">
        <v>2034</v>
      </c>
      <c r="O76" s="351">
        <v>2035</v>
      </c>
      <c r="P76" s="351">
        <v>2036</v>
      </c>
      <c r="Q76" s="351">
        <v>2037</v>
      </c>
      <c r="R76" s="351">
        <v>2038</v>
      </c>
      <c r="S76" s="351">
        <v>2039</v>
      </c>
      <c r="T76" s="351">
        <v>2040</v>
      </c>
      <c r="U76" s="351">
        <v>2041</v>
      </c>
      <c r="V76" s="351">
        <v>2042</v>
      </c>
      <c r="W76" s="351">
        <v>2043</v>
      </c>
      <c r="X76" s="351">
        <v>2044</v>
      </c>
      <c r="Y76" s="351">
        <v>2045</v>
      </c>
      <c r="Z76" s="351">
        <v>2046</v>
      </c>
      <c r="AA76" s="351">
        <v>2047</v>
      </c>
      <c r="AB76" s="366">
        <v>2048</v>
      </c>
      <c r="AC76" s="366">
        <v>2049</v>
      </c>
      <c r="AD76" s="366">
        <v>2050</v>
      </c>
      <c r="AE76" s="366">
        <v>2051</v>
      </c>
      <c r="AF76" s="366">
        <v>2052</v>
      </c>
      <c r="AG76" s="366">
        <v>2053</v>
      </c>
      <c r="AH76" s="366">
        <v>2054</v>
      </c>
      <c r="AI76" s="366">
        <v>2055</v>
      </c>
      <c r="AJ76" s="366">
        <v>2056</v>
      </c>
    </row>
    <row r="77" spans="1:36" x14ac:dyDescent="0.3">
      <c r="A77" s="354" t="s">
        <v>229</v>
      </c>
      <c r="B77" s="367" t="b">
        <v>1</v>
      </c>
      <c r="C77" s="368">
        <v>2000000</v>
      </c>
      <c r="D77" s="354"/>
      <c r="E77" s="302"/>
      <c r="F77" s="302"/>
      <c r="G77" s="302"/>
      <c r="H77" s="302"/>
      <c r="I77" s="302"/>
      <c r="J77" s="302"/>
      <c r="K77" s="302"/>
      <c r="L77" s="302"/>
      <c r="M77" s="302"/>
      <c r="N77" s="302"/>
      <c r="O77" s="302"/>
      <c r="P77" s="302"/>
      <c r="Q77" s="302"/>
      <c r="R77" s="302"/>
      <c r="S77" s="302"/>
      <c r="T77" s="302"/>
      <c r="U77" s="302"/>
      <c r="V77" s="302"/>
      <c r="W77" s="302"/>
      <c r="X77" s="302"/>
      <c r="Y77" s="302"/>
      <c r="Z77" s="302"/>
      <c r="AA77" s="302"/>
      <c r="AB77" s="302"/>
      <c r="AC77" s="302"/>
      <c r="AD77" s="302"/>
      <c r="AE77" s="302"/>
      <c r="AF77" s="302"/>
      <c r="AG77" s="302"/>
      <c r="AH77" s="302"/>
      <c r="AI77" s="302"/>
      <c r="AJ77" s="302"/>
    </row>
    <row r="78" spans="1:36" x14ac:dyDescent="0.3">
      <c r="A78" s="354" t="s">
        <v>231</v>
      </c>
      <c r="B78" s="367" t="b">
        <v>0</v>
      </c>
      <c r="C78" s="368">
        <v>50000</v>
      </c>
      <c r="D78" s="354" t="s">
        <v>350</v>
      </c>
      <c r="E78" s="303"/>
      <c r="F78" s="303"/>
      <c r="G78" s="303">
        <v>2759.9564103184639</v>
      </c>
      <c r="H78" s="303">
        <v>2843.0154861014598</v>
      </c>
      <c r="I78" s="303">
        <v>2908.1326685242288</v>
      </c>
      <c r="J78" s="303">
        <v>2946.1632204238886</v>
      </c>
      <c r="K78" s="303">
        <v>2996.2341939223834</v>
      </c>
      <c r="L78" s="303">
        <v>3092.7976050996208</v>
      </c>
      <c r="M78" s="303">
        <v>3204.6645396501899</v>
      </c>
      <c r="N78" s="303">
        <v>3242.4111853486993</v>
      </c>
      <c r="O78" s="303">
        <v>3319.834484409992</v>
      </c>
      <c r="P78" s="303">
        <v>3398.0270571658148</v>
      </c>
      <c r="Q78" s="303">
        <v>3476.9865318874081</v>
      </c>
      <c r="R78" s="303">
        <v>3556.7106056581983</v>
      </c>
      <c r="S78" s="303">
        <v>3637.1969782398678</v>
      </c>
      <c r="T78" s="303">
        <v>3718.4434512431058</v>
      </c>
      <c r="U78" s="303">
        <v>3800.4478620085874</v>
      </c>
      <c r="V78" s="303">
        <v>3883.2081497899912</v>
      </c>
      <c r="W78" s="303">
        <v>3966.7221902514925</v>
      </c>
      <c r="X78" s="303">
        <v>4050.9879940463288</v>
      </c>
      <c r="Y78" s="303">
        <v>4136.0035744030083</v>
      </c>
      <c r="Z78" s="303">
        <v>4221.7670464964685</v>
      </c>
      <c r="AA78" s="303">
        <v>4308.2765280601307</v>
      </c>
      <c r="AB78" s="303">
        <v>4395.5301393152713</v>
      </c>
      <c r="AC78" s="303">
        <v>4483.5261356258079</v>
      </c>
      <c r="AD78" s="303">
        <v>4572.2627084966871</v>
      </c>
      <c r="AE78" s="303">
        <v>4661.738151413585</v>
      </c>
      <c r="AF78" s="303">
        <v>4751.9508267300898</v>
      </c>
      <c r="AG78" s="303">
        <v>4751.9508267300898</v>
      </c>
      <c r="AH78" s="303">
        <v>4751.9508267300898</v>
      </c>
      <c r="AI78" s="303">
        <v>4751.9508267300898</v>
      </c>
      <c r="AJ78" s="303">
        <v>4751.9508267300898</v>
      </c>
    </row>
    <row r="79" spans="1:36" x14ac:dyDescent="0.3">
      <c r="A79" s="354" t="s">
        <v>232</v>
      </c>
      <c r="B79" s="367" t="b">
        <v>0</v>
      </c>
      <c r="C79" s="368">
        <v>300000</v>
      </c>
      <c r="D79" s="354" t="s">
        <v>234</v>
      </c>
      <c r="E79" s="304"/>
      <c r="F79" s="304"/>
      <c r="G79" s="304">
        <v>3.3212000800000004E-3</v>
      </c>
      <c r="H79" s="304">
        <v>3.4085292400000003E-3</v>
      </c>
      <c r="I79" s="304">
        <v>3.4967895999999999E-3</v>
      </c>
      <c r="J79" s="304">
        <v>3.5859768799999998E-3</v>
      </c>
      <c r="K79" s="304">
        <v>3.6760870799999999E-3</v>
      </c>
      <c r="L79" s="304">
        <v>3.7671160800000002E-3</v>
      </c>
      <c r="M79" s="304">
        <v>3.8590599599999998E-3</v>
      </c>
      <c r="N79" s="304">
        <v>3.9519148799999999E-3</v>
      </c>
      <c r="O79" s="304">
        <v>4.0456769200000004E-3</v>
      </c>
      <c r="P79" s="304">
        <v>4.1403424000000001E-3</v>
      </c>
      <c r="Q79" s="304">
        <v>4.2359076400000006E-3</v>
      </c>
      <c r="R79" s="304">
        <v>4.3323690400000007E-3</v>
      </c>
      <c r="S79" s="304">
        <v>4.429723E-3</v>
      </c>
      <c r="T79" s="304">
        <v>4.5279660400000003E-3</v>
      </c>
      <c r="U79" s="304">
        <v>4.6270947200000006E-3</v>
      </c>
      <c r="V79" s="304">
        <v>4.7271057200000003E-3</v>
      </c>
      <c r="W79" s="304">
        <v>4.8279956399999999E-3</v>
      </c>
      <c r="X79" s="304">
        <v>4.9297612400000003E-3</v>
      </c>
      <c r="Y79" s="304">
        <v>5.0323992800000005E-3</v>
      </c>
      <c r="Z79" s="304">
        <v>5.13590664E-3</v>
      </c>
      <c r="AA79" s="304">
        <v>5.2402802E-3</v>
      </c>
      <c r="AB79" s="304">
        <v>5.2402802E-3</v>
      </c>
      <c r="AC79" s="304">
        <v>5.2402802E-3</v>
      </c>
      <c r="AD79" s="304">
        <v>5.2402802E-3</v>
      </c>
      <c r="AE79" s="304">
        <v>5.2402802E-3</v>
      </c>
      <c r="AF79" s="304">
        <v>5.2402802E-3</v>
      </c>
      <c r="AG79" s="304">
        <v>5.2402802E-3</v>
      </c>
      <c r="AH79" s="304">
        <v>5.2402802E-3</v>
      </c>
      <c r="AI79" s="304">
        <v>5.2402802E-3</v>
      </c>
      <c r="AJ79" s="304">
        <v>5.2402802E-3</v>
      </c>
    </row>
    <row r="80" spans="1:36" x14ac:dyDescent="0.3">
      <c r="A80" s="354" t="s">
        <v>233</v>
      </c>
      <c r="B80" s="367" t="b">
        <v>0</v>
      </c>
      <c r="C80" s="368">
        <v>4000</v>
      </c>
      <c r="D80" s="354" t="s">
        <v>236</v>
      </c>
      <c r="E80" s="304"/>
      <c r="F80" s="304"/>
      <c r="G80" s="304">
        <v>1.3284800320000002E-2</v>
      </c>
      <c r="H80" s="304">
        <v>1.3634116960000001E-2</v>
      </c>
      <c r="I80" s="304">
        <v>1.39871584E-2</v>
      </c>
      <c r="J80" s="304">
        <v>1.4343907519999999E-2</v>
      </c>
      <c r="K80" s="304">
        <v>1.4704348319999999E-2</v>
      </c>
      <c r="L80" s="304">
        <v>1.5068464320000001E-2</v>
      </c>
      <c r="M80" s="304">
        <v>1.5436239839999999E-2</v>
      </c>
      <c r="N80" s="304">
        <v>1.580765952E-2</v>
      </c>
      <c r="O80" s="304">
        <v>1.6182707680000002E-2</v>
      </c>
      <c r="P80" s="304">
        <v>1.65613696E-2</v>
      </c>
      <c r="Q80" s="304">
        <v>1.6943630560000002E-2</v>
      </c>
      <c r="R80" s="304">
        <v>1.7329476160000003E-2</v>
      </c>
      <c r="S80" s="304">
        <v>1.7718892E-2</v>
      </c>
      <c r="T80" s="304">
        <v>1.8111864160000001E-2</v>
      </c>
      <c r="U80" s="304">
        <v>1.8508378880000002E-2</v>
      </c>
      <c r="V80" s="304">
        <v>1.8908422880000001E-2</v>
      </c>
      <c r="W80" s="304">
        <v>1.931198256E-2</v>
      </c>
      <c r="X80" s="304">
        <v>1.9719044960000001E-2</v>
      </c>
      <c r="Y80" s="304">
        <v>2.0129597120000002E-2</v>
      </c>
      <c r="Z80" s="304">
        <v>2.054362656E-2</v>
      </c>
      <c r="AA80" s="304">
        <v>2.09611208E-2</v>
      </c>
      <c r="AB80" s="304">
        <v>2.09611208E-2</v>
      </c>
      <c r="AC80" s="304">
        <v>2.09611208E-2</v>
      </c>
      <c r="AD80" s="304">
        <v>2.09611208E-2</v>
      </c>
      <c r="AE80" s="304">
        <v>2.09611208E-2</v>
      </c>
      <c r="AF80" s="304">
        <v>2.09611208E-2</v>
      </c>
      <c r="AG80" s="304">
        <v>2.09611208E-2</v>
      </c>
      <c r="AH80" s="304">
        <v>2.09611208E-2</v>
      </c>
      <c r="AI80" s="304">
        <v>2.09611208E-2</v>
      </c>
      <c r="AJ80" s="304">
        <v>2.09611208E-2</v>
      </c>
    </row>
    <row r="81" spans="1:36" x14ac:dyDescent="0.3">
      <c r="A81" s="354" t="s">
        <v>235</v>
      </c>
      <c r="B81" s="367" t="b">
        <v>0</v>
      </c>
      <c r="C81" s="368">
        <v>650</v>
      </c>
      <c r="D81" s="354"/>
      <c r="E81" s="354"/>
      <c r="F81" s="354"/>
      <c r="G81" s="354"/>
      <c r="H81" s="354"/>
      <c r="I81" s="354"/>
      <c r="J81" s="354"/>
      <c r="K81" s="354"/>
      <c r="L81" s="354"/>
      <c r="M81" s="354"/>
      <c r="N81" s="354"/>
      <c r="O81" s="354"/>
      <c r="P81" s="354"/>
      <c r="Q81" s="354"/>
      <c r="R81" s="354"/>
      <c r="S81" s="354"/>
      <c r="T81" s="354"/>
      <c r="U81" s="354"/>
      <c r="V81" s="354"/>
      <c r="W81" s="354"/>
      <c r="X81" s="354"/>
      <c r="Y81" s="354"/>
      <c r="Z81" s="354"/>
      <c r="AA81" s="354"/>
      <c r="AB81" s="354"/>
      <c r="AC81" s="354"/>
      <c r="AD81" s="354"/>
      <c r="AE81" s="354"/>
      <c r="AF81" s="354"/>
      <c r="AG81" s="354"/>
      <c r="AH81" s="354"/>
      <c r="AI81" s="354"/>
      <c r="AJ81" s="354"/>
    </row>
    <row r="82" spans="1:36" x14ac:dyDescent="0.3">
      <c r="A82" s="354" t="s">
        <v>237</v>
      </c>
      <c r="B82" s="369" t="b">
        <v>0</v>
      </c>
      <c r="C82" s="368">
        <v>300000</v>
      </c>
      <c r="D82" s="354" t="s">
        <v>201</v>
      </c>
      <c r="E82" s="370">
        <v>0</v>
      </c>
      <c r="F82" s="370">
        <v>0</v>
      </c>
      <c r="G82" s="305">
        <v>73745.945726040547</v>
      </c>
      <c r="H82" s="305">
        <v>75965.281535782968</v>
      </c>
      <c r="I82" s="305">
        <v>77705.210537135601</v>
      </c>
      <c r="J82" s="305">
        <v>78721.385649843287</v>
      </c>
      <c r="K82" s="305">
        <v>80059.280436972898</v>
      </c>
      <c r="L82" s="305">
        <v>82639.451650248026</v>
      </c>
      <c r="M82" s="305">
        <v>85628.532511475438</v>
      </c>
      <c r="N82" s="305">
        <v>86637.121659700846</v>
      </c>
      <c r="O82" s="305">
        <v>88705.869698314345</v>
      </c>
      <c r="P82" s="305">
        <v>90795.172705083576</v>
      </c>
      <c r="Q82" s="305">
        <v>92904.967307493047</v>
      </c>
      <c r="R82" s="305">
        <v>95035.19197168661</v>
      </c>
      <c r="S82" s="305">
        <v>97185.785235371091</v>
      </c>
      <c r="T82" s="305">
        <v>99356.688357655425</v>
      </c>
      <c r="U82" s="305">
        <v>101547.84355235263</v>
      </c>
      <c r="V82" s="305">
        <v>103759.19575638785</v>
      </c>
      <c r="W82" s="305">
        <v>105990.68820757681</v>
      </c>
      <c r="X82" s="305">
        <v>108242.26775063855</v>
      </c>
      <c r="Y82" s="305">
        <v>110513.88129910329</v>
      </c>
      <c r="Z82" s="305">
        <v>112805.47849050652</v>
      </c>
      <c r="AA82" s="305">
        <v>115117.00903074631</v>
      </c>
      <c r="AB82" s="305">
        <v>117448.4226921962</v>
      </c>
      <c r="AC82" s="305">
        <v>119799.67285823665</v>
      </c>
      <c r="AD82" s="305">
        <v>122170.71120593853</v>
      </c>
      <c r="AE82" s="305">
        <v>124561.49213729447</v>
      </c>
      <c r="AF82" s="305">
        <v>126971.97189444551</v>
      </c>
      <c r="AG82" s="305">
        <v>126971.97189444551</v>
      </c>
      <c r="AH82" s="305">
        <v>126971.97189444551</v>
      </c>
      <c r="AI82" s="305">
        <v>126971.97189444551</v>
      </c>
      <c r="AJ82" s="305">
        <v>126971.97189444551</v>
      </c>
    </row>
    <row r="83" spans="1:36" x14ac:dyDescent="0.3">
      <c r="A83" s="354" t="s">
        <v>238</v>
      </c>
      <c r="B83" s="369" t="b">
        <v>0</v>
      </c>
      <c r="C83" s="368">
        <v>639520.09377524676</v>
      </c>
      <c r="D83" s="354" t="s">
        <v>240</v>
      </c>
      <c r="E83" s="370">
        <v>0</v>
      </c>
      <c r="F83" s="370">
        <v>0</v>
      </c>
      <c r="G83" s="306">
        <v>600.50471135378461</v>
      </c>
      <c r="H83" s="306">
        <v>616.29465798613819</v>
      </c>
      <c r="I83" s="306">
        <v>632.25297447689923</v>
      </c>
      <c r="J83" s="306">
        <v>648.37888696116886</v>
      </c>
      <c r="K83" s="306">
        <v>664.67167220072349</v>
      </c>
      <c r="L83" s="306">
        <v>681.13058526019313</v>
      </c>
      <c r="M83" s="306">
        <v>697.75491736611889</v>
      </c>
      <c r="N83" s="306">
        <v>714.54397420980615</v>
      </c>
      <c r="O83" s="306">
        <v>731.49704701779626</v>
      </c>
      <c r="P83" s="306">
        <v>748.61347041092324</v>
      </c>
      <c r="Q83" s="306">
        <v>765.89257901002202</v>
      </c>
      <c r="R83" s="306">
        <v>783.3337219006911</v>
      </c>
      <c r="S83" s="306">
        <v>800.93624816852969</v>
      </c>
      <c r="T83" s="306">
        <v>818.69952859628359</v>
      </c>
      <c r="U83" s="306">
        <v>836.6229411990804</v>
      </c>
      <c r="V83" s="306">
        <v>854.70588568919459</v>
      </c>
      <c r="W83" s="306">
        <v>872.94774731413656</v>
      </c>
      <c r="X83" s="306">
        <v>891.3479402509455</v>
      </c>
      <c r="Y83" s="306">
        <v>909.90587867666011</v>
      </c>
      <c r="Z83" s="306">
        <v>928.62099846546607</v>
      </c>
      <c r="AA83" s="306">
        <v>947.4927354915493</v>
      </c>
      <c r="AB83" s="306">
        <v>947.4927354915493</v>
      </c>
      <c r="AC83" s="306">
        <v>947.4927354915493</v>
      </c>
      <c r="AD83" s="306">
        <v>947.4927354915493</v>
      </c>
      <c r="AE83" s="306">
        <v>947.4927354915493</v>
      </c>
      <c r="AF83" s="306">
        <v>947.4927354915493</v>
      </c>
      <c r="AG83" s="306">
        <v>947.4927354915493</v>
      </c>
      <c r="AH83" s="306">
        <v>947.4927354915493</v>
      </c>
      <c r="AI83" s="306">
        <v>947.4927354915493</v>
      </c>
      <c r="AJ83" s="306">
        <v>947.4927354915493</v>
      </c>
    </row>
    <row r="84" spans="1:36" x14ac:dyDescent="0.3">
      <c r="A84" s="354" t="s">
        <v>239</v>
      </c>
      <c r="B84" s="367" t="b">
        <v>0</v>
      </c>
      <c r="C84" s="368">
        <v>6104131</v>
      </c>
      <c r="D84" s="354" t="s">
        <v>242</v>
      </c>
      <c r="E84" s="370">
        <v>0</v>
      </c>
      <c r="F84" s="370">
        <v>0</v>
      </c>
      <c r="G84" s="306">
        <v>24327.648438636581</v>
      </c>
      <c r="H84" s="306">
        <v>24967.330797948533</v>
      </c>
      <c r="I84" s="306">
        <v>25613.834157405119</v>
      </c>
      <c r="J84" s="306">
        <v>26267.127166189533</v>
      </c>
      <c r="K84" s="306">
        <v>26927.180524472977</v>
      </c>
      <c r="L84" s="306">
        <v>27593.964053431777</v>
      </c>
      <c r="M84" s="306">
        <v>28267.44903923371</v>
      </c>
      <c r="N84" s="306">
        <v>28947.607354043135</v>
      </c>
      <c r="O84" s="306">
        <v>29634.410284027828</v>
      </c>
      <c r="P84" s="306">
        <v>30327.830873345283</v>
      </c>
      <c r="Q84" s="306">
        <v>31027.842166153012</v>
      </c>
      <c r="R84" s="306">
        <v>31734.417792605094</v>
      </c>
      <c r="S84" s="306">
        <v>32447.531382855599</v>
      </c>
      <c r="T84" s="306">
        <v>33167.15744605349</v>
      </c>
      <c r="U84" s="306">
        <v>33893.270784345987</v>
      </c>
      <c r="V84" s="306">
        <v>34625.847078875187</v>
      </c>
      <c r="W84" s="306">
        <v>35364.861424786606</v>
      </c>
      <c r="X84" s="306">
        <v>36110.290089218928</v>
      </c>
      <c r="Y84" s="306">
        <v>36862.109339310824</v>
      </c>
      <c r="Z84" s="306">
        <v>37620.296321195812</v>
      </c>
      <c r="AA84" s="306">
        <v>38384.82818100744</v>
      </c>
      <c r="AB84" s="306">
        <v>38384.82818100744</v>
      </c>
      <c r="AC84" s="306">
        <v>38384.82818100744</v>
      </c>
      <c r="AD84" s="306">
        <v>38384.82818100744</v>
      </c>
      <c r="AE84" s="306">
        <v>38384.82818100744</v>
      </c>
      <c r="AF84" s="306">
        <v>38384.82818100744</v>
      </c>
      <c r="AG84" s="306">
        <v>38384.82818100744</v>
      </c>
      <c r="AH84" s="306">
        <v>38384.82818100744</v>
      </c>
      <c r="AI84" s="306">
        <v>38384.82818100744</v>
      </c>
      <c r="AJ84" s="306">
        <v>38384.82818100744</v>
      </c>
    </row>
    <row r="85" spans="1:36" x14ac:dyDescent="0.3">
      <c r="A85" s="354" t="s">
        <v>241</v>
      </c>
      <c r="B85" s="367" t="b">
        <v>0</v>
      </c>
      <c r="C85" s="368">
        <v>0</v>
      </c>
      <c r="D85" s="354" t="s">
        <v>244</v>
      </c>
      <c r="E85" s="370">
        <v>0</v>
      </c>
      <c r="F85" s="370">
        <v>0</v>
      </c>
      <c r="G85" s="306">
        <v>2178.7072524800001</v>
      </c>
      <c r="H85" s="306">
        <v>2235.9951814400001</v>
      </c>
      <c r="I85" s="306">
        <v>2293.8939775999997</v>
      </c>
      <c r="J85" s="306">
        <v>2352.4008332799999</v>
      </c>
      <c r="K85" s="306">
        <v>2411.51312448</v>
      </c>
      <c r="L85" s="306">
        <v>2471.2281484800001</v>
      </c>
      <c r="M85" s="306">
        <v>2531.5433337599998</v>
      </c>
      <c r="N85" s="306">
        <v>2592.4561612799998</v>
      </c>
      <c r="O85" s="306">
        <v>2653.9640595200003</v>
      </c>
      <c r="P85" s="306">
        <v>2716.0646144000002</v>
      </c>
      <c r="Q85" s="306">
        <v>2778.7554118400003</v>
      </c>
      <c r="R85" s="306">
        <v>2842.0340902400003</v>
      </c>
      <c r="S85" s="306">
        <v>2905.8982879999999</v>
      </c>
      <c r="T85" s="306">
        <v>2970.3457222400002</v>
      </c>
      <c r="U85" s="306">
        <v>3035.3741363200002</v>
      </c>
      <c r="V85" s="306">
        <v>3100.98135232</v>
      </c>
      <c r="W85" s="306">
        <v>3167.1651398399999</v>
      </c>
      <c r="X85" s="306">
        <v>3233.92337344</v>
      </c>
      <c r="Y85" s="306">
        <v>3301.2539276800003</v>
      </c>
      <c r="Z85" s="306">
        <v>3369.1547558400002</v>
      </c>
      <c r="AA85" s="306">
        <v>3437.6238112000001</v>
      </c>
      <c r="AB85" s="306">
        <v>3437.6238112000001</v>
      </c>
      <c r="AC85" s="306">
        <v>3437.6238112000001</v>
      </c>
      <c r="AD85" s="306">
        <v>3437.6238112000001</v>
      </c>
      <c r="AE85" s="306">
        <v>3437.6238112000001</v>
      </c>
      <c r="AF85" s="306">
        <v>3437.6238112000001</v>
      </c>
      <c r="AG85" s="306">
        <v>3437.6238112000001</v>
      </c>
      <c r="AH85" s="306">
        <v>3437.6238112000001</v>
      </c>
      <c r="AI85" s="306">
        <v>3437.6238112000001</v>
      </c>
      <c r="AJ85" s="306">
        <v>3437.6238112000001</v>
      </c>
    </row>
    <row r="86" spans="1:36" x14ac:dyDescent="0.3">
      <c r="A86" s="354" t="s">
        <v>243</v>
      </c>
      <c r="B86" s="367" t="b">
        <v>0</v>
      </c>
      <c r="C86" s="368">
        <v>0</v>
      </c>
      <c r="D86" s="354" t="s">
        <v>246</v>
      </c>
      <c r="E86" s="370">
        <v>0</v>
      </c>
      <c r="F86" s="370">
        <v>0</v>
      </c>
      <c r="G86" s="306">
        <v>141000</v>
      </c>
      <c r="H86" s="306">
        <v>141000</v>
      </c>
      <c r="I86" s="306">
        <v>141000</v>
      </c>
      <c r="J86" s="306">
        <v>141000</v>
      </c>
      <c r="K86" s="306">
        <v>141000</v>
      </c>
      <c r="L86" s="306">
        <v>141000</v>
      </c>
      <c r="M86" s="306">
        <v>141000</v>
      </c>
      <c r="N86" s="306">
        <v>141000</v>
      </c>
      <c r="O86" s="306">
        <v>141000</v>
      </c>
      <c r="P86" s="306">
        <v>141000</v>
      </c>
      <c r="Q86" s="306">
        <v>141000</v>
      </c>
      <c r="R86" s="306">
        <v>141000</v>
      </c>
      <c r="S86" s="306">
        <v>141000</v>
      </c>
      <c r="T86" s="306">
        <v>141000</v>
      </c>
      <c r="U86" s="306">
        <v>141000</v>
      </c>
      <c r="V86" s="306">
        <v>141000</v>
      </c>
      <c r="W86" s="306">
        <v>141000</v>
      </c>
      <c r="X86" s="306">
        <v>141000</v>
      </c>
      <c r="Y86" s="306">
        <v>141000</v>
      </c>
      <c r="Z86" s="306">
        <v>141000</v>
      </c>
      <c r="AA86" s="306">
        <v>141000</v>
      </c>
      <c r="AB86" s="306">
        <v>141000</v>
      </c>
      <c r="AC86" s="306">
        <v>141000</v>
      </c>
      <c r="AD86" s="306">
        <v>141000</v>
      </c>
      <c r="AE86" s="306">
        <v>141000</v>
      </c>
      <c r="AF86" s="306">
        <v>141000</v>
      </c>
      <c r="AG86" s="306">
        <v>141000</v>
      </c>
      <c r="AH86" s="306">
        <v>141000</v>
      </c>
      <c r="AI86" s="306">
        <v>141000</v>
      </c>
      <c r="AJ86" s="306">
        <v>141000</v>
      </c>
    </row>
    <row r="87" spans="1:36" x14ac:dyDescent="0.3">
      <c r="A87" s="354" t="s">
        <v>245</v>
      </c>
      <c r="B87" s="367" t="b">
        <v>0</v>
      </c>
      <c r="C87" s="368">
        <v>0</v>
      </c>
      <c r="D87" s="354" t="s">
        <v>248</v>
      </c>
      <c r="E87" s="370">
        <v>0</v>
      </c>
      <c r="F87" s="370">
        <v>0</v>
      </c>
      <c r="G87" s="370">
        <v>0</v>
      </c>
      <c r="H87" s="370">
        <v>0</v>
      </c>
      <c r="I87" s="370">
        <v>0</v>
      </c>
      <c r="J87" s="370">
        <v>0</v>
      </c>
      <c r="K87" s="370">
        <v>0</v>
      </c>
      <c r="L87" s="370">
        <v>0</v>
      </c>
      <c r="M87" s="370">
        <v>0</v>
      </c>
      <c r="N87" s="370">
        <v>0</v>
      </c>
      <c r="O87" s="370">
        <v>0</v>
      </c>
      <c r="P87" s="370">
        <v>0</v>
      </c>
      <c r="Q87" s="370">
        <v>0</v>
      </c>
      <c r="R87" s="370">
        <v>0</v>
      </c>
      <c r="S87" s="370">
        <v>0</v>
      </c>
      <c r="T87" s="370">
        <v>0</v>
      </c>
      <c r="U87" s="370">
        <v>0</v>
      </c>
      <c r="V87" s="370">
        <v>0</v>
      </c>
      <c r="W87" s="370">
        <v>0</v>
      </c>
      <c r="X87" s="370">
        <v>0</v>
      </c>
      <c r="Y87" s="370">
        <v>0</v>
      </c>
      <c r="Z87" s="370">
        <v>0</v>
      </c>
      <c r="AA87" s="370">
        <v>0</v>
      </c>
      <c r="AB87" s="370">
        <v>0</v>
      </c>
      <c r="AC87" s="370">
        <v>0</v>
      </c>
      <c r="AD87" s="370">
        <v>0</v>
      </c>
      <c r="AE87" s="370">
        <v>0</v>
      </c>
      <c r="AF87" s="370">
        <v>0</v>
      </c>
      <c r="AG87" s="370">
        <v>0</v>
      </c>
      <c r="AH87" s="370">
        <v>0</v>
      </c>
      <c r="AI87" s="370">
        <v>0</v>
      </c>
      <c r="AJ87" s="370">
        <v>0</v>
      </c>
    </row>
    <row r="88" spans="1:36" x14ac:dyDescent="0.3">
      <c r="A88" s="354" t="s">
        <v>247</v>
      </c>
      <c r="B88" s="367" t="b">
        <v>1</v>
      </c>
      <c r="C88" s="368">
        <v>0</v>
      </c>
      <c r="D88" s="354" t="s">
        <v>250</v>
      </c>
      <c r="E88" s="370">
        <v>0</v>
      </c>
      <c r="F88" s="370">
        <v>0</v>
      </c>
      <c r="G88" s="370">
        <v>0</v>
      </c>
      <c r="H88" s="370">
        <v>0</v>
      </c>
      <c r="I88" s="370">
        <v>0</v>
      </c>
      <c r="J88" s="370">
        <v>0</v>
      </c>
      <c r="K88" s="370">
        <v>0</v>
      </c>
      <c r="L88" s="370">
        <v>0</v>
      </c>
      <c r="M88" s="370">
        <v>0</v>
      </c>
      <c r="N88" s="370">
        <v>0</v>
      </c>
      <c r="O88" s="370">
        <v>0</v>
      </c>
      <c r="P88" s="370">
        <v>0</v>
      </c>
      <c r="Q88" s="370">
        <v>0</v>
      </c>
      <c r="R88" s="370">
        <v>0</v>
      </c>
      <c r="S88" s="370">
        <v>0</v>
      </c>
      <c r="T88" s="370">
        <v>0</v>
      </c>
      <c r="U88" s="370">
        <v>0</v>
      </c>
      <c r="V88" s="370">
        <v>0</v>
      </c>
      <c r="W88" s="370">
        <v>0</v>
      </c>
      <c r="X88" s="370">
        <v>0</v>
      </c>
      <c r="Y88" s="370">
        <v>0</v>
      </c>
      <c r="Z88" s="370">
        <v>0</v>
      </c>
      <c r="AA88" s="370">
        <v>0</v>
      </c>
      <c r="AB88" s="370">
        <v>0</v>
      </c>
      <c r="AC88" s="370">
        <v>0</v>
      </c>
      <c r="AD88" s="370">
        <v>0</v>
      </c>
      <c r="AE88" s="370">
        <v>0</v>
      </c>
      <c r="AF88" s="370">
        <v>0</v>
      </c>
      <c r="AG88" s="370">
        <v>0</v>
      </c>
      <c r="AH88" s="370">
        <v>0</v>
      </c>
      <c r="AI88" s="370">
        <v>0</v>
      </c>
      <c r="AJ88" s="370">
        <v>0</v>
      </c>
    </row>
    <row r="89" spans="1:36" x14ac:dyDescent="0.3">
      <c r="A89" s="354" t="s">
        <v>249</v>
      </c>
      <c r="B89" s="369">
        <v>0</v>
      </c>
      <c r="C89" s="368">
        <v>0</v>
      </c>
      <c r="D89" s="372" t="s">
        <v>251</v>
      </c>
      <c r="E89" s="373">
        <v>0</v>
      </c>
      <c r="F89" s="373">
        <v>0</v>
      </c>
      <c r="G89" s="373">
        <v>140722.15356605238</v>
      </c>
      <c r="H89" s="373">
        <v>140722.15356605238</v>
      </c>
      <c r="I89" s="373">
        <v>140722.15356605238</v>
      </c>
      <c r="J89" s="373">
        <v>140722.15356605238</v>
      </c>
      <c r="K89" s="373">
        <v>140722.15356605238</v>
      </c>
      <c r="L89" s="373">
        <v>140722.15356605238</v>
      </c>
      <c r="M89" s="373">
        <v>140722.15356605238</v>
      </c>
      <c r="N89" s="373">
        <v>140722.15356605238</v>
      </c>
      <c r="O89" s="373">
        <v>140722.15356605238</v>
      </c>
      <c r="P89" s="373">
        <v>140722.15356605238</v>
      </c>
      <c r="Q89" s="373">
        <v>140722.15356605238</v>
      </c>
      <c r="R89" s="373">
        <v>140722.15356605238</v>
      </c>
      <c r="S89" s="373">
        <v>140722.15356605238</v>
      </c>
      <c r="T89" s="373">
        <v>140722.15356605238</v>
      </c>
      <c r="U89" s="373">
        <v>140722.15356605238</v>
      </c>
      <c r="V89" s="373">
        <v>140722.15356605238</v>
      </c>
      <c r="W89" s="373">
        <v>140722.15356605238</v>
      </c>
      <c r="X89" s="373">
        <v>140722.15356605238</v>
      </c>
      <c r="Y89" s="373">
        <v>140722.15356605238</v>
      </c>
      <c r="Z89" s="373">
        <v>140722.15356605238</v>
      </c>
      <c r="AA89" s="373">
        <v>140722.15356605238</v>
      </c>
      <c r="AB89" s="373">
        <v>140722.15356605238</v>
      </c>
      <c r="AC89" s="373">
        <v>140722.15356605238</v>
      </c>
      <c r="AD89" s="373">
        <v>140722.15356605238</v>
      </c>
      <c r="AE89" s="373">
        <v>140722.15356605238</v>
      </c>
      <c r="AF89" s="373">
        <v>140722.15356605238</v>
      </c>
      <c r="AG89" s="373">
        <v>140722.15356605238</v>
      </c>
      <c r="AH89" s="373">
        <v>140722.15356605238</v>
      </c>
      <c r="AI89" s="373">
        <v>140722.15356605238</v>
      </c>
      <c r="AJ89" s="373">
        <v>140722.15356605238</v>
      </c>
    </row>
    <row r="90" spans="1:36" x14ac:dyDescent="0.3">
      <c r="A90" s="371"/>
      <c r="B90" s="371"/>
      <c r="C90" s="368">
        <v>0</v>
      </c>
      <c r="D90" s="375" t="s">
        <v>252</v>
      </c>
      <c r="E90" s="376">
        <v>0</v>
      </c>
      <c r="F90" s="376">
        <v>0</v>
      </c>
      <c r="G90" s="376">
        <v>382574.95969456329</v>
      </c>
      <c r="H90" s="376">
        <v>385507.05573920999</v>
      </c>
      <c r="I90" s="376">
        <v>387967.34521266998</v>
      </c>
      <c r="J90" s="376">
        <v>389711.44610232639</v>
      </c>
      <c r="K90" s="376">
        <v>391784.79932417895</v>
      </c>
      <c r="L90" s="376">
        <v>395107.92800347239</v>
      </c>
      <c r="M90" s="376">
        <v>398847.43336788763</v>
      </c>
      <c r="N90" s="376">
        <v>400613.88271528616</v>
      </c>
      <c r="O90" s="376">
        <v>403447.89465493237</v>
      </c>
      <c r="P90" s="376">
        <v>406309.83522929216</v>
      </c>
      <c r="Q90" s="376">
        <v>409199.61103054846</v>
      </c>
      <c r="R90" s="376">
        <v>412117.13114248478</v>
      </c>
      <c r="S90" s="376">
        <v>415062.30472044757</v>
      </c>
      <c r="T90" s="376">
        <v>418035.04462059756</v>
      </c>
      <c r="U90" s="376">
        <v>421035.26498027006</v>
      </c>
      <c r="V90" s="376">
        <v>424062.88363932463</v>
      </c>
      <c r="W90" s="376">
        <v>427117.81608556997</v>
      </c>
      <c r="X90" s="376">
        <v>430199.98271960078</v>
      </c>
      <c r="Y90" s="376">
        <v>433309.30401082314</v>
      </c>
      <c r="Z90" s="376">
        <v>436445.70413206017</v>
      </c>
      <c r="AA90" s="376">
        <v>439609.10732449772</v>
      </c>
      <c r="AB90" s="376">
        <v>441940.52098594757</v>
      </c>
      <c r="AC90" s="376">
        <v>444291.77115198801</v>
      </c>
      <c r="AD90" s="376">
        <v>446662.8094996899</v>
      </c>
      <c r="AE90" s="376">
        <v>449053.5904310458</v>
      </c>
      <c r="AF90" s="376">
        <v>451464.0701881969</v>
      </c>
      <c r="AG90" s="376">
        <v>451464.0701881969</v>
      </c>
      <c r="AH90" s="376">
        <v>451464.0701881969</v>
      </c>
      <c r="AI90" s="376">
        <v>451464.0701881969</v>
      </c>
      <c r="AJ90" s="376">
        <v>451464.0701881969</v>
      </c>
    </row>
    <row r="91" spans="1:36" x14ac:dyDescent="0.3">
      <c r="A91" s="374"/>
      <c r="B91" s="374"/>
      <c r="C91" s="374"/>
    </row>
  </sheetData>
  <dataValidations disablePrompts="1" count="1">
    <dataValidation type="list" allowBlank="1" showInputMessage="1" showErrorMessage="1" sqref="G5 G27" xr:uid="{605D4BAC-E9DB-41C3-9244-8E061CE464ED}">
      <formula1>"WEIBULL, FIXED"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5"/>
  <sheetViews>
    <sheetView showGridLines="0" topLeftCell="A9" workbookViewId="0">
      <selection activeCell="C32" sqref="C32"/>
    </sheetView>
  </sheetViews>
  <sheetFormatPr defaultRowHeight="13.5" x14ac:dyDescent="0.3"/>
  <cols>
    <col min="2" max="2" width="21.3828125" customWidth="1"/>
    <col min="3" max="3" width="20.4609375" customWidth="1"/>
    <col min="4" max="4" width="14.4609375" style="43" customWidth="1"/>
    <col min="5" max="5" width="14.4609375" customWidth="1"/>
    <col min="8" max="11" width="14.3828125" customWidth="1"/>
    <col min="12" max="12" width="15.765625" customWidth="1"/>
    <col min="13" max="18" width="14.3828125" customWidth="1"/>
  </cols>
  <sheetData>
    <row r="1" spans="1:23" ht="18.5" x14ac:dyDescent="0.45">
      <c r="A1" s="13" t="str">
        <f>bus</f>
        <v>Powercor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5" x14ac:dyDescent="0.45">
      <c r="A2" s="50" t="str">
        <f>proj</f>
        <v>CHA transformer replacement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5" x14ac:dyDescent="0.35">
      <c r="A3" s="5"/>
    </row>
    <row r="4" spans="1:23" s="1" customFormat="1" ht="14.5" x14ac:dyDescent="0.3">
      <c r="A4" s="16" t="s">
        <v>254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ht="13" x14ac:dyDescent="0.3"/>
    <row r="6" spans="1:23" s="1" customFormat="1" ht="13" x14ac:dyDescent="0.3">
      <c r="B6" s="69" t="s">
        <v>255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3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3">
      <c r="B8" s="20" t="s">
        <v>256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3">
      <c r="D9" s="10"/>
      <c r="O9"/>
      <c r="P9"/>
      <c r="Q9"/>
      <c r="R9"/>
      <c r="S9"/>
      <c r="T9"/>
      <c r="U9"/>
      <c r="V9"/>
      <c r="W9"/>
    </row>
    <row r="10" spans="1:23" s="1" customFormat="1" x14ac:dyDescent="0.3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3">
      <c r="A11"/>
      <c r="B11" s="20" t="s">
        <v>257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3">
      <c r="A12"/>
      <c r="B12" s="20" t="s">
        <v>258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3">
      <c r="A13"/>
      <c r="B13" s="20" t="s">
        <v>256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3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3">
      <c r="A15"/>
      <c r="B15" s="20" t="s">
        <v>259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3">
      <c r="A16"/>
      <c r="B16" s="20" t="s">
        <v>260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3">
      <c r="A17"/>
      <c r="B17" s="20" t="s">
        <v>261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3">
      <c r="B19" s="20" t="s">
        <v>262</v>
      </c>
      <c r="D19" s="20">
        <f>D17/D16</f>
        <v>1.1066964104811112</v>
      </c>
      <c r="L19" s="247"/>
    </row>
    <row r="20" spans="1:34" x14ac:dyDescent="0.3">
      <c r="B20" s="20"/>
      <c r="D20" s="20"/>
    </row>
    <row r="21" spans="1:34" x14ac:dyDescent="0.3">
      <c r="B21" s="20" t="s">
        <v>263</v>
      </c>
      <c r="C21" s="60">
        <f>vcr_date</f>
        <v>45657</v>
      </c>
      <c r="D21" s="20">
        <f>INDEX(hy_escalation, MATCH(C21,hy_dates,0))</f>
        <v>1.1482244927118261</v>
      </c>
      <c r="E21" s="60" t="s">
        <v>344</v>
      </c>
      <c r="F21" s="20">
        <f>P15</f>
        <v>1.1712564543889838</v>
      </c>
    </row>
    <row r="22" spans="1:34" x14ac:dyDescent="0.3">
      <c r="B22" s="20" t="s">
        <v>264</v>
      </c>
      <c r="C22" s="60">
        <f>input_dollars</f>
        <v>45291</v>
      </c>
      <c r="D22" s="20">
        <f>INDEX(hy_escalation, MATCH(C22,hy_dates,0))</f>
        <v>1.0839971599793141</v>
      </c>
      <c r="E22" s="60">
        <f>input_dollars</f>
        <v>45291</v>
      </c>
      <c r="F22" s="20">
        <f>INDEX(hy_escalation, MATCH(E22,hy_dates,0))</f>
        <v>1.0839971599793141</v>
      </c>
    </row>
    <row r="23" spans="1:34" x14ac:dyDescent="0.3">
      <c r="B23" s="20" t="s">
        <v>265</v>
      </c>
      <c r="D23" s="20">
        <f>D22/D21</f>
        <v>0.94406378444268968</v>
      </c>
      <c r="F23" s="20">
        <f>F22/F21</f>
        <v>0.92549941212047293</v>
      </c>
    </row>
    <row r="25" spans="1:34" x14ac:dyDescent="0.3">
      <c r="B25" s="20" t="s">
        <v>266</v>
      </c>
      <c r="C25" s="6" t="str">
        <f>start</f>
        <v>2026-27</v>
      </c>
    </row>
    <row r="28" spans="1:34" s="1" customFormat="1" ht="14.5" x14ac:dyDescent="0.3">
      <c r="A28" s="16" t="s">
        <v>267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3">
      <c r="B31" s="168" t="s">
        <v>27</v>
      </c>
      <c r="C31" s="169" t="s">
        <v>153</v>
      </c>
      <c r="D31" s="170" t="s">
        <v>268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3">
      <c r="B32" s="115" t="s">
        <v>167</v>
      </c>
      <c r="C32" s="167">
        <f>Option2!$G$92</f>
        <v>1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3">
      <c r="B33" s="115" t="s">
        <v>168</v>
      </c>
      <c r="C33" s="167">
        <f>Option3!$G$92</f>
        <v>1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3">
      <c r="B34" s="115" t="s">
        <v>169</v>
      </c>
      <c r="C34" s="167">
        <f>Option4!$G$92</f>
        <v>1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3">
      <c r="B35" s="115" t="s">
        <v>170</v>
      </c>
      <c r="C35" s="167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3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3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3">
      <c r="B38" s="171" t="s">
        <v>153</v>
      </c>
      <c r="C38" s="171" cm="1">
        <f t="array" ref="C38">IF(OR(NOT(Data!$C$10:$C$13)), _xlfn.MINIFS($C$32:$C$35,$D$32:$D$35,TRUE), 0)</f>
        <v>1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3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3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3">
      <c r="D41"/>
    </row>
    <row r="42" spans="1:34" x14ac:dyDescent="0.3">
      <c r="D42"/>
    </row>
    <row r="43" spans="1:34" x14ac:dyDescent="0.3">
      <c r="D43"/>
    </row>
    <row r="44" spans="1:34" x14ac:dyDescent="0.3">
      <c r="D44"/>
    </row>
    <row r="45" spans="1:34" x14ac:dyDescent="0.3">
      <c r="D45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AA323"/>
  <sheetViews>
    <sheetView showGridLines="0" workbookViewId="0"/>
  </sheetViews>
  <sheetFormatPr defaultColWidth="9" defaultRowHeight="13" x14ac:dyDescent="0.3"/>
  <cols>
    <col min="1" max="1" width="5.3828125" style="6" customWidth="1"/>
    <col min="2" max="2" width="24.4609375" style="6" customWidth="1"/>
    <col min="3" max="3" width="9" style="6"/>
    <col min="4" max="4" width="9.84375" style="6" bestFit="1" customWidth="1"/>
    <col min="5" max="5" width="10.84375" style="6" customWidth="1"/>
    <col min="6" max="14" width="9" style="6"/>
    <col min="15" max="15" width="30.15234375" style="6" customWidth="1"/>
    <col min="16" max="16" width="43.23046875" style="6" customWidth="1"/>
    <col min="17" max="20" width="9" style="6"/>
    <col min="21" max="21" width="11.3828125" style="6" bestFit="1" customWidth="1"/>
    <col min="22" max="26" width="9" style="6"/>
    <col min="27" max="27" width="19.15234375" style="6" customWidth="1"/>
    <col min="28" max="16384" width="9" style="6"/>
  </cols>
  <sheetData>
    <row r="1" spans="1:27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 s="13"/>
      <c r="S1" s="13"/>
      <c r="T1"/>
      <c r="U1" s="125"/>
      <c r="V1"/>
      <c r="W1"/>
    </row>
    <row r="2" spans="1:27" ht="18.5" x14ac:dyDescent="0.45">
      <c r="A2" s="50" t="str">
        <f>proj</f>
        <v>CHA transformer replacement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 s="13"/>
      <c r="S2" s="13"/>
      <c r="T2"/>
      <c r="U2"/>
      <c r="V2"/>
      <c r="W2"/>
    </row>
    <row r="3" spans="1:27" ht="15.5" x14ac:dyDescent="0.35">
      <c r="A3" s="5"/>
      <c r="B3" s="5"/>
      <c r="C3" s="5"/>
      <c r="D3" s="5"/>
      <c r="E3" s="5"/>
      <c r="F3" s="5"/>
      <c r="T3"/>
      <c r="U3"/>
      <c r="V3"/>
      <c r="W3"/>
    </row>
    <row r="4" spans="1:27" ht="13.5" x14ac:dyDescent="0.3">
      <c r="T4"/>
      <c r="U4"/>
      <c r="V4"/>
    </row>
    <row r="5" spans="1:27" ht="14.5" x14ac:dyDescent="0.35">
      <c r="A5" s="17" t="s">
        <v>271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/>
      <c r="U5"/>
      <c r="V5"/>
    </row>
    <row r="6" spans="1:27" ht="13.5" x14ac:dyDescent="0.3">
      <c r="T6"/>
      <c r="U6"/>
      <c r="V6"/>
    </row>
    <row r="7" spans="1:27" ht="13.5" x14ac:dyDescent="0.3">
      <c r="A7" s="12" t="s">
        <v>272</v>
      </c>
      <c r="T7"/>
      <c r="U7"/>
      <c r="V7"/>
    </row>
    <row r="8" spans="1:27" ht="13.5" x14ac:dyDescent="0.3">
      <c r="A8" s="53"/>
      <c r="B8" s="53"/>
      <c r="C8" s="47" t="s">
        <v>273</v>
      </c>
      <c r="D8" s="47" t="s">
        <v>274</v>
      </c>
      <c r="F8" s="6" t="s">
        <v>275</v>
      </c>
      <c r="T8"/>
      <c r="U8"/>
      <c r="V8"/>
    </row>
    <row r="9" spans="1:27" ht="13.5" x14ac:dyDescent="0.3">
      <c r="A9" s="25" t="s">
        <v>276</v>
      </c>
      <c r="B9" s="76" t="s">
        <v>269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T9"/>
      <c r="U9"/>
      <c r="V9"/>
      <c r="W9"/>
    </row>
    <row r="10" spans="1:27" ht="13.5" x14ac:dyDescent="0.3">
      <c r="A10" s="25" t="s">
        <v>277</v>
      </c>
      <c r="B10" s="76" t="s">
        <v>167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T10"/>
      <c r="U10"/>
      <c r="V10"/>
      <c r="W10"/>
      <c r="Z10"/>
      <c r="AA10"/>
    </row>
    <row r="11" spans="1:27" ht="13.5" x14ac:dyDescent="0.3">
      <c r="A11" s="25" t="s">
        <v>278</v>
      </c>
      <c r="B11" s="76" t="s">
        <v>168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T11"/>
      <c r="U11"/>
      <c r="V11"/>
      <c r="W11"/>
      <c r="Z11"/>
      <c r="AA11"/>
    </row>
    <row r="12" spans="1:27" ht="13.5" x14ac:dyDescent="0.3">
      <c r="A12" s="25" t="s">
        <v>279</v>
      </c>
      <c r="B12" s="76" t="s">
        <v>169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T12"/>
      <c r="U12"/>
      <c r="V12"/>
      <c r="W12"/>
      <c r="Z12"/>
      <c r="AA12"/>
    </row>
    <row r="13" spans="1:27" ht="13.5" x14ac:dyDescent="0.3">
      <c r="A13" s="25" t="s">
        <v>280</v>
      </c>
      <c r="B13" s="76" t="s">
        <v>170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T13"/>
      <c r="U13"/>
      <c r="V13"/>
      <c r="W13"/>
      <c r="Z13"/>
      <c r="AA13"/>
    </row>
    <row r="14" spans="1:27" ht="13.5" x14ac:dyDescent="0.3">
      <c r="T14"/>
      <c r="U14"/>
      <c r="V14"/>
      <c r="W14"/>
      <c r="Z14"/>
      <c r="AA14"/>
    </row>
    <row r="15" spans="1:27" ht="13.5" x14ac:dyDescent="0.3">
      <c r="T15"/>
      <c r="U15"/>
      <c r="V15"/>
      <c r="W15"/>
      <c r="Z15"/>
      <c r="AA15"/>
    </row>
    <row r="16" spans="1:27" ht="13.5" x14ac:dyDescent="0.3">
      <c r="A16" s="6" t="s">
        <v>48</v>
      </c>
      <c r="D16" s="21" t="s">
        <v>281</v>
      </c>
      <c r="E16" s="6" t="b">
        <f>Assumptions!E20=Data!D16</f>
        <v>0</v>
      </c>
      <c r="T16"/>
      <c r="U16"/>
      <c r="V16"/>
      <c r="W16"/>
      <c r="Z16"/>
      <c r="AA16"/>
    </row>
    <row r="17" spans="1:27" ht="13.5" x14ac:dyDescent="0.3">
      <c r="T17"/>
      <c r="U17"/>
      <c r="V17"/>
      <c r="W17"/>
      <c r="Z17"/>
      <c r="AA17"/>
    </row>
    <row r="18" spans="1:27" ht="13.5" x14ac:dyDescent="0.3">
      <c r="T18"/>
      <c r="U18"/>
      <c r="V18"/>
      <c r="W18"/>
      <c r="Z18"/>
      <c r="AA18"/>
    </row>
    <row r="19" spans="1:27" ht="13.5" x14ac:dyDescent="0.3">
      <c r="B19" s="76" t="s">
        <v>47</v>
      </c>
      <c r="C19" s="19"/>
      <c r="T19"/>
      <c r="U19"/>
      <c r="V19"/>
      <c r="W19"/>
      <c r="Z19"/>
      <c r="AA19"/>
    </row>
    <row r="20" spans="1:27" ht="13.5" x14ac:dyDescent="0.3">
      <c r="B20" s="76" t="s">
        <v>282</v>
      </c>
      <c r="C20" s="19"/>
      <c r="T20"/>
      <c r="U20"/>
      <c r="V20"/>
      <c r="W20"/>
      <c r="Z20"/>
      <c r="AA20"/>
    </row>
    <row r="21" spans="1:27" ht="13.5" x14ac:dyDescent="0.3">
      <c r="B21" s="76" t="s">
        <v>283</v>
      </c>
      <c r="T21"/>
      <c r="U21"/>
      <c r="V21"/>
      <c r="W21"/>
      <c r="Z21"/>
      <c r="AA21"/>
    </row>
    <row r="22" spans="1:27" ht="13.5" x14ac:dyDescent="0.3">
      <c r="T22"/>
      <c r="U22"/>
      <c r="V22"/>
      <c r="W22"/>
      <c r="Z22"/>
      <c r="AA22"/>
    </row>
    <row r="23" spans="1:27" ht="13.5" x14ac:dyDescent="0.3">
      <c r="T23"/>
      <c r="U23"/>
      <c r="V23"/>
      <c r="W23"/>
    </row>
    <row r="24" spans="1:27" ht="13.5" x14ac:dyDescent="0.3">
      <c r="A24" s="6" t="s">
        <v>284</v>
      </c>
      <c r="B24" s="90"/>
      <c r="T24"/>
      <c r="U24"/>
      <c r="V24"/>
      <c r="W24"/>
    </row>
    <row r="25" spans="1:27" ht="13.5" x14ac:dyDescent="0.3">
      <c r="B25" s="21" t="s">
        <v>112</v>
      </c>
      <c r="T25"/>
      <c r="U25"/>
      <c r="V25"/>
      <c r="W25"/>
    </row>
    <row r="26" spans="1:27" ht="13.5" x14ac:dyDescent="0.3">
      <c r="T26"/>
      <c r="U26"/>
      <c r="V26"/>
      <c r="W26"/>
    </row>
    <row r="27" spans="1:27" ht="13.5" x14ac:dyDescent="0.3">
      <c r="T27"/>
      <c r="U27"/>
      <c r="V27"/>
      <c r="W27"/>
    </row>
    <row r="28" spans="1:27" ht="13.5" x14ac:dyDescent="0.3">
      <c r="A28" s="12" t="s">
        <v>285</v>
      </c>
      <c r="T28"/>
      <c r="U28"/>
      <c r="V28"/>
      <c r="W28"/>
    </row>
    <row r="29" spans="1:27" ht="13.5" x14ac:dyDescent="0.3">
      <c r="A29" s="12"/>
      <c r="B29" s="47"/>
      <c r="C29" s="47" t="s">
        <v>286</v>
      </c>
      <c r="T29"/>
      <c r="U29"/>
      <c r="V29"/>
      <c r="W29"/>
    </row>
    <row r="30" spans="1:27" ht="13.5" x14ac:dyDescent="0.3">
      <c r="B30" s="21" t="s">
        <v>32</v>
      </c>
      <c r="C30" s="21">
        <v>-1</v>
      </c>
      <c r="T30"/>
      <c r="U30"/>
      <c r="V30"/>
      <c r="W30"/>
    </row>
    <row r="31" spans="1:27" ht="13.5" x14ac:dyDescent="0.3">
      <c r="B31" s="21" t="s">
        <v>143</v>
      </c>
      <c r="C31" s="21">
        <v>-1</v>
      </c>
      <c r="T31"/>
      <c r="U31"/>
      <c r="V31"/>
      <c r="W31"/>
      <c r="AA31" s="59"/>
    </row>
    <row r="32" spans="1:27" ht="13.5" x14ac:dyDescent="0.3">
      <c r="B32" s="21" t="s">
        <v>33</v>
      </c>
      <c r="C32" s="21">
        <v>-1</v>
      </c>
      <c r="T32"/>
      <c r="U32"/>
      <c r="V32"/>
      <c r="W32"/>
      <c r="AA32" s="59"/>
    </row>
    <row r="33" spans="1:23" ht="13.5" x14ac:dyDescent="0.3">
      <c r="B33" s="21" t="s">
        <v>145</v>
      </c>
      <c r="C33" s="21">
        <v>1</v>
      </c>
      <c r="T33"/>
      <c r="U33"/>
      <c r="V33"/>
      <c r="W33"/>
    </row>
    <row r="34" spans="1:23" ht="13.5" x14ac:dyDescent="0.3">
      <c r="B34" s="21" t="s">
        <v>146</v>
      </c>
      <c r="C34" s="21">
        <v>1</v>
      </c>
      <c r="T34"/>
      <c r="U34"/>
      <c r="V34"/>
      <c r="W34"/>
    </row>
    <row r="35" spans="1:23" ht="13.5" x14ac:dyDescent="0.3">
      <c r="B35" s="21" t="s">
        <v>147</v>
      </c>
      <c r="C35" s="21">
        <v>1</v>
      </c>
      <c r="T35"/>
      <c r="U35"/>
      <c r="V35"/>
      <c r="W35"/>
    </row>
    <row r="36" spans="1:23" ht="13.5" x14ac:dyDescent="0.3">
      <c r="B36" s="21" t="s">
        <v>121</v>
      </c>
      <c r="C36" s="21">
        <v>1</v>
      </c>
      <c r="T36"/>
      <c r="U36"/>
      <c r="V36"/>
      <c r="W36"/>
    </row>
    <row r="37" spans="1:23" ht="13.5" x14ac:dyDescent="0.3">
      <c r="T37"/>
      <c r="U37"/>
      <c r="V37"/>
      <c r="W37"/>
    </row>
    <row r="38" spans="1:23" ht="13.5" x14ac:dyDescent="0.3">
      <c r="T38"/>
      <c r="U38"/>
      <c r="V38"/>
      <c r="W38"/>
    </row>
    <row r="39" spans="1:23" ht="13.5" x14ac:dyDescent="0.3">
      <c r="T39"/>
      <c r="U39"/>
      <c r="V39"/>
      <c r="W39"/>
    </row>
    <row r="40" spans="1:23" ht="13.5" x14ac:dyDescent="0.3">
      <c r="T40"/>
      <c r="U40"/>
      <c r="V40"/>
      <c r="W40"/>
    </row>
    <row r="41" spans="1:23" ht="13.5" x14ac:dyDescent="0.3">
      <c r="A41" s="12" t="s">
        <v>287</v>
      </c>
      <c r="T41"/>
      <c r="U41"/>
      <c r="V41"/>
      <c r="W41"/>
    </row>
    <row r="42" spans="1:23" ht="13.5" x14ac:dyDescent="0.3">
      <c r="A42" s="53"/>
      <c r="B42" s="53"/>
      <c r="C42" s="47" t="s">
        <v>286</v>
      </c>
      <c r="D42" s="47" t="s">
        <v>288</v>
      </c>
      <c r="E42" s="47" t="s">
        <v>109</v>
      </c>
      <c r="F42" s="6" t="s">
        <v>289</v>
      </c>
      <c r="T42"/>
      <c r="U42"/>
      <c r="V42"/>
      <c r="W42"/>
    </row>
    <row r="43" spans="1:23" ht="13.5" x14ac:dyDescent="0.3">
      <c r="A43" s="25">
        <v>1</v>
      </c>
      <c r="B43" s="25" t="s">
        <v>290</v>
      </c>
      <c r="C43" s="25" t="s">
        <v>230</v>
      </c>
      <c r="D43" s="25" t="b">
        <v>0</v>
      </c>
      <c r="E43" s="21" t="s">
        <v>117</v>
      </c>
      <c r="F43" s="25" t="b">
        <v>0</v>
      </c>
      <c r="T43"/>
      <c r="U43"/>
      <c r="V43"/>
      <c r="W43"/>
    </row>
    <row r="44" spans="1:23" ht="13.5" x14ac:dyDescent="0.3">
      <c r="A44" s="25">
        <f>A43+1</f>
        <v>2</v>
      </c>
      <c r="B44" s="25" t="s">
        <v>291</v>
      </c>
      <c r="C44" s="25" t="s">
        <v>291</v>
      </c>
      <c r="D44" s="25" t="b">
        <v>0</v>
      </c>
      <c r="E44" s="21" t="s">
        <v>125</v>
      </c>
      <c r="F44" s="25" t="b">
        <v>1</v>
      </c>
      <c r="T44"/>
      <c r="U44"/>
      <c r="V44"/>
      <c r="W44"/>
    </row>
    <row r="45" spans="1:23" ht="13.5" x14ac:dyDescent="0.3">
      <c r="A45" s="25">
        <f t="shared" ref="A45:A55" si="0">A44+1</f>
        <v>3</v>
      </c>
      <c r="B45" s="25" t="s">
        <v>292</v>
      </c>
      <c r="C45" s="25" t="s">
        <v>293</v>
      </c>
      <c r="D45" s="25" t="b">
        <v>0</v>
      </c>
      <c r="E45" s="21" t="s">
        <v>125</v>
      </c>
      <c r="F45" s="25" t="b">
        <v>1</v>
      </c>
      <c r="T45"/>
      <c r="U45"/>
      <c r="V45"/>
      <c r="W45"/>
    </row>
    <row r="46" spans="1:23" ht="13.5" x14ac:dyDescent="0.3">
      <c r="A46" s="25">
        <f t="shared" si="0"/>
        <v>4</v>
      </c>
      <c r="B46" s="25" t="s">
        <v>294</v>
      </c>
      <c r="C46" s="25" t="s">
        <v>295</v>
      </c>
      <c r="D46" s="25" t="b">
        <v>0</v>
      </c>
      <c r="E46" s="21" t="s">
        <v>125</v>
      </c>
      <c r="F46" s="25" t="b">
        <v>1</v>
      </c>
      <c r="T46"/>
      <c r="U46"/>
      <c r="V46"/>
      <c r="W46"/>
    </row>
    <row r="47" spans="1:23" ht="14" x14ac:dyDescent="0.35">
      <c r="A47" s="25">
        <f t="shared" si="0"/>
        <v>5</v>
      </c>
      <c r="B47" s="25" t="s">
        <v>123</v>
      </c>
      <c r="C47" s="25" t="s">
        <v>296</v>
      </c>
      <c r="D47" s="25" t="b">
        <v>1</v>
      </c>
      <c r="E47" s="21" t="s">
        <v>117</v>
      </c>
      <c r="F47" s="25" t="b">
        <v>0</v>
      </c>
      <c r="T47"/>
      <c r="U47"/>
      <c r="V47"/>
      <c r="W47"/>
    </row>
    <row r="48" spans="1:23" ht="13.5" x14ac:dyDescent="0.3">
      <c r="A48" s="25">
        <f t="shared" si="0"/>
        <v>6</v>
      </c>
      <c r="B48" s="25" t="s">
        <v>126</v>
      </c>
      <c r="C48" s="25" t="s">
        <v>250</v>
      </c>
      <c r="D48" s="25" t="b">
        <v>1</v>
      </c>
      <c r="E48" s="21" t="s">
        <v>117</v>
      </c>
      <c r="F48" s="25" t="b">
        <v>0</v>
      </c>
      <c r="I48"/>
      <c r="T48"/>
      <c r="U48"/>
      <c r="V48"/>
      <c r="W48"/>
    </row>
    <row r="49" spans="1:23" ht="13.5" x14ac:dyDescent="0.3">
      <c r="A49" s="25">
        <f t="shared" si="0"/>
        <v>7</v>
      </c>
      <c r="B49" s="25" t="s">
        <v>127</v>
      </c>
      <c r="C49" s="25" t="s">
        <v>250</v>
      </c>
      <c r="D49" s="25" t="b">
        <v>1</v>
      </c>
      <c r="E49" s="21" t="s">
        <v>117</v>
      </c>
      <c r="F49" s="25" t="b">
        <v>0</v>
      </c>
      <c r="T49"/>
      <c r="U49"/>
      <c r="V49"/>
      <c r="W49"/>
    </row>
    <row r="50" spans="1:23" ht="13.5" x14ac:dyDescent="0.3">
      <c r="A50" s="25">
        <f t="shared" si="0"/>
        <v>8</v>
      </c>
      <c r="B50" s="25" t="s">
        <v>128</v>
      </c>
      <c r="C50" s="25" t="s">
        <v>250</v>
      </c>
      <c r="D50" s="25" t="b">
        <v>1</v>
      </c>
      <c r="E50" s="21" t="s">
        <v>117</v>
      </c>
      <c r="F50" s="25" t="b">
        <v>0</v>
      </c>
      <c r="T50"/>
      <c r="U50"/>
      <c r="V50"/>
      <c r="W50"/>
    </row>
    <row r="51" spans="1:23" ht="13.5" x14ac:dyDescent="0.3">
      <c r="A51" s="25">
        <f t="shared" si="0"/>
        <v>9</v>
      </c>
      <c r="B51" s="25" t="s">
        <v>129</v>
      </c>
      <c r="C51" s="25" t="s">
        <v>250</v>
      </c>
      <c r="D51" s="25" t="b">
        <v>1</v>
      </c>
      <c r="E51" s="21" t="s">
        <v>297</v>
      </c>
      <c r="F51" s="25" t="b">
        <v>0</v>
      </c>
      <c r="T51"/>
      <c r="U51"/>
      <c r="V51"/>
      <c r="W51"/>
    </row>
    <row r="52" spans="1:23" ht="13.5" x14ac:dyDescent="0.3">
      <c r="A52" s="25">
        <f t="shared" si="0"/>
        <v>10</v>
      </c>
      <c r="B52" s="25" t="s">
        <v>150</v>
      </c>
      <c r="C52" s="25" t="s">
        <v>250</v>
      </c>
      <c r="D52" s="25" t="b">
        <v>1</v>
      </c>
      <c r="E52" s="21" t="s">
        <v>298</v>
      </c>
      <c r="F52" s="25" t="b">
        <v>0</v>
      </c>
      <c r="T52"/>
      <c r="U52"/>
      <c r="V52"/>
      <c r="W52"/>
    </row>
    <row r="53" spans="1:23" ht="13.5" x14ac:dyDescent="0.3">
      <c r="A53" s="25">
        <f t="shared" si="0"/>
        <v>11</v>
      </c>
      <c r="B53" s="25" t="s">
        <v>151</v>
      </c>
      <c r="C53" s="25" t="s">
        <v>250</v>
      </c>
      <c r="D53" s="25" t="b">
        <v>1</v>
      </c>
      <c r="E53" s="21" t="s">
        <v>298</v>
      </c>
      <c r="F53" s="25" t="b">
        <v>0</v>
      </c>
      <c r="T53"/>
      <c r="U53"/>
      <c r="V53"/>
      <c r="W53"/>
    </row>
    <row r="54" spans="1:23" ht="13.5" x14ac:dyDescent="0.3">
      <c r="A54" s="25">
        <f t="shared" si="0"/>
        <v>12</v>
      </c>
      <c r="B54" s="25" t="s">
        <v>136</v>
      </c>
      <c r="C54" s="25" t="s">
        <v>250</v>
      </c>
      <c r="D54" s="25" t="b">
        <v>1</v>
      </c>
      <c r="E54" s="21" t="s">
        <v>297</v>
      </c>
      <c r="F54" s="25" t="b">
        <v>0</v>
      </c>
      <c r="O54"/>
      <c r="P54"/>
      <c r="Q54"/>
      <c r="R54"/>
      <c r="S54"/>
      <c r="T54"/>
      <c r="U54"/>
      <c r="V54"/>
      <c r="W54"/>
    </row>
    <row r="55" spans="1:23" ht="13.5" x14ac:dyDescent="0.3">
      <c r="A55" s="25">
        <f t="shared" si="0"/>
        <v>13</v>
      </c>
      <c r="B55" s="25" t="s">
        <v>137</v>
      </c>
      <c r="C55" s="25" t="s">
        <v>250</v>
      </c>
      <c r="D55" s="25" t="b">
        <v>1</v>
      </c>
      <c r="E55" s="21" t="s">
        <v>297</v>
      </c>
      <c r="F55" s="25" t="b">
        <v>0</v>
      </c>
      <c r="O55"/>
      <c r="P55"/>
      <c r="Q55"/>
      <c r="R55"/>
      <c r="S55"/>
      <c r="T55"/>
      <c r="U55"/>
      <c r="V55"/>
      <c r="W55"/>
    </row>
    <row r="56" spans="1:23" ht="13.5" x14ac:dyDescent="0.3">
      <c r="O56"/>
      <c r="P56"/>
      <c r="Q56"/>
      <c r="R56"/>
      <c r="S56"/>
      <c r="T56"/>
      <c r="U56"/>
      <c r="V56"/>
      <c r="W56"/>
    </row>
    <row r="57" spans="1:23" ht="13.5" x14ac:dyDescent="0.3">
      <c r="O57"/>
      <c r="P57"/>
      <c r="Q57"/>
      <c r="R57"/>
      <c r="S57"/>
      <c r="T57"/>
      <c r="U57"/>
      <c r="V57"/>
      <c r="W57"/>
    </row>
    <row r="58" spans="1:23" ht="13.5" x14ac:dyDescent="0.3">
      <c r="A58" s="12" t="s">
        <v>299</v>
      </c>
      <c r="O58"/>
      <c r="P58"/>
      <c r="Q58"/>
      <c r="R58"/>
      <c r="S58"/>
      <c r="T58"/>
      <c r="U58"/>
      <c r="V58"/>
      <c r="W58"/>
    </row>
    <row r="59" spans="1:23" ht="13.5" x14ac:dyDescent="0.3">
      <c r="A59" s="47"/>
      <c r="B59" s="47"/>
      <c r="C59" s="77"/>
      <c r="D59" s="47" t="s">
        <v>0</v>
      </c>
      <c r="H59"/>
      <c r="I59"/>
      <c r="J59"/>
      <c r="O59"/>
      <c r="P59"/>
      <c r="Q59"/>
      <c r="R59"/>
      <c r="S59"/>
      <c r="T59"/>
      <c r="U59"/>
      <c r="V59"/>
      <c r="W59"/>
    </row>
    <row r="60" spans="1:23" ht="13.5" x14ac:dyDescent="0.3">
      <c r="B60" s="25" t="s">
        <v>126</v>
      </c>
      <c r="C60" s="25" t="s">
        <v>99</v>
      </c>
      <c r="D60" s="84">
        <v>151432.81740793545</v>
      </c>
      <c r="H60"/>
      <c r="I60"/>
      <c r="J60"/>
      <c r="O60"/>
      <c r="P60"/>
      <c r="Q60"/>
      <c r="R60"/>
      <c r="S60"/>
      <c r="T60"/>
      <c r="U60"/>
      <c r="V60"/>
      <c r="W60"/>
    </row>
    <row r="61" spans="1:23" ht="13.5" x14ac:dyDescent="0.3">
      <c r="B61" s="25" t="s">
        <v>127</v>
      </c>
      <c r="C61" s="25" t="s">
        <v>99</v>
      </c>
      <c r="D61" s="84">
        <v>24590</v>
      </c>
      <c r="H61"/>
      <c r="I61"/>
      <c r="J61"/>
      <c r="O61"/>
      <c r="P61"/>
      <c r="Q61"/>
      <c r="R61"/>
      <c r="S61"/>
      <c r="T61"/>
      <c r="U61"/>
      <c r="V61"/>
      <c r="W61"/>
    </row>
    <row r="62" spans="1:23" ht="13.5" x14ac:dyDescent="0.3">
      <c r="B62" s="25" t="s">
        <v>128</v>
      </c>
      <c r="C62" s="25" t="s">
        <v>99</v>
      </c>
      <c r="D62" s="84">
        <v>88.357719508603083</v>
      </c>
      <c r="H62"/>
      <c r="I62"/>
      <c r="J62"/>
      <c r="O62"/>
      <c r="P62"/>
      <c r="Q62"/>
      <c r="R62"/>
      <c r="S62"/>
      <c r="T62"/>
      <c r="U62"/>
      <c r="V62"/>
      <c r="W62"/>
    </row>
    <row r="63" spans="1:23" ht="13.5" x14ac:dyDescent="0.3">
      <c r="B63" s="25" t="s">
        <v>129</v>
      </c>
      <c r="C63" s="25" t="s">
        <v>300</v>
      </c>
      <c r="D63" s="84">
        <v>0</v>
      </c>
      <c r="H63"/>
      <c r="I63"/>
      <c r="J63"/>
      <c r="O63"/>
      <c r="P63"/>
      <c r="Q63"/>
      <c r="R63"/>
      <c r="S63"/>
      <c r="T63"/>
      <c r="U63"/>
      <c r="V63"/>
      <c r="W63"/>
    </row>
    <row r="64" spans="1:23" ht="13.5" x14ac:dyDescent="0.3">
      <c r="B64" s="25" t="s">
        <v>150</v>
      </c>
      <c r="C64" s="25" t="s">
        <v>301</v>
      </c>
      <c r="D64" s="84">
        <v>0.35181336539087127</v>
      </c>
      <c r="H64"/>
      <c r="I64"/>
      <c r="J64"/>
      <c r="O64"/>
      <c r="P64"/>
      <c r="Q64"/>
      <c r="R64"/>
      <c r="S64"/>
      <c r="T64"/>
      <c r="U64"/>
      <c r="V64"/>
      <c r="W64"/>
    </row>
    <row r="65" spans="1:23" ht="13.5" x14ac:dyDescent="0.3">
      <c r="B65" s="25" t="s">
        <v>151</v>
      </c>
      <c r="C65" s="25" t="s">
        <v>301</v>
      </c>
      <c r="D65" s="84">
        <v>0.35181336539087127</v>
      </c>
      <c r="H65"/>
      <c r="I65"/>
      <c r="J65"/>
      <c r="O65"/>
      <c r="P65"/>
      <c r="Q65"/>
      <c r="R65"/>
      <c r="S65"/>
      <c r="T65"/>
      <c r="U65"/>
      <c r="V65"/>
      <c r="W65"/>
    </row>
    <row r="66" spans="1:23" ht="13.5" x14ac:dyDescent="0.3">
      <c r="B66" s="25" t="s">
        <v>136</v>
      </c>
      <c r="C66" s="25" t="s">
        <v>300</v>
      </c>
      <c r="D66" s="84">
        <v>0</v>
      </c>
      <c r="H66"/>
      <c r="I66"/>
      <c r="J66"/>
      <c r="O66"/>
      <c r="P66"/>
      <c r="Q66"/>
      <c r="R66"/>
      <c r="S66"/>
      <c r="T66"/>
      <c r="U66"/>
      <c r="V66"/>
      <c r="W66"/>
    </row>
    <row r="67" spans="1:23" ht="13.5" x14ac:dyDescent="0.3">
      <c r="B67" s="25" t="s">
        <v>137</v>
      </c>
      <c r="C67" s="25" t="s">
        <v>300</v>
      </c>
      <c r="D67" s="84">
        <v>0</v>
      </c>
      <c r="H67"/>
      <c r="I67"/>
      <c r="J67"/>
      <c r="O67"/>
      <c r="P67"/>
      <c r="Q67"/>
      <c r="R67"/>
      <c r="S67"/>
      <c r="T67"/>
      <c r="U67"/>
      <c r="V67"/>
      <c r="W67"/>
    </row>
    <row r="68" spans="1:23" ht="13.5" x14ac:dyDescent="0.3">
      <c r="H68"/>
      <c r="I68"/>
      <c r="J68"/>
      <c r="O68"/>
      <c r="P68"/>
      <c r="Q68"/>
      <c r="R68"/>
      <c r="S68"/>
      <c r="T68"/>
      <c r="U68"/>
      <c r="V68"/>
      <c r="W68"/>
    </row>
    <row r="69" spans="1:23" ht="13.5" x14ac:dyDescent="0.3">
      <c r="A69" s="6" t="s">
        <v>302</v>
      </c>
      <c r="O69"/>
      <c r="P69"/>
      <c r="Q69"/>
      <c r="R69"/>
      <c r="S69"/>
      <c r="T69"/>
      <c r="U69"/>
      <c r="V69"/>
      <c r="W69"/>
    </row>
    <row r="70" spans="1:23" ht="13.5" x14ac:dyDescent="0.3">
      <c r="B70" s="6" t="s">
        <v>303</v>
      </c>
      <c r="C70" s="83">
        <v>1000</v>
      </c>
      <c r="O70"/>
      <c r="P70"/>
      <c r="Q70"/>
      <c r="R70"/>
      <c r="S70"/>
      <c r="T70"/>
      <c r="U70"/>
      <c r="V70"/>
      <c r="W70"/>
    </row>
    <row r="71" spans="1:23" ht="13.5" x14ac:dyDescent="0.3">
      <c r="B71" s="6" t="s">
        <v>304</v>
      </c>
      <c r="C71" s="83">
        <v>1000000</v>
      </c>
      <c r="O71"/>
      <c r="P71"/>
      <c r="Q71"/>
      <c r="R71"/>
      <c r="S71"/>
      <c r="T71"/>
      <c r="U71"/>
      <c r="V71"/>
      <c r="W71"/>
    </row>
    <row r="72" spans="1:23" ht="13.5" x14ac:dyDescent="0.3">
      <c r="O72"/>
      <c r="P72"/>
      <c r="Q72"/>
      <c r="R72"/>
      <c r="S72"/>
      <c r="T72"/>
      <c r="U72"/>
      <c r="V72"/>
      <c r="W72"/>
    </row>
    <row r="73" spans="1:23" ht="13.5" x14ac:dyDescent="0.3">
      <c r="O73"/>
      <c r="P73"/>
      <c r="Q73"/>
      <c r="R73"/>
      <c r="S73"/>
      <c r="T73"/>
      <c r="U73"/>
      <c r="V73"/>
      <c r="W73"/>
    </row>
    <row r="74" spans="1:23" ht="13.5" x14ac:dyDescent="0.3">
      <c r="A74" s="6" t="s">
        <v>270</v>
      </c>
      <c r="O74"/>
      <c r="P74"/>
      <c r="Q74"/>
      <c r="R74"/>
      <c r="S74"/>
      <c r="T74"/>
      <c r="U74"/>
      <c r="V74"/>
      <c r="W74"/>
    </row>
    <row r="75" spans="1:23" ht="13.5" x14ac:dyDescent="0.3">
      <c r="B75" s="6" t="s">
        <v>270</v>
      </c>
      <c r="C75" s="132" t="s">
        <v>305</v>
      </c>
      <c r="O75"/>
      <c r="P75"/>
      <c r="Q75"/>
      <c r="R75"/>
      <c r="S75"/>
      <c r="T75"/>
      <c r="U75"/>
      <c r="V75"/>
      <c r="W75"/>
    </row>
    <row r="76" spans="1:23" ht="13.5" x14ac:dyDescent="0.3">
      <c r="O76"/>
      <c r="P76"/>
      <c r="Q76"/>
      <c r="R76"/>
      <c r="S76"/>
      <c r="T76"/>
      <c r="U76"/>
      <c r="V76"/>
      <c r="W76"/>
    </row>
    <row r="77" spans="1:23" ht="13.5" x14ac:dyDescent="0.3">
      <c r="O77"/>
      <c r="P77"/>
      <c r="Q77"/>
      <c r="R77"/>
      <c r="S77"/>
      <c r="T77"/>
      <c r="U77"/>
      <c r="V77"/>
      <c r="W77"/>
    </row>
    <row r="78" spans="1:23" ht="13.5" x14ac:dyDescent="0.3">
      <c r="A78" s="6" t="s">
        <v>306</v>
      </c>
      <c r="C78" s="6" t="s">
        <v>307</v>
      </c>
      <c r="O78"/>
      <c r="P78"/>
      <c r="Q78"/>
      <c r="R78"/>
      <c r="S78"/>
      <c r="T78"/>
      <c r="U78"/>
      <c r="V78"/>
      <c r="W78"/>
    </row>
    <row r="79" spans="1:23" ht="13.5" x14ac:dyDescent="0.3">
      <c r="O79"/>
      <c r="P79"/>
      <c r="Q79"/>
      <c r="R79"/>
      <c r="S79"/>
      <c r="T79"/>
      <c r="U79"/>
      <c r="V79"/>
      <c r="W79"/>
    </row>
    <row r="80" spans="1:23" ht="13.5" x14ac:dyDescent="0.3">
      <c r="O80"/>
      <c r="P80"/>
      <c r="Q80"/>
      <c r="R80"/>
      <c r="S80"/>
      <c r="T80"/>
      <c r="U80"/>
      <c r="V80"/>
      <c r="W80"/>
    </row>
    <row r="81" spans="1:23" ht="13.5" x14ac:dyDescent="0.3">
      <c r="O81"/>
      <c r="P81"/>
      <c r="Q81"/>
      <c r="R81"/>
      <c r="S81"/>
      <c r="T81"/>
      <c r="U81"/>
      <c r="V81"/>
      <c r="W81"/>
    </row>
    <row r="82" spans="1:23" ht="13.5" x14ac:dyDescent="0.3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  <c r="V82"/>
      <c r="W82"/>
    </row>
    <row r="83" spans="1:23" ht="13.5" x14ac:dyDescent="0.3">
      <c r="A83" s="12" t="s">
        <v>308</v>
      </c>
      <c r="B83" s="12"/>
      <c r="K83" s="1"/>
      <c r="L83" s="1"/>
      <c r="M83" s="1"/>
      <c r="N83" s="1"/>
      <c r="O83"/>
      <c r="P83"/>
      <c r="Q83"/>
      <c r="R83"/>
      <c r="S83"/>
      <c r="T83"/>
      <c r="U83"/>
      <c r="V83"/>
      <c r="W83"/>
    </row>
    <row r="84" spans="1:23" ht="13.5" x14ac:dyDescent="0.3">
      <c r="A84" s="12"/>
      <c r="B84" s="57" t="s">
        <v>309</v>
      </c>
      <c r="F84" s="134">
        <v>0</v>
      </c>
      <c r="K84" s="1"/>
      <c r="L84" s="1"/>
      <c r="M84" s="1"/>
      <c r="N84" s="1"/>
      <c r="O84"/>
      <c r="P84"/>
      <c r="Q84"/>
      <c r="R84"/>
      <c r="S84"/>
      <c r="T84"/>
      <c r="U84"/>
      <c r="V84"/>
      <c r="W84"/>
    </row>
    <row r="85" spans="1:23" ht="13.5" x14ac:dyDescent="0.3">
      <c r="A85" s="1"/>
      <c r="B85" s="6" t="s">
        <v>310</v>
      </c>
      <c r="F85" s="134">
        <v>1</v>
      </c>
      <c r="K85" s="1"/>
      <c r="L85" s="1"/>
      <c r="M85" s="1"/>
      <c r="N85" s="1"/>
      <c r="O85"/>
      <c r="P85"/>
      <c r="Q85"/>
      <c r="R85"/>
      <c r="S85"/>
      <c r="T85"/>
      <c r="U85"/>
      <c r="V85"/>
      <c r="W85"/>
    </row>
    <row r="86" spans="1:23" ht="13.5" x14ac:dyDescent="0.3">
      <c r="A86" s="1"/>
      <c r="B86" s="6" t="s">
        <v>311</v>
      </c>
      <c r="F86" s="134">
        <v>1</v>
      </c>
      <c r="K86" s="1"/>
      <c r="L86" s="1"/>
      <c r="M86" s="1"/>
      <c r="N86" s="1"/>
      <c r="O86"/>
      <c r="P86"/>
      <c r="Q86"/>
      <c r="R86"/>
      <c r="S86"/>
      <c r="T86"/>
      <c r="U86"/>
      <c r="V86"/>
      <c r="W86"/>
    </row>
    <row r="87" spans="1:23" ht="13.5" x14ac:dyDescent="0.3">
      <c r="A87" s="1"/>
      <c r="B87" s="6" t="s">
        <v>312</v>
      </c>
      <c r="F87" s="134">
        <v>1</v>
      </c>
      <c r="K87" s="1"/>
      <c r="L87" s="1"/>
      <c r="M87" s="1"/>
      <c r="N87" s="1"/>
      <c r="O87"/>
      <c r="P87"/>
      <c r="Q87"/>
      <c r="R87"/>
      <c r="S87"/>
      <c r="T87"/>
      <c r="U87"/>
      <c r="V87"/>
      <c r="W87"/>
    </row>
    <row r="88" spans="1:23" ht="13.5" x14ac:dyDescent="0.3">
      <c r="A88" s="1"/>
      <c r="B88" s="6" t="s">
        <v>313</v>
      </c>
      <c r="F88" s="134">
        <v>1</v>
      </c>
      <c r="K88" s="1"/>
      <c r="L88" s="1"/>
      <c r="M88" s="1"/>
      <c r="N88" s="1"/>
      <c r="O88"/>
      <c r="P88"/>
      <c r="Q88"/>
      <c r="R88"/>
      <c r="S88"/>
      <c r="T88"/>
      <c r="U88"/>
      <c r="V88"/>
      <c r="W88"/>
    </row>
    <row r="89" spans="1:23" ht="13.5" x14ac:dyDescent="0.3">
      <c r="A89" s="1"/>
      <c r="B89" s="6" t="s">
        <v>314</v>
      </c>
      <c r="F89" s="134">
        <v>3</v>
      </c>
      <c r="K89" s="1"/>
      <c r="L89" s="1"/>
      <c r="M89" s="1"/>
      <c r="N89" s="1"/>
      <c r="O89"/>
      <c r="P89"/>
      <c r="Q89"/>
      <c r="R89"/>
      <c r="S89"/>
      <c r="T89"/>
      <c r="U89"/>
      <c r="V89"/>
      <c r="W89"/>
    </row>
    <row r="90" spans="1:23" x14ac:dyDescent="0.3">
      <c r="A90" s="1"/>
      <c r="B90" s="6" t="s">
        <v>315</v>
      </c>
      <c r="F90" s="134">
        <v>3</v>
      </c>
      <c r="K90" s="1"/>
      <c r="L90" s="1"/>
      <c r="M90" s="1"/>
      <c r="N90" s="1"/>
      <c r="O90" s="1"/>
    </row>
    <row r="91" spans="1:23" x14ac:dyDescent="0.3">
      <c r="A91" s="1"/>
      <c r="B91" s="6" t="s">
        <v>316</v>
      </c>
      <c r="F91" s="134">
        <v>6</v>
      </c>
      <c r="K91" s="1"/>
      <c r="L91" s="1"/>
      <c r="M91" s="1"/>
      <c r="N91" s="1"/>
      <c r="O91" s="1"/>
    </row>
    <row r="92" spans="1:23" x14ac:dyDescent="0.3">
      <c r="A92" s="1"/>
      <c r="B92" s="6" t="s">
        <v>317</v>
      </c>
      <c r="F92" s="134">
        <v>6</v>
      </c>
      <c r="K92" s="1"/>
      <c r="L92" s="1"/>
      <c r="M92" s="1"/>
      <c r="N92" s="1"/>
      <c r="O92" s="1"/>
    </row>
    <row r="93" spans="1:23" x14ac:dyDescent="0.3">
      <c r="A93" s="1"/>
      <c r="B93" s="6" t="s">
        <v>318</v>
      </c>
      <c r="F93" s="134">
        <v>10</v>
      </c>
      <c r="K93" s="1"/>
      <c r="L93" s="1"/>
      <c r="M93" s="1"/>
      <c r="N93" s="1"/>
      <c r="O93" s="1"/>
    </row>
    <row r="94" spans="1:23" x14ac:dyDescent="0.3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3" x14ac:dyDescent="0.3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3" x14ac:dyDescent="0.3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5" x14ac:dyDescent="0.3">
      <c r="A97" s="1"/>
      <c r="B97" s="124" t="s">
        <v>144</v>
      </c>
      <c r="C97" s="1"/>
      <c r="D97" s="1"/>
      <c r="E97" s="1"/>
      <c r="F97" s="1"/>
      <c r="K97" s="1"/>
      <c r="L97" s="1"/>
      <c r="M97" s="1"/>
      <c r="N97" s="1"/>
      <c r="O97" s="1"/>
    </row>
    <row r="98" spans="1:25" x14ac:dyDescent="0.3">
      <c r="A98" s="1"/>
      <c r="B98" s="124" t="s">
        <v>118</v>
      </c>
      <c r="C98" s="1"/>
      <c r="D98" s="1"/>
      <c r="E98" s="1"/>
      <c r="F98" s="1"/>
      <c r="K98" s="1"/>
      <c r="L98" s="1"/>
      <c r="M98" s="1"/>
      <c r="N98" s="1"/>
      <c r="O98" s="1"/>
    </row>
    <row r="99" spans="1:25" x14ac:dyDescent="0.3">
      <c r="A99" s="1"/>
      <c r="B99" s="124" t="s">
        <v>140</v>
      </c>
      <c r="C99" s="1"/>
      <c r="D99" s="1"/>
      <c r="E99" s="1"/>
      <c r="F99" s="1"/>
      <c r="K99" s="1"/>
      <c r="L99" s="1"/>
      <c r="M99" s="1"/>
      <c r="N99" s="1"/>
      <c r="O99" s="1"/>
    </row>
    <row r="100" spans="1:25" x14ac:dyDescent="0.3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5" x14ac:dyDescent="0.3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5" ht="13.5" x14ac:dyDescent="0.3">
      <c r="T102"/>
      <c r="U102"/>
      <c r="V102"/>
      <c r="W102"/>
    </row>
    <row r="103" spans="1:25" ht="13.5" x14ac:dyDescent="0.3">
      <c r="T103"/>
      <c r="U103"/>
      <c r="V103"/>
      <c r="W103"/>
    </row>
    <row r="104" spans="1:25" ht="14.5" x14ac:dyDescent="0.35">
      <c r="A104" s="17" t="s">
        <v>319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25" ht="13.5" x14ac:dyDescent="0.3">
      <c r="U105"/>
      <c r="V105"/>
      <c r="W105"/>
      <c r="X105"/>
      <c r="Y105"/>
    </row>
    <row r="106" spans="1:25" ht="13.5" x14ac:dyDescent="0.3">
      <c r="B106" s="6" t="s">
        <v>320</v>
      </c>
      <c r="F106" s="6" t="s">
        <v>321</v>
      </c>
      <c r="H106" s="6" t="s">
        <v>322</v>
      </c>
      <c r="J106" s="6" t="s">
        <v>323</v>
      </c>
      <c r="N106" s="6" t="s">
        <v>324</v>
      </c>
      <c r="P106" s="6" t="s">
        <v>302</v>
      </c>
      <c r="R106" s="6" t="s">
        <v>325</v>
      </c>
      <c r="T106" s="6" t="s">
        <v>326</v>
      </c>
      <c r="U106"/>
      <c r="V106" s="6" t="s">
        <v>327</v>
      </c>
      <c r="W106"/>
      <c r="Y106"/>
    </row>
    <row r="107" spans="1:25" ht="13.5" x14ac:dyDescent="0.3">
      <c r="B107" s="23" t="s">
        <v>328</v>
      </c>
      <c r="C107" s="110" t="s">
        <v>329</v>
      </c>
      <c r="D107" s="110" t="s">
        <v>330</v>
      </c>
      <c r="F107" s="57" t="s">
        <v>309</v>
      </c>
      <c r="H107" s="23" t="b">
        <v>0</v>
      </c>
      <c r="J107" s="23" t="s">
        <v>331</v>
      </c>
      <c r="K107" s="38">
        <v>6</v>
      </c>
      <c r="L107" s="38" t="s">
        <v>332</v>
      </c>
      <c r="N107" s="38" t="s">
        <v>273</v>
      </c>
      <c r="Q107" s="22"/>
      <c r="R107" s="21">
        <v>2026</v>
      </c>
      <c r="T107" s="21" t="s">
        <v>49</v>
      </c>
      <c r="U107"/>
      <c r="V107" s="21" t="s">
        <v>51</v>
      </c>
      <c r="W107"/>
    </row>
    <row r="108" spans="1:25" ht="13.5" x14ac:dyDescent="0.3">
      <c r="B108" s="23" t="s">
        <v>0</v>
      </c>
      <c r="C108" s="110" t="s">
        <v>333</v>
      </c>
      <c r="D108" s="110" t="s">
        <v>334</v>
      </c>
      <c r="F108" s="23" t="s">
        <v>103</v>
      </c>
      <c r="H108" s="23" t="b">
        <v>1</v>
      </c>
      <c r="J108" s="23" t="s">
        <v>45</v>
      </c>
      <c r="K108" s="38">
        <v>12</v>
      </c>
      <c r="L108" s="38" t="s">
        <v>335</v>
      </c>
      <c r="Q108" s="22"/>
      <c r="R108" s="21">
        <f>R107-1</f>
        <v>2025</v>
      </c>
      <c r="T108" s="21" t="s">
        <v>281</v>
      </c>
      <c r="U108"/>
      <c r="V108" s="21" t="s">
        <v>336</v>
      </c>
      <c r="W108"/>
    </row>
    <row r="109" spans="1:25" ht="13.5" x14ac:dyDescent="0.3">
      <c r="B109" s="23" t="s">
        <v>337</v>
      </c>
      <c r="C109" s="110" t="s">
        <v>338</v>
      </c>
      <c r="D109" s="110" t="s">
        <v>339</v>
      </c>
      <c r="F109" s="23" t="s">
        <v>195</v>
      </c>
      <c r="J109" s="19"/>
      <c r="K109" s="19"/>
      <c r="L109" s="22"/>
      <c r="Q109" s="22"/>
      <c r="R109" s="21">
        <f t="shared" ref="R109:R113" si="1">R108-1</f>
        <v>2024</v>
      </c>
      <c r="T109" s="21" t="s">
        <v>283</v>
      </c>
      <c r="U109"/>
      <c r="V109" s="21" t="s">
        <v>340</v>
      </c>
      <c r="W109"/>
      <c r="X109"/>
      <c r="Y109"/>
    </row>
    <row r="110" spans="1:25" ht="13.5" x14ac:dyDescent="0.3">
      <c r="C110" s="107"/>
      <c r="D110" s="107"/>
      <c r="F110" s="23"/>
      <c r="J110" s="19"/>
      <c r="K110" s="19"/>
      <c r="Q110" s="22"/>
      <c r="R110" s="21">
        <f t="shared" si="1"/>
        <v>2023</v>
      </c>
      <c r="U110"/>
      <c r="V110" s="21"/>
      <c r="W110"/>
      <c r="X110"/>
      <c r="Y110"/>
    </row>
    <row r="111" spans="1:25" ht="13.5" x14ac:dyDescent="0.3">
      <c r="C111" s="107"/>
      <c r="D111" s="107"/>
      <c r="J111" s="19"/>
      <c r="K111" s="19"/>
      <c r="R111" s="21">
        <f t="shared" si="1"/>
        <v>2022</v>
      </c>
      <c r="U111"/>
      <c r="W111"/>
      <c r="X111"/>
      <c r="Y111"/>
    </row>
    <row r="112" spans="1:25" ht="13.5" x14ac:dyDescent="0.3">
      <c r="J112" s="19"/>
      <c r="K112" s="19"/>
      <c r="R112" s="21">
        <f t="shared" si="1"/>
        <v>2021</v>
      </c>
      <c r="U112"/>
      <c r="W112"/>
      <c r="X112"/>
      <c r="Y112"/>
    </row>
    <row r="113" spans="18:25" ht="13.5" x14ac:dyDescent="0.3">
      <c r="R113" s="21">
        <f t="shared" si="1"/>
        <v>2020</v>
      </c>
      <c r="U113"/>
      <c r="V113" s="221"/>
      <c r="W113"/>
      <c r="X113"/>
      <c r="Y113"/>
    </row>
    <row r="114" spans="18:25" ht="13.5" x14ac:dyDescent="0.3">
      <c r="R114" s="21"/>
      <c r="U114"/>
      <c r="V114" s="221"/>
      <c r="W114"/>
      <c r="X114"/>
      <c r="Y114"/>
    </row>
    <row r="115" spans="18:25" ht="13.5" x14ac:dyDescent="0.3">
      <c r="U115"/>
      <c r="V115" s="221"/>
      <c r="W115"/>
      <c r="X115"/>
      <c r="Y115"/>
    </row>
    <row r="116" spans="18:25" ht="13.5" x14ac:dyDescent="0.3">
      <c r="U116"/>
      <c r="V116"/>
      <c r="W116"/>
      <c r="X116"/>
      <c r="Y116"/>
    </row>
    <row r="117" spans="18:25" ht="13.5" x14ac:dyDescent="0.3">
      <c r="U117"/>
      <c r="V117"/>
      <c r="W117"/>
      <c r="X117"/>
      <c r="Y117"/>
    </row>
    <row r="118" spans="18:25" ht="13.5" x14ac:dyDescent="0.3">
      <c r="U118"/>
      <c r="V118"/>
      <c r="W118"/>
      <c r="X118"/>
    </row>
    <row r="119" spans="18:25" ht="13.5" x14ac:dyDescent="0.3">
      <c r="U119"/>
      <c r="V119"/>
      <c r="W119"/>
      <c r="X119"/>
    </row>
    <row r="120" spans="18:25" ht="13.5" x14ac:dyDescent="0.3">
      <c r="V120"/>
      <c r="W120"/>
      <c r="X120"/>
    </row>
    <row r="121" spans="18:25" ht="13.5" x14ac:dyDescent="0.3">
      <c r="U121"/>
      <c r="V121"/>
      <c r="W121"/>
      <c r="X121"/>
    </row>
    <row r="122" spans="18:25" ht="13.5" x14ac:dyDescent="0.3">
      <c r="U122"/>
      <c r="V122"/>
      <c r="W122"/>
      <c r="X122"/>
    </row>
    <row r="123" spans="18:25" ht="13.5" x14ac:dyDescent="0.3">
      <c r="U123"/>
      <c r="V123"/>
      <c r="W123"/>
      <c r="X123"/>
    </row>
    <row r="124" spans="18:25" ht="13.5" x14ac:dyDescent="0.3">
      <c r="U124"/>
      <c r="V124"/>
      <c r="W124"/>
      <c r="X124"/>
    </row>
    <row r="125" spans="18:25" ht="13.5" x14ac:dyDescent="0.3">
      <c r="U125"/>
      <c r="V125"/>
      <c r="W125"/>
      <c r="X125"/>
    </row>
    <row r="126" spans="18:25" ht="13.5" x14ac:dyDescent="0.3">
      <c r="U126"/>
      <c r="V126"/>
      <c r="W126"/>
      <c r="X126"/>
    </row>
    <row r="127" spans="18:25" ht="13.5" x14ac:dyDescent="0.3">
      <c r="T127"/>
      <c r="U127"/>
      <c r="V127"/>
      <c r="W127"/>
    </row>
    <row r="128" spans="18:25" ht="13.5" x14ac:dyDescent="0.3">
      <c r="T128"/>
      <c r="U128"/>
      <c r="V128"/>
      <c r="W128"/>
    </row>
    <row r="129" spans="20:23" ht="13.5" x14ac:dyDescent="0.3">
      <c r="T129"/>
      <c r="U129"/>
      <c r="V129"/>
      <c r="W129"/>
    </row>
    <row r="130" spans="20:23" ht="13.5" x14ac:dyDescent="0.3">
      <c r="T130"/>
      <c r="U130"/>
      <c r="V130"/>
      <c r="W130"/>
    </row>
    <row r="131" spans="20:23" ht="13.5" x14ac:dyDescent="0.3">
      <c r="T131"/>
      <c r="U131"/>
      <c r="V131"/>
      <c r="W131"/>
    </row>
    <row r="132" spans="20:23" ht="13.5" x14ac:dyDescent="0.3">
      <c r="T132"/>
      <c r="U132"/>
      <c r="V132"/>
      <c r="W132"/>
    </row>
    <row r="133" spans="20:23" ht="13.5" x14ac:dyDescent="0.3">
      <c r="T133"/>
      <c r="U133"/>
      <c r="V133"/>
      <c r="W133"/>
    </row>
    <row r="134" spans="20:23" ht="13.5" x14ac:dyDescent="0.3">
      <c r="T134"/>
      <c r="U134"/>
      <c r="V134"/>
      <c r="W134"/>
    </row>
    <row r="135" spans="20:23" ht="13.5" x14ac:dyDescent="0.3">
      <c r="T135"/>
      <c r="U135"/>
      <c r="V135"/>
      <c r="W135"/>
    </row>
    <row r="136" spans="20:23" ht="13.5" x14ac:dyDescent="0.3">
      <c r="T136"/>
      <c r="U136"/>
      <c r="V136"/>
      <c r="W136"/>
    </row>
    <row r="137" spans="20:23" ht="13.5" x14ac:dyDescent="0.3">
      <c r="T137"/>
      <c r="U137"/>
      <c r="V137"/>
      <c r="W137"/>
    </row>
    <row r="138" spans="20:23" ht="13.5" x14ac:dyDescent="0.3">
      <c r="T138"/>
      <c r="U138"/>
      <c r="V138"/>
      <c r="W138"/>
    </row>
    <row r="139" spans="20:23" ht="13.5" x14ac:dyDescent="0.3">
      <c r="T139"/>
      <c r="U139"/>
      <c r="V139"/>
      <c r="W139"/>
    </row>
    <row r="140" spans="20:23" ht="13.5" x14ac:dyDescent="0.3">
      <c r="T140"/>
      <c r="U140"/>
      <c r="V140"/>
      <c r="W140"/>
    </row>
    <row r="141" spans="20:23" ht="13.5" x14ac:dyDescent="0.3">
      <c r="T141"/>
      <c r="U141"/>
      <c r="V141"/>
      <c r="W141"/>
    </row>
    <row r="142" spans="20:23" ht="13.5" x14ac:dyDescent="0.3">
      <c r="T142"/>
      <c r="U142"/>
      <c r="V142"/>
      <c r="W142"/>
    </row>
    <row r="143" spans="20:23" ht="13.5" x14ac:dyDescent="0.3">
      <c r="T143"/>
      <c r="U143"/>
      <c r="V143"/>
      <c r="W143"/>
    </row>
    <row r="144" spans="20:23" ht="13.5" x14ac:dyDescent="0.3">
      <c r="T144"/>
      <c r="U144"/>
      <c r="V144"/>
      <c r="W144"/>
    </row>
    <row r="145" spans="20:23" ht="13.5" x14ac:dyDescent="0.3">
      <c r="T145"/>
      <c r="U145"/>
      <c r="V145"/>
      <c r="W145"/>
    </row>
    <row r="146" spans="20:23" ht="13.5" x14ac:dyDescent="0.3">
      <c r="T146"/>
      <c r="U146"/>
      <c r="V146"/>
      <c r="W146"/>
    </row>
    <row r="147" spans="20:23" ht="13.5" x14ac:dyDescent="0.3">
      <c r="T147"/>
      <c r="U147"/>
      <c r="V147"/>
      <c r="W147"/>
    </row>
    <row r="148" spans="20:23" ht="13.5" x14ac:dyDescent="0.3">
      <c r="T148"/>
      <c r="U148"/>
      <c r="V148"/>
      <c r="W148"/>
    </row>
    <row r="149" spans="20:23" ht="13.5" x14ac:dyDescent="0.3">
      <c r="T149"/>
      <c r="U149"/>
      <c r="V149"/>
      <c r="W149"/>
    </row>
    <row r="150" spans="20:23" ht="13.5" x14ac:dyDescent="0.3">
      <c r="T150"/>
      <c r="U150"/>
      <c r="V150"/>
      <c r="W150"/>
    </row>
    <row r="151" spans="20:23" ht="13.5" x14ac:dyDescent="0.3">
      <c r="T151"/>
      <c r="U151"/>
      <c r="V151"/>
      <c r="W151"/>
    </row>
    <row r="152" spans="20:23" ht="13.5" x14ac:dyDescent="0.3">
      <c r="T152"/>
      <c r="U152"/>
      <c r="V152"/>
      <c r="W152"/>
    </row>
    <row r="153" spans="20:23" ht="13.5" x14ac:dyDescent="0.3">
      <c r="T153"/>
      <c r="U153"/>
      <c r="V153"/>
      <c r="W153"/>
    </row>
    <row r="154" spans="20:23" ht="13.5" x14ac:dyDescent="0.3">
      <c r="T154"/>
      <c r="U154"/>
      <c r="V154"/>
      <c r="W154"/>
    </row>
    <row r="155" spans="20:23" ht="13.5" x14ac:dyDescent="0.3">
      <c r="T155"/>
      <c r="U155"/>
      <c r="V155"/>
      <c r="W155"/>
    </row>
    <row r="156" spans="20:23" ht="13.5" x14ac:dyDescent="0.3">
      <c r="T156"/>
      <c r="U156"/>
      <c r="V156"/>
      <c r="W156"/>
    </row>
    <row r="157" spans="20:23" ht="13.5" x14ac:dyDescent="0.3">
      <c r="T157"/>
      <c r="U157"/>
      <c r="V157"/>
      <c r="W157"/>
    </row>
    <row r="158" spans="20:23" ht="13.5" x14ac:dyDescent="0.3">
      <c r="T158"/>
      <c r="U158"/>
      <c r="V158"/>
      <c r="W158"/>
    </row>
    <row r="159" spans="20:23" ht="13.5" x14ac:dyDescent="0.3">
      <c r="T159"/>
      <c r="U159"/>
      <c r="V159"/>
      <c r="W159"/>
    </row>
    <row r="160" spans="20:23" ht="13.5" x14ac:dyDescent="0.3">
      <c r="T160"/>
      <c r="U160"/>
      <c r="V160"/>
      <c r="W160"/>
    </row>
    <row r="161" spans="20:23" ht="13.5" x14ac:dyDescent="0.3">
      <c r="T161"/>
      <c r="U161"/>
      <c r="V161"/>
      <c r="W161"/>
    </row>
    <row r="162" spans="20:23" ht="13.5" x14ac:dyDescent="0.3">
      <c r="T162"/>
      <c r="U162"/>
      <c r="V162"/>
      <c r="W162"/>
    </row>
    <row r="163" spans="20:23" ht="13.5" x14ac:dyDescent="0.3">
      <c r="T163"/>
      <c r="U163"/>
      <c r="V163"/>
      <c r="W163"/>
    </row>
    <row r="164" spans="20:23" ht="13.5" x14ac:dyDescent="0.3">
      <c r="T164"/>
      <c r="U164"/>
      <c r="V164"/>
      <c r="W164"/>
    </row>
    <row r="165" spans="20:23" ht="13.5" x14ac:dyDescent="0.3">
      <c r="T165"/>
      <c r="U165"/>
      <c r="V165"/>
      <c r="W165"/>
    </row>
    <row r="166" spans="20:23" ht="13.5" x14ac:dyDescent="0.3">
      <c r="T166"/>
      <c r="U166"/>
      <c r="V166"/>
      <c r="W166"/>
    </row>
    <row r="167" spans="20:23" ht="13.5" x14ac:dyDescent="0.3">
      <c r="T167"/>
      <c r="U167"/>
      <c r="V167"/>
      <c r="W167"/>
    </row>
    <row r="168" spans="20:23" ht="13.5" x14ac:dyDescent="0.3">
      <c r="T168"/>
      <c r="U168"/>
      <c r="V168"/>
      <c r="W168"/>
    </row>
    <row r="169" spans="20:23" ht="13.5" x14ac:dyDescent="0.3">
      <c r="T169"/>
      <c r="U169"/>
      <c r="V169"/>
      <c r="W169"/>
    </row>
    <row r="170" spans="20:23" ht="13.5" x14ac:dyDescent="0.3">
      <c r="T170"/>
      <c r="U170"/>
      <c r="V170"/>
      <c r="W170"/>
    </row>
    <row r="171" spans="20:23" ht="13.5" x14ac:dyDescent="0.3">
      <c r="T171"/>
      <c r="U171"/>
      <c r="V171"/>
      <c r="W171"/>
    </row>
    <row r="172" spans="20:23" ht="13.5" x14ac:dyDescent="0.3">
      <c r="T172"/>
      <c r="U172"/>
      <c r="V172"/>
      <c r="W172"/>
    </row>
    <row r="173" spans="20:23" ht="13.5" x14ac:dyDescent="0.3">
      <c r="T173"/>
      <c r="U173"/>
      <c r="V173"/>
      <c r="W173"/>
    </row>
    <row r="174" spans="20:23" ht="13.5" x14ac:dyDescent="0.3">
      <c r="T174"/>
      <c r="U174"/>
      <c r="V174"/>
      <c r="W174"/>
    </row>
    <row r="175" spans="20:23" ht="13.5" x14ac:dyDescent="0.3">
      <c r="T175"/>
      <c r="U175"/>
      <c r="V175"/>
      <c r="W175"/>
    </row>
    <row r="176" spans="20:23" ht="13.5" x14ac:dyDescent="0.3">
      <c r="T176"/>
      <c r="U176"/>
      <c r="V176"/>
      <c r="W176"/>
    </row>
    <row r="177" spans="20:23" ht="13.5" x14ac:dyDescent="0.3">
      <c r="T177"/>
      <c r="U177"/>
      <c r="V177"/>
      <c r="W177"/>
    </row>
    <row r="178" spans="20:23" ht="13.5" x14ac:dyDescent="0.3">
      <c r="T178"/>
      <c r="U178"/>
      <c r="V178"/>
      <c r="W178"/>
    </row>
    <row r="179" spans="20:23" ht="13.5" x14ac:dyDescent="0.3">
      <c r="T179"/>
      <c r="U179"/>
      <c r="V179"/>
      <c r="W179"/>
    </row>
    <row r="180" spans="20:23" ht="13.5" x14ac:dyDescent="0.3">
      <c r="T180"/>
      <c r="U180"/>
      <c r="V180"/>
      <c r="W180"/>
    </row>
    <row r="181" spans="20:23" ht="13.5" x14ac:dyDescent="0.3">
      <c r="T181"/>
      <c r="U181"/>
      <c r="V181"/>
      <c r="W181"/>
    </row>
    <row r="182" spans="20:23" ht="13.5" x14ac:dyDescent="0.3">
      <c r="T182"/>
      <c r="U182"/>
      <c r="V182"/>
      <c r="W182"/>
    </row>
    <row r="183" spans="20:23" ht="13.5" x14ac:dyDescent="0.3">
      <c r="T183"/>
      <c r="U183"/>
      <c r="V183"/>
      <c r="W183"/>
    </row>
    <row r="184" spans="20:23" ht="13.5" x14ac:dyDescent="0.3">
      <c r="T184"/>
      <c r="U184"/>
      <c r="V184"/>
      <c r="W184"/>
    </row>
    <row r="185" spans="20:23" ht="13.5" x14ac:dyDescent="0.3">
      <c r="T185"/>
      <c r="U185"/>
      <c r="V185"/>
      <c r="W185"/>
    </row>
    <row r="186" spans="20:23" ht="13.5" x14ac:dyDescent="0.3">
      <c r="T186"/>
      <c r="U186"/>
      <c r="V186"/>
      <c r="W186"/>
    </row>
    <row r="187" spans="20:23" ht="13.5" x14ac:dyDescent="0.3">
      <c r="T187"/>
      <c r="U187"/>
      <c r="V187"/>
      <c r="W187"/>
    </row>
    <row r="188" spans="20:23" ht="13.5" x14ac:dyDescent="0.3">
      <c r="T188"/>
      <c r="U188"/>
      <c r="V188"/>
      <c r="W188"/>
    </row>
    <row r="189" spans="20:23" ht="13.5" x14ac:dyDescent="0.3">
      <c r="T189"/>
      <c r="U189"/>
      <c r="V189"/>
      <c r="W189"/>
    </row>
    <row r="190" spans="20:23" ht="13.5" x14ac:dyDescent="0.3">
      <c r="T190"/>
      <c r="U190"/>
      <c r="V190"/>
      <c r="W190"/>
    </row>
    <row r="191" spans="20:23" ht="13.5" x14ac:dyDescent="0.3">
      <c r="T191"/>
      <c r="U191"/>
      <c r="V191"/>
      <c r="W191"/>
    </row>
    <row r="192" spans="20:23" ht="13.5" x14ac:dyDescent="0.3">
      <c r="T192"/>
      <c r="U192"/>
      <c r="V192"/>
      <c r="W192"/>
    </row>
    <row r="193" spans="20:23" ht="13.5" x14ac:dyDescent="0.3">
      <c r="T193"/>
      <c r="U193"/>
      <c r="V193"/>
      <c r="W193"/>
    </row>
    <row r="194" spans="20:23" ht="13.5" x14ac:dyDescent="0.3">
      <c r="T194"/>
      <c r="U194"/>
      <c r="V194"/>
      <c r="W194"/>
    </row>
    <row r="195" spans="20:23" ht="13.5" x14ac:dyDescent="0.3">
      <c r="T195"/>
      <c r="U195"/>
      <c r="V195"/>
      <c r="W195"/>
    </row>
    <row r="196" spans="20:23" ht="13.5" x14ac:dyDescent="0.3">
      <c r="T196"/>
      <c r="U196"/>
      <c r="V196"/>
      <c r="W196"/>
    </row>
    <row r="197" spans="20:23" ht="13.5" x14ac:dyDescent="0.3">
      <c r="T197"/>
      <c r="U197"/>
      <c r="V197"/>
      <c r="W197"/>
    </row>
    <row r="198" spans="20:23" ht="13.5" x14ac:dyDescent="0.3">
      <c r="T198"/>
      <c r="U198"/>
      <c r="V198"/>
      <c r="W198"/>
    </row>
    <row r="199" spans="20:23" ht="13.5" x14ac:dyDescent="0.3">
      <c r="T199"/>
      <c r="U199"/>
      <c r="V199"/>
      <c r="W199"/>
    </row>
    <row r="200" spans="20:23" ht="13.5" x14ac:dyDescent="0.3">
      <c r="T200"/>
      <c r="U200"/>
      <c r="V200"/>
      <c r="W200"/>
    </row>
    <row r="201" spans="20:23" ht="13.5" x14ac:dyDescent="0.3">
      <c r="T201"/>
      <c r="U201"/>
      <c r="V201"/>
      <c r="W201"/>
    </row>
    <row r="202" spans="20:23" ht="13.5" x14ac:dyDescent="0.3">
      <c r="T202"/>
      <c r="U202"/>
      <c r="V202"/>
      <c r="W202"/>
    </row>
    <row r="203" spans="20:23" ht="13.5" x14ac:dyDescent="0.3">
      <c r="T203"/>
      <c r="U203"/>
      <c r="V203"/>
      <c r="W203"/>
    </row>
    <row r="204" spans="20:23" ht="13.5" x14ac:dyDescent="0.3">
      <c r="T204"/>
      <c r="U204"/>
      <c r="V204"/>
      <c r="W204"/>
    </row>
    <row r="205" spans="20:23" ht="13.5" x14ac:dyDescent="0.3">
      <c r="T205"/>
      <c r="U205"/>
      <c r="V205"/>
      <c r="W205"/>
    </row>
    <row r="206" spans="20:23" ht="13.5" x14ac:dyDescent="0.3">
      <c r="T206"/>
      <c r="U206"/>
      <c r="V206"/>
      <c r="W206"/>
    </row>
    <row r="207" spans="20:23" ht="13.5" x14ac:dyDescent="0.3">
      <c r="T207"/>
      <c r="U207"/>
      <c r="V207"/>
      <c r="W207"/>
    </row>
    <row r="208" spans="20:23" ht="13.5" x14ac:dyDescent="0.3">
      <c r="T208"/>
      <c r="U208"/>
      <c r="V208"/>
      <c r="W208"/>
    </row>
    <row r="209" spans="20:23" ht="13.5" x14ac:dyDescent="0.3">
      <c r="T209"/>
      <c r="U209"/>
      <c r="V209"/>
      <c r="W209"/>
    </row>
    <row r="210" spans="20:23" ht="13.5" x14ac:dyDescent="0.3">
      <c r="T210"/>
      <c r="U210"/>
      <c r="V210"/>
      <c r="W210"/>
    </row>
    <row r="211" spans="20:23" ht="13.5" x14ac:dyDescent="0.3">
      <c r="T211"/>
      <c r="U211"/>
      <c r="V211"/>
      <c r="W211"/>
    </row>
    <row r="212" spans="20:23" ht="13.5" x14ac:dyDescent="0.3">
      <c r="T212"/>
      <c r="U212"/>
      <c r="V212"/>
      <c r="W212"/>
    </row>
    <row r="213" spans="20:23" ht="13.5" x14ac:dyDescent="0.3">
      <c r="T213"/>
      <c r="U213"/>
      <c r="V213"/>
      <c r="W213"/>
    </row>
    <row r="214" spans="20:23" ht="13.5" x14ac:dyDescent="0.3">
      <c r="T214"/>
      <c r="U214"/>
      <c r="V214"/>
      <c r="W214"/>
    </row>
    <row r="215" spans="20:23" ht="13.5" x14ac:dyDescent="0.3">
      <c r="T215"/>
      <c r="U215"/>
      <c r="V215"/>
      <c r="W215"/>
    </row>
    <row r="216" spans="20:23" ht="13.5" x14ac:dyDescent="0.3">
      <c r="T216"/>
      <c r="U216"/>
      <c r="V216"/>
      <c r="W216"/>
    </row>
    <row r="217" spans="20:23" ht="13.5" x14ac:dyDescent="0.3">
      <c r="T217"/>
      <c r="U217"/>
      <c r="V217"/>
      <c r="W217"/>
    </row>
    <row r="218" spans="20:23" ht="13.5" x14ac:dyDescent="0.3">
      <c r="T218"/>
      <c r="U218"/>
      <c r="V218"/>
      <c r="W218"/>
    </row>
    <row r="219" spans="20:23" ht="13.5" x14ac:dyDescent="0.3">
      <c r="T219"/>
      <c r="U219"/>
      <c r="V219"/>
      <c r="W219"/>
    </row>
    <row r="220" spans="20:23" ht="13.5" x14ac:dyDescent="0.3">
      <c r="T220"/>
      <c r="U220"/>
      <c r="V220"/>
      <c r="W220"/>
    </row>
    <row r="221" spans="20:23" ht="13.5" x14ac:dyDescent="0.3">
      <c r="T221"/>
      <c r="U221"/>
      <c r="V221"/>
      <c r="W221"/>
    </row>
    <row r="222" spans="20:23" ht="13.5" x14ac:dyDescent="0.3">
      <c r="T222"/>
      <c r="U222"/>
      <c r="V222"/>
      <c r="W222"/>
    </row>
    <row r="223" spans="20:23" ht="13.5" x14ac:dyDescent="0.3">
      <c r="T223"/>
      <c r="U223"/>
      <c r="V223"/>
      <c r="W223"/>
    </row>
    <row r="224" spans="20:23" ht="13.5" x14ac:dyDescent="0.3">
      <c r="T224"/>
      <c r="U224"/>
      <c r="V224"/>
      <c r="W224"/>
    </row>
    <row r="225" spans="20:23" ht="13.5" x14ac:dyDescent="0.3">
      <c r="T225"/>
      <c r="U225"/>
      <c r="V225"/>
      <c r="W225"/>
    </row>
    <row r="226" spans="20:23" ht="13.5" x14ac:dyDescent="0.3">
      <c r="T226"/>
      <c r="U226"/>
      <c r="V226"/>
      <c r="W226"/>
    </row>
    <row r="227" spans="20:23" ht="13.5" x14ac:dyDescent="0.3">
      <c r="T227"/>
      <c r="U227"/>
      <c r="V227"/>
      <c r="W227"/>
    </row>
    <row r="228" spans="20:23" ht="13.5" x14ac:dyDescent="0.3">
      <c r="T228"/>
      <c r="U228"/>
      <c r="V228"/>
      <c r="W228"/>
    </row>
    <row r="229" spans="20:23" ht="13.5" x14ac:dyDescent="0.3">
      <c r="T229"/>
      <c r="U229"/>
      <c r="V229"/>
      <c r="W229"/>
    </row>
    <row r="230" spans="20:23" ht="13.5" x14ac:dyDescent="0.3">
      <c r="T230"/>
      <c r="U230"/>
      <c r="V230"/>
      <c r="W230"/>
    </row>
    <row r="231" spans="20:23" ht="13.5" x14ac:dyDescent="0.3">
      <c r="T231"/>
      <c r="U231"/>
      <c r="V231"/>
      <c r="W231"/>
    </row>
    <row r="232" spans="20:23" ht="13.5" x14ac:dyDescent="0.3">
      <c r="T232"/>
      <c r="U232"/>
      <c r="V232"/>
      <c r="W232"/>
    </row>
    <row r="233" spans="20:23" ht="13.5" x14ac:dyDescent="0.3">
      <c r="T233"/>
      <c r="U233"/>
      <c r="V233"/>
      <c r="W233"/>
    </row>
    <row r="234" spans="20:23" ht="13.5" x14ac:dyDescent="0.3">
      <c r="T234"/>
      <c r="U234"/>
      <c r="V234"/>
      <c r="W234"/>
    </row>
    <row r="235" spans="20:23" ht="13.5" x14ac:dyDescent="0.3">
      <c r="T235"/>
      <c r="U235"/>
      <c r="V235"/>
      <c r="W235"/>
    </row>
    <row r="236" spans="20:23" ht="13.5" x14ac:dyDescent="0.3">
      <c r="T236"/>
      <c r="U236"/>
      <c r="V236"/>
      <c r="W236"/>
    </row>
    <row r="237" spans="20:23" ht="13.5" x14ac:dyDescent="0.3">
      <c r="T237"/>
      <c r="U237"/>
      <c r="V237"/>
      <c r="W237"/>
    </row>
    <row r="238" spans="20:23" ht="13.5" x14ac:dyDescent="0.3">
      <c r="T238"/>
      <c r="U238"/>
      <c r="V238"/>
      <c r="W238"/>
    </row>
    <row r="239" spans="20:23" ht="13.5" x14ac:dyDescent="0.3">
      <c r="T239"/>
      <c r="U239"/>
      <c r="V239"/>
      <c r="W239"/>
    </row>
    <row r="240" spans="20:23" ht="13.5" x14ac:dyDescent="0.3">
      <c r="T240"/>
      <c r="U240"/>
      <c r="V240"/>
      <c r="W240"/>
    </row>
    <row r="241" spans="20:23" ht="13.5" x14ac:dyDescent="0.3">
      <c r="T241"/>
      <c r="U241"/>
      <c r="V241"/>
      <c r="W241"/>
    </row>
    <row r="242" spans="20:23" ht="13.5" x14ac:dyDescent="0.3">
      <c r="T242"/>
      <c r="U242"/>
      <c r="V242"/>
      <c r="W242"/>
    </row>
    <row r="243" spans="20:23" ht="13.5" x14ac:dyDescent="0.3">
      <c r="T243"/>
      <c r="U243"/>
      <c r="V243"/>
      <c r="W243"/>
    </row>
    <row r="244" spans="20:23" ht="13.5" x14ac:dyDescent="0.3">
      <c r="T244"/>
      <c r="U244"/>
      <c r="V244"/>
      <c r="W244"/>
    </row>
    <row r="245" spans="20:23" ht="13.5" x14ac:dyDescent="0.3">
      <c r="T245"/>
      <c r="U245"/>
      <c r="V245"/>
      <c r="W245"/>
    </row>
    <row r="246" spans="20:23" ht="13.5" x14ac:dyDescent="0.3">
      <c r="T246"/>
      <c r="U246"/>
      <c r="V246"/>
      <c r="W246"/>
    </row>
    <row r="247" spans="20:23" ht="13.5" x14ac:dyDescent="0.3">
      <c r="T247"/>
      <c r="U247"/>
      <c r="V247"/>
      <c r="W247"/>
    </row>
    <row r="248" spans="20:23" ht="13.5" x14ac:dyDescent="0.3">
      <c r="T248"/>
      <c r="U248"/>
      <c r="V248"/>
      <c r="W248"/>
    </row>
    <row r="249" spans="20:23" ht="13.5" x14ac:dyDescent="0.3">
      <c r="T249"/>
      <c r="U249"/>
      <c r="V249"/>
      <c r="W249"/>
    </row>
    <row r="250" spans="20:23" ht="13.5" x14ac:dyDescent="0.3">
      <c r="T250"/>
      <c r="U250"/>
      <c r="V250"/>
      <c r="W250"/>
    </row>
    <row r="251" spans="20:23" ht="13.5" x14ac:dyDescent="0.3">
      <c r="T251"/>
      <c r="U251"/>
      <c r="V251"/>
      <c r="W251"/>
    </row>
    <row r="252" spans="20:23" ht="13.5" x14ac:dyDescent="0.3">
      <c r="T252"/>
      <c r="U252"/>
      <c r="V252"/>
      <c r="W252"/>
    </row>
    <row r="253" spans="20:23" ht="13.5" x14ac:dyDescent="0.3">
      <c r="T253"/>
      <c r="U253"/>
      <c r="V253"/>
      <c r="W253"/>
    </row>
    <row r="254" spans="20:23" ht="13.5" x14ac:dyDescent="0.3">
      <c r="T254"/>
      <c r="U254"/>
      <c r="V254"/>
      <c r="W254"/>
    </row>
    <row r="255" spans="20:23" ht="13.5" x14ac:dyDescent="0.3">
      <c r="T255"/>
      <c r="U255"/>
      <c r="V255"/>
      <c r="W255"/>
    </row>
    <row r="256" spans="20:23" ht="13.5" x14ac:dyDescent="0.3">
      <c r="T256"/>
      <c r="U256"/>
      <c r="V256"/>
      <c r="W256"/>
    </row>
    <row r="257" spans="20:23" ht="13.5" x14ac:dyDescent="0.3">
      <c r="T257"/>
      <c r="U257"/>
      <c r="V257"/>
      <c r="W257"/>
    </row>
    <row r="258" spans="20:23" ht="13.5" x14ac:dyDescent="0.3">
      <c r="T258"/>
      <c r="U258"/>
      <c r="V258"/>
      <c r="W258"/>
    </row>
    <row r="259" spans="20:23" ht="13.5" x14ac:dyDescent="0.3">
      <c r="T259"/>
      <c r="U259"/>
      <c r="V259"/>
      <c r="W259"/>
    </row>
    <row r="260" spans="20:23" ht="13.5" x14ac:dyDescent="0.3">
      <c r="T260"/>
      <c r="U260"/>
      <c r="V260"/>
      <c r="W260"/>
    </row>
    <row r="261" spans="20:23" ht="13.5" x14ac:dyDescent="0.3">
      <c r="T261"/>
      <c r="U261"/>
      <c r="V261"/>
      <c r="W261"/>
    </row>
    <row r="262" spans="20:23" ht="13.5" x14ac:dyDescent="0.3">
      <c r="T262"/>
      <c r="U262"/>
      <c r="V262"/>
      <c r="W262"/>
    </row>
    <row r="263" spans="20:23" ht="13.5" x14ac:dyDescent="0.3">
      <c r="T263"/>
      <c r="U263"/>
      <c r="V263"/>
    </row>
    <row r="264" spans="20:23" ht="13.5" x14ac:dyDescent="0.3">
      <c r="T264"/>
      <c r="U264"/>
      <c r="V264"/>
    </row>
    <row r="265" spans="20:23" ht="13.5" x14ac:dyDescent="0.3">
      <c r="T265"/>
      <c r="U265"/>
      <c r="V265"/>
    </row>
    <row r="266" spans="20:23" ht="13.5" x14ac:dyDescent="0.3">
      <c r="T266"/>
      <c r="U266"/>
      <c r="V266"/>
    </row>
    <row r="267" spans="20:23" ht="13.5" x14ac:dyDescent="0.3">
      <c r="T267"/>
      <c r="U267"/>
      <c r="V267"/>
    </row>
    <row r="268" spans="20:23" ht="13.5" x14ac:dyDescent="0.3">
      <c r="T268"/>
      <c r="U268"/>
      <c r="V268"/>
    </row>
    <row r="269" spans="20:23" ht="13.5" x14ac:dyDescent="0.3">
      <c r="T269"/>
      <c r="U269"/>
      <c r="V269"/>
    </row>
    <row r="270" spans="20:23" ht="13.5" x14ac:dyDescent="0.3">
      <c r="T270"/>
      <c r="U270"/>
      <c r="V270"/>
    </row>
    <row r="271" spans="20:23" ht="13.5" x14ac:dyDescent="0.3">
      <c r="T271"/>
      <c r="U271"/>
      <c r="V271"/>
    </row>
    <row r="272" spans="20:23" ht="13.5" x14ac:dyDescent="0.3">
      <c r="T272"/>
      <c r="U272"/>
      <c r="V272"/>
    </row>
    <row r="273" spans="20:22" ht="13.5" x14ac:dyDescent="0.3">
      <c r="T273"/>
      <c r="U273"/>
      <c r="V273"/>
    </row>
    <row r="274" spans="20:22" ht="13.5" x14ac:dyDescent="0.3">
      <c r="T274"/>
      <c r="U274"/>
      <c r="V274"/>
    </row>
    <row r="275" spans="20:22" ht="13.5" x14ac:dyDescent="0.3">
      <c r="T275"/>
      <c r="U275"/>
      <c r="V275"/>
    </row>
    <row r="276" spans="20:22" ht="13.5" x14ac:dyDescent="0.3">
      <c r="T276"/>
      <c r="U276"/>
      <c r="V276"/>
    </row>
    <row r="277" spans="20:22" ht="13.5" x14ac:dyDescent="0.3">
      <c r="T277"/>
      <c r="U277"/>
      <c r="V277"/>
    </row>
    <row r="278" spans="20:22" ht="13.5" x14ac:dyDescent="0.3">
      <c r="T278"/>
      <c r="U278"/>
      <c r="V278"/>
    </row>
    <row r="279" spans="20:22" ht="13.5" x14ac:dyDescent="0.3">
      <c r="T279"/>
      <c r="U279"/>
      <c r="V279"/>
    </row>
    <row r="280" spans="20:22" ht="13.5" x14ac:dyDescent="0.3">
      <c r="T280"/>
      <c r="U280"/>
      <c r="V280"/>
    </row>
    <row r="281" spans="20:22" ht="13.5" x14ac:dyDescent="0.3">
      <c r="T281"/>
      <c r="U281"/>
      <c r="V281"/>
    </row>
    <row r="282" spans="20:22" ht="13.5" x14ac:dyDescent="0.3">
      <c r="T282"/>
      <c r="U282"/>
      <c r="V282"/>
    </row>
    <row r="283" spans="20:22" ht="13.5" x14ac:dyDescent="0.3">
      <c r="T283"/>
      <c r="U283"/>
      <c r="V283"/>
    </row>
    <row r="284" spans="20:22" ht="13.5" x14ac:dyDescent="0.3">
      <c r="T284"/>
      <c r="U284"/>
      <c r="V284"/>
    </row>
    <row r="285" spans="20:22" ht="13.5" x14ac:dyDescent="0.3">
      <c r="T285"/>
      <c r="U285"/>
      <c r="V285"/>
    </row>
    <row r="286" spans="20:22" ht="13.5" x14ac:dyDescent="0.3">
      <c r="T286"/>
      <c r="U286"/>
      <c r="V286"/>
    </row>
    <row r="287" spans="20:22" ht="13.5" x14ac:dyDescent="0.3">
      <c r="T287"/>
      <c r="U287"/>
      <c r="V287"/>
    </row>
    <row r="288" spans="20:22" ht="13.5" x14ac:dyDescent="0.3">
      <c r="T288"/>
      <c r="U288"/>
      <c r="V288"/>
    </row>
    <row r="289" spans="20:22" ht="13.5" x14ac:dyDescent="0.3">
      <c r="T289"/>
      <c r="U289"/>
      <c r="V289"/>
    </row>
    <row r="290" spans="20:22" ht="13.5" x14ac:dyDescent="0.3">
      <c r="T290"/>
      <c r="U290"/>
      <c r="V290"/>
    </row>
    <row r="291" spans="20:22" ht="13.5" x14ac:dyDescent="0.3">
      <c r="T291"/>
      <c r="U291"/>
      <c r="V291"/>
    </row>
    <row r="292" spans="20:22" ht="13.5" x14ac:dyDescent="0.3">
      <c r="T292"/>
      <c r="U292"/>
      <c r="V292"/>
    </row>
    <row r="293" spans="20:22" ht="13.5" x14ac:dyDescent="0.3">
      <c r="T293"/>
      <c r="U293"/>
      <c r="V293"/>
    </row>
    <row r="294" spans="20:22" ht="13.5" x14ac:dyDescent="0.3">
      <c r="T294"/>
      <c r="U294"/>
      <c r="V294"/>
    </row>
    <row r="295" spans="20:22" ht="13.5" x14ac:dyDescent="0.3">
      <c r="T295"/>
      <c r="U295"/>
      <c r="V295"/>
    </row>
    <row r="296" spans="20:22" ht="13.5" x14ac:dyDescent="0.3">
      <c r="T296"/>
      <c r="U296"/>
      <c r="V296"/>
    </row>
    <row r="297" spans="20:22" ht="13.5" x14ac:dyDescent="0.3">
      <c r="T297"/>
      <c r="U297"/>
      <c r="V297"/>
    </row>
    <row r="298" spans="20:22" ht="13.5" x14ac:dyDescent="0.3">
      <c r="T298"/>
      <c r="U298"/>
      <c r="V298"/>
    </row>
    <row r="299" spans="20:22" ht="13.5" x14ac:dyDescent="0.3">
      <c r="T299"/>
      <c r="U299"/>
      <c r="V299"/>
    </row>
    <row r="300" spans="20:22" ht="13.5" x14ac:dyDescent="0.3">
      <c r="T300"/>
      <c r="U300"/>
      <c r="V300"/>
    </row>
    <row r="301" spans="20:22" ht="13.5" x14ac:dyDescent="0.3">
      <c r="T301"/>
      <c r="U301"/>
      <c r="V301"/>
    </row>
    <row r="302" spans="20:22" ht="13.5" x14ac:dyDescent="0.3">
      <c r="T302"/>
      <c r="U302"/>
      <c r="V302"/>
    </row>
    <row r="303" spans="20:22" ht="13.5" x14ac:dyDescent="0.3">
      <c r="T303"/>
      <c r="U303"/>
      <c r="V303"/>
    </row>
    <row r="304" spans="20:22" ht="13.5" x14ac:dyDescent="0.3">
      <c r="T304"/>
      <c r="U304"/>
      <c r="V304"/>
    </row>
    <row r="305" spans="20:22" ht="13.5" x14ac:dyDescent="0.3">
      <c r="T305"/>
      <c r="U305"/>
      <c r="V305"/>
    </row>
    <row r="306" spans="20:22" ht="13.5" x14ac:dyDescent="0.3">
      <c r="T306"/>
      <c r="U306"/>
      <c r="V306"/>
    </row>
    <row r="307" spans="20:22" ht="13.5" x14ac:dyDescent="0.3">
      <c r="T307"/>
      <c r="U307"/>
      <c r="V307"/>
    </row>
    <row r="308" spans="20:22" ht="13.5" x14ac:dyDescent="0.3">
      <c r="T308"/>
      <c r="U308"/>
      <c r="V308"/>
    </row>
    <row r="309" spans="20:22" ht="13.5" x14ac:dyDescent="0.3">
      <c r="T309"/>
      <c r="U309"/>
      <c r="V309"/>
    </row>
    <row r="310" spans="20:22" ht="13.5" x14ac:dyDescent="0.3">
      <c r="T310"/>
      <c r="U310"/>
      <c r="V310"/>
    </row>
    <row r="311" spans="20:22" ht="13.5" x14ac:dyDescent="0.3">
      <c r="T311"/>
      <c r="U311"/>
      <c r="V311"/>
    </row>
    <row r="312" spans="20:22" ht="13.5" x14ac:dyDescent="0.3">
      <c r="T312"/>
      <c r="U312"/>
      <c r="V312"/>
    </row>
    <row r="313" spans="20:22" ht="13.5" x14ac:dyDescent="0.3">
      <c r="T313"/>
      <c r="U313"/>
      <c r="V313"/>
    </row>
    <row r="314" spans="20:22" ht="13.5" x14ac:dyDescent="0.3">
      <c r="T314"/>
      <c r="U314"/>
      <c r="V314"/>
    </row>
    <row r="315" spans="20:22" ht="13.5" x14ac:dyDescent="0.3">
      <c r="T315"/>
      <c r="U315"/>
    </row>
    <row r="316" spans="20:22" ht="13.5" x14ac:dyDescent="0.3">
      <c r="T316"/>
      <c r="U316"/>
    </row>
    <row r="317" spans="20:22" ht="13.5" x14ac:dyDescent="0.3">
      <c r="T317"/>
      <c r="U317"/>
    </row>
    <row r="318" spans="20:22" ht="13.5" x14ac:dyDescent="0.3">
      <c r="T318"/>
      <c r="U318"/>
    </row>
    <row r="319" spans="20:22" ht="13.5" x14ac:dyDescent="0.3">
      <c r="T319"/>
      <c r="U319"/>
    </row>
    <row r="320" spans="20:22" ht="13.5" x14ac:dyDescent="0.3">
      <c r="T320"/>
    </row>
    <row r="321" spans="20:20" ht="13.5" x14ac:dyDescent="0.3">
      <c r="T321"/>
    </row>
    <row r="322" spans="20:20" ht="13.5" x14ac:dyDescent="0.3">
      <c r="T322"/>
    </row>
    <row r="323" spans="20:20" ht="13.5" x14ac:dyDescent="0.3">
      <c r="T323"/>
    </row>
  </sheetData>
  <phoneticPr fontId="78" type="noConversion"/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8A64-7A66-410A-A439-98F321B70B91}">
  <sheetPr codeName="Sheet15"/>
  <dimension ref="A2:H32"/>
  <sheetViews>
    <sheetView showGridLines="0" workbookViewId="0">
      <selection activeCell="E20" sqref="E20"/>
    </sheetView>
  </sheetViews>
  <sheetFormatPr defaultColWidth="9" defaultRowHeight="13" x14ac:dyDescent="0.3"/>
  <cols>
    <col min="1" max="1" width="9" style="309"/>
    <col min="2" max="2" width="17.4609375" style="309" bestFit="1" customWidth="1"/>
    <col min="3" max="3" width="28.765625" style="309" customWidth="1"/>
    <col min="4" max="4" width="13.765625" style="309" customWidth="1"/>
    <col min="5" max="5" width="11.15234375" style="309" bestFit="1" customWidth="1"/>
    <col min="6" max="6" width="87.61328125" style="309" bestFit="1" customWidth="1"/>
    <col min="7" max="16384" width="9" style="309"/>
  </cols>
  <sheetData>
    <row r="2" spans="1:8" ht="18.5" x14ac:dyDescent="0.45">
      <c r="A2" s="308" t="str">
        <f>Summary!A2</f>
        <v>CHA transformer replacement</v>
      </c>
    </row>
    <row r="4" spans="1:8" ht="19.5" x14ac:dyDescent="0.45">
      <c r="B4" s="310" t="s">
        <v>3</v>
      </c>
    </row>
    <row r="5" spans="1:8" ht="14.5" x14ac:dyDescent="0.35">
      <c r="B5" s="311" t="str">
        <f>'Option1 (base case)'!A3</f>
        <v>OPTION 1 (base case)</v>
      </c>
    </row>
    <row r="6" spans="1:8" x14ac:dyDescent="0.3">
      <c r="C6" s="312"/>
      <c r="D6" s="313"/>
      <c r="E6" s="314" t="s">
        <v>4</v>
      </c>
      <c r="F6" s="315" t="s">
        <v>5</v>
      </c>
    </row>
    <row r="7" spans="1:8" x14ac:dyDescent="0.3">
      <c r="C7" s="316" t="s">
        <v>6</v>
      </c>
      <c r="D7" s="317"/>
      <c r="E7" s="318"/>
      <c r="F7" s="319" t="s">
        <v>7</v>
      </c>
    </row>
    <row r="8" spans="1:8" x14ac:dyDescent="0.3">
      <c r="C8" s="320" t="s">
        <v>8</v>
      </c>
      <c r="D8" s="317"/>
      <c r="E8" s="322" cm="1">
        <f t="array" ref="E8">SUMPRODUCT(((Workings_risks!E11:AC11)*(Consol!$I$5:$AG$5)*(Consol!$I$7:$AG$7)))</f>
        <v>5095275.1641627774</v>
      </c>
      <c r="F8" s="321" t="s">
        <v>353</v>
      </c>
    </row>
    <row r="9" spans="1:8" x14ac:dyDescent="0.3">
      <c r="C9" s="320" t="str">
        <f>'Tx risks'!D17</f>
        <v>Safety Risk</v>
      </c>
      <c r="D9" s="317"/>
      <c r="E9" s="322" cm="1">
        <f t="array" ref="E9">SUMPRODUCT(((Workings_risks!E12:AC12)*(Consol!$I$5:$AG$5)*(Consol!$I$7:$AG$7)))</f>
        <v>10459.191991453983</v>
      </c>
      <c r="F9" s="321" t="s">
        <v>354</v>
      </c>
    </row>
    <row r="10" spans="1:8" x14ac:dyDescent="0.3">
      <c r="C10" s="320" t="str">
        <f>'Tx risks'!D18</f>
        <v>Unplanned Replacement Risk</v>
      </c>
      <c r="D10" s="317"/>
      <c r="E10" s="322" cm="1">
        <f t="array" ref="E10">SUMPRODUCT(((Workings_risks!E13:AC13)*(Consol!$I$5:$AG$5)*(Consol!$I$7:$AG$7)))</f>
        <v>423722.81334257341</v>
      </c>
      <c r="F10" s="321" t="s">
        <v>355</v>
      </c>
    </row>
    <row r="11" spans="1:8" x14ac:dyDescent="0.3">
      <c r="C11" s="320" t="str">
        <f>'Tx risks'!D19</f>
        <v>Unplanned Fault Risk</v>
      </c>
      <c r="D11" s="317"/>
      <c r="E11" s="322" cm="1">
        <f t="array" ref="E11">SUMPRODUCT(((Workings_risks!E14:AC14)*(Consol!$I$5:$AG$5)*(Consol!$I$7:$AG$7)))</f>
        <v>37947.275043836184</v>
      </c>
      <c r="F11" s="321" t="s">
        <v>356</v>
      </c>
    </row>
    <row r="12" spans="1:8" x14ac:dyDescent="0.3">
      <c r="C12" s="320" t="str">
        <f>'Tx risks'!D20</f>
        <v>Unplanned Enviromental Risk</v>
      </c>
      <c r="D12" s="317"/>
      <c r="E12" s="322" cm="1">
        <f t="array" ref="E12">SUMPRODUCT(((Workings_risks!E15:AC15)*(Consol!$I$5:$AG$5)*(Consol!$I$7:$AG$7)))</f>
        <v>2038716.371346158</v>
      </c>
      <c r="F12" s="321" t="s">
        <v>357</v>
      </c>
      <c r="H12" s="323"/>
    </row>
    <row r="13" spans="1:8" x14ac:dyDescent="0.3">
      <c r="A13" s="324"/>
      <c r="C13" s="325" t="s">
        <v>9</v>
      </c>
      <c r="D13" s="326"/>
      <c r="E13" s="327" cm="1">
        <f t="array" ref="E13">SUMPRODUCT(((Workings_risks!E16:AC16)*(Consol!$I$5:$AG$5)*(Consol!$I$7:$AG$7)))*conv_2026</f>
        <v>8417666.6046275795</v>
      </c>
      <c r="F13" s="328" t="s">
        <v>10</v>
      </c>
    </row>
    <row r="15" spans="1:8" ht="19.5" x14ac:dyDescent="0.45">
      <c r="B15" s="310" t="s">
        <v>11</v>
      </c>
      <c r="D15" s="330"/>
      <c r="E15" s="331"/>
      <c r="F15" s="330"/>
    </row>
    <row r="16" spans="1:8" ht="14.5" x14ac:dyDescent="0.35">
      <c r="B16" s="332" t="str">
        <f>preferred</f>
        <v>Option 2</v>
      </c>
      <c r="C16" s="333" t="str">
        <f>Summary!D18</f>
        <v>Replace transformer #2 completed in 2027-2028</v>
      </c>
    </row>
    <row r="17" spans="3:6" x14ac:dyDescent="0.3">
      <c r="C17" s="312"/>
      <c r="D17" s="313"/>
      <c r="E17" s="314" t="s">
        <v>4</v>
      </c>
      <c r="F17" s="315" t="s">
        <v>5</v>
      </c>
    </row>
    <row r="18" spans="3:6" x14ac:dyDescent="0.3">
      <c r="C18" s="316" t="s">
        <v>6</v>
      </c>
      <c r="D18" s="317"/>
      <c r="E18" s="318"/>
      <c r="F18" s="319" t="s">
        <v>7</v>
      </c>
    </row>
    <row r="19" spans="3:6" x14ac:dyDescent="0.3">
      <c r="C19" s="320" t="s">
        <v>8</v>
      </c>
      <c r="D19" s="317"/>
      <c r="E19" s="322" cm="1">
        <f t="array" ref="E19">SUMPRODUCT(((Workings_risks!E23:AC23)*(Consol!$I$5:$AG$5)*(Consol!$I$7:$AG$7)))</f>
        <v>1287023.4945670541</v>
      </c>
      <c r="F19" s="321" t="s">
        <v>358</v>
      </c>
    </row>
    <row r="20" spans="3:6" x14ac:dyDescent="0.3">
      <c r="C20" s="320" t="str">
        <f>'Tx risks'!D39</f>
        <v>Safety Risk</v>
      </c>
      <c r="D20" s="317"/>
      <c r="E20" s="322" cm="1">
        <f t="array" ref="E20">SUMPRODUCT(((Workings_risks!E24:AC24)*(Consol!$I$5:$AG$5)*(Consol!$I$7:$AG$7)))</f>
        <v>5948.4567246731067</v>
      </c>
      <c r="F20" s="321" t="s">
        <v>359</v>
      </c>
    </row>
    <row r="21" spans="3:6" x14ac:dyDescent="0.3">
      <c r="C21" s="320" t="str">
        <f>'Tx risks'!D40</f>
        <v>Unplanned Replacement Risk</v>
      </c>
      <c r="D21" s="317"/>
      <c r="E21" s="322" cm="1">
        <f t="array" ref="E21">SUMPRODUCT(((Workings_risks!E25:AC25)*(Consol!$I$5:$AG$5)*(Consol!$I$7:$AG$7)))</f>
        <v>240983.89440450966</v>
      </c>
      <c r="F21" s="321" t="s">
        <v>360</v>
      </c>
    </row>
    <row r="22" spans="3:6" x14ac:dyDescent="0.3">
      <c r="C22" s="320" t="str">
        <f>'Tx risks'!D41</f>
        <v>Unplanned Fault Risk</v>
      </c>
      <c r="D22" s="317"/>
      <c r="E22" s="322" cm="1">
        <f t="array" ref="E22">SUMPRODUCT(((Workings_risks!E26:AC26)*(Consol!$I$5:$AG$5)*(Consol!$I$7:$AG$7)))</f>
        <v>21581.755416858723</v>
      </c>
      <c r="F22" s="321" t="s">
        <v>361</v>
      </c>
    </row>
    <row r="23" spans="3:6" x14ac:dyDescent="0.3">
      <c r="C23" s="320" t="str">
        <f>'Tx risks'!D42</f>
        <v>Unplanned Enviromental Risk</v>
      </c>
      <c r="D23" s="317"/>
      <c r="E23" s="322" cm="1">
        <f t="array" ref="E23">SUMPRODUCT(((Workings_risks!E27:AC27)*(Consol!$I$5:$AG$5)*(Consol!$I$7:$AG$7)))</f>
        <v>714057.14930661372</v>
      </c>
      <c r="F23" s="321" t="s">
        <v>362</v>
      </c>
    </row>
    <row r="24" spans="3:6" x14ac:dyDescent="0.3">
      <c r="C24" s="334" t="s">
        <v>9</v>
      </c>
      <c r="D24" s="335"/>
      <c r="E24" s="327" cm="1">
        <f t="array" ref="E24">SUMPRODUCT(((Workings_risks!E28:AC28)*(Consol!$I$5:$AG$5)*(Consol!$I$7:$AG$7)))*conv_2026</f>
        <v>2511752.3635362657</v>
      </c>
      <c r="F24" s="328" t="s">
        <v>10</v>
      </c>
    </row>
    <row r="25" spans="3:6" x14ac:dyDescent="0.3">
      <c r="C25" s="336" t="s">
        <v>12</v>
      </c>
      <c r="D25" s="317"/>
      <c r="E25" s="321"/>
      <c r="F25" s="321"/>
    </row>
    <row r="26" spans="3:6" x14ac:dyDescent="0.3">
      <c r="C26" s="320" t="s">
        <v>13</v>
      </c>
      <c r="D26" s="317"/>
      <c r="E26" s="322">
        <f>E13-E24</f>
        <v>5905914.2410913138</v>
      </c>
      <c r="F26" s="321" t="s">
        <v>14</v>
      </c>
    </row>
    <row r="27" spans="3:6" x14ac:dyDescent="0.3">
      <c r="C27" s="337" t="s">
        <v>15</v>
      </c>
      <c r="D27" s="338" t="s">
        <v>16</v>
      </c>
      <c r="E27" s="339">
        <f>E26</f>
        <v>5905914.2410913138</v>
      </c>
      <c r="F27" s="328"/>
    </row>
    <row r="28" spans="3:6" x14ac:dyDescent="0.3">
      <c r="C28" s="336" t="s">
        <v>17</v>
      </c>
      <c r="D28" s="329"/>
      <c r="E28" s="340"/>
      <c r="F28" s="319" t="s">
        <v>7</v>
      </c>
    </row>
    <row r="29" spans="3:6" x14ac:dyDescent="0.3">
      <c r="C29" s="320" t="str">
        <f>Option2!C72</f>
        <v>Replace 1 transformer</v>
      </c>
      <c r="D29" s="317"/>
      <c r="E29" s="321" cm="1">
        <f t="array" ref="E29">SUMPRODUCT((Option2!I77:AG77)*(Consol!I5:AG5)*(Consol!$I$7:$AG$7))</f>
        <v>-3424642.4814715888</v>
      </c>
      <c r="F29" s="321" t="s">
        <v>18</v>
      </c>
    </row>
    <row r="30" spans="3:6" x14ac:dyDescent="0.3">
      <c r="C30" s="337" t="s">
        <v>19</v>
      </c>
      <c r="D30" s="338" t="s">
        <v>20</v>
      </c>
      <c r="E30" s="341">
        <f>SUM(E29:E29)*conv_2026</f>
        <v>-3790039.5414257329</v>
      </c>
      <c r="F30" s="328"/>
    </row>
    <row r="31" spans="3:6" x14ac:dyDescent="0.3">
      <c r="C31" s="342" t="s">
        <v>21</v>
      </c>
      <c r="D31" s="343" t="s">
        <v>22</v>
      </c>
      <c r="E31" s="344">
        <f>E27+E30</f>
        <v>2115874.6996655809</v>
      </c>
      <c r="F31" s="328"/>
    </row>
    <row r="32" spans="3:6" x14ac:dyDescent="0.3">
      <c r="C32" s="345"/>
      <c r="D32" s="346"/>
      <c r="E32" s="347"/>
      <c r="F32" s="34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workbookViewId="0">
      <selection activeCell="I10" sqref="I10"/>
    </sheetView>
  </sheetViews>
  <sheetFormatPr defaultColWidth="0" defaultRowHeight="12" zeroHeight="1" x14ac:dyDescent="0.3"/>
  <cols>
    <col min="1" max="1" width="1.84375" style="8" customWidth="1"/>
    <col min="2" max="2" width="2" style="8" customWidth="1"/>
    <col min="3" max="3" width="21.61328125" style="8" customWidth="1"/>
    <col min="4" max="4" width="34.61328125" style="8" customWidth="1"/>
    <col min="5" max="5" width="15.23046875" style="8" customWidth="1"/>
    <col min="6" max="9" width="13.15234375" style="8" customWidth="1"/>
    <col min="10" max="10" width="11.765625" style="8" customWidth="1"/>
    <col min="11" max="11" width="1.765625" style="8" customWidth="1"/>
    <col min="12" max="12" width="14.61328125" style="8" customWidth="1"/>
    <col min="13" max="13" width="2.23046875" style="8" customWidth="1"/>
    <col min="14" max="14" width="8.765625" style="8" hidden="1" customWidth="1"/>
    <col min="15" max="16384" width="9" style="8" hidden="1"/>
  </cols>
  <sheetData>
    <row r="1" spans="1:1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5" x14ac:dyDescent="0.45">
      <c r="A2" s="50" t="str">
        <f>proj</f>
        <v>CHA transformer replacement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5" x14ac:dyDescent="0.45">
      <c r="A3" s="178" t="s">
        <v>23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5" x14ac:dyDescent="0.45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4.5" x14ac:dyDescent="0.35">
      <c r="A5" s="17" t="s">
        <v>24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3" x14ac:dyDescent="0.3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3" x14ac:dyDescent="0.3">
      <c r="G7" s="131" t="s">
        <v>25</v>
      </c>
      <c r="H7" s="131" t="s">
        <v>26</v>
      </c>
      <c r="I7" s="131" t="s">
        <v>22</v>
      </c>
    </row>
    <row r="8" spans="1:13" s="2" customFormat="1" ht="13" x14ac:dyDescent="0.3">
      <c r="C8" s="26" t="s">
        <v>27</v>
      </c>
      <c r="D8" s="26"/>
      <c r="E8" s="26"/>
      <c r="F8" s="26"/>
      <c r="G8" s="160">
        <f>output_dollars</f>
        <v>46203</v>
      </c>
      <c r="H8" s="160">
        <f>output_dollars</f>
        <v>46203</v>
      </c>
      <c r="I8" s="160">
        <f>output_dollars</f>
        <v>46203</v>
      </c>
    </row>
    <row r="9" spans="1:13" s="2" customFormat="1" ht="13.5" x14ac:dyDescent="0.3">
      <c r="C9" s="65" t="str" cm="1">
        <f t="array" ref="C9:C13">options</f>
        <v>Option 1 (base case)</v>
      </c>
      <c r="D9" s="384" t="str">
        <f>INDEX(Assumptions!$E$14:$E$18, MATCH(C9, Assumptions!$C$14:$C$18,0))</f>
        <v>No change to existing practices</v>
      </c>
      <c r="E9" s="385"/>
      <c r="F9" s="385"/>
      <c r="G9" s="91">
        <f>IF(Data!$C9, "", INDEX(Consol!$F$15:$F$82, MATCH($C9&amp;G$7, Consol!$D$15:$D$82,0))/mill_conv)</f>
        <v>0</v>
      </c>
      <c r="H9" s="91">
        <f>IF(Data!$C9, "", INDEX(Consol!$F$15:$F$82, MATCH($C9&amp;H$7, Consol!$D$15:$D$82,0))/mill_conv)</f>
        <v>0</v>
      </c>
      <c r="I9" s="91">
        <f>IF(Data!$C9, "", INDEX(Consol!$F$15:$F$82, MATCH($C9&amp;I$7, Consol!$D$15:$D$82,0))/mill_conv)</f>
        <v>0</v>
      </c>
    </row>
    <row r="10" spans="1:13" s="2" customFormat="1" ht="12.75" customHeight="1" x14ac:dyDescent="0.3">
      <c r="C10" s="65" t="str">
        <v>Option 2</v>
      </c>
      <c r="D10" s="386" t="str">
        <f>INDEX(Assumptions!$E$14:$E$18, MATCH(C10, Assumptions!$C$14:$C$18,0))</f>
        <v>Replace transformer #2 completed in 2027-2028</v>
      </c>
      <c r="E10" s="387"/>
      <c r="F10" s="387"/>
      <c r="G10" s="91">
        <f>IF(Data!$C10, "", INDEX(Consol!$F$15:$F$82, MATCH($C10&amp;G$7, Consol!$D$15:$D$82,0))/mill_conv)</f>
        <v>-3.7900395414257324</v>
      </c>
      <c r="H10" s="91">
        <f>IF(Data!$C10, "", INDEX(Consol!$F$15:$F$82, MATCH($C10&amp;H$7, Consol!$D$15:$D$82,0))/mill_conv)</f>
        <v>5.9059142410913177</v>
      </c>
      <c r="I10" s="91">
        <f>IF(Data!$C10, "", INDEX(Consol!$F$15:$F$82, MATCH($C10&amp;I$7, Consol!$D$15:$D$82,0))/mill_conv)</f>
        <v>2.1158746996655835</v>
      </c>
    </row>
    <row r="11" spans="1:13" s="2" customFormat="1" ht="13.5" x14ac:dyDescent="0.3">
      <c r="C11" s="65" t="str">
        <v>Option 3</v>
      </c>
      <c r="D11" s="386" t="str">
        <f>INDEX(Assumptions!$E$14:$E$18, MATCH(C11, Assumptions!$C$14:$C$18,0))</f>
        <v>Refurb transformer #2 completed in 2026-2027</v>
      </c>
      <c r="E11" s="387"/>
      <c r="F11" s="387"/>
      <c r="G11" s="91">
        <f>IF(Data!$C11, "", INDEX(Consol!$F$15:$F$82, MATCH($C11&amp;G$7, Consol!$D$15:$D$82,0))/mill_conv)</f>
        <v>-0.67108454795584116</v>
      </c>
      <c r="H11" s="91">
        <f>IF(Data!$C11, "", INDEX(Consol!$F$15:$F$82, MATCH($C11&amp;H$7, Consol!$D$15:$D$82,0))/mill_conv)</f>
        <v>1.711226591817528</v>
      </c>
      <c r="I11" s="91">
        <f>IF(Data!$C11, "", INDEX(Consol!$F$15:$F$82, MATCH($C11&amp;I$7, Consol!$D$15:$D$82,0))/mill_conv)</f>
        <v>1.0401420438616868</v>
      </c>
    </row>
    <row r="12" spans="1:13" s="2" customFormat="1" ht="13.5" x14ac:dyDescent="0.3">
      <c r="C12" s="65" t="str">
        <v>Option 4</v>
      </c>
      <c r="D12" s="386" t="str">
        <f>INDEX(Assumptions!$E$14:$E$18, MATCH(C12, Assumptions!$C$14:$C$18,0))</f>
        <v>Make site emergency spare ready in 2026-2027</v>
      </c>
      <c r="E12" s="387"/>
      <c r="F12" s="387"/>
      <c r="G12" s="91">
        <f>IF(Data!$C12, "", INDEX(Consol!$F$15:$F$82, MATCH($C12&amp;G$7, Consol!$D$15:$D$82,0))/mill_conv)</f>
        <v>-2.0987132472974759</v>
      </c>
      <c r="H12" s="91">
        <f>IF(Data!$C12, "", INDEX(Consol!$F$15:$F$82, MATCH($C12&amp;H$7, Consol!$D$15:$D$82,0))/mill_conv)</f>
        <v>3.9977505806845799</v>
      </c>
      <c r="I12" s="91">
        <f>IF(Data!$C12, "", INDEX(Consol!$F$15:$F$82, MATCH($C12&amp;I$7, Consol!$D$15:$D$82,0))/mill_conv)</f>
        <v>1.8990373333871036</v>
      </c>
    </row>
    <row r="13" spans="1:13" s="2" customFormat="1" ht="13.5" x14ac:dyDescent="0.3">
      <c r="C13" s="65" t="str">
        <v>Option 5</v>
      </c>
      <c r="D13" s="386">
        <f>INDEX(Assumptions!$E$14:$E$18, MATCH(C13, Assumptions!$C$14:$C$18,0))</f>
        <v>0</v>
      </c>
      <c r="E13" s="387"/>
      <c r="F13" s="387"/>
      <c r="G13" s="91" t="str">
        <f>IF(Data!$C13, "", INDEX(Consol!$F$15:$F$82, MATCH($C13&amp;G$7, Consol!$D$15:$D$82,0))/mill_conv)</f>
        <v/>
      </c>
      <c r="H13" s="91" t="str">
        <f>IF(Data!$C13, "", INDEX(Consol!$F$15:$F$82, MATCH($C13&amp;H$7, Consol!$D$15:$D$82,0))/mill_conv)</f>
        <v/>
      </c>
      <c r="I13" s="91" t="str">
        <f>IF(Data!$C13, "", INDEX(Consol!$F$15:$F$82, MATCH($C13&amp;I$7, Consol!$D$15:$D$82,0))/mill_conv)</f>
        <v/>
      </c>
    </row>
    <row r="14" spans="1:13" s="2" customFormat="1" ht="13" x14ac:dyDescent="0.3">
      <c r="C14" s="65"/>
      <c r="D14" s="65"/>
      <c r="E14" s="65"/>
      <c r="F14" s="80"/>
      <c r="H14" s="7"/>
    </row>
    <row r="15" spans="1:13" s="2" customFormat="1" ht="13.5" x14ac:dyDescent="0.3">
      <c r="C15" s="65"/>
      <c r="D15" s="65"/>
      <c r="E15" s="65"/>
      <c r="F15" s="80"/>
      <c r="G15"/>
      <c r="I15" s="7"/>
    </row>
    <row r="16" spans="1:13" s="2" customFormat="1" ht="13.5" x14ac:dyDescent="0.3">
      <c r="G16" s="131" t="s">
        <v>22</v>
      </c>
      <c r="H16"/>
      <c r="J16" s="7"/>
    </row>
    <row r="17" spans="1:13" s="2" customFormat="1" ht="13.5" x14ac:dyDescent="0.3">
      <c r="C17" s="24" t="s">
        <v>28</v>
      </c>
      <c r="D17" s="26"/>
      <c r="E17" s="26"/>
      <c r="F17" s="26"/>
      <c r="G17" s="160">
        <f>output_dollars</f>
        <v>46203</v>
      </c>
      <c r="H17"/>
      <c r="J17" s="7"/>
    </row>
    <row r="18" spans="1:13" s="2" customFormat="1" ht="13.5" x14ac:dyDescent="0.3">
      <c r="C18" s="32" t="str">
        <f>INDEX($C$9:$C$13,MATCH(G18, $I$9:$I$13,0))</f>
        <v>Option 2</v>
      </c>
      <c r="D18" s="383" t="str">
        <f>INDEX($D$9:$D$13,MATCH(G18, $I$9:$I$13,0))</f>
        <v>Replace transformer #2 completed in 2027-2028</v>
      </c>
      <c r="E18" s="383"/>
      <c r="F18" s="383"/>
      <c r="G18" s="92">
        <f>_xlfn.MAXIFS(I9:I13, IF(compliance, Data!$F$9:$F$13, Data!$C$9:$C$13),FALSE)</f>
        <v>2.1158746996655835</v>
      </c>
      <c r="H18"/>
    </row>
    <row r="19" spans="1:13" s="2" customFormat="1" ht="13.5" x14ac:dyDescent="0.3">
      <c r="H19"/>
    </row>
    <row r="20" spans="1:13" x14ac:dyDescent="0.3"/>
    <row r="21" spans="1:13" x14ac:dyDescent="0.3"/>
    <row r="22" spans="1:13" x14ac:dyDescent="0.3"/>
    <row r="23" spans="1:13" ht="14.5" x14ac:dyDescent="0.35">
      <c r="A23" s="17" t="s">
        <v>29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3"/>
    <row r="25" spans="1:13" s="6" customFormat="1" ht="13" x14ac:dyDescent="0.3">
      <c r="C25" s="12" t="s">
        <v>11</v>
      </c>
    </row>
    <row r="26" spans="1:13" s="6" customFormat="1" ht="13" x14ac:dyDescent="0.3">
      <c r="C26" s="81" t="str">
        <f>C18</f>
        <v>Option 2</v>
      </c>
    </row>
    <row r="27" spans="1:13" s="6" customFormat="1" ht="13" x14ac:dyDescent="0.3"/>
    <row r="28" spans="1:13" s="6" customFormat="1" ht="13" x14ac:dyDescent="0.3"/>
    <row r="29" spans="1:13" s="6" customFormat="1" ht="13" x14ac:dyDescent="0.3">
      <c r="C29" s="47" t="s">
        <v>30</v>
      </c>
      <c r="D29" s="244">
        <f>output_dollars</f>
        <v>46203</v>
      </c>
      <c r="E29" s="161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31</v>
      </c>
    </row>
    <row r="30" spans="1:13" s="6" customFormat="1" ht="13" x14ac:dyDescent="0.3">
      <c r="C30" s="4" t="s">
        <v>32</v>
      </c>
      <c r="F30" s="93">
        <f>-INDEX(Consol!$I$15:$Q$82,MATCH($C$26&amp;$C30,Consol!$D$15:$D$82,0), MATCH(F$29, Consol!$I$9:$Q$9,0))/mill_conv</f>
        <v>4.5036132676269851</v>
      </c>
      <c r="G30" s="93">
        <f>-INDEX(Consol!$I$15:$Q$82,MATCH($C$26&amp;$C30,Consol!$D$15:$D$82,0), MATCH(G$29, Consol!$I$9:$Q$9,0))/mill_conv</f>
        <v>2.2518066338134926</v>
      </c>
      <c r="H30" s="93">
        <f>-INDEX(Consol!$I$15:$Q$82,MATCH($C$26&amp;$C30,Consol!$D$15:$D$82,0), MATCH(H$29, Consol!$I$9:$Q$9,0))/mill_conv</f>
        <v>0</v>
      </c>
      <c r="I30" s="93">
        <f>-INDEX(Consol!$I$15:$Q$82,MATCH($C$26&amp;$C30,Consol!$D$15:$D$82,0), MATCH(I$29, Consol!$I$9:$Q$9,0))/mill_conv</f>
        <v>0</v>
      </c>
      <c r="J30" s="93">
        <f>-INDEX(Consol!$I$15:$Q$82,MATCH($C$26&amp;$C30,Consol!$D$15:$D$82,0), MATCH(J$29, Consol!$I$9:$Q$9,0))/mill_conv</f>
        <v>0</v>
      </c>
      <c r="K30" s="162"/>
      <c r="L30" s="162">
        <f>SUM(F30:J30)</f>
        <v>6.7554199014404777</v>
      </c>
    </row>
    <row r="31" spans="1:13" s="6" customFormat="1" ht="13" x14ac:dyDescent="0.3">
      <c r="C31" s="4" t="s">
        <v>33</v>
      </c>
      <c r="D31" s="10"/>
      <c r="E31" s="10"/>
      <c r="F31" s="93">
        <f>-INDEX(Consol!$I$15:$Q$82,MATCH($C$26&amp;$C31,Consol!$D$15:$D$82,0), MATCH(F$29, Consol!$I$9:$Q$9,0))/mill_conv</f>
        <v>0</v>
      </c>
      <c r="G31" s="93">
        <f>-INDEX(Consol!$I$15:$Q$82,MATCH($C$26&amp;$C31,Consol!$D$15:$D$82,0), MATCH(G$29, Consol!$I$9:$Q$9,0))/mill_conv</f>
        <v>0</v>
      </c>
      <c r="H31" s="93">
        <f>-INDEX(Consol!$I$15:$Q$82,MATCH($C$26&amp;$C31,Consol!$D$15:$D$82,0), MATCH(H$29, Consol!$I$9:$Q$9,0))/mill_conv</f>
        <v>0</v>
      </c>
      <c r="I31" s="93">
        <f>-INDEX(Consol!$I$15:$Q$82,MATCH($C$26&amp;$C31,Consol!$D$15:$D$82,0), MATCH(I$29, Consol!$I$9:$Q$9,0))/mill_conv</f>
        <v>0</v>
      </c>
      <c r="J31" s="93">
        <f>-INDEX(Consol!$I$15:$Q$82,MATCH($C$26&amp;$C31,Consol!$D$15:$D$82,0), MATCH(J$29, Consol!$I$9:$Q$9,0))/mill_conv</f>
        <v>0</v>
      </c>
      <c r="K31" s="162"/>
      <c r="L31" s="162">
        <f>SUM(F31:J31)</f>
        <v>0</v>
      </c>
    </row>
    <row r="32" spans="1:13" s="6" customFormat="1" ht="13" x14ac:dyDescent="0.3"/>
    <row r="33" spans="1:12" s="6" customFormat="1" ht="13" x14ac:dyDescent="0.3"/>
    <row r="34" spans="1:12" s="6" customFormat="1" ht="13" x14ac:dyDescent="0.3"/>
    <row r="35" spans="1:12" s="6" customFormat="1" ht="14.5" x14ac:dyDescent="0.35">
      <c r="A35" s="17" t="s">
        <v>34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3" x14ac:dyDescent="0.3"/>
    <row r="37" spans="1:12" s="6" customFormat="1" ht="13" x14ac:dyDescent="0.3">
      <c r="C37" s="6" t="s">
        <v>35</v>
      </c>
      <c r="D37" s="10"/>
      <c r="E37" s="10"/>
      <c r="F37" s="274" t="s">
        <v>36</v>
      </c>
    </row>
    <row r="38" spans="1:12" s="6" customFormat="1" ht="13" x14ac:dyDescent="0.3"/>
    <row r="39" spans="1:12" s="6" customFormat="1" ht="13" x14ac:dyDescent="0.3"/>
    <row r="40" spans="1:12" s="6" customFormat="1" ht="13" x14ac:dyDescent="0.3"/>
    <row r="41" spans="1:12" s="6" customFormat="1" ht="13" x14ac:dyDescent="0.3"/>
    <row r="42" spans="1:12" s="6" customFormat="1" ht="13" x14ac:dyDescent="0.3"/>
    <row r="43" spans="1:12" s="6" customFormat="1" ht="13" x14ac:dyDescent="0.3"/>
    <row r="44" spans="1:12" s="6" customFormat="1" ht="13" x14ac:dyDescent="0.3"/>
    <row r="45" spans="1:12" s="6" customFormat="1" ht="13" x14ac:dyDescent="0.3"/>
    <row r="46" spans="1:12" s="6" customFormat="1" ht="13" x14ac:dyDescent="0.3"/>
    <row r="47" spans="1:12" s="6" customFormat="1" ht="13" x14ac:dyDescent="0.3"/>
    <row r="48" spans="1:12" s="6" customFormat="1" ht="13" x14ac:dyDescent="0.3"/>
    <row r="49" spans="1:12" s="6" customFormat="1" ht="13" x14ac:dyDescent="0.3"/>
    <row r="50" spans="1:12" s="6" customFormat="1" ht="13" x14ac:dyDescent="0.3"/>
    <row r="51" spans="1:12" s="6" customFormat="1" ht="13" x14ac:dyDescent="0.3"/>
    <row r="52" spans="1:12" s="6" customFormat="1" ht="13" x14ac:dyDescent="0.3"/>
    <row r="53" spans="1:12" s="6" customFormat="1" ht="13" x14ac:dyDescent="0.3"/>
    <row r="54" spans="1:12" s="6" customFormat="1" ht="13" x14ac:dyDescent="0.3"/>
    <row r="55" spans="1:12" s="6" customFormat="1" ht="13" x14ac:dyDescent="0.3"/>
    <row r="56" spans="1:12" s="6" customFormat="1" ht="13" x14ac:dyDescent="0.3"/>
    <row r="57" spans="1:12" s="6" customFormat="1" ht="13" x14ac:dyDescent="0.3"/>
    <row r="58" spans="1:12" s="6" customFormat="1" ht="13" x14ac:dyDescent="0.3"/>
    <row r="59" spans="1:12" s="6" customFormat="1" ht="13" x14ac:dyDescent="0.3"/>
    <row r="60" spans="1:12" s="6" customFormat="1" ht="13" x14ac:dyDescent="0.3"/>
    <row r="61" spans="1:12" s="6" customFormat="1" ht="13" x14ac:dyDescent="0.3"/>
    <row r="62" spans="1:12" s="6" customFormat="1" ht="13" x14ac:dyDescent="0.3"/>
    <row r="63" spans="1:12" s="6" customFormat="1" ht="14.5" x14ac:dyDescent="0.35">
      <c r="A63" s="17" t="s">
        <v>37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3" x14ac:dyDescent="0.3"/>
    <row r="65" spans="3:13" s="6" customFormat="1" ht="13" x14ac:dyDescent="0.3"/>
    <row r="66" spans="3:13" s="6" customFormat="1" ht="13" x14ac:dyDescent="0.3">
      <c r="C66" s="47" t="s">
        <v>38</v>
      </c>
      <c r="D66" s="161">
        <f>output_dollars</f>
        <v>46203</v>
      </c>
      <c r="E66" s="161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7"/>
      <c r="L66" s="136" t="s">
        <v>39</v>
      </c>
      <c r="M66" s="227"/>
    </row>
    <row r="67" spans="3:13" s="6" customFormat="1" ht="13" x14ac:dyDescent="0.3">
      <c r="C67" s="241" t="str">
        <f>Sensitivity_calcs!B90</f>
        <v>None</v>
      </c>
      <c r="D67" s="229"/>
      <c r="E67" s="229"/>
      <c r="F67" s="242">
        <f>Sensitivity_calcs!C90</f>
        <v>0</v>
      </c>
      <c r="G67" s="242">
        <f>Sensitivity_calcs!D90</f>
        <v>2.1158746996655835</v>
      </c>
      <c r="H67" s="242">
        <f>Sensitivity_calcs!E90</f>
        <v>1.0401420438616866</v>
      </c>
      <c r="I67" s="242">
        <f>Sensitivity_calcs!F90</f>
        <v>1.8990373333871036</v>
      </c>
      <c r="J67" s="242" t="str">
        <f>Sensitivity_calcs!G90</f>
        <v/>
      </c>
      <c r="L67" s="243" t="str">
        <f>Sensitivity_calcs!K90</f>
        <v>Option 2</v>
      </c>
    </row>
    <row r="68" spans="3:13" s="6" customFormat="1" ht="13" x14ac:dyDescent="0.3">
      <c r="C68" s="228" t="str">
        <f>Sensitivity_calcs!B91</f>
        <v>Capex 10% higher</v>
      </c>
      <c r="D68" s="228"/>
      <c r="E68" s="228"/>
      <c r="F68" s="237">
        <f>Sensitivity_calcs!C91</f>
        <v>0</v>
      </c>
      <c r="G68" s="232">
        <f>Sensitivity_calcs!D91</f>
        <v>1.7368707455230099</v>
      </c>
      <c r="H68" s="232">
        <f>Sensitivity_calcs!E91</f>
        <v>0.97303358906610271</v>
      </c>
      <c r="I68" s="232">
        <f>Sensitivity_calcs!F91</f>
        <v>1.6891660086573563</v>
      </c>
      <c r="J68" s="232" t="str">
        <f>Sensitivity_calcs!G91</f>
        <v/>
      </c>
      <c r="L68" s="238" t="str">
        <f>Sensitivity_calcs!K91</f>
        <v>Option 2</v>
      </c>
    </row>
    <row r="69" spans="3:13" s="6" customFormat="1" ht="13" x14ac:dyDescent="0.3">
      <c r="C69" s="228" t="str">
        <f>Sensitivity_calcs!B92</f>
        <v>Capex 10% lower</v>
      </c>
      <c r="D69" s="228"/>
      <c r="E69" s="228"/>
      <c r="F69" s="93">
        <f>Sensitivity_calcs!C92</f>
        <v>0</v>
      </c>
      <c r="G69" s="233">
        <f>Sensitivity_calcs!D92</f>
        <v>2.4948786538081564</v>
      </c>
      <c r="H69" s="233">
        <f>Sensitivity_calcs!E92</f>
        <v>1.1072504986572711</v>
      </c>
      <c r="I69" s="233">
        <f>Sensitivity_calcs!F92</f>
        <v>2.1089086581168508</v>
      </c>
      <c r="J69" s="233" t="str">
        <f>Sensitivity_calcs!G92</f>
        <v/>
      </c>
      <c r="L69" s="238" t="str">
        <f>Sensitivity_calcs!K92</f>
        <v>Option 2</v>
      </c>
    </row>
    <row r="70" spans="3:13" s="6" customFormat="1" ht="13" x14ac:dyDescent="0.3">
      <c r="C70" s="228" t="str">
        <f>Sensitivity_calcs!B93</f>
        <v>Total benefits 10% higher</v>
      </c>
      <c r="D70" s="228"/>
      <c r="E70" s="228"/>
      <c r="F70" s="93">
        <f>Sensitivity_calcs!C93</f>
        <v>0</v>
      </c>
      <c r="G70" s="233">
        <f>Sensitivity_calcs!D93</f>
        <v>2.7064661237747152</v>
      </c>
      <c r="H70" s="233">
        <f>Sensitivity_calcs!E93</f>
        <v>1.2112647030434398</v>
      </c>
      <c r="I70" s="233">
        <f>Sensitivity_calcs!F93</f>
        <v>2.2988123914555625</v>
      </c>
      <c r="J70" s="233" t="str">
        <f>Sensitivity_calcs!G93</f>
        <v/>
      </c>
      <c r="L70" s="238" t="str">
        <f>Sensitivity_calcs!K93</f>
        <v>Option 2</v>
      </c>
    </row>
    <row r="71" spans="3:13" s="6" customFormat="1" ht="13" x14ac:dyDescent="0.3">
      <c r="C71" s="228" t="str">
        <f>Sensitivity_calcs!B94</f>
        <v>Total benefits 10% lower</v>
      </c>
      <c r="D71" s="228"/>
      <c r="E71" s="228"/>
      <c r="F71" s="93">
        <f>Sensitivity_calcs!C94</f>
        <v>0</v>
      </c>
      <c r="G71" s="233">
        <f>Sensitivity_calcs!D94</f>
        <v>1.5252832755564516</v>
      </c>
      <c r="H71" s="233">
        <f>Sensitivity_calcs!E94</f>
        <v>0.869019384679934</v>
      </c>
      <c r="I71" s="233">
        <f>Sensitivity_calcs!F94</f>
        <v>1.499262275318646</v>
      </c>
      <c r="J71" s="233" t="str">
        <f>Sensitivity_calcs!G94</f>
        <v/>
      </c>
      <c r="L71" s="238" t="str">
        <f>Sensitivity_calcs!K94</f>
        <v>Option 2</v>
      </c>
    </row>
    <row r="72" spans="3:13" s="6" customFormat="1" ht="13" x14ac:dyDescent="0.3">
      <c r="C72" s="228" t="str">
        <f>Sensitivity_calcs!B95</f>
        <v>Capex 10% higher &amp; Total benefits 10% lower</v>
      </c>
      <c r="D72" s="228"/>
      <c r="E72" s="228"/>
      <c r="F72" s="93">
        <f>Sensitivity_calcs!C95</f>
        <v>0</v>
      </c>
      <c r="G72" s="233">
        <f>Sensitivity_calcs!D95</f>
        <v>1.1462793214138787</v>
      </c>
      <c r="H72" s="233">
        <f>Sensitivity_calcs!E95</f>
        <v>0.8019109298843502</v>
      </c>
      <c r="I72" s="233">
        <f>Sensitivity_calcs!F95</f>
        <v>1.2893909505888985</v>
      </c>
      <c r="J72" s="233" t="str">
        <f>Sensitivity_calcs!G95</f>
        <v/>
      </c>
      <c r="L72" s="238" t="str">
        <f>Sensitivity_calcs!K95</f>
        <v>Option 4</v>
      </c>
    </row>
    <row r="73" spans="3:13" s="6" customFormat="1" ht="13" x14ac:dyDescent="0.3">
      <c r="C73" s="228">
        <f>Sensitivity_calcs!B96</f>
        <v>0</v>
      </c>
      <c r="D73" s="228"/>
      <c r="E73" s="228"/>
      <c r="F73" s="93" t="str">
        <f>Sensitivity_calcs!C96</f>
        <v/>
      </c>
      <c r="G73" s="233" t="str">
        <f>Sensitivity_calcs!D96</f>
        <v/>
      </c>
      <c r="H73" s="233" t="str">
        <f>Sensitivity_calcs!E96</f>
        <v/>
      </c>
      <c r="I73" s="233" t="str">
        <f>Sensitivity_calcs!F96</f>
        <v/>
      </c>
      <c r="J73" s="233" t="str">
        <f>Sensitivity_calcs!G96</f>
        <v/>
      </c>
      <c r="L73" s="238" t="str">
        <f>Sensitivity_calcs!K96</f>
        <v/>
      </c>
    </row>
    <row r="74" spans="3:13" s="6" customFormat="1" ht="13" x14ac:dyDescent="0.3">
      <c r="C74" s="228">
        <f>Sensitivity_calcs!B97</f>
        <v>0</v>
      </c>
      <c r="D74" s="12"/>
      <c r="E74" s="12"/>
      <c r="F74" s="93" t="str">
        <f>Sensitivity_calcs!C97</f>
        <v/>
      </c>
      <c r="G74" s="233" t="str">
        <f>Sensitivity_calcs!D97</f>
        <v/>
      </c>
      <c r="H74" s="233" t="str">
        <f>Sensitivity_calcs!E97</f>
        <v/>
      </c>
      <c r="I74" s="233" t="str">
        <f>Sensitivity_calcs!F97</f>
        <v/>
      </c>
      <c r="J74" s="233" t="str">
        <f>Sensitivity_calcs!G97</f>
        <v/>
      </c>
      <c r="K74" s="230">
        <f>IF(C74=0,0, INDEX($F$66:$J$66, MATCH(MAX($F74:$I74),$F74:$I74,0)))</f>
        <v>0</v>
      </c>
      <c r="L74" s="238" t="str">
        <f>Sensitivity_calcs!K97</f>
        <v/>
      </c>
    </row>
    <row r="75" spans="3:13" s="6" customFormat="1" ht="13" x14ac:dyDescent="0.3">
      <c r="D75" s="228">
        <f>Sensitivity_calcs!B98</f>
        <v>0</v>
      </c>
      <c r="E75" s="228"/>
      <c r="F75" s="93" t="str">
        <f>Sensitivity_calcs!C98</f>
        <v/>
      </c>
      <c r="G75" s="233" t="str">
        <f>Sensitivity_calcs!D98</f>
        <v/>
      </c>
      <c r="H75" s="233" t="str">
        <f>Sensitivity_calcs!E98</f>
        <v/>
      </c>
      <c r="I75" s="233" t="str">
        <f>Sensitivity_calcs!F98</f>
        <v/>
      </c>
      <c r="J75" s="233" t="str">
        <f>Sensitivity_calcs!G98</f>
        <v/>
      </c>
      <c r="L75" s="238" t="str">
        <f>Sensitivity_calcs!K98</f>
        <v/>
      </c>
    </row>
    <row r="76" spans="3:13" s="6" customFormat="1" ht="13" x14ac:dyDescent="0.3">
      <c r="D76" s="228">
        <f>Sensitivity_calcs!B99</f>
        <v>0</v>
      </c>
      <c r="E76" s="228"/>
      <c r="F76" s="162"/>
      <c r="G76" s="93"/>
      <c r="H76" s="93"/>
      <c r="I76" s="93"/>
      <c r="J76" s="93"/>
    </row>
    <row r="77" spans="3:13" s="6" customFormat="1" ht="13" x14ac:dyDescent="0.3">
      <c r="G77" s="93"/>
      <c r="H77" s="93"/>
      <c r="I77" s="93"/>
      <c r="J77" s="93"/>
    </row>
    <row r="78" spans="3:13" s="6" customFormat="1" ht="13" x14ac:dyDescent="0.3"/>
    <row r="79" spans="3:13" s="6" customFormat="1" ht="13" x14ac:dyDescent="0.3"/>
    <row r="80" spans="3:13" s="6" customFormat="1" ht="13" x14ac:dyDescent="0.3"/>
    <row r="81" spans="4:6" s="6" customFormat="1" ht="13" x14ac:dyDescent="0.3">
      <c r="D81" s="216"/>
      <c r="E81" s="216"/>
      <c r="F81" s="216"/>
    </row>
    <row r="82" spans="4:6" s="6" customFormat="1" ht="13" x14ac:dyDescent="0.3">
      <c r="D82" s="216"/>
      <c r="E82" s="216"/>
      <c r="F82" s="216"/>
    </row>
    <row r="83" spans="4:6" s="6" customFormat="1" ht="13" hidden="1" x14ac:dyDescent="0.3">
      <c r="D83" s="216"/>
      <c r="E83" s="216"/>
      <c r="F83" s="216"/>
    </row>
    <row r="84" spans="4:6" s="6" customFormat="1" ht="13" hidden="1" x14ac:dyDescent="0.3"/>
    <row r="85" spans="4:6" s="6" customFormat="1" ht="13" hidden="1" x14ac:dyDescent="0.3"/>
    <row r="86" spans="4:6" s="6" customFormat="1" ht="13" hidden="1" x14ac:dyDescent="0.3"/>
    <row r="87" spans="4:6" s="6" customFormat="1" ht="13" hidden="1" x14ac:dyDescent="0.3"/>
    <row r="88" spans="4:6" s="6" customFormat="1" ht="13" hidden="1" x14ac:dyDescent="0.3"/>
    <row r="89" spans="4:6" s="6" customFormat="1" ht="13" hidden="1" x14ac:dyDescent="0.3"/>
    <row r="90" spans="4:6" s="6" customFormat="1" ht="13" hidden="1" x14ac:dyDescent="0.3"/>
    <row r="91" spans="4:6" s="6" customFormat="1" ht="13" hidden="1" x14ac:dyDescent="0.3"/>
    <row r="92" spans="4:6" s="6" customFormat="1" ht="13" hidden="1" x14ac:dyDescent="0.3"/>
    <row r="93" spans="4:6" s="6" customFormat="1" ht="13" hidden="1" x14ac:dyDescent="0.3"/>
    <row r="94" spans="4:6" s="6" customFormat="1" ht="13" hidden="1" x14ac:dyDescent="0.3"/>
    <row r="95" spans="4:6" s="6" customFormat="1" ht="13" hidden="1" x14ac:dyDescent="0.3"/>
    <row r="96" spans="4:6" s="6" customFormat="1" ht="13" hidden="1" x14ac:dyDescent="0.3"/>
    <row r="97" s="6" customFormat="1" ht="13" hidden="1" x14ac:dyDescent="0.3"/>
    <row r="98" s="6" customFormat="1" ht="13" hidden="1" x14ac:dyDescent="0.3"/>
    <row r="99" s="6" customFormat="1" ht="13" hidden="1" x14ac:dyDescent="0.3"/>
    <row r="100" s="6" customFormat="1" ht="13" hidden="1" x14ac:dyDescent="0.3"/>
    <row r="101" s="6" customFormat="1" ht="13" hidden="1" x14ac:dyDescent="0.3"/>
    <row r="102" s="6" customFormat="1" ht="13" hidden="1" x14ac:dyDescent="0.3"/>
    <row r="103" s="6" customFormat="1" ht="13" hidden="1" x14ac:dyDescent="0.3"/>
    <row r="104" s="6" customFormat="1" ht="13" hidden="1" x14ac:dyDescent="0.3"/>
    <row r="105" s="6" customFormat="1" ht="13" hidden="1" x14ac:dyDescent="0.3"/>
    <row r="106" s="6" customFormat="1" ht="13" hidden="1" x14ac:dyDescent="0.3"/>
    <row r="107" s="6" customFormat="1" ht="13" hidden="1" x14ac:dyDescent="0.3"/>
    <row r="108" s="6" customFormat="1" ht="13" hidden="1" x14ac:dyDescent="0.3"/>
    <row r="109" s="6" customFormat="1" ht="13" hidden="1" x14ac:dyDescent="0.3"/>
    <row r="110" s="6" customFormat="1" ht="13" hidden="1" x14ac:dyDescent="0.3"/>
    <row r="111" s="6" customFormat="1" ht="13" hidden="1" x14ac:dyDescent="0.3"/>
    <row r="112" s="6" customFormat="1" ht="13" hidden="1" x14ac:dyDescent="0.3"/>
    <row r="113" s="6" customFormat="1" ht="13" hidden="1" x14ac:dyDescent="0.3"/>
    <row r="114" s="6" customFormat="1" ht="13" hidden="1" x14ac:dyDescent="0.3"/>
    <row r="115" s="6" customFormat="1" ht="13" hidden="1" x14ac:dyDescent="0.3"/>
    <row r="116" s="6" customFormat="1" ht="13" hidden="1" x14ac:dyDescent="0.3"/>
    <row r="117" s="6" customFormat="1" ht="13" hidden="1" x14ac:dyDescent="0.3"/>
    <row r="118" s="6" customFormat="1" ht="13" hidden="1" x14ac:dyDescent="0.3"/>
    <row r="119" s="6" customFormat="1" ht="13" hidden="1" x14ac:dyDescent="0.3"/>
    <row r="120" s="6" customFormat="1" ht="13" hidden="1" x14ac:dyDescent="0.3"/>
    <row r="121" s="6" customFormat="1" ht="13" hidden="1" x14ac:dyDescent="0.3"/>
    <row r="122" s="6" customFormat="1" ht="13" hidden="1" x14ac:dyDescent="0.3"/>
    <row r="123" s="6" customFormat="1" ht="13" hidden="1" x14ac:dyDescent="0.3"/>
    <row r="124" s="6" customFormat="1" ht="13" hidden="1" x14ac:dyDescent="0.3"/>
    <row r="125" s="6" customFormat="1" ht="13" hidden="1" x14ac:dyDescent="0.3"/>
    <row r="126" s="6" customFormat="1" ht="13" hidden="1" x14ac:dyDescent="0.3"/>
    <row r="127" s="6" customFormat="1" ht="13" hidden="1" x14ac:dyDescent="0.3"/>
    <row r="128" s="6" customFormat="1" ht="13" hidden="1" x14ac:dyDescent="0.3"/>
    <row r="129" s="6" customFormat="1" ht="13" hidden="1" x14ac:dyDescent="0.3"/>
    <row r="130" s="6" customFormat="1" ht="13" hidden="1" x14ac:dyDescent="0.3"/>
    <row r="131" s="6" customFormat="1" ht="13" hidden="1" x14ac:dyDescent="0.3"/>
    <row r="132" s="6" customFormat="1" ht="13" hidden="1" x14ac:dyDescent="0.3"/>
    <row r="133" s="6" customFormat="1" ht="13" hidden="1" x14ac:dyDescent="0.3"/>
    <row r="134" s="6" customFormat="1" ht="13" hidden="1" x14ac:dyDescent="0.3"/>
    <row r="135" s="6" customFormat="1" ht="13" hidden="1" x14ac:dyDescent="0.3"/>
    <row r="136" s="6" customFormat="1" ht="13" hidden="1" x14ac:dyDescent="0.3"/>
    <row r="137" s="6" customFormat="1" ht="13" hidden="1" x14ac:dyDescent="0.3"/>
    <row r="138" s="6" customFormat="1" ht="13" hidden="1" x14ac:dyDescent="0.3"/>
    <row r="139" s="6" customFormat="1" ht="13" hidden="1" x14ac:dyDescent="0.3"/>
    <row r="140" s="6" customFormat="1" ht="13" hidden="1" x14ac:dyDescent="0.3"/>
    <row r="141" s="6" customFormat="1" ht="13" hidden="1" x14ac:dyDescent="0.3"/>
    <row r="142" s="6" customFormat="1" ht="13" hidden="1" x14ac:dyDescent="0.3"/>
    <row r="143" s="6" customFormat="1" ht="13" hidden="1" x14ac:dyDescent="0.3"/>
    <row r="144" s="6" customFormat="1" ht="13" hidden="1" x14ac:dyDescent="0.3"/>
    <row r="145" s="6" customFormat="1" ht="13" hidden="1" x14ac:dyDescent="0.3"/>
    <row r="146" s="6" customFormat="1" ht="13" hidden="1" x14ac:dyDescent="0.3"/>
    <row r="147" s="6" customFormat="1" ht="13" hidden="1" x14ac:dyDescent="0.3"/>
    <row r="148" s="6" customFormat="1" ht="13" hidden="1" x14ac:dyDescent="0.3"/>
    <row r="149" s="6" customFormat="1" ht="13" hidden="1" x14ac:dyDescent="0.3"/>
    <row r="150" s="6" customFormat="1" ht="13" hidden="1" x14ac:dyDescent="0.3"/>
    <row r="151" s="6" customFormat="1" ht="13" hidden="1" x14ac:dyDescent="0.3"/>
    <row r="152" s="6" customFormat="1" ht="13" hidden="1" x14ac:dyDescent="0.3"/>
    <row r="153" s="6" customFormat="1" ht="13" hidden="1" x14ac:dyDescent="0.3"/>
    <row r="154" s="6" customFormat="1" ht="13" hidden="1" x14ac:dyDescent="0.3"/>
    <row r="155" s="6" customFormat="1" ht="13" hidden="1" x14ac:dyDescent="0.3"/>
    <row r="156" s="6" customFormat="1" ht="13" hidden="1" x14ac:dyDescent="0.3"/>
    <row r="157" s="6" customFormat="1" ht="13" hidden="1" x14ac:dyDescent="0.3"/>
    <row r="158" s="6" customFormat="1" ht="13" hidden="1" x14ac:dyDescent="0.3"/>
    <row r="159" s="6" customFormat="1" ht="13" hidden="1" x14ac:dyDescent="0.3"/>
    <row r="160" s="6" customFormat="1" ht="13" hidden="1" x14ac:dyDescent="0.3"/>
    <row r="161" s="6" customFormat="1" ht="13" hidden="1" x14ac:dyDescent="0.3"/>
    <row r="162" s="6" customFormat="1" ht="13" hidden="1" x14ac:dyDescent="0.3"/>
    <row r="163" s="6" customFormat="1" ht="13" hidden="1" x14ac:dyDescent="0.3"/>
    <row r="164" s="6" customFormat="1" ht="13" hidden="1" x14ac:dyDescent="0.3"/>
    <row r="165" s="6" customFormat="1" ht="13" hidden="1" x14ac:dyDescent="0.3"/>
    <row r="166" s="6" customFormat="1" ht="13" hidden="1" x14ac:dyDescent="0.3"/>
    <row r="167" s="6" customFormat="1" ht="13" hidden="1" x14ac:dyDescent="0.3"/>
    <row r="168" s="6" customFormat="1" ht="13" hidden="1" x14ac:dyDescent="0.3"/>
    <row r="169" s="6" customFormat="1" ht="13" hidden="1" x14ac:dyDescent="0.3"/>
    <row r="170" s="6" customFormat="1" ht="13" hidden="1" x14ac:dyDescent="0.3"/>
    <row r="171" s="6" customFormat="1" ht="13" hidden="1" x14ac:dyDescent="0.3"/>
    <row r="172" s="6" customFormat="1" ht="13" hidden="1" x14ac:dyDescent="0.3"/>
    <row r="173" s="6" customFormat="1" ht="13" hidden="1" x14ac:dyDescent="0.3"/>
    <row r="174" s="6" customFormat="1" ht="13" hidden="1" x14ac:dyDescent="0.3"/>
    <row r="175" s="6" customFormat="1" ht="13" hidden="1" x14ac:dyDescent="0.3"/>
    <row r="176" s="6" customFormat="1" ht="13" hidden="1" x14ac:dyDescent="0.3"/>
    <row r="177" s="6" customFormat="1" ht="13" hidden="1" x14ac:dyDescent="0.3"/>
    <row r="178" s="6" customFormat="1" ht="13" hidden="1" x14ac:dyDescent="0.3"/>
    <row r="179" s="6" customFormat="1" ht="13" hidden="1" x14ac:dyDescent="0.3"/>
    <row r="180" s="6" customFormat="1" ht="13" hidden="1" x14ac:dyDescent="0.3"/>
    <row r="181" s="6" customFormat="1" ht="13" hidden="1" x14ac:dyDescent="0.3"/>
    <row r="182" s="6" customFormat="1" ht="13" hidden="1" x14ac:dyDescent="0.3"/>
    <row r="183" s="6" customFormat="1" ht="13" hidden="1" x14ac:dyDescent="0.3"/>
    <row r="184" s="6" customFormat="1" ht="13" hidden="1" x14ac:dyDescent="0.3"/>
    <row r="185" s="6" customFormat="1" ht="13" hidden="1" x14ac:dyDescent="0.3"/>
    <row r="186" s="6" customFormat="1" ht="13" hidden="1" x14ac:dyDescent="0.3"/>
    <row r="187" s="6" customFormat="1" ht="13" hidden="1" x14ac:dyDescent="0.3"/>
    <row r="188" s="6" customFormat="1" ht="13" hidden="1" x14ac:dyDescent="0.3"/>
    <row r="189" s="6" customFormat="1" ht="13" hidden="1" x14ac:dyDescent="0.3"/>
    <row r="190" s="6" customFormat="1" ht="13" hidden="1" x14ac:dyDescent="0.3"/>
    <row r="191" s="6" customFormat="1" ht="13" hidden="1" x14ac:dyDescent="0.3"/>
    <row r="192" s="6" customFormat="1" ht="13" hidden="1" x14ac:dyDescent="0.3"/>
    <row r="193" s="6" customFormat="1" ht="13" hidden="1" x14ac:dyDescent="0.3"/>
    <row r="194" s="6" customFormat="1" ht="13" hidden="1" x14ac:dyDescent="0.3"/>
    <row r="195" s="6" customFormat="1" ht="13" hidden="1" x14ac:dyDescent="0.3"/>
    <row r="196" s="6" customFormat="1" ht="13" hidden="1" x14ac:dyDescent="0.3"/>
    <row r="197" s="6" customFormat="1" ht="13" hidden="1" x14ac:dyDescent="0.3"/>
    <row r="198" s="6" customFormat="1" ht="13" hidden="1" x14ac:dyDescent="0.3"/>
    <row r="199" s="6" customFormat="1" ht="13" hidden="1" x14ac:dyDescent="0.3"/>
    <row r="200" s="6" customFormat="1" ht="13" hidden="1" x14ac:dyDescent="0.3"/>
    <row r="201" s="6" customFormat="1" ht="13" hidden="1" x14ac:dyDescent="0.3"/>
    <row r="202" s="6" customFormat="1" ht="13" hidden="1" x14ac:dyDescent="0.3"/>
    <row r="203" s="6" customFormat="1" ht="13" hidden="1" x14ac:dyDescent="0.3"/>
    <row r="204" s="6" customFormat="1" ht="13" hidden="1" x14ac:dyDescent="0.3"/>
    <row r="205" s="6" customFormat="1" ht="13" hidden="1" x14ac:dyDescent="0.3"/>
    <row r="206" s="6" customFormat="1" ht="13" hidden="1" x14ac:dyDescent="0.3"/>
    <row r="207" s="6" customFormat="1" ht="13" hidden="1" x14ac:dyDescent="0.3"/>
    <row r="208" s="6" customFormat="1" ht="13" hidden="1" x14ac:dyDescent="0.3"/>
    <row r="209" s="6" customFormat="1" ht="13" hidden="1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topLeftCell="A6" workbookViewId="0">
      <selection activeCell="I25" sqref="I25"/>
    </sheetView>
  </sheetViews>
  <sheetFormatPr defaultColWidth="9" defaultRowHeight="13" x14ac:dyDescent="0.3"/>
  <cols>
    <col min="1" max="1" width="3.61328125" style="6" customWidth="1"/>
    <col min="2" max="2" width="2.61328125" style="6" customWidth="1"/>
    <col min="3" max="3" width="18.765625" style="6" customWidth="1"/>
    <col min="4" max="4" width="9.23046875" style="6" customWidth="1"/>
    <col min="5" max="5" width="16.3828125" style="6" customWidth="1"/>
    <col min="6" max="6" width="1.15234375" style="6" customWidth="1"/>
    <col min="7" max="7" width="14.765625" style="6" customWidth="1"/>
    <col min="8" max="8" width="12.84375" style="6" customWidth="1"/>
    <col min="9" max="9" width="11.4609375" style="6" customWidth="1"/>
    <col min="10" max="10" width="6.84375" style="6" customWidth="1"/>
    <col min="11" max="16" width="8.15234375" style="6" customWidth="1"/>
    <col min="17" max="19" width="9" style="6"/>
    <col min="20" max="20" width="17.61328125" style="6" customWidth="1"/>
    <col min="21" max="16384" width="9" style="6"/>
  </cols>
  <sheetData>
    <row r="1" spans="1:16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5" x14ac:dyDescent="0.35">
      <c r="A2" s="50" t="str">
        <f>proj</f>
        <v>CHA transformer replacement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4.5" x14ac:dyDescent="0.3">
      <c r="A4" s="16" t="s">
        <v>40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3">
      <c r="M5" s="10"/>
      <c r="N5" s="10"/>
      <c r="O5" s="10"/>
      <c r="P5" s="10"/>
    </row>
    <row r="6" spans="1:16" ht="12.75" customHeight="1" x14ac:dyDescent="0.3">
      <c r="C6" s="12" t="s">
        <v>41</v>
      </c>
      <c r="D6" s="58"/>
      <c r="E6" s="11" t="s">
        <v>0</v>
      </c>
    </row>
    <row r="7" spans="1:16" s="1" customFormat="1" ht="12.75" customHeight="1" x14ac:dyDescent="0.3">
      <c r="M7" s="10"/>
      <c r="N7" s="10"/>
      <c r="O7" s="10"/>
      <c r="P7" s="10"/>
    </row>
    <row r="8" spans="1:16" x14ac:dyDescent="0.3">
      <c r="C8" s="12" t="s">
        <v>42</v>
      </c>
      <c r="D8" s="12"/>
      <c r="E8" s="391" t="s">
        <v>43</v>
      </c>
      <c r="F8" s="391"/>
      <c r="G8" s="391"/>
      <c r="H8" s="391"/>
      <c r="I8" s="1"/>
      <c r="J8" s="1"/>
    </row>
    <row r="9" spans="1:16" x14ac:dyDescent="0.3">
      <c r="C9" s="12"/>
      <c r="D9" s="12"/>
    </row>
    <row r="10" spans="1:16" s="1" customFormat="1" x14ac:dyDescent="0.3">
      <c r="C10" s="3" t="s">
        <v>44</v>
      </c>
      <c r="D10" s="58"/>
      <c r="E10" s="54" t="s">
        <v>45</v>
      </c>
      <c r="F10" s="6"/>
      <c r="G10" s="33">
        <v>2023</v>
      </c>
      <c r="I10" s="59"/>
      <c r="J10" s="59"/>
    </row>
    <row r="11" spans="1:16" x14ac:dyDescent="0.3">
      <c r="I11" s="59"/>
      <c r="J11" s="59"/>
    </row>
    <row r="12" spans="1:16" x14ac:dyDescent="0.3">
      <c r="H12" s="37"/>
      <c r="I12" s="37"/>
      <c r="J12" s="37"/>
    </row>
    <row r="13" spans="1:16" s="65" customFormat="1" ht="13.5" x14ac:dyDescent="0.3">
      <c r="C13" s="66" t="s">
        <v>27</v>
      </c>
      <c r="D13" s="66"/>
      <c r="E13" s="66" t="s">
        <v>46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3">
      <c r="C14" s="55" t="str" cm="1">
        <f t="array" ref="C14:C18">options</f>
        <v>Option 1 (base case)</v>
      </c>
      <c r="D14" s="55"/>
      <c r="E14" s="392" t="s">
        <v>47</v>
      </c>
      <c r="F14" s="392"/>
      <c r="G14" s="392"/>
      <c r="H14" s="392"/>
      <c r="I14" s="392"/>
      <c r="J14" s="392"/>
      <c r="K14" s="392"/>
      <c r="L14"/>
    </row>
    <row r="15" spans="1:16" s="1" customFormat="1" ht="12.75" customHeight="1" x14ac:dyDescent="0.3">
      <c r="C15" s="55" t="str">
        <v>Option 2</v>
      </c>
      <c r="D15" s="55"/>
      <c r="E15" s="393" t="s">
        <v>341</v>
      </c>
      <c r="F15" s="393"/>
      <c r="G15" s="393"/>
      <c r="H15" s="393"/>
      <c r="I15" s="393"/>
      <c r="J15" s="393"/>
      <c r="K15" s="393"/>
      <c r="L15"/>
    </row>
    <row r="16" spans="1:16" s="1" customFormat="1" ht="12.75" customHeight="1" x14ac:dyDescent="0.3">
      <c r="C16" s="55" t="str">
        <v>Option 3</v>
      </c>
      <c r="D16" s="55"/>
      <c r="E16" s="393" t="s">
        <v>342</v>
      </c>
      <c r="F16" s="393"/>
      <c r="G16" s="393"/>
      <c r="H16" s="393"/>
      <c r="I16" s="393"/>
      <c r="J16" s="393"/>
      <c r="K16" s="393"/>
      <c r="L16"/>
    </row>
    <row r="17" spans="1:16" s="1" customFormat="1" ht="12.75" customHeight="1" x14ac:dyDescent="0.3">
      <c r="C17" s="55" t="str">
        <v>Option 4</v>
      </c>
      <c r="D17" s="55"/>
      <c r="E17" s="393" t="s">
        <v>351</v>
      </c>
      <c r="F17" s="393"/>
      <c r="G17" s="393"/>
      <c r="H17" s="393"/>
      <c r="I17" s="393"/>
      <c r="J17" s="393"/>
      <c r="K17" s="393"/>
      <c r="L17"/>
    </row>
    <row r="18" spans="1:16" s="1" customFormat="1" ht="12.75" customHeight="1" x14ac:dyDescent="0.3">
      <c r="C18" s="55" t="str">
        <v>Option 5</v>
      </c>
      <c r="D18" s="55"/>
      <c r="E18" s="393"/>
      <c r="F18" s="393"/>
      <c r="G18" s="393"/>
      <c r="H18" s="393"/>
      <c r="I18" s="393"/>
      <c r="J18" s="393"/>
      <c r="K18" s="393"/>
      <c r="L18"/>
    </row>
    <row r="19" spans="1:16" s="1" customFormat="1" ht="12.75" customHeight="1" x14ac:dyDescent="0.3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3">
      <c r="C20" s="245" t="s">
        <v>48</v>
      </c>
      <c r="D20"/>
      <c r="E20" s="246" t="s">
        <v>49</v>
      </c>
      <c r="F20"/>
      <c r="G20"/>
      <c r="H20"/>
      <c r="I20"/>
      <c r="J20"/>
      <c r="K20"/>
      <c r="L20"/>
      <c r="M20"/>
    </row>
    <row r="21" spans="1:16" s="1" customFormat="1" ht="12.75" customHeight="1" x14ac:dyDescent="0.3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3">
      <c r="C22" s="1" t="s">
        <v>50</v>
      </c>
      <c r="E22" s="251" t="s">
        <v>51</v>
      </c>
      <c r="F22" s="61" t="s">
        <v>52</v>
      </c>
      <c r="J22" s="61"/>
    </row>
    <row r="23" spans="1:16" s="1" customFormat="1" ht="12.75" customHeight="1" x14ac:dyDescent="0.3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5" x14ac:dyDescent="0.35">
      <c r="E24" s="5"/>
      <c r="F24" s="5"/>
      <c r="L24" s="6"/>
    </row>
    <row r="25" spans="1:16" s="1" customFormat="1" ht="14.5" x14ac:dyDescent="0.3">
      <c r="A25" s="16" t="s">
        <v>53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3"/>
    <row r="27" spans="1:16" s="1" customFormat="1" x14ac:dyDescent="0.3">
      <c r="C27" s="1" t="s">
        <v>54</v>
      </c>
      <c r="G27" s="60">
        <f>EOMONTH(DATE(Assumptions!$G$10,INDEX(Data!$K$107:$K$108, MATCH(Assumptions!$E$10, Data!$J$107:$J$108,0)), 1),0)</f>
        <v>45291</v>
      </c>
      <c r="H27" s="61" t="s">
        <v>55</v>
      </c>
    </row>
    <row r="28" spans="1:16" s="1" customFormat="1" x14ac:dyDescent="0.3">
      <c r="C28" s="1" t="s">
        <v>56</v>
      </c>
      <c r="G28" s="255">
        <v>3.5000000000000003E-2</v>
      </c>
      <c r="H28" s="61" t="s">
        <v>57</v>
      </c>
      <c r="J28" s="61"/>
    </row>
    <row r="29" spans="1:16" s="1" customFormat="1" x14ac:dyDescent="0.3">
      <c r="C29" s="1" t="s">
        <v>58</v>
      </c>
      <c r="G29" s="256">
        <v>45657</v>
      </c>
      <c r="H29" s="61" t="s">
        <v>59</v>
      </c>
      <c r="J29" s="61"/>
    </row>
    <row r="30" spans="1:16" s="1" customFormat="1" x14ac:dyDescent="0.3">
      <c r="J30" s="61"/>
    </row>
    <row r="31" spans="1:16" x14ac:dyDescent="0.3">
      <c r="C31" s="6" t="s">
        <v>60</v>
      </c>
      <c r="G31" s="257">
        <v>20</v>
      </c>
      <c r="H31" s="61" t="s">
        <v>61</v>
      </c>
    </row>
    <row r="32" spans="1:16" s="1" customFormat="1" x14ac:dyDescent="0.3"/>
    <row r="33" spans="1:20" s="1" customFormat="1" x14ac:dyDescent="0.3">
      <c r="C33" s="1" t="s">
        <v>62</v>
      </c>
      <c r="G33" s="258">
        <v>46203</v>
      </c>
      <c r="H33" s="61" t="s">
        <v>63</v>
      </c>
      <c r="J33" s="61"/>
    </row>
    <row r="34" spans="1:20" s="1" customFormat="1" x14ac:dyDescent="0.3">
      <c r="C34" s="1" t="s">
        <v>64</v>
      </c>
      <c r="G34" s="273">
        <v>45291</v>
      </c>
      <c r="H34" s="61" t="s">
        <v>65</v>
      </c>
      <c r="J34" s="61"/>
    </row>
    <row r="35" spans="1:20" s="1" customFormat="1" ht="13.5" x14ac:dyDescent="0.35">
      <c r="C35" s="1" t="s">
        <v>66</v>
      </c>
      <c r="G35" s="256">
        <v>45107</v>
      </c>
      <c r="H35" s="61"/>
      <c r="J35" s="61"/>
    </row>
    <row r="39" spans="1:20" s="1" customFormat="1" ht="14.5" x14ac:dyDescent="0.3">
      <c r="A39" s="16" t="s">
        <v>67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3">
      <c r="M40" s="10"/>
      <c r="N40" s="10"/>
      <c r="O40" s="10"/>
      <c r="P40" s="10"/>
    </row>
    <row r="41" spans="1:20" s="108" customFormat="1" x14ac:dyDescent="0.3">
      <c r="A41" s="107"/>
      <c r="B41" s="107"/>
      <c r="C41" s="1" t="s">
        <v>68</v>
      </c>
      <c r="D41" s="213" t="s">
        <v>69</v>
      </c>
      <c r="E41" s="276" t="s">
        <v>70</v>
      </c>
      <c r="F41" s="277"/>
      <c r="G41" s="278" t="s">
        <v>71</v>
      </c>
      <c r="H41" s="111">
        <v>28303.137977939092</v>
      </c>
      <c r="I41" s="279" t="s">
        <v>72</v>
      </c>
      <c r="J41" s="107"/>
      <c r="M41" s="107"/>
      <c r="N41" s="107"/>
      <c r="O41" s="107"/>
      <c r="P41" s="107"/>
      <c r="Q41" s="107"/>
      <c r="R41" s="107"/>
      <c r="S41" s="107"/>
      <c r="T41" s="107"/>
    </row>
    <row r="42" spans="1:20" s="108" customFormat="1" ht="13.5" x14ac:dyDescent="0.3">
      <c r="A42"/>
      <c r="B42"/>
      <c r="C42"/>
      <c r="D42"/>
      <c r="E42"/>
      <c r="F42"/>
      <c r="G42"/>
      <c r="H42"/>
      <c r="I42"/>
      <c r="J42"/>
      <c r="K42"/>
      <c r="L42"/>
      <c r="M42" s="107"/>
      <c r="N42" s="107"/>
      <c r="O42" s="107"/>
      <c r="P42" s="107"/>
      <c r="Q42" s="107"/>
      <c r="R42" s="107"/>
      <c r="S42" s="107"/>
      <c r="T42" s="107"/>
    </row>
    <row r="43" spans="1:20" s="108" customFormat="1" ht="13.5" x14ac:dyDescent="0.3">
      <c r="A43"/>
      <c r="B43"/>
      <c r="C43"/>
      <c r="D43"/>
      <c r="E43"/>
      <c r="F43"/>
      <c r="G43"/>
      <c r="H43"/>
      <c r="I43"/>
      <c r="J43"/>
      <c r="K43"/>
      <c r="L43"/>
      <c r="M43" s="107"/>
      <c r="N43" s="107"/>
      <c r="O43" s="107"/>
      <c r="P43" s="107"/>
      <c r="Q43" s="107"/>
      <c r="R43" s="107"/>
      <c r="S43" s="107"/>
      <c r="T43" s="107"/>
    </row>
    <row r="45" spans="1:20" ht="14.5" x14ac:dyDescent="0.3">
      <c r="A45" s="16" t="s">
        <v>73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3">
      <c r="B48" s="27" t="s">
        <v>74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3">
      <c r="C50" s="6" t="s">
        <v>75</v>
      </c>
      <c r="G50" s="259">
        <v>5400000</v>
      </c>
      <c r="H50" s="62">
        <v>45107</v>
      </c>
    </row>
    <row r="52" spans="3:8" x14ac:dyDescent="0.3">
      <c r="C52" s="6" t="s">
        <v>76</v>
      </c>
      <c r="G52" s="133">
        <v>0</v>
      </c>
      <c r="H52" s="62">
        <f>input_dollars</f>
        <v>45291</v>
      </c>
    </row>
    <row r="54" spans="3:8" x14ac:dyDescent="0.3">
      <c r="C54" s="12" t="str">
        <f>Data!A83</f>
        <v>Disproportionate factors applied to various bushfire and other risk valuations</v>
      </c>
    </row>
    <row r="55" spans="3:8" x14ac:dyDescent="0.3">
      <c r="C55" s="6" t="str">
        <f>Data!B85</f>
        <v>Harm to property from network</v>
      </c>
      <c r="G55" s="257">
        <f>Data!F85</f>
        <v>1</v>
      </c>
    </row>
    <row r="56" spans="3:8" x14ac:dyDescent="0.3">
      <c r="C56" s="6" t="str">
        <f>Data!B86</f>
        <v>Harm to property from bushfire</v>
      </c>
      <c r="G56" s="257">
        <f>Data!F86</f>
        <v>1</v>
      </c>
    </row>
    <row r="57" spans="3:8" x14ac:dyDescent="0.3">
      <c r="C57" s="6" t="str">
        <f>Data!B87</f>
        <v>Harm to environment</v>
      </c>
      <c r="G57" s="257">
        <f>Data!F87</f>
        <v>1</v>
      </c>
    </row>
    <row r="58" spans="3:8" x14ac:dyDescent="0.3">
      <c r="C58" s="6" t="str">
        <f>Data!B88</f>
        <v>Safety - Public trespass</v>
      </c>
      <c r="G58" s="257">
        <f>Data!F88</f>
        <v>1</v>
      </c>
    </row>
    <row r="59" spans="3:8" x14ac:dyDescent="0.3">
      <c r="C59" s="6" t="str">
        <f>Data!B89</f>
        <v>Safety - Single fatality or serious injury ^</v>
      </c>
      <c r="G59" s="257">
        <f>Data!F89</f>
        <v>3</v>
      </c>
    </row>
    <row r="60" spans="3:8" x14ac:dyDescent="0.3">
      <c r="C60" s="6" t="str">
        <f>Data!B90</f>
        <v>Safety from bushfire in HBRA</v>
      </c>
      <c r="G60" s="257">
        <f>Data!F90</f>
        <v>3</v>
      </c>
    </row>
    <row r="61" spans="3:8" x14ac:dyDescent="0.3">
      <c r="C61" s="6" t="str">
        <f>Data!B91</f>
        <v>Safety - Multiple fatality or serious injury ^</v>
      </c>
      <c r="G61" s="257">
        <f>Data!F91</f>
        <v>6</v>
      </c>
    </row>
    <row r="62" spans="3:8" x14ac:dyDescent="0.3">
      <c r="C62" s="6" t="str">
        <f>Data!B92</f>
        <v>Safety from bushfire (REFCL declared areas)</v>
      </c>
      <c r="G62" s="257">
        <f>Data!F92</f>
        <v>6</v>
      </c>
    </row>
    <row r="63" spans="3:8" x14ac:dyDescent="0.3">
      <c r="C63" s="6" t="str">
        <f>Data!B93</f>
        <v>Safety from bushfire (electric line construction areas)</v>
      </c>
      <c r="G63" s="257">
        <f>Data!F93</f>
        <v>10</v>
      </c>
    </row>
    <row r="64" spans="3:8" ht="13.5" x14ac:dyDescent="0.3">
      <c r="E64"/>
      <c r="F64"/>
      <c r="G64"/>
      <c r="H64"/>
    </row>
    <row r="66" spans="2:16" x14ac:dyDescent="0.3">
      <c r="C66" s="72" t="s">
        <v>77</v>
      </c>
    </row>
    <row r="69" spans="2:16" x14ac:dyDescent="0.3">
      <c r="C69" s="47" t="s">
        <v>78</v>
      </c>
      <c r="D69" s="53"/>
      <c r="E69" s="53"/>
      <c r="F69" s="53"/>
      <c r="G69" s="136" t="s">
        <v>79</v>
      </c>
      <c r="H69" s="136" t="s">
        <v>80</v>
      </c>
      <c r="I69" s="136" t="s">
        <v>81</v>
      </c>
      <c r="J69" s="135" t="s">
        <v>82</v>
      </c>
      <c r="K69" s="136"/>
      <c r="L69" s="136"/>
      <c r="M69" s="136"/>
    </row>
    <row r="70" spans="2:16" x14ac:dyDescent="0.3">
      <c r="C70" s="6" t="s">
        <v>83</v>
      </c>
      <c r="G70" s="101">
        <f>G50*INDEX(hy_escalation, MATCH(input_dollars,hy_dates,0))/INDEX(hy_escalation, MATCH(H50,hy_dates,0))</f>
        <v>5607473.5197347086</v>
      </c>
      <c r="H70" s="141">
        <v>0</v>
      </c>
      <c r="I70" s="142">
        <v>0</v>
      </c>
      <c r="J70" s="388">
        <v>0</v>
      </c>
      <c r="K70" s="389"/>
      <c r="L70" s="389"/>
      <c r="M70" s="390"/>
    </row>
    <row r="71" spans="2:16" x14ac:dyDescent="0.3">
      <c r="C71" s="6" t="s">
        <v>84</v>
      </c>
      <c r="G71" s="101">
        <f>G52*INDEX(hy_escalation, MATCH(input_dollars,hy_dates,0))/INDEX(hy_escalation, MATCH(H52,hy_dates,0))</f>
        <v>0</v>
      </c>
      <c r="H71" s="140">
        <v>0</v>
      </c>
      <c r="I71" s="142">
        <v>0</v>
      </c>
      <c r="J71" s="388">
        <v>0</v>
      </c>
      <c r="K71" s="389"/>
      <c r="L71" s="389"/>
      <c r="M71" s="390"/>
    </row>
    <row r="72" spans="2:16" ht="13.5" x14ac:dyDescent="0.3">
      <c r="I72" s="139"/>
      <c r="M72"/>
    </row>
    <row r="73" spans="2:16" x14ac:dyDescent="0.3">
      <c r="G73" s="143"/>
    </row>
    <row r="74" spans="2:16" x14ac:dyDescent="0.3">
      <c r="C74" s="72"/>
    </row>
    <row r="77" spans="2:16" x14ac:dyDescent="0.3">
      <c r="B77" s="27" t="s">
        <v>85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3">
      <c r="C78" s="6" t="s">
        <v>86</v>
      </c>
      <c r="G78" s="133">
        <v>0</v>
      </c>
      <c r="H78" s="62">
        <f>input_dollars</f>
        <v>45291</v>
      </c>
    </row>
    <row r="79" spans="2:16" x14ac:dyDescent="0.3">
      <c r="C79" s="6" t="s">
        <v>87</v>
      </c>
      <c r="G79" s="133">
        <v>0</v>
      </c>
      <c r="H79" s="62">
        <f>input_dollars</f>
        <v>45291</v>
      </c>
    </row>
    <row r="81" spans="1:16" x14ac:dyDescent="0.3">
      <c r="C81" s="6" t="s">
        <v>88</v>
      </c>
      <c r="G81" s="137">
        <v>0.2</v>
      </c>
    </row>
    <row r="86" spans="1:16" x14ac:dyDescent="0.3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4.5" x14ac:dyDescent="0.3">
      <c r="A87" s="16" t="s">
        <v>89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3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3">
      <c r="A89" s="1"/>
      <c r="B89" s="27" t="s">
        <v>90</v>
      </c>
      <c r="C89" s="27"/>
      <c r="D89" s="27"/>
      <c r="E89" s="27"/>
      <c r="F89" s="27"/>
      <c r="G89" s="27"/>
      <c r="H89" s="47"/>
      <c r="I89" s="47"/>
      <c r="J89" s="47"/>
      <c r="K89" s="63" t="s">
        <v>51</v>
      </c>
      <c r="L89" s="63" t="s">
        <v>91</v>
      </c>
      <c r="M89" s="63" t="s">
        <v>92</v>
      </c>
      <c r="N89" s="63" t="s">
        <v>93</v>
      </c>
      <c r="O89" s="63" t="s">
        <v>94</v>
      </c>
      <c r="P89" s="63" t="s">
        <v>95</v>
      </c>
    </row>
    <row r="90" spans="1:16" ht="13.5" x14ac:dyDescent="0.35">
      <c r="A90" s="1"/>
      <c r="B90" s="1"/>
      <c r="C90" s="1" t="s">
        <v>96</v>
      </c>
      <c r="D90" s="1"/>
      <c r="F90" s="1"/>
      <c r="G90" s="61"/>
      <c r="H90" s="62">
        <f>G35</f>
        <v>45107</v>
      </c>
      <c r="I90" s="64" t="s">
        <v>97</v>
      </c>
      <c r="J90" s="64"/>
      <c r="K90" s="260">
        <v>2.4730486797759084E-2</v>
      </c>
      <c r="L90" s="260">
        <v>2.2340740091772258E-2</v>
      </c>
      <c r="M90" s="260">
        <v>2.0196329122153123E-2</v>
      </c>
      <c r="N90" s="260">
        <v>1.806294207659629E-2</v>
      </c>
      <c r="O90" s="260">
        <v>1.5913397615084226E-2</v>
      </c>
      <c r="P90" s="260">
        <v>1.3715069432539001E-2</v>
      </c>
    </row>
    <row r="91" spans="1:16" x14ac:dyDescent="0.3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3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3">
      <c r="A93" s="1"/>
      <c r="B93" s="27" t="s">
        <v>98</v>
      </c>
      <c r="C93" s="27"/>
      <c r="D93" s="27"/>
      <c r="E93" s="27"/>
      <c r="F93" s="27"/>
      <c r="G93" s="63" t="s">
        <v>79</v>
      </c>
      <c r="H93" s="27"/>
      <c r="I93" s="27"/>
      <c r="J93" s="3"/>
      <c r="K93" s="1"/>
      <c r="L93" s="1"/>
    </row>
    <row r="94" spans="1:16" ht="13.5" x14ac:dyDescent="0.3">
      <c r="A94" s="1"/>
      <c r="B94" s="1"/>
      <c r="C94" s="1" t="str">
        <f>Data!B60</f>
        <v>Reliability in worst-served areas</v>
      </c>
      <c r="D94" s="1"/>
      <c r="E94"/>
      <c r="F94" s="1"/>
      <c r="G94" s="259">
        <v>151432.81740793545</v>
      </c>
      <c r="H94" s="62">
        <f t="shared" ref="H94:H101" si="0">custval_date</f>
        <v>45291</v>
      </c>
      <c r="I94" s="64" t="s">
        <v>99</v>
      </c>
      <c r="J94" s="64"/>
      <c r="K94" s="1"/>
      <c r="P94" s="1"/>
    </row>
    <row r="95" spans="1:16" ht="13.5" x14ac:dyDescent="0.3">
      <c r="A95" s="1"/>
      <c r="B95" s="1"/>
      <c r="C95" s="1" t="str">
        <f>Data!B61</f>
        <v>Network resilience</v>
      </c>
      <c r="D95" s="1"/>
      <c r="E95"/>
      <c r="F95" s="1"/>
      <c r="G95" s="259">
        <v>24590</v>
      </c>
      <c r="H95" s="62">
        <f t="shared" si="0"/>
        <v>45291</v>
      </c>
      <c r="I95" s="64" t="s">
        <v>99</v>
      </c>
      <c r="J95" s="64"/>
      <c r="P95" s="1"/>
    </row>
    <row r="96" spans="1:16" ht="13.5" x14ac:dyDescent="0.3">
      <c r="A96" s="1"/>
      <c r="B96" s="1"/>
      <c r="C96" s="1" t="str">
        <f>Data!B62</f>
        <v>Enabling solar exports</v>
      </c>
      <c r="D96" s="1"/>
      <c r="E96"/>
      <c r="G96" s="259">
        <v>88.357719508603083</v>
      </c>
      <c r="H96" s="62">
        <f t="shared" si="0"/>
        <v>45291</v>
      </c>
      <c r="I96" s="64" t="s">
        <v>99</v>
      </c>
      <c r="J96" s="64"/>
      <c r="P96" s="1"/>
    </row>
    <row r="97" spans="1:16" ht="13.5" x14ac:dyDescent="0.3">
      <c r="A97" s="1"/>
      <c r="B97" s="1"/>
      <c r="C97" s="1" t="str">
        <f>Data!B63</f>
        <v>Aesthetics</v>
      </c>
      <c r="D97" s="1"/>
      <c r="E97"/>
      <c r="G97" s="260">
        <v>0</v>
      </c>
      <c r="H97" s="62">
        <f t="shared" si="0"/>
        <v>45291</v>
      </c>
      <c r="I97" s="64" t="s">
        <v>100</v>
      </c>
      <c r="J97" s="64"/>
      <c r="P97" s="1"/>
    </row>
    <row r="98" spans="1:16" ht="13.5" x14ac:dyDescent="0.3">
      <c r="A98" s="1"/>
      <c r="B98" s="1"/>
      <c r="C98" s="1" t="str">
        <f>Data!B64</f>
        <v>Customer value of time - residential</v>
      </c>
      <c r="D98" s="1"/>
      <c r="E98"/>
      <c r="G98" s="260">
        <v>0.35181336539087127</v>
      </c>
      <c r="H98" s="62">
        <f t="shared" si="0"/>
        <v>45291</v>
      </c>
      <c r="I98" s="64" t="s">
        <v>101</v>
      </c>
      <c r="J98" s="64"/>
      <c r="P98" s="1"/>
    </row>
    <row r="99" spans="1:16" ht="13.5" x14ac:dyDescent="0.3">
      <c r="A99" s="1"/>
      <c r="B99" s="1"/>
      <c r="C99" s="1" t="str">
        <f>Data!B65</f>
        <v>Customer value of time - business</v>
      </c>
      <c r="D99" s="1"/>
      <c r="E99"/>
      <c r="G99" s="260">
        <v>0.35181336539087127</v>
      </c>
      <c r="H99" s="62">
        <f t="shared" si="0"/>
        <v>45291</v>
      </c>
      <c r="I99" s="64" t="s">
        <v>101</v>
      </c>
      <c r="J99" s="64"/>
      <c r="P99" s="1"/>
    </row>
    <row r="100" spans="1:16" ht="13.5" x14ac:dyDescent="0.3">
      <c r="A100" s="1"/>
      <c r="B100" s="1"/>
      <c r="C100" s="1" t="str">
        <f>Data!B66</f>
        <v>Communication</v>
      </c>
      <c r="D100" s="1"/>
      <c r="E100"/>
      <c r="G100" s="260">
        <v>0</v>
      </c>
      <c r="H100" s="62">
        <f t="shared" si="0"/>
        <v>45291</v>
      </c>
      <c r="I100" s="64" t="s">
        <v>100</v>
      </c>
      <c r="J100" s="64"/>
      <c r="P100" s="1"/>
    </row>
    <row r="101" spans="1:16" ht="13.5" x14ac:dyDescent="0.3">
      <c r="A101" s="1"/>
      <c r="B101" s="1"/>
      <c r="C101" s="1" t="str">
        <f>Data!B67</f>
        <v>Information accessibility</v>
      </c>
      <c r="D101" s="1"/>
      <c r="E101"/>
      <c r="G101" s="260">
        <v>0</v>
      </c>
      <c r="H101" s="62">
        <f t="shared" si="0"/>
        <v>45291</v>
      </c>
      <c r="I101" s="64" t="s">
        <v>100</v>
      </c>
      <c r="J101" s="64"/>
      <c r="P101" s="1"/>
    </row>
    <row r="102" spans="1:16" ht="13.5" x14ac:dyDescent="0.3">
      <c r="A102" s="1"/>
      <c r="B102" s="1"/>
      <c r="C102" s="1"/>
      <c r="D102" s="1"/>
      <c r="E102"/>
      <c r="L102" s="1"/>
      <c r="N102" s="1"/>
      <c r="O102" s="1"/>
      <c r="P102" s="1"/>
    </row>
    <row r="103" spans="1:16" ht="13.5" x14ac:dyDescent="0.3">
      <c r="A103" s="1"/>
      <c r="B103" s="1"/>
      <c r="C103" s="1"/>
      <c r="D103" s="1"/>
      <c r="E103"/>
      <c r="F103" s="1"/>
      <c r="L103" s="1"/>
      <c r="N103" s="1"/>
      <c r="O103" s="1"/>
    </row>
    <row r="106" spans="1:16" ht="14.5" x14ac:dyDescent="0.3">
      <c r="A106" s="16" t="s">
        <v>102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3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3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3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ht="13.5" x14ac:dyDescent="0.3">
      <c r="A110" s="1"/>
      <c r="B110" s="148"/>
      <c r="C110" s="148"/>
      <c r="D110" s="53"/>
      <c r="E110" s="252"/>
      <c r="F110" s="148"/>
      <c r="G110" s="148" t="s">
        <v>103</v>
      </c>
      <c r="H110" s="148" t="s">
        <v>104</v>
      </c>
      <c r="I110"/>
      <c r="J110"/>
      <c r="K110"/>
      <c r="L110"/>
      <c r="M110"/>
      <c r="N110"/>
      <c r="O110"/>
      <c r="P110"/>
    </row>
    <row r="111" spans="1:16" ht="13.5" x14ac:dyDescent="0.3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1"/>
      <c r="G111" s="261">
        <v>0.1</v>
      </c>
      <c r="H111" s="261">
        <v>0</v>
      </c>
      <c r="I111" s="226"/>
      <c r="J111"/>
      <c r="K111"/>
      <c r="L111"/>
      <c r="M111"/>
      <c r="N111"/>
      <c r="O111"/>
      <c r="P111"/>
    </row>
    <row r="112" spans="1:16" ht="13.5" x14ac:dyDescent="0.3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1"/>
      <c r="G112" s="261">
        <v>-0.1</v>
      </c>
      <c r="H112" s="261">
        <v>0</v>
      </c>
      <c r="I112" s="226"/>
      <c r="J112"/>
      <c r="K112"/>
      <c r="L112"/>
      <c r="M112"/>
      <c r="N112"/>
      <c r="O112"/>
      <c r="P112"/>
    </row>
    <row r="113" spans="2:16" ht="13.5" x14ac:dyDescent="0.3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1"/>
      <c r="G113" s="262">
        <v>0</v>
      </c>
      <c r="H113" s="261">
        <v>0.1</v>
      </c>
      <c r="I113" s="226"/>
      <c r="J113"/>
      <c r="K113"/>
      <c r="L113"/>
      <c r="M113"/>
      <c r="N113"/>
      <c r="O113"/>
      <c r="P113"/>
    </row>
    <row r="114" spans="2:16" ht="13.5" x14ac:dyDescent="0.3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1"/>
      <c r="G114" s="262">
        <v>0</v>
      </c>
      <c r="H114" s="261">
        <v>-0.1</v>
      </c>
      <c r="I114" s="226"/>
      <c r="J114"/>
      <c r="K114"/>
      <c r="L114"/>
      <c r="M114"/>
      <c r="N114"/>
      <c r="O114"/>
      <c r="P114"/>
    </row>
    <row r="115" spans="2:16" ht="13.5" x14ac:dyDescent="0.3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1"/>
      <c r="G115" s="261">
        <v>0.1</v>
      </c>
      <c r="H115" s="261">
        <v>-0.1</v>
      </c>
      <c r="I115" s="226"/>
      <c r="J115"/>
      <c r="K115"/>
      <c r="L115"/>
      <c r="M115"/>
      <c r="N115"/>
      <c r="O115"/>
      <c r="P115"/>
    </row>
    <row r="116" spans="2:16" ht="13.5" x14ac:dyDescent="0.3">
      <c r="E116" s="231"/>
      <c r="H116"/>
      <c r="I116"/>
      <c r="J116"/>
      <c r="K116"/>
      <c r="L116"/>
      <c r="M116"/>
      <c r="N116"/>
      <c r="O116"/>
      <c r="P116"/>
    </row>
    <row r="117" spans="2:16" ht="13.5" x14ac:dyDescent="0.3">
      <c r="E117" s="225"/>
      <c r="H117"/>
      <c r="I117"/>
      <c r="J117"/>
      <c r="K117"/>
      <c r="L117"/>
      <c r="M117"/>
      <c r="N117"/>
      <c r="O117"/>
      <c r="P117"/>
    </row>
    <row r="118" spans="2:16" ht="13.5" x14ac:dyDescent="0.3">
      <c r="H118"/>
      <c r="I118"/>
      <c r="J118"/>
      <c r="K118"/>
      <c r="L118"/>
      <c r="M118"/>
      <c r="N118"/>
      <c r="O118"/>
      <c r="P118"/>
    </row>
    <row r="119" spans="2:16" ht="13.5" x14ac:dyDescent="0.3">
      <c r="H119"/>
      <c r="I119"/>
      <c r="J119"/>
      <c r="K119"/>
      <c r="L119"/>
      <c r="M119"/>
      <c r="N119"/>
      <c r="O119"/>
      <c r="P119"/>
    </row>
    <row r="120" spans="2:16" ht="13.5" x14ac:dyDescent="0.3">
      <c r="H120"/>
      <c r="I120"/>
      <c r="J120"/>
      <c r="K120"/>
      <c r="L120"/>
      <c r="M120"/>
      <c r="N120"/>
      <c r="O120"/>
      <c r="P120"/>
    </row>
    <row r="121" spans="2:16" ht="13.5" x14ac:dyDescent="0.3">
      <c r="H121"/>
      <c r="I121"/>
      <c r="J121"/>
      <c r="K121"/>
      <c r="L121"/>
      <c r="M121"/>
      <c r="N121"/>
      <c r="O121"/>
      <c r="P121"/>
    </row>
    <row r="122" spans="2:16" ht="13.5" x14ac:dyDescent="0.3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8" type="noConversion"/>
  <dataValidations count="1">
    <dataValidation type="list" allowBlank="1" showInputMessage="1" showErrorMessage="1" sqref="E41" xr:uid="{AAE8F82A-EA41-4180-B2E5-89F95150CD7B}">
      <formula1>list</formula1>
    </dataValidation>
  </dataValidations>
  <pageMargins left="0.25" right="0.25" top="0.75" bottom="0.75" header="0.3" footer="0.3"/>
  <pageSetup paperSize="9" scale="4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Data!$T$107:$T$109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Data!$R$107:$R$113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Data!$V$107:$V$110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6.8437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CHA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105</v>
      </c>
      <c r="B3" s="5"/>
      <c r="C3" s="114"/>
      <c r="D3" s="82"/>
    </row>
    <row r="4" spans="1:43" x14ac:dyDescent="0.3">
      <c r="A4" s="144"/>
      <c r="B4" s="163"/>
      <c r="C4" s="212"/>
    </row>
    <row r="5" spans="1:43" hidden="1" outlineLevel="1" x14ac:dyDescent="0.3">
      <c r="C5" s="87"/>
      <c r="D5" s="86"/>
      <c r="E5" s="88"/>
      <c r="F5" s="88"/>
      <c r="G5" s="88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">
        <v>106</v>
      </c>
      <c r="B6" s="86"/>
      <c r="C6" s="87"/>
      <c r="D6" s="86"/>
      <c r="E6" s="88"/>
      <c r="F6" s="88"/>
      <c r="G6" s="88"/>
      <c r="H6" s="130">
        <v>0</v>
      </c>
      <c r="I6" s="89">
        <f t="shared" ref="I6:AG6" si="0">H6+1</f>
        <v>1</v>
      </c>
      <c r="J6" s="89">
        <f t="shared" si="0"/>
        <v>2</v>
      </c>
      <c r="K6" s="89">
        <f t="shared" si="0"/>
        <v>3</v>
      </c>
      <c r="L6" s="89">
        <f t="shared" si="0"/>
        <v>4</v>
      </c>
      <c r="M6" s="89">
        <f t="shared" si="0"/>
        <v>5</v>
      </c>
      <c r="N6" s="89">
        <f t="shared" si="0"/>
        <v>6</v>
      </c>
      <c r="O6" s="89">
        <f t="shared" si="0"/>
        <v>7</v>
      </c>
      <c r="P6" s="89">
        <f t="shared" si="0"/>
        <v>8</v>
      </c>
      <c r="Q6" s="89">
        <f t="shared" si="0"/>
        <v>9</v>
      </c>
      <c r="R6" s="89">
        <f t="shared" si="0"/>
        <v>10</v>
      </c>
      <c r="S6" s="89">
        <f t="shared" si="0"/>
        <v>11</v>
      </c>
      <c r="T6" s="89">
        <f t="shared" si="0"/>
        <v>12</v>
      </c>
      <c r="U6" s="89">
        <f t="shared" si="0"/>
        <v>13</v>
      </c>
      <c r="V6" s="89">
        <f t="shared" si="0"/>
        <v>14</v>
      </c>
      <c r="W6" s="89">
        <f t="shared" si="0"/>
        <v>15</v>
      </c>
      <c r="X6" s="89">
        <f t="shared" si="0"/>
        <v>16</v>
      </c>
      <c r="Y6" s="89">
        <f t="shared" si="0"/>
        <v>17</v>
      </c>
      <c r="Z6" s="89">
        <f t="shared" si="0"/>
        <v>18</v>
      </c>
      <c r="AA6" s="89">
        <f t="shared" si="0"/>
        <v>19</v>
      </c>
      <c r="AB6" s="89">
        <f t="shared" si="0"/>
        <v>20</v>
      </c>
      <c r="AC6" s="89">
        <f t="shared" si="0"/>
        <v>21</v>
      </c>
      <c r="AD6" s="89">
        <f t="shared" si="0"/>
        <v>22</v>
      </c>
      <c r="AE6" s="89">
        <f t="shared" si="0"/>
        <v>23</v>
      </c>
      <c r="AF6" s="89">
        <f t="shared" si="0"/>
        <v>24</v>
      </c>
      <c r="AG6" s="89">
        <f t="shared" si="0"/>
        <v>25</v>
      </c>
    </row>
    <row r="7" spans="1:43" ht="13.5" hidden="1" outlineLevel="1" x14ac:dyDescent="0.35">
      <c r="A7" s="86" t="s">
        <v>107</v>
      </c>
      <c r="B7" s="86"/>
      <c r="G7" s="138" t="s">
        <v>108</v>
      </c>
      <c r="I7" s="87">
        <f>IF(ISBLANK(Assumptions!K90), H7,Assumptions!K90*thous_conv)</f>
        <v>24.730486797759085</v>
      </c>
      <c r="J7" s="87">
        <f>IF(ISBLANK(Assumptions!L90), I7,Assumptions!L90*thous_conv)</f>
        <v>22.340740091772258</v>
      </c>
      <c r="K7" s="87">
        <f>IF(ISBLANK(Assumptions!M90), J7,Assumptions!M90*thous_conv)</f>
        <v>20.196329122153124</v>
      </c>
      <c r="L7" s="87">
        <f>IF(ISBLANK(Assumptions!N90), K7,Assumptions!N90*thous_conv)</f>
        <v>18.06294207659629</v>
      </c>
      <c r="M7" s="87">
        <f>IF(ISBLANK(Assumptions!O90), L7,Assumptions!O90*thous_conv)</f>
        <v>15.913397615084225</v>
      </c>
      <c r="N7" s="87">
        <f>IF(ISBLANK(Assumptions!P90), M7,Assumptions!P90*thous_conv)</f>
        <v>13.715069432539002</v>
      </c>
      <c r="O7" s="87">
        <f>IF(ISBLANK(Assumptions!Q90), N7,Assumptions!Q90*thous_conv)</f>
        <v>13.715069432539002</v>
      </c>
      <c r="P7" s="87">
        <f>IF(ISBLANK(Assumptions!R90), O7,Assumptions!R90*thous_conv)</f>
        <v>13.715069432539002</v>
      </c>
      <c r="Q7" s="87">
        <f>IF(ISBLANK(Assumptions!S90), P7,Assumptions!S90*thous_conv)</f>
        <v>13.715069432539002</v>
      </c>
      <c r="R7" s="87">
        <f>IF(ISBLANK(Assumptions!T90), Q7,Assumptions!T90*thous_conv)</f>
        <v>13.715069432539002</v>
      </c>
      <c r="S7" s="87">
        <f>IF(ISBLANK(Assumptions!U90), R7,Assumptions!U90*thous_conv)</f>
        <v>13.715069432539002</v>
      </c>
      <c r="T7" s="87">
        <f>IF(ISBLANK(Assumptions!V90), S7,Assumptions!V90*thous_conv)</f>
        <v>13.715069432539002</v>
      </c>
      <c r="U7" s="87">
        <f>IF(ISBLANK(Assumptions!W90), T7,Assumptions!W90*thous_conv)</f>
        <v>13.715069432539002</v>
      </c>
      <c r="V7" s="87">
        <f>IF(ISBLANK(Assumptions!X90), U7,Assumptions!X90*thous_conv)</f>
        <v>13.715069432539002</v>
      </c>
      <c r="W7" s="87">
        <f>IF(ISBLANK(Assumptions!Y90), V7,Assumptions!Y90*thous_conv)</f>
        <v>13.715069432539002</v>
      </c>
      <c r="X7" s="87">
        <f>IF(ISBLANK(Assumptions!Z90), W7,Assumptions!Z90*thous_conv)</f>
        <v>13.715069432539002</v>
      </c>
      <c r="Y7" s="87">
        <f>IF(ISBLANK(Assumptions!AA90), X7,Assumptions!AA90*thous_conv)</f>
        <v>13.715069432539002</v>
      </c>
      <c r="Z7" s="87">
        <f>IF(ISBLANK(Assumptions!AB90), Y7,Assumptions!AB90*thous_conv)</f>
        <v>13.715069432539002</v>
      </c>
      <c r="AA7" s="87">
        <f>IF(ISBLANK(Assumptions!AC90), Z7,Assumptions!AC90*thous_conv)</f>
        <v>13.715069432539002</v>
      </c>
      <c r="AB7" s="87">
        <f>IF(ISBLANK(Assumptions!AD90), AA7,Assumptions!AD90*thous_conv)</f>
        <v>13.715069432539002</v>
      </c>
      <c r="AC7" s="87">
        <f>IF(ISBLANK(Assumptions!AE90), AB7,Assumptions!AE90*thous_conv)</f>
        <v>13.715069432539002</v>
      </c>
      <c r="AD7" s="87">
        <f>IF(ISBLANK(Assumptions!AF90), AC7,Assumptions!AF90*thous_conv)</f>
        <v>13.715069432539002</v>
      </c>
      <c r="AE7" s="87">
        <f>IF(ISBLANK(Assumptions!AG90), AD7,Assumptions!AG90*thous_conv)</f>
        <v>13.715069432539002</v>
      </c>
      <c r="AF7" s="87">
        <f>IF(ISBLANK(Assumptions!AH90), AE7,Assumptions!AH90*thous_conv)</f>
        <v>13.715069432539002</v>
      </c>
      <c r="AG7" s="87">
        <f>IF(ISBLANK(Assumptions!AI90), AF7,Assumptions!AI90*thous_conv)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57"/>
      <c r="B9" s="157"/>
      <c r="C9" s="157"/>
      <c r="D9" s="157"/>
      <c r="E9" s="157"/>
      <c r="F9" s="158"/>
      <c r="G9" s="157" t="s">
        <v>109</v>
      </c>
      <c r="H9" s="272">
        <f>DATE(LEFT(I9,4), 6,30)</f>
        <v>46203</v>
      </c>
      <c r="I9" s="159" t="str">
        <f>start</f>
        <v>2026-27</v>
      </c>
      <c r="J9" s="159" t="str">
        <f t="shared" ref="J9:AG9" si="1">LEFT(I9,4)+1&amp;"-"&amp;RIGHT(I9,2)+1</f>
        <v>2027-28</v>
      </c>
      <c r="K9" s="159" t="str">
        <f t="shared" si="1"/>
        <v>2028-29</v>
      </c>
      <c r="L9" s="159" t="str">
        <f t="shared" si="1"/>
        <v>2029-30</v>
      </c>
      <c r="M9" s="159" t="str">
        <f t="shared" si="1"/>
        <v>2030-31</v>
      </c>
      <c r="N9" s="159" t="str">
        <f t="shared" si="1"/>
        <v>2031-32</v>
      </c>
      <c r="O9" s="159" t="str">
        <f t="shared" si="1"/>
        <v>2032-33</v>
      </c>
      <c r="P9" s="159" t="str">
        <f t="shared" si="1"/>
        <v>2033-34</v>
      </c>
      <c r="Q9" s="159" t="str">
        <f t="shared" si="1"/>
        <v>2034-35</v>
      </c>
      <c r="R9" s="159" t="str">
        <f t="shared" si="1"/>
        <v>2035-36</v>
      </c>
      <c r="S9" s="159" t="str">
        <f t="shared" si="1"/>
        <v>2036-37</v>
      </c>
      <c r="T9" s="159" t="str">
        <f t="shared" si="1"/>
        <v>2037-38</v>
      </c>
      <c r="U9" s="159" t="str">
        <f t="shared" si="1"/>
        <v>2038-39</v>
      </c>
      <c r="V9" s="159" t="str">
        <f t="shared" si="1"/>
        <v>2039-40</v>
      </c>
      <c r="W9" s="159" t="str">
        <f t="shared" si="1"/>
        <v>2040-41</v>
      </c>
      <c r="X9" s="159" t="str">
        <f t="shared" si="1"/>
        <v>2041-42</v>
      </c>
      <c r="Y9" s="159" t="str">
        <f t="shared" si="1"/>
        <v>2042-43</v>
      </c>
      <c r="Z9" s="159" t="str">
        <f t="shared" si="1"/>
        <v>2043-44</v>
      </c>
      <c r="AA9" s="159" t="str">
        <f t="shared" si="1"/>
        <v>2044-45</v>
      </c>
      <c r="AB9" s="159" t="str">
        <f t="shared" si="1"/>
        <v>2045-46</v>
      </c>
      <c r="AC9" s="159" t="str">
        <f t="shared" si="1"/>
        <v>2046-47</v>
      </c>
      <c r="AD9" s="159" t="str">
        <f t="shared" si="1"/>
        <v>2047-48</v>
      </c>
      <c r="AE9" s="159" t="str">
        <f t="shared" si="1"/>
        <v>2048-49</v>
      </c>
      <c r="AF9" s="159" t="str">
        <f t="shared" si="1"/>
        <v>2049-50</v>
      </c>
      <c r="AG9" s="159" t="str">
        <f t="shared" si="1"/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110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103</v>
      </c>
      <c r="D13"/>
      <c r="E13" s="106" t="s">
        <v>111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112</v>
      </c>
      <c r="D14"/>
      <c r="E14" s="127">
        <v>0</v>
      </c>
      <c r="G14" s="182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112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112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32</v>
      </c>
      <c r="G17" s="182">
        <f>input_dollars</f>
        <v>45291</v>
      </c>
      <c r="H17" s="95"/>
      <c r="I17" s="94">
        <f t="shared" ref="I17:AB17" si="2">SUM(I14:I16)</f>
        <v>0</v>
      </c>
      <c r="J17" s="94">
        <f t="shared" si="2"/>
        <v>0</v>
      </c>
      <c r="K17" s="94">
        <f t="shared" si="2"/>
        <v>0</v>
      </c>
      <c r="L17" s="94">
        <f t="shared" si="2"/>
        <v>0</v>
      </c>
      <c r="M17" s="94">
        <f t="shared" si="2"/>
        <v>0</v>
      </c>
      <c r="N17" s="94">
        <f t="shared" si="2"/>
        <v>0</v>
      </c>
      <c r="O17" s="94">
        <f t="shared" si="2"/>
        <v>0</v>
      </c>
      <c r="P17" s="94">
        <f t="shared" si="2"/>
        <v>0</v>
      </c>
      <c r="Q17" s="94">
        <f t="shared" si="2"/>
        <v>0</v>
      </c>
      <c r="R17" s="94">
        <f t="shared" si="2"/>
        <v>0</v>
      </c>
      <c r="S17" s="94">
        <f t="shared" si="2"/>
        <v>0</v>
      </c>
      <c r="T17" s="94">
        <f t="shared" si="2"/>
        <v>0</v>
      </c>
      <c r="U17" s="94">
        <f t="shared" si="2"/>
        <v>0</v>
      </c>
      <c r="V17" s="94">
        <f t="shared" si="2"/>
        <v>0</v>
      </c>
      <c r="W17" s="94">
        <f t="shared" si="2"/>
        <v>0</v>
      </c>
      <c r="X17" s="94">
        <f t="shared" si="2"/>
        <v>0</v>
      </c>
      <c r="Y17" s="94">
        <f t="shared" si="2"/>
        <v>0</v>
      </c>
      <c r="Z17" s="94">
        <f t="shared" si="2"/>
        <v>0</v>
      </c>
      <c r="AA17" s="94">
        <f t="shared" si="2"/>
        <v>0</v>
      </c>
      <c r="AB17" s="94">
        <f t="shared" si="2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33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113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114</v>
      </c>
      <c r="D24" s="99"/>
      <c r="E24" s="99"/>
      <c r="F24" s="99"/>
      <c r="G24" s="183"/>
      <c r="H24" s="99"/>
      <c r="I24" s="116">
        <v>0</v>
      </c>
      <c r="J24" s="116">
        <v>0</v>
      </c>
      <c r="K24" s="116">
        <v>0</v>
      </c>
      <c r="L24" s="116">
        <v>0</v>
      </c>
      <c r="M24" s="116">
        <v>0</v>
      </c>
      <c r="N24" s="116">
        <v>0</v>
      </c>
      <c r="O24" s="116">
        <v>0</v>
      </c>
      <c r="P24" s="116">
        <v>0</v>
      </c>
      <c r="Q24" s="116">
        <v>0</v>
      </c>
      <c r="R24" s="116">
        <v>0</v>
      </c>
      <c r="S24" s="116">
        <v>0</v>
      </c>
      <c r="T24" s="116">
        <v>0</v>
      </c>
      <c r="U24" s="116">
        <v>0</v>
      </c>
      <c r="V24" s="116">
        <v>0</v>
      </c>
      <c r="W24" s="116">
        <v>0</v>
      </c>
      <c r="X24" s="116">
        <v>0</v>
      </c>
      <c r="Y24" s="116">
        <v>0</v>
      </c>
      <c r="Z24" s="116">
        <v>0</v>
      </c>
      <c r="AA24" s="116">
        <v>0</v>
      </c>
      <c r="AB24" s="116">
        <v>0</v>
      </c>
      <c r="AC24" s="116">
        <v>0</v>
      </c>
      <c r="AD24" s="116">
        <v>0</v>
      </c>
      <c r="AE24" s="116">
        <v>0</v>
      </c>
      <c r="AF24" s="116">
        <v>0</v>
      </c>
      <c r="AG24" s="11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115</v>
      </c>
      <c r="D25" s="183"/>
      <c r="E25" s="99"/>
      <c r="F25" s="99"/>
      <c r="G25" s="183"/>
      <c r="H25" s="99"/>
      <c r="I25" s="116">
        <v>0</v>
      </c>
      <c r="J25" s="116">
        <v>0</v>
      </c>
      <c r="K25" s="116">
        <v>0</v>
      </c>
      <c r="L25" s="116">
        <v>0</v>
      </c>
      <c r="M25" s="116">
        <v>0</v>
      </c>
      <c r="N25" s="116">
        <v>0</v>
      </c>
      <c r="O25" s="116">
        <v>0</v>
      </c>
      <c r="P25" s="116">
        <v>0</v>
      </c>
      <c r="Q25" s="116">
        <v>0</v>
      </c>
      <c r="R25" s="116">
        <v>0</v>
      </c>
      <c r="S25" s="116">
        <v>0</v>
      </c>
      <c r="T25" s="116">
        <v>0</v>
      </c>
      <c r="U25" s="116">
        <v>0</v>
      </c>
      <c r="V25" s="116">
        <v>0</v>
      </c>
      <c r="W25" s="116">
        <v>0</v>
      </c>
      <c r="X25" s="116">
        <v>0</v>
      </c>
      <c r="Y25" s="116">
        <v>0</v>
      </c>
      <c r="Z25" s="116">
        <v>0</v>
      </c>
      <c r="AA25" s="116">
        <v>0</v>
      </c>
      <c r="AB25" s="116">
        <v>0</v>
      </c>
      <c r="AC25" s="116">
        <v>0</v>
      </c>
      <c r="AD25" s="116">
        <v>0</v>
      </c>
      <c r="AE25" s="116">
        <v>0</v>
      </c>
      <c r="AF25" s="116">
        <v>0</v>
      </c>
      <c r="AG25" s="11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116</v>
      </c>
      <c r="D27" s="180"/>
      <c r="E27"/>
      <c r="G27" s="182" t="s">
        <v>117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118</v>
      </c>
      <c r="D28" s="180" t="s">
        <v>108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Workings_risks!E11</f>
        <v>285320.88237505034</v>
      </c>
      <c r="J28" s="29">
        <f>Workings_risks!F11</f>
        <v>295287.36990711221</v>
      </c>
      <c r="K28" s="29">
        <f>Workings_risks!G11</f>
        <v>304173.7203946443</v>
      </c>
      <c r="L28" s="29">
        <f>Workings_risks!H11</f>
        <v>311140.7003087753</v>
      </c>
      <c r="M28" s="29">
        <f>Workings_risks!I11</f>
        <v>315210.02787676285</v>
      </c>
      <c r="N28" s="29">
        <f>Workings_risks!J11</f>
        <v>320547.86498746503</v>
      </c>
      <c r="O28" s="29">
        <f>Workings_risks!K11</f>
        <v>330889.42654053797</v>
      </c>
      <c r="P28" s="29">
        <f>Workings_risks!L11</f>
        <v>342866.66141804599</v>
      </c>
      <c r="Q28" s="29">
        <f>Workings_risks!M11</f>
        <v>346896.1687025521</v>
      </c>
      <c r="R28" s="29">
        <f>Workings_risks!N11</f>
        <v>355179.45820060186</v>
      </c>
      <c r="S28" s="29">
        <f>Workings_risks!O11</f>
        <v>363545.0497928611</v>
      </c>
      <c r="T28" s="29">
        <f>Workings_risks!P11</f>
        <v>371992.68972877495</v>
      </c>
      <c r="U28" s="29">
        <f>Workings_risks!Q11</f>
        <v>380522.13161977479</v>
      </c>
      <c r="V28" s="29">
        <f>Workings_risks!R11</f>
        <v>389133.12936380506</v>
      </c>
      <c r="W28" s="29">
        <f>Workings_risks!S11</f>
        <v>397825.44775530783</v>
      </c>
      <c r="X28" s="29">
        <f>Workings_risks!T11</f>
        <v>406598.85541134502</v>
      </c>
      <c r="Y28" s="29">
        <f>Workings_risks!U11</f>
        <v>415453.13185232208</v>
      </c>
      <c r="Z28" s="29">
        <f>Workings_risks!V11</f>
        <v>424388.04979536857</v>
      </c>
      <c r="AA28" s="29">
        <f>Workings_risks!W11</f>
        <v>433403.3963996669</v>
      </c>
      <c r="AB28" s="29">
        <f>Workings_risks!X11</f>
        <v>442498.95909989538</v>
      </c>
      <c r="AC28" s="29">
        <f>Workings_risks!Y11</f>
        <v>451674.5362376523</v>
      </c>
      <c r="AD28" s="29">
        <f>Workings_risks!Z11</f>
        <v>460929.92642823589</v>
      </c>
      <c r="AE28" s="29">
        <f>Workings_risks!AA11</f>
        <v>470264.92855308962</v>
      </c>
      <c r="AF28" s="29">
        <f>Workings_risks!AB11</f>
        <v>479679.35595213843</v>
      </c>
      <c r="AG28" s="29">
        <f>Workings_risks!AC11</f>
        <v>489173.01513320534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Workings_risks!D12</f>
        <v>Safety risk</v>
      </c>
      <c r="D30" s="180" t="s">
        <v>119</v>
      </c>
      <c r="G30" s="182">
        <f>input_dollars</f>
        <v>45291</v>
      </c>
      <c r="H30" s="128"/>
      <c r="I30" s="29">
        <f>Workings_risks!E12</f>
        <v>584.88390844473759</v>
      </c>
      <c r="J30" s="29">
        <f>Workings_risks!F12</f>
        <v>600.50471135378461</v>
      </c>
      <c r="K30" s="29">
        <f>Workings_risks!G12</f>
        <v>616.29465798613819</v>
      </c>
      <c r="L30" s="29">
        <f>Workings_risks!H12</f>
        <v>632.25297447689923</v>
      </c>
      <c r="M30" s="29">
        <f>Workings_risks!I12</f>
        <v>648.37888696116886</v>
      </c>
      <c r="N30" s="29">
        <f>Workings_risks!J12</f>
        <v>664.67167220072349</v>
      </c>
      <c r="O30" s="29">
        <f>Workings_risks!K12</f>
        <v>681.13058526019313</v>
      </c>
      <c r="P30" s="29">
        <f>Workings_risks!L12</f>
        <v>697.75491736611889</v>
      </c>
      <c r="Q30" s="29">
        <f>Workings_risks!M12</f>
        <v>714.54397420980615</v>
      </c>
      <c r="R30" s="29">
        <f>Workings_risks!N12</f>
        <v>731.49704701779626</v>
      </c>
      <c r="S30" s="29">
        <f>Workings_risks!O12</f>
        <v>748.61347041092324</v>
      </c>
      <c r="T30" s="29">
        <f>Workings_risks!P12</f>
        <v>765.89257901002202</v>
      </c>
      <c r="U30" s="29">
        <f>Workings_risks!Q12</f>
        <v>783.3337219006911</v>
      </c>
      <c r="V30" s="29">
        <f>Workings_risks!R12</f>
        <v>800.93624816852969</v>
      </c>
      <c r="W30" s="29">
        <f>Workings_risks!S12</f>
        <v>818.69952859628359</v>
      </c>
      <c r="X30" s="29">
        <f>Workings_risks!T12</f>
        <v>836.6229411990804</v>
      </c>
      <c r="Y30" s="29">
        <f>Workings_risks!U12</f>
        <v>854.70588568919459</v>
      </c>
      <c r="Z30" s="29">
        <f>Workings_risks!V12</f>
        <v>872.94774731413656</v>
      </c>
      <c r="AA30" s="29">
        <f>Workings_risks!W12</f>
        <v>891.3479402509455</v>
      </c>
      <c r="AB30" s="29">
        <f>Workings_risks!X12</f>
        <v>909.90587867666011</v>
      </c>
      <c r="AC30" s="29">
        <f>Workings_risks!Y12</f>
        <v>928.62099846546607</v>
      </c>
      <c r="AD30" s="29">
        <f>Workings_risks!Z12</f>
        <v>947.4927354915493</v>
      </c>
      <c r="AE30" s="29">
        <f>Workings_risks!AA12</f>
        <v>947.4927354915493</v>
      </c>
      <c r="AF30" s="29">
        <f>Workings_risks!AB12</f>
        <v>947.4927354915493</v>
      </c>
      <c r="AG30" s="29">
        <f>Workings_risks!AC12</f>
        <v>947.4927354915493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Workings_risks!D13</f>
        <v>Unplanned replacement risk</v>
      </c>
      <c r="D31" s="181"/>
      <c r="E31"/>
      <c r="G31" s="182">
        <f>input_dollars</f>
        <v>45291</v>
      </c>
      <c r="H31" s="128"/>
      <c r="I31" s="29">
        <f>Workings_risks!E13</f>
        <v>23694.818430286083</v>
      </c>
      <c r="J31" s="29">
        <f>Workings_risks!F13</f>
        <v>24327.648438636581</v>
      </c>
      <c r="K31" s="29">
        <f>Workings_risks!G13</f>
        <v>24967.330797948533</v>
      </c>
      <c r="L31" s="29">
        <f>Workings_risks!H13</f>
        <v>25613.834157405119</v>
      </c>
      <c r="M31" s="29">
        <f>Workings_risks!I13</f>
        <v>26267.127166189533</v>
      </c>
      <c r="N31" s="29">
        <f>Workings_risks!J13</f>
        <v>26927.180524472977</v>
      </c>
      <c r="O31" s="29">
        <f>Workings_risks!K13</f>
        <v>27593.964053431777</v>
      </c>
      <c r="P31" s="29">
        <f>Workings_risks!L13</f>
        <v>28267.44903923371</v>
      </c>
      <c r="Q31" s="29">
        <f>Workings_risks!M13</f>
        <v>28947.607354043135</v>
      </c>
      <c r="R31" s="29">
        <f>Workings_risks!N13</f>
        <v>29634.410284027828</v>
      </c>
      <c r="S31" s="29">
        <f>Workings_risks!O13</f>
        <v>30327.830873345283</v>
      </c>
      <c r="T31" s="29">
        <f>Workings_risks!P13</f>
        <v>31027.842166153012</v>
      </c>
      <c r="U31" s="29">
        <f>Workings_risks!Q13</f>
        <v>31734.417792605094</v>
      </c>
      <c r="V31" s="29">
        <f>Workings_risks!R13</f>
        <v>32447.531382855599</v>
      </c>
      <c r="W31" s="29">
        <f>Workings_risks!S13</f>
        <v>33167.15744605349</v>
      </c>
      <c r="X31" s="29">
        <f>Workings_risks!T13</f>
        <v>33893.270784345987</v>
      </c>
      <c r="Y31" s="29">
        <f>Workings_risks!U13</f>
        <v>34625.847078875187</v>
      </c>
      <c r="Z31" s="29">
        <f>Workings_risks!V13</f>
        <v>35364.861424786606</v>
      </c>
      <c r="AA31" s="29">
        <f>Workings_risks!W13</f>
        <v>36110.290089218928</v>
      </c>
      <c r="AB31" s="29">
        <f>Workings_risks!X13</f>
        <v>36862.109339310824</v>
      </c>
      <c r="AC31" s="29">
        <f>Workings_risks!Y13</f>
        <v>37620.296321195812</v>
      </c>
      <c r="AD31" s="29">
        <f>Workings_risks!Z13</f>
        <v>38384.82818100744</v>
      </c>
      <c r="AE31" s="29">
        <f>Workings_risks!AA13</f>
        <v>38384.82818100744</v>
      </c>
      <c r="AF31" s="29">
        <f>Workings_risks!AB13</f>
        <v>38384.82818100744</v>
      </c>
      <c r="AG31" s="29">
        <f>Workings_risks!AC13</f>
        <v>38384.82818100744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Workings_risks!D14</f>
        <v>Unplanned fault risk</v>
      </c>
      <c r="D32" s="180"/>
      <c r="E32"/>
      <c r="G32" s="182">
        <f>input_dollars</f>
        <v>45291</v>
      </c>
      <c r="H32"/>
      <c r="I32" s="29">
        <f>Workings_risks!E14</f>
        <v>2122.0329984000005</v>
      </c>
      <c r="J32" s="29">
        <f>Workings_risks!F14</f>
        <v>2178.7072524800001</v>
      </c>
      <c r="K32" s="29">
        <f>Workings_risks!G14</f>
        <v>2235.9951814400001</v>
      </c>
      <c r="L32" s="29">
        <f>Workings_risks!H14</f>
        <v>2293.8939775999997</v>
      </c>
      <c r="M32" s="29">
        <f>Workings_risks!I14</f>
        <v>2352.4008332799999</v>
      </c>
      <c r="N32" s="29">
        <f>Workings_risks!J14</f>
        <v>2411.51312448</v>
      </c>
      <c r="O32" s="29">
        <f>Workings_risks!K14</f>
        <v>2471.2281484800001</v>
      </c>
      <c r="P32" s="29">
        <f>Workings_risks!L14</f>
        <v>2531.5433337599998</v>
      </c>
      <c r="Q32" s="29">
        <f>Workings_risks!M14</f>
        <v>2592.4561612799998</v>
      </c>
      <c r="R32" s="29">
        <f>Workings_risks!N14</f>
        <v>2653.9640595200003</v>
      </c>
      <c r="S32" s="29">
        <f>Workings_risks!O14</f>
        <v>2716.0646144000002</v>
      </c>
      <c r="T32" s="29">
        <f>Workings_risks!P14</f>
        <v>2778.7554118400003</v>
      </c>
      <c r="U32" s="29">
        <f>Workings_risks!Q14</f>
        <v>2842.0340902400003</v>
      </c>
      <c r="V32" s="29">
        <f>Workings_risks!R14</f>
        <v>2905.8982879999999</v>
      </c>
      <c r="W32" s="29">
        <f>Workings_risks!S14</f>
        <v>2970.3457222400002</v>
      </c>
      <c r="X32" s="29">
        <f>Workings_risks!T14</f>
        <v>3035.3741363200002</v>
      </c>
      <c r="Y32" s="29">
        <f>Workings_risks!U14</f>
        <v>3100.98135232</v>
      </c>
      <c r="Z32" s="29">
        <f>Workings_risks!V14</f>
        <v>3167.1651398399999</v>
      </c>
      <c r="AA32" s="29">
        <f>Workings_risks!W14</f>
        <v>3233.92337344</v>
      </c>
      <c r="AB32" s="29">
        <f>Workings_risks!X14</f>
        <v>3301.2539276800003</v>
      </c>
      <c r="AC32" s="29">
        <f>Workings_risks!Y14</f>
        <v>3369.1547558400002</v>
      </c>
      <c r="AD32" s="29">
        <f>Workings_risks!Z14</f>
        <v>3437.6238112000001</v>
      </c>
      <c r="AE32" s="29">
        <f>Workings_risks!AA14</f>
        <v>3437.6238112000001</v>
      </c>
      <c r="AF32" s="29">
        <f>Workings_risks!AB14</f>
        <v>3437.6238112000001</v>
      </c>
      <c r="AG32" s="29">
        <f>Workings_risks!AC14</f>
        <v>3437.6238112000001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Workings_risks!D15</f>
        <v>Enviromental risk</v>
      </c>
      <c r="D33" s="180" t="s">
        <v>119</v>
      </c>
      <c r="E33"/>
      <c r="G33" s="182">
        <f>input_dollars</f>
        <v>45291</v>
      </c>
      <c r="H33"/>
      <c r="I33" s="29">
        <f>Workings_risks!E15</f>
        <v>141000</v>
      </c>
      <c r="J33" s="29">
        <f>Workings_risks!F15</f>
        <v>141000</v>
      </c>
      <c r="K33" s="29">
        <f>Workings_risks!G15</f>
        <v>141000</v>
      </c>
      <c r="L33" s="29">
        <f>Workings_risks!H15</f>
        <v>141000</v>
      </c>
      <c r="M33" s="29">
        <f>Workings_risks!I15</f>
        <v>141000</v>
      </c>
      <c r="N33" s="29">
        <f>Workings_risks!J15</f>
        <v>141000</v>
      </c>
      <c r="O33" s="29">
        <f>Workings_risks!K15</f>
        <v>141000</v>
      </c>
      <c r="P33" s="29">
        <f>Workings_risks!L15</f>
        <v>141000</v>
      </c>
      <c r="Q33" s="29">
        <f>Workings_risks!M15</f>
        <v>141000</v>
      </c>
      <c r="R33" s="29">
        <f>Workings_risks!N15</f>
        <v>141000</v>
      </c>
      <c r="S33" s="29">
        <f>Workings_risks!O15</f>
        <v>141000</v>
      </c>
      <c r="T33" s="29">
        <f>Workings_risks!P15</f>
        <v>141000</v>
      </c>
      <c r="U33" s="29">
        <f>Workings_risks!Q15</f>
        <v>141000</v>
      </c>
      <c r="V33" s="29">
        <f>Workings_risks!R15</f>
        <v>141000</v>
      </c>
      <c r="W33" s="29">
        <f>Workings_risks!S15</f>
        <v>141000</v>
      </c>
      <c r="X33" s="29">
        <f>Workings_risks!T15</f>
        <v>141000</v>
      </c>
      <c r="Y33" s="29">
        <f>Workings_risks!U15</f>
        <v>141000</v>
      </c>
      <c r="Z33" s="29">
        <f>Workings_risks!V15</f>
        <v>141000</v>
      </c>
      <c r="AA33" s="29">
        <f>Workings_risks!W15</f>
        <v>141000</v>
      </c>
      <c r="AB33" s="29">
        <f>Workings_risks!X15</f>
        <v>141000</v>
      </c>
      <c r="AC33" s="29">
        <f>Workings_risks!Y15</f>
        <v>141000</v>
      </c>
      <c r="AD33" s="29">
        <f>Workings_risks!Z15</f>
        <v>141000</v>
      </c>
      <c r="AE33" s="29">
        <f>Workings_risks!AA15</f>
        <v>141000</v>
      </c>
      <c r="AF33" s="29">
        <f>Workings_risks!AB15</f>
        <v>141000</v>
      </c>
      <c r="AG33" s="29">
        <f>Workings_risks!AC15</f>
        <v>141000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120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121</v>
      </c>
      <c r="D36" s="192"/>
      <c r="E36" s="95"/>
      <c r="F36" s="3"/>
      <c r="G36" s="184"/>
      <c r="H36" s="95"/>
      <c r="I36" s="94">
        <f>SUM(I28:I34)</f>
        <v>452722.61771218112</v>
      </c>
      <c r="J36" s="94">
        <f t="shared" ref="J36:AB36" si="3">SUM(J28:J34)</f>
        <v>463394.23030958255</v>
      </c>
      <c r="K36" s="94">
        <f t="shared" si="3"/>
        <v>472993.341032019</v>
      </c>
      <c r="L36" s="94">
        <f t="shared" si="3"/>
        <v>480680.6814182573</v>
      </c>
      <c r="M36" s="94">
        <f t="shared" si="3"/>
        <v>485477.93476319354</v>
      </c>
      <c r="N36" s="94">
        <f t="shared" si="3"/>
        <v>491551.23030861875</v>
      </c>
      <c r="O36" s="94">
        <f t="shared" si="3"/>
        <v>502635.7493277099</v>
      </c>
      <c r="P36" s="94">
        <f t="shared" si="3"/>
        <v>515363.40870840586</v>
      </c>
      <c r="Q36" s="94">
        <f t="shared" si="3"/>
        <v>520150.776192085</v>
      </c>
      <c r="R36" s="94">
        <f t="shared" si="3"/>
        <v>529199.32959116739</v>
      </c>
      <c r="S36" s="94">
        <f t="shared" si="3"/>
        <v>538337.55875101732</v>
      </c>
      <c r="T36" s="94">
        <f t="shared" si="3"/>
        <v>547565.17988577799</v>
      </c>
      <c r="U36" s="94">
        <f t="shared" si="3"/>
        <v>556881.91722452058</v>
      </c>
      <c r="V36" s="94">
        <f t="shared" si="3"/>
        <v>566287.49528282927</v>
      </c>
      <c r="W36" s="94">
        <f t="shared" si="3"/>
        <v>575781.65045219753</v>
      </c>
      <c r="X36" s="94">
        <f t="shared" si="3"/>
        <v>585364.12327321013</v>
      </c>
      <c r="Y36" s="94">
        <f t="shared" si="3"/>
        <v>595034.66616920638</v>
      </c>
      <c r="Z36" s="94">
        <f t="shared" si="3"/>
        <v>604793.02410730929</v>
      </c>
      <c r="AA36" s="94">
        <f t="shared" si="3"/>
        <v>614638.95780257671</v>
      </c>
      <c r="AB36" s="94">
        <f t="shared" si="3"/>
        <v>624572.22824556287</v>
      </c>
      <c r="AC36" s="94">
        <f>SUM(AC28:AC34)</f>
        <v>634592.6083131535</v>
      </c>
      <c r="AD36" s="94">
        <f>SUM(AD28:AD34)</f>
        <v>644699.87115593487</v>
      </c>
      <c r="AE36" s="94">
        <f>SUM(AE28:AE34)</f>
        <v>654034.87328078866</v>
      </c>
      <c r="AF36" s="94">
        <f>SUM(AF28:AF34)</f>
        <v>663449.30067983747</v>
      </c>
      <c r="AG36" s="94">
        <f>SUM(AG28:AG34)</f>
        <v>672942.95986090438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122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123</v>
      </c>
      <c r="G41" s="180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124</v>
      </c>
      <c r="G42" s="180" t="s">
        <v>125</v>
      </c>
      <c r="I42" s="28">
        <f t="shared" ref="I42:AG42" si="4">I41*I7</f>
        <v>0</v>
      </c>
      <c r="J42" s="28">
        <f t="shared" si="4"/>
        <v>0</v>
      </c>
      <c r="K42" s="28">
        <f t="shared" si="4"/>
        <v>0</v>
      </c>
      <c r="L42" s="28">
        <f t="shared" si="4"/>
        <v>0</v>
      </c>
      <c r="M42" s="28">
        <f t="shared" si="4"/>
        <v>0</v>
      </c>
      <c r="N42" s="28">
        <f t="shared" si="4"/>
        <v>0</v>
      </c>
      <c r="O42" s="28">
        <f t="shared" si="4"/>
        <v>0</v>
      </c>
      <c r="P42" s="28">
        <f t="shared" si="4"/>
        <v>0</v>
      </c>
      <c r="Q42" s="28">
        <f t="shared" si="4"/>
        <v>0</v>
      </c>
      <c r="R42" s="28">
        <f t="shared" si="4"/>
        <v>0</v>
      </c>
      <c r="S42" s="28">
        <f t="shared" si="4"/>
        <v>0</v>
      </c>
      <c r="T42" s="28">
        <f t="shared" si="4"/>
        <v>0</v>
      </c>
      <c r="U42" s="28">
        <f t="shared" si="4"/>
        <v>0</v>
      </c>
      <c r="V42" s="28">
        <f t="shared" si="4"/>
        <v>0</v>
      </c>
      <c r="W42" s="28">
        <f t="shared" si="4"/>
        <v>0</v>
      </c>
      <c r="X42" s="28">
        <f t="shared" si="4"/>
        <v>0</v>
      </c>
      <c r="Y42" s="28">
        <f t="shared" si="4"/>
        <v>0</v>
      </c>
      <c r="Z42" s="28">
        <f t="shared" si="4"/>
        <v>0</v>
      </c>
      <c r="AA42" s="28">
        <f t="shared" si="4"/>
        <v>0</v>
      </c>
      <c r="AB42" s="28">
        <f t="shared" si="4"/>
        <v>0</v>
      </c>
      <c r="AC42" s="28">
        <f t="shared" si="4"/>
        <v>0</v>
      </c>
      <c r="AD42" s="28">
        <f t="shared" si="4"/>
        <v>0</v>
      </c>
      <c r="AE42" s="28">
        <f t="shared" si="4"/>
        <v>0</v>
      </c>
      <c r="AF42" s="28">
        <f t="shared" si="4"/>
        <v>0</v>
      </c>
      <c r="AG42" s="28">
        <f t="shared" si="4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126</v>
      </c>
      <c r="D45" s="180" t="s">
        <v>108</v>
      </c>
      <c r="E45" s="101">
        <f>Assumptions!G94</f>
        <v>151432.81740793545</v>
      </c>
      <c r="G45" s="182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127</v>
      </c>
      <c r="D46" s="180" t="s">
        <v>108</v>
      </c>
      <c r="E46" s="101">
        <f>Assumptions!G95</f>
        <v>24590</v>
      </c>
      <c r="G46" s="182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128</v>
      </c>
      <c r="D47" s="180" t="s">
        <v>108</v>
      </c>
      <c r="E47" s="100">
        <f>Assumptions!G96</f>
        <v>88.357719508603083</v>
      </c>
      <c r="G47" s="182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129</v>
      </c>
      <c r="D48" s="180" t="s">
        <v>130</v>
      </c>
      <c r="E48" s="100">
        <f>Assumptions!G97</f>
        <v>0</v>
      </c>
      <c r="G48" s="182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132</v>
      </c>
      <c r="D49" s="180" t="s">
        <v>133</v>
      </c>
      <c r="E49" s="100">
        <f>Assumptions!G98</f>
        <v>0.35181336539087127</v>
      </c>
      <c r="G49" s="182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135</v>
      </c>
      <c r="D50" s="180" t="s">
        <v>133</v>
      </c>
      <c r="E50" s="100">
        <f>Assumptions!G99</f>
        <v>0.35181336539087127</v>
      </c>
      <c r="G50" s="182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136</v>
      </c>
      <c r="D51" s="180" t="s">
        <v>130</v>
      </c>
      <c r="E51" s="100">
        <f>Assumptions!G100</f>
        <v>0</v>
      </c>
      <c r="G51" s="182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137</v>
      </c>
      <c r="D52" s="180" t="s">
        <v>130</v>
      </c>
      <c r="E52" s="100">
        <f>Assumptions!G101</f>
        <v>0</v>
      </c>
      <c r="G52" s="182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138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139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140</v>
      </c>
      <c r="D57" s="192"/>
      <c r="E57" s="95"/>
      <c r="F57" s="3"/>
      <c r="G57" s="185">
        <f>input_dollars</f>
        <v>45291</v>
      </c>
      <c r="H57" s="95"/>
      <c r="I57" s="94" cm="1">
        <f t="array" ref="I57">SUMPRODUCT((I$45:I$52)*($E$45:$E$52))+SUM(I54:I55)+I42</f>
        <v>0</v>
      </c>
      <c r="J57" s="94" cm="1">
        <f t="array" ref="J57">SUMPRODUCT((J$45:J$52)*($E$45:$E$52))+SUM(J54:J55)+J42</f>
        <v>0</v>
      </c>
      <c r="K57" s="94" cm="1">
        <f t="array" ref="K57">SUMPRODUCT((K$45:K$52)*($E$45:$E$52))+SUM(K54:K55)+K42</f>
        <v>0</v>
      </c>
      <c r="L57" s="94" cm="1">
        <f t="array" ref="L57">SUMPRODUCT((L$45:L$52)*($E$45:$E$52))+SUM(L54:L55)+L42</f>
        <v>0</v>
      </c>
      <c r="M57" s="94" cm="1">
        <f t="array" ref="M57">SUMPRODUCT((M$45:M$52)*($E$45:$E$52))+SUM(M54:M55)+M42</f>
        <v>0</v>
      </c>
      <c r="N57" s="94" cm="1">
        <f t="array" ref="N57">SUMPRODUCT((N$45:N$52)*($E$45:$E$52))+SUM(N54:N55)+N42</f>
        <v>0</v>
      </c>
      <c r="O57" s="94" cm="1">
        <f t="array" ref="O57">SUMPRODUCT((O$45:O$52)*($E$45:$E$52))+SUM(O54:O55)+O42</f>
        <v>0</v>
      </c>
      <c r="P57" s="94" cm="1">
        <f t="array" ref="P57">SUMPRODUCT((P$45:P$52)*($E$45:$E$52))+SUM(P54:P55)+P42</f>
        <v>0</v>
      </c>
      <c r="Q57" s="94" cm="1">
        <f t="array" ref="Q57">SUMPRODUCT((Q$45:Q$52)*($E$45:$E$52))+SUM(Q54:Q55)+Q42</f>
        <v>0</v>
      </c>
      <c r="R57" s="94" cm="1">
        <f t="array" ref="R57">SUMPRODUCT((R$45:R$52)*($E$45:$E$52))+SUM(R54:R55)+R42</f>
        <v>0</v>
      </c>
      <c r="S57" s="94" cm="1">
        <f t="array" ref="S57">SUMPRODUCT((S$45:S$52)*($E$45:$E$52))+SUM(S54:S55)+S42</f>
        <v>0</v>
      </c>
      <c r="T57" s="94" cm="1">
        <f t="array" ref="T57">SUMPRODUCT((T$45:T$52)*($E$45:$E$52))+SUM(T54:T55)+T42</f>
        <v>0</v>
      </c>
      <c r="U57" s="94" cm="1">
        <f t="array" ref="U57">SUMPRODUCT((U$45:U$52)*($E$45:$E$52))+SUM(U54:U55)+U42</f>
        <v>0</v>
      </c>
      <c r="V57" s="94" cm="1">
        <f t="array" ref="V57">SUMPRODUCT((V$45:V$52)*($E$45:$E$52))+SUM(V54:V55)+V42</f>
        <v>0</v>
      </c>
      <c r="W57" s="94" cm="1">
        <f t="array" ref="W57">SUMPRODUCT((W$45:W$52)*($E$45:$E$52))+SUM(W54:W55)+W42</f>
        <v>0</v>
      </c>
      <c r="X57" s="94" cm="1">
        <f t="array" ref="X57">SUMPRODUCT((X$45:X$52)*($E$45:$E$52))+SUM(X54:X55)+X42</f>
        <v>0</v>
      </c>
      <c r="Y57" s="94" cm="1">
        <f t="array" ref="Y57">SUMPRODUCT((Y$45:Y$52)*($E$45:$E$52))+SUM(Y54:Y55)+Y42</f>
        <v>0</v>
      </c>
      <c r="Z57" s="94" cm="1">
        <f t="array" ref="Z57">SUMPRODUCT((Z$45:Z$52)*($E$45:$E$52))+SUM(Z54:Z55)+Z42</f>
        <v>0</v>
      </c>
      <c r="AA57" s="94" cm="1">
        <f t="array" ref="AA57">SUMPRODUCT((AA$45:AA$52)*($E$45:$E$52))+SUM(AA54:AA55)+AA42</f>
        <v>0</v>
      </c>
      <c r="AB57" s="94" cm="1">
        <f t="array" ref="AB57">SUMPRODUCT((AB$45:AB$52)*($E$45:$E$52))+SUM(AB54:AB55)+AB42</f>
        <v>0</v>
      </c>
      <c r="AC57" s="94" cm="1">
        <f t="array" ref="AC57">SUMPRODUCT((AC$45:AC$52)*($E$45:$E$52))+SUM(AC54:AC55)+AC42</f>
        <v>0</v>
      </c>
      <c r="AD57" s="94" cm="1">
        <f t="array" ref="AD57">SUMPRODUCT((AD$45:AD$52)*($E$45:$E$52))+SUM(AD54:AD55)+AD42</f>
        <v>0</v>
      </c>
      <c r="AE57" s="94" cm="1">
        <f t="array" ref="AE57">SUMPRODUCT((AE$45:AE$52)*($E$45:$E$52))+SUM(AE54:AE55)+AE42</f>
        <v>0</v>
      </c>
      <c r="AF57" s="94" cm="1">
        <f t="array" ref="AF57">SUMPRODUCT((AF$45:AF$52)*($E$45:$E$52))+SUM(AF54:AF55)+AF42</f>
        <v>0</v>
      </c>
      <c r="AG57" s="94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23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</row>
    <row r="64" spans="1:43" x14ac:dyDescent="0.3">
      <c r="C64" s="4" t="s">
        <v>141</v>
      </c>
      <c r="G64" s="185">
        <f>input_dollars</f>
        <v>45291</v>
      </c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</row>
    <row r="65" spans="1:33" x14ac:dyDescent="0.3">
      <c r="G65" s="187"/>
    </row>
    <row r="66" spans="1:33" x14ac:dyDescent="0.3">
      <c r="A66" s="6"/>
      <c r="B66" s="6"/>
      <c r="C66" s="126" t="s">
        <v>32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142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143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144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143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33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145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146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6" t="s">
        <v>147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19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19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/>
      <c r="D90" s="72"/>
      <c r="E90" s="205"/>
      <c r="F90" s="206"/>
      <c r="G90" s="20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205"/>
      <c r="D91" s="205"/>
      <c r="E91" s="205"/>
      <c r="F91" s="205"/>
      <c r="G91" s="205"/>
    </row>
    <row r="92" spans="1:33" x14ac:dyDescent="0.3">
      <c r="C92" s="205"/>
      <c r="D92" s="205"/>
      <c r="E92" s="205"/>
      <c r="F92" s="205"/>
      <c r="G92" s="205"/>
    </row>
    <row r="94" spans="1:33" x14ac:dyDescent="0.3">
      <c r="G94" s="10"/>
    </row>
    <row r="102" spans="1:43" ht="14.5" x14ac:dyDescent="0.3">
      <c r="A102" s="78" t="s">
        <v>37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22</v>
      </c>
      <c r="C106" s="1" t="s">
        <v>147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3">
      <c r="C108" s="1" t="s">
        <v>104</v>
      </c>
      <c r="D108" s="222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workbookViewId="0">
      <selection activeCell="G90" sqref="G90"/>
    </sheetView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33.8437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CHA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148</v>
      </c>
      <c r="B3" s="5"/>
      <c r="C3" s="176" t="str">
        <f>INDEX(Assumptions!$E$14:$E$18, MATCH(A3,_xlfn.ANCHORARRAY( Assumptions!$C$14),0))</f>
        <v>Replace transformer #2 completed in 2027-2028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108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109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110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103</v>
      </c>
      <c r="D13"/>
      <c r="E13" s="106" t="s">
        <v>111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149</v>
      </c>
      <c r="D14"/>
      <c r="E14" s="127">
        <v>50</v>
      </c>
      <c r="G14" s="182">
        <f>input_dollars</f>
        <v>45291</v>
      </c>
      <c r="H14" s="128"/>
      <c r="I14" s="29">
        <f>Workings_costs!E20</f>
        <v>4069420.6875299625</v>
      </c>
      <c r="J14" s="29">
        <f>Workings_costs!F20</f>
        <v>2034710.3437649813</v>
      </c>
      <c r="K14" s="29">
        <f>Workings_costs!G20</f>
        <v>0</v>
      </c>
      <c r="L14" s="29">
        <f>Workings_costs!H20</f>
        <v>0</v>
      </c>
      <c r="M14" s="29">
        <f>Workings_costs!I20</f>
        <v>0</v>
      </c>
      <c r="N14" s="29">
        <f>Workings_costs!J20</f>
        <v>0</v>
      </c>
      <c r="O14" s="29">
        <f>Workings_costs!K20</f>
        <v>0</v>
      </c>
      <c r="P14" s="29">
        <f>Workings_costs!L20</f>
        <v>0</v>
      </c>
      <c r="Q14" s="29">
        <f>Workings_costs!M20</f>
        <v>0</v>
      </c>
      <c r="R14" s="29">
        <f>Workings_costs!N20</f>
        <v>0</v>
      </c>
      <c r="S14" s="29">
        <f>Workings_costs!O20</f>
        <v>0</v>
      </c>
      <c r="T14" s="29">
        <f>Workings_costs!P20</f>
        <v>0</v>
      </c>
      <c r="U14" s="29">
        <f>Workings_costs!Q20</f>
        <v>0</v>
      </c>
      <c r="V14" s="29">
        <f>Workings_costs!R20</f>
        <v>0</v>
      </c>
      <c r="W14" s="29">
        <f>Workings_costs!S20</f>
        <v>0</v>
      </c>
      <c r="X14" s="29">
        <f>Workings_costs!T20</f>
        <v>0</v>
      </c>
      <c r="Y14" s="29">
        <f>Workings_costs!U20</f>
        <v>0</v>
      </c>
      <c r="Z14" s="29">
        <f>Workings_costs!V20</f>
        <v>0</v>
      </c>
      <c r="AA14" s="29">
        <f>Workings_costs!W20</f>
        <v>0</v>
      </c>
      <c r="AB14" s="29">
        <f>Workings_costs!X20</f>
        <v>0</v>
      </c>
      <c r="AC14" s="29">
        <f>Workings_costs!Y20</f>
        <v>0</v>
      </c>
      <c r="AD14" s="29">
        <f>Workings_costs!Z20</f>
        <v>0</v>
      </c>
      <c r="AE14" s="29">
        <f>Workings_costs!AA20</f>
        <v>0</v>
      </c>
      <c r="AF14" s="29">
        <f>Workings_costs!AB20</f>
        <v>0</v>
      </c>
      <c r="AG14" s="29">
        <f>Workings_costs!AC20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32</v>
      </c>
      <c r="G17" s="182">
        <f>input_dollars</f>
        <v>45291</v>
      </c>
      <c r="H17" s="95"/>
      <c r="I17" s="94">
        <f t="shared" ref="I17:Q17" si="0">SUM(I14:I16)</f>
        <v>4069420.6875299625</v>
      </c>
      <c r="J17" s="94">
        <f t="shared" si="0"/>
        <v>2034710.3437649813</v>
      </c>
      <c r="K17" s="94">
        <f t="shared" si="0"/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33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113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114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115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116</v>
      </c>
      <c r="D27" s="180"/>
      <c r="E27"/>
      <c r="G27" s="182" t="s">
        <v>117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118</v>
      </c>
      <c r="D28" s="180" t="s">
        <v>108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Workings_risks!E23</f>
        <v>285320.88237505034</v>
      </c>
      <c r="J28" s="29">
        <f>Workings_risks!F23</f>
        <v>295287.36990711221</v>
      </c>
      <c r="K28" s="29">
        <f>Workings_risks!G23</f>
        <v>8594.4254921832544</v>
      </c>
      <c r="L28" s="29">
        <f>Workings_risks!H23</f>
        <v>15644.76116492097</v>
      </c>
      <c r="M28" s="29">
        <f>Workings_risks!I23</f>
        <v>22090.83339452885</v>
      </c>
      <c r="N28" s="29">
        <f>Workings_risks!J23</f>
        <v>28333.643254693496</v>
      </c>
      <c r="O28" s="29">
        <f>Workings_risks!K23</f>
        <v>34925.48728605808</v>
      </c>
      <c r="P28" s="29">
        <f>Workings_risks!L23</f>
        <v>41748.404739524543</v>
      </c>
      <c r="Q28" s="29">
        <f>Workings_risks!M23</f>
        <v>47581.918547826048</v>
      </c>
      <c r="R28" s="29">
        <f>Workings_risks!N23</f>
        <v>53935.834089683405</v>
      </c>
      <c r="S28" s="29">
        <f>Workings_risks!O23</f>
        <v>60315.675736609679</v>
      </c>
      <c r="T28" s="29">
        <f>Workings_risks!P23</f>
        <v>66731.384179967223</v>
      </c>
      <c r="U28" s="29">
        <f>Workings_risks!Q23</f>
        <v>73190.486309715881</v>
      </c>
      <c r="V28" s="29">
        <f>Workings_risks!R23</f>
        <v>79698.853667541582</v>
      </c>
      <c r="W28" s="29">
        <f>Workings_risks!S23</f>
        <v>86261.140351670023</v>
      </c>
      <c r="X28" s="29">
        <f>Workings_risks!T23</f>
        <v>92881.081490684752</v>
      </c>
      <c r="Y28" s="29">
        <f>Workings_risks!U23</f>
        <v>99561.718578844098</v>
      </c>
      <c r="Z28" s="29">
        <f>Workings_risks!V23</f>
        <v>106305.55793649037</v>
      </c>
      <c r="AA28" s="29">
        <f>Workings_risks!W23</f>
        <v>113114.68482679724</v>
      </c>
      <c r="AB28" s="29">
        <f>Workings_risks!X23</f>
        <v>119990.82509070248</v>
      </c>
      <c r="AC28" s="29">
        <f>Workings_risks!Y23</f>
        <v>126935.44602088649</v>
      </c>
      <c r="AD28" s="29">
        <f>Workings_risks!Z23</f>
        <v>133949.78319873824</v>
      </c>
      <c r="AE28" s="29">
        <f>Workings_risks!AA23</f>
        <v>141034.87383365346</v>
      </c>
      <c r="AF28" s="29">
        <f>Workings_risks!AB23</f>
        <v>148191.61463105766</v>
      </c>
      <c r="AG28" s="29">
        <f>Workings_risks!AC23</f>
        <v>155420.75678568424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119</v>
      </c>
      <c r="G30" s="182">
        <f>input_dollars</f>
        <v>45291</v>
      </c>
      <c r="H30" s="128"/>
      <c r="I30" s="29">
        <f>Workings_risks!E24</f>
        <v>584.88390844473759</v>
      </c>
      <c r="J30" s="29">
        <f>Workings_risks!F24</f>
        <v>600.50471135378461</v>
      </c>
      <c r="K30" s="29">
        <f>Workings_risks!G24</f>
        <v>308.39594936474509</v>
      </c>
      <c r="L30" s="29">
        <f>Workings_risks!H24</f>
        <v>316.93425031301842</v>
      </c>
      <c r="M30" s="29">
        <f>Workings_risks!I24</f>
        <v>325.79875339719177</v>
      </c>
      <c r="N30" s="29">
        <f>Workings_risks!J24</f>
        <v>334.96026872256891</v>
      </c>
      <c r="O30" s="29">
        <f>Workings_risks!K24</f>
        <v>344.40044411923094</v>
      </c>
      <c r="P30" s="29">
        <f>Workings_risks!L24</f>
        <v>354.10612388389421</v>
      </c>
      <c r="Q30" s="29">
        <f>Workings_risks!M24</f>
        <v>364.06715736809332</v>
      </c>
      <c r="R30" s="29">
        <f>Workings_risks!N24</f>
        <v>374.2753358179927</v>
      </c>
      <c r="S30" s="29">
        <f>Workings_risks!O24</f>
        <v>384.72381378380783</v>
      </c>
      <c r="T30" s="29">
        <f>Workings_risks!P24</f>
        <v>395.40674026831147</v>
      </c>
      <c r="U30" s="29">
        <f>Workings_risks!Q24</f>
        <v>406.31900920964631</v>
      </c>
      <c r="V30" s="29">
        <f>Workings_risks!R24</f>
        <v>417.45610760129836</v>
      </c>
      <c r="W30" s="29">
        <f>Workings_risks!S24</f>
        <v>428.81400339017216</v>
      </c>
      <c r="X30" s="29">
        <f>Workings_risks!T24</f>
        <v>440.38904783943082</v>
      </c>
      <c r="Y30" s="29">
        <f>Workings_risks!U24</f>
        <v>452.17792128562871</v>
      </c>
      <c r="Z30" s="29">
        <f>Workings_risks!V24</f>
        <v>464.17756804727208</v>
      </c>
      <c r="AA30" s="29">
        <f>Workings_risks!W24</f>
        <v>476.38517834386312</v>
      </c>
      <c r="AB30" s="29">
        <f>Workings_risks!X24</f>
        <v>488.79813043684169</v>
      </c>
      <c r="AC30" s="29">
        <f>Workings_risks!Y24</f>
        <v>501.41399424577747</v>
      </c>
      <c r="AD30" s="29">
        <f>Workings_risks!Z24</f>
        <v>514.23048795407556</v>
      </c>
      <c r="AE30" s="29">
        <f>Workings_risks!AA24</f>
        <v>514.23048795407556</v>
      </c>
      <c r="AF30" s="29">
        <f>Workings_risks!AB24</f>
        <v>514.23048795407556</v>
      </c>
      <c r="AG30" s="29">
        <f>Workings_risks!AC24</f>
        <v>514.23048795407556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Workings_risks!E25</f>
        <v>23694.818430286083</v>
      </c>
      <c r="J31" s="29">
        <f>Workings_risks!F25</f>
        <v>24327.648438636581</v>
      </c>
      <c r="K31" s="29">
        <f>Workings_risks!G25</f>
        <v>12493.737508122553</v>
      </c>
      <c r="L31" s="29">
        <f>Workings_risks!H25</f>
        <v>12839.641178494416</v>
      </c>
      <c r="M31" s="29">
        <f>Workings_risks!I25</f>
        <v>13198.759950649943</v>
      </c>
      <c r="N31" s="29">
        <f>Workings_risks!J25</f>
        <v>13569.911283498768</v>
      </c>
      <c r="O31" s="29">
        <f>Workings_risks!K25</f>
        <v>13952.351693885088</v>
      </c>
      <c r="P31" s="29">
        <f>Workings_risks!L25</f>
        <v>14345.548217923033</v>
      </c>
      <c r="Q31" s="29">
        <f>Workings_risks!M25</f>
        <v>14749.089632515392</v>
      </c>
      <c r="R31" s="29">
        <f>Workings_risks!N25</f>
        <v>15162.64338460529</v>
      </c>
      <c r="S31" s="29">
        <f>Workings_risks!O25</f>
        <v>15585.932151313131</v>
      </c>
      <c r="T31" s="29">
        <f>Workings_risks!P25</f>
        <v>16018.718897023924</v>
      </c>
      <c r="U31" s="29">
        <f>Workings_risks!Q25</f>
        <v>16460.796764946339</v>
      </c>
      <c r="V31" s="29">
        <f>Workings_risks!R25</f>
        <v>16911.982924148666</v>
      </c>
      <c r="W31" s="29">
        <f>Workings_risks!S25</f>
        <v>17372.114028085347</v>
      </c>
      <c r="X31" s="29">
        <f>Workings_risks!T25</f>
        <v>17841.04225912008</v>
      </c>
      <c r="Y31" s="29">
        <f>Workings_risks!U25</f>
        <v>18318.633131038681</v>
      </c>
      <c r="Z31" s="29">
        <f>Workings_risks!V25</f>
        <v>18804.762852064465</v>
      </c>
      <c r="AA31" s="29">
        <f>Workings_risks!W25</f>
        <v>19299.317592362546</v>
      </c>
      <c r="AB31" s="29">
        <f>Workings_risks!X25</f>
        <v>19802.191140053521</v>
      </c>
      <c r="AC31" s="29">
        <f>Workings_risks!Y25</f>
        <v>20313.285047712623</v>
      </c>
      <c r="AD31" s="29">
        <f>Workings_risks!Z25</f>
        <v>20832.506874379993</v>
      </c>
      <c r="AE31" s="29">
        <f>Workings_risks!AA25</f>
        <v>20832.506874379993</v>
      </c>
      <c r="AF31" s="29">
        <f>Workings_risks!AB25</f>
        <v>20832.506874379993</v>
      </c>
      <c r="AG31" s="29">
        <f>Workings_risks!AC25</f>
        <v>20832.506874379993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29">
        <f>Workings_risks!E26</f>
        <v>2122.0329984000005</v>
      </c>
      <c r="J32" s="29">
        <f>Workings_risks!F26</f>
        <v>2178.7072524800001</v>
      </c>
      <c r="K32" s="29">
        <f>Workings_risks!G26</f>
        <v>1118.89961696</v>
      </c>
      <c r="L32" s="29">
        <f>Workings_risks!H26</f>
        <v>1149.8776556799999</v>
      </c>
      <c r="M32" s="29">
        <f>Workings_risks!I26</f>
        <v>1182.0391971199999</v>
      </c>
      <c r="N32" s="29">
        <f>Workings_risks!J26</f>
        <v>1215.2783366399999</v>
      </c>
      <c r="O32" s="29">
        <f>Workings_risks!K26</f>
        <v>1249.5284902400001</v>
      </c>
      <c r="P32" s="29">
        <f>Workings_risks!L26</f>
        <v>1284.7419273600001</v>
      </c>
      <c r="Q32" s="29">
        <f>Workings_risks!M26</f>
        <v>1320.88182016</v>
      </c>
      <c r="R32" s="29">
        <f>Workings_risks!N26</f>
        <v>1357.91838624</v>
      </c>
      <c r="S32" s="29">
        <f>Workings_risks!O26</f>
        <v>1395.8267894400001</v>
      </c>
      <c r="T32" s="29">
        <f>Workings_risks!P26</f>
        <v>1434.5858016000002</v>
      </c>
      <c r="U32" s="29">
        <f>Workings_risks!Q26</f>
        <v>1474.17689728</v>
      </c>
      <c r="V32" s="29">
        <f>Workings_risks!R26</f>
        <v>1514.58370272</v>
      </c>
      <c r="W32" s="29">
        <f>Workings_risks!S26</f>
        <v>1555.7915891200003</v>
      </c>
      <c r="X32" s="29">
        <f>Workings_risks!T26</f>
        <v>1597.7873184000002</v>
      </c>
      <c r="Y32" s="29">
        <f>Workings_risks!U26</f>
        <v>1640.5588464</v>
      </c>
      <c r="Z32" s="29">
        <f>Workings_risks!V26</f>
        <v>1684.0950867199999</v>
      </c>
      <c r="AA32" s="29">
        <f>Workings_risks!W26</f>
        <v>1728.3858451200001</v>
      </c>
      <c r="AB32" s="29">
        <f>Workings_risks!X26</f>
        <v>1773.4216096</v>
      </c>
      <c r="AC32" s="29">
        <f>Workings_risks!Y26</f>
        <v>1819.19356352</v>
      </c>
      <c r="AD32" s="29">
        <f>Workings_risks!Z26</f>
        <v>1865.6934281599999</v>
      </c>
      <c r="AE32" s="29">
        <f>Workings_risks!AA26</f>
        <v>1865.6934281599999</v>
      </c>
      <c r="AF32" s="29">
        <f>Workings_risks!AB26</f>
        <v>1865.6934281599999</v>
      </c>
      <c r="AG32" s="29">
        <f>Workings_risks!AC26</f>
        <v>1865.6934281599999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119</v>
      </c>
      <c r="E33"/>
      <c r="G33" s="182">
        <f>input_dollars</f>
        <v>45291</v>
      </c>
      <c r="H33"/>
      <c r="I33" s="29">
        <f>Workings_risks!E27</f>
        <v>141000</v>
      </c>
      <c r="J33" s="29">
        <f>Workings_risks!F27</f>
        <v>141000</v>
      </c>
      <c r="K33" s="29">
        <f>Workings_risks!G27</f>
        <v>35250</v>
      </c>
      <c r="L33" s="29">
        <f>Workings_risks!H27</f>
        <v>35250</v>
      </c>
      <c r="M33" s="29">
        <f>Workings_risks!I27</f>
        <v>35250</v>
      </c>
      <c r="N33" s="29">
        <f>Workings_risks!J27</f>
        <v>35250</v>
      </c>
      <c r="O33" s="29">
        <f>Workings_risks!K27</f>
        <v>35250</v>
      </c>
      <c r="P33" s="29">
        <f>Workings_risks!L27</f>
        <v>35250</v>
      </c>
      <c r="Q33" s="29">
        <f>Workings_risks!M27</f>
        <v>35250</v>
      </c>
      <c r="R33" s="29">
        <f>Workings_risks!N27</f>
        <v>35250</v>
      </c>
      <c r="S33" s="29">
        <f>Workings_risks!O27</f>
        <v>35250</v>
      </c>
      <c r="T33" s="29">
        <f>Workings_risks!P27</f>
        <v>35250</v>
      </c>
      <c r="U33" s="29">
        <f>Workings_risks!Q27</f>
        <v>35250</v>
      </c>
      <c r="V33" s="29">
        <f>Workings_risks!R27</f>
        <v>35250</v>
      </c>
      <c r="W33" s="29">
        <f>Workings_risks!S27</f>
        <v>35250</v>
      </c>
      <c r="X33" s="29">
        <f>Workings_risks!T27</f>
        <v>35250</v>
      </c>
      <c r="Y33" s="29">
        <f>Workings_risks!U27</f>
        <v>35250</v>
      </c>
      <c r="Z33" s="29">
        <f>Workings_risks!V27</f>
        <v>35250</v>
      </c>
      <c r="AA33" s="29">
        <f>Workings_risks!W27</f>
        <v>35250</v>
      </c>
      <c r="AB33" s="29">
        <f>Workings_risks!X27</f>
        <v>35250</v>
      </c>
      <c r="AC33" s="29">
        <f>Workings_risks!Y27</f>
        <v>35250</v>
      </c>
      <c r="AD33" s="29">
        <f>Workings_risks!Z27</f>
        <v>35250</v>
      </c>
      <c r="AE33" s="29">
        <f>Workings_risks!AA27</f>
        <v>35250</v>
      </c>
      <c r="AF33" s="29">
        <f>Workings_risks!AB27</f>
        <v>35250</v>
      </c>
      <c r="AG33" s="29">
        <f>Workings_risks!AC27</f>
        <v>35250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51" t="s">
        <v>120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121</v>
      </c>
      <c r="D36" s="192"/>
      <c r="E36" s="95"/>
      <c r="F36" s="3"/>
      <c r="G36" s="184"/>
      <c r="H36" s="95"/>
      <c r="I36" s="147">
        <f>SUM(I28:I34)</f>
        <v>452722.61771218112</v>
      </c>
      <c r="J36" s="147">
        <f t="shared" ref="J36:AG36" si="2">SUM(J28:J34)</f>
        <v>463394.23030958255</v>
      </c>
      <c r="K36" s="147">
        <f t="shared" si="2"/>
        <v>57765.45856663055</v>
      </c>
      <c r="L36" s="147">
        <f t="shared" si="2"/>
        <v>65201.214249408404</v>
      </c>
      <c r="M36" s="147">
        <f t="shared" si="2"/>
        <v>72047.431295695977</v>
      </c>
      <c r="N36" s="147">
        <f t="shared" si="2"/>
        <v>78703.793143554838</v>
      </c>
      <c r="O36" s="147">
        <f t="shared" si="2"/>
        <v>85721.7679143024</v>
      </c>
      <c r="P36" s="147">
        <f t="shared" si="2"/>
        <v>92982.801008691473</v>
      </c>
      <c r="Q36" s="147">
        <f t="shared" si="2"/>
        <v>99265.957157869532</v>
      </c>
      <c r="R36" s="147">
        <f t="shared" si="2"/>
        <v>106080.67119634668</v>
      </c>
      <c r="S36" s="147">
        <f t="shared" si="2"/>
        <v>112932.15849114662</v>
      </c>
      <c r="T36" s="147">
        <f t="shared" si="2"/>
        <v>119830.09561885946</v>
      </c>
      <c r="U36" s="147">
        <f t="shared" si="2"/>
        <v>126781.77898115187</v>
      </c>
      <c r="V36" s="147">
        <f t="shared" si="2"/>
        <v>133792.87640201155</v>
      </c>
      <c r="W36" s="147">
        <f t="shared" si="2"/>
        <v>140867.85997226555</v>
      </c>
      <c r="X36" s="147">
        <f t="shared" si="2"/>
        <v>148010.30011604427</v>
      </c>
      <c r="Y36" s="147">
        <f t="shared" si="2"/>
        <v>155223.08847756841</v>
      </c>
      <c r="Z36" s="147">
        <f t="shared" si="2"/>
        <v>162508.59344332211</v>
      </c>
      <c r="AA36" s="147">
        <f t="shared" si="2"/>
        <v>169868.77344262364</v>
      </c>
      <c r="AB36" s="147">
        <f t="shared" si="2"/>
        <v>177305.23597079283</v>
      </c>
      <c r="AC36" s="147">
        <f t="shared" si="2"/>
        <v>184819.33862636492</v>
      </c>
      <c r="AD36" s="147">
        <f t="shared" si="2"/>
        <v>192412.21398923232</v>
      </c>
      <c r="AE36" s="147">
        <f t="shared" si="2"/>
        <v>199497.30462414754</v>
      </c>
      <c r="AF36" s="147">
        <f t="shared" si="2"/>
        <v>206654.04542155174</v>
      </c>
      <c r="AG36" s="147">
        <f t="shared" si="2"/>
        <v>213883.18757617832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122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123</v>
      </c>
      <c r="G41" s="180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124</v>
      </c>
      <c r="G42" s="180" t="s">
        <v>125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126</v>
      </c>
      <c r="D45" s="180" t="s">
        <v>108</v>
      </c>
      <c r="E45" s="101">
        <f>Assumptions!G94</f>
        <v>151432.81740793545</v>
      </c>
      <c r="G45" s="182" t="s">
        <v>117</v>
      </c>
      <c r="I45" s="275">
        <v>0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0</v>
      </c>
      <c r="Q45" s="275">
        <v>0</v>
      </c>
      <c r="R45" s="275">
        <v>0</v>
      </c>
      <c r="S45" s="275">
        <v>0</v>
      </c>
      <c r="T45" s="275">
        <v>0</v>
      </c>
      <c r="U45" s="275">
        <v>0</v>
      </c>
      <c r="V45" s="275">
        <v>0</v>
      </c>
      <c r="W45" s="275">
        <v>0</v>
      </c>
      <c r="X45" s="275">
        <v>0</v>
      </c>
      <c r="Y45" s="275">
        <v>0</v>
      </c>
      <c r="Z45" s="275">
        <v>0</v>
      </c>
      <c r="AA45" s="275">
        <v>0</v>
      </c>
      <c r="AB45" s="275">
        <v>0</v>
      </c>
      <c r="AC45" s="275">
        <v>0</v>
      </c>
      <c r="AD45" s="275">
        <v>0</v>
      </c>
      <c r="AE45" s="275">
        <v>0</v>
      </c>
      <c r="AF45" s="275">
        <v>0</v>
      </c>
      <c r="AG45" s="275">
        <v>0</v>
      </c>
    </row>
    <row r="46" spans="1:16372" x14ac:dyDescent="0.3">
      <c r="C46" s="1" t="s">
        <v>127</v>
      </c>
      <c r="D46" s="180" t="s">
        <v>108</v>
      </c>
      <c r="E46" s="101">
        <f>Assumptions!G95</f>
        <v>24590</v>
      </c>
      <c r="G46" s="182" t="s">
        <v>117</v>
      </c>
      <c r="I46" s="275">
        <v>0</v>
      </c>
      <c r="J46" s="275">
        <v>0</v>
      </c>
      <c r="K46" s="275">
        <v>0</v>
      </c>
      <c r="L46" s="275">
        <v>0</v>
      </c>
      <c r="M46" s="275">
        <v>0</v>
      </c>
      <c r="N46" s="275">
        <v>0</v>
      </c>
      <c r="O46" s="275">
        <v>0</v>
      </c>
      <c r="P46" s="275">
        <v>0</v>
      </c>
      <c r="Q46" s="275">
        <v>0</v>
      </c>
      <c r="R46" s="275">
        <v>0</v>
      </c>
      <c r="S46" s="275">
        <v>0</v>
      </c>
      <c r="T46" s="275">
        <v>0</v>
      </c>
      <c r="U46" s="275">
        <v>0</v>
      </c>
      <c r="V46" s="275">
        <v>0</v>
      </c>
      <c r="W46" s="275">
        <v>0</v>
      </c>
      <c r="X46" s="275">
        <v>0</v>
      </c>
      <c r="Y46" s="275">
        <v>0</v>
      </c>
      <c r="Z46" s="275">
        <v>0</v>
      </c>
      <c r="AA46" s="275">
        <v>0</v>
      </c>
      <c r="AB46" s="275">
        <v>0</v>
      </c>
      <c r="AC46" s="275">
        <v>0</v>
      </c>
      <c r="AD46" s="275">
        <v>0</v>
      </c>
      <c r="AE46" s="275">
        <v>0</v>
      </c>
      <c r="AF46" s="275">
        <v>0</v>
      </c>
      <c r="AG46" s="275">
        <v>0</v>
      </c>
    </row>
    <row r="47" spans="1:16372" x14ac:dyDescent="0.3">
      <c r="C47" s="1" t="s">
        <v>128</v>
      </c>
      <c r="D47" s="180" t="s">
        <v>108</v>
      </c>
      <c r="E47" s="101">
        <f>Assumptions!G96</f>
        <v>88.357719508603083</v>
      </c>
      <c r="G47" s="182" t="s">
        <v>117</v>
      </c>
      <c r="I47" s="275">
        <v>0</v>
      </c>
      <c r="J47" s="275">
        <v>0</v>
      </c>
      <c r="K47" s="275">
        <v>0</v>
      </c>
      <c r="L47" s="275">
        <v>0</v>
      </c>
      <c r="M47" s="275">
        <v>0</v>
      </c>
      <c r="N47" s="275">
        <v>0</v>
      </c>
      <c r="O47" s="275">
        <v>0</v>
      </c>
      <c r="P47" s="275">
        <v>0</v>
      </c>
      <c r="Q47" s="275">
        <v>0</v>
      </c>
      <c r="R47" s="275">
        <v>0</v>
      </c>
      <c r="S47" s="275">
        <v>0</v>
      </c>
      <c r="T47" s="275">
        <v>0</v>
      </c>
      <c r="U47" s="275">
        <v>0</v>
      </c>
      <c r="V47" s="275">
        <v>0</v>
      </c>
      <c r="W47" s="275">
        <v>0</v>
      </c>
      <c r="X47" s="275">
        <v>0</v>
      </c>
      <c r="Y47" s="275">
        <v>0</v>
      </c>
      <c r="Z47" s="275">
        <v>0</v>
      </c>
      <c r="AA47" s="275">
        <v>0</v>
      </c>
      <c r="AB47" s="275">
        <v>0</v>
      </c>
      <c r="AC47" s="275">
        <v>0</v>
      </c>
      <c r="AD47" s="275">
        <v>0</v>
      </c>
      <c r="AE47" s="275">
        <v>0</v>
      </c>
      <c r="AF47" s="275">
        <v>0</v>
      </c>
      <c r="AG47" s="275">
        <v>0</v>
      </c>
    </row>
    <row r="48" spans="1:16372" x14ac:dyDescent="0.3">
      <c r="C48" s="1" t="s">
        <v>129</v>
      </c>
      <c r="D48" s="180" t="s">
        <v>130</v>
      </c>
      <c r="E48" s="100">
        <f>Assumptions!G97</f>
        <v>0</v>
      </c>
      <c r="G48" s="182" t="s">
        <v>131</v>
      </c>
      <c r="I48" s="275">
        <v>0</v>
      </c>
      <c r="J48" s="275">
        <v>0</v>
      </c>
      <c r="K48" s="275">
        <v>0</v>
      </c>
      <c r="L48" s="275">
        <v>0</v>
      </c>
      <c r="M48" s="275">
        <v>0</v>
      </c>
      <c r="N48" s="275">
        <v>0</v>
      </c>
      <c r="O48" s="275">
        <v>0</v>
      </c>
      <c r="P48" s="275">
        <v>0</v>
      </c>
      <c r="Q48" s="275">
        <v>0</v>
      </c>
      <c r="R48" s="275">
        <v>0</v>
      </c>
      <c r="S48" s="275">
        <v>0</v>
      </c>
      <c r="T48" s="275">
        <v>0</v>
      </c>
      <c r="U48" s="275">
        <v>0</v>
      </c>
      <c r="V48" s="275">
        <v>0</v>
      </c>
      <c r="W48" s="275">
        <v>0</v>
      </c>
      <c r="X48" s="275">
        <v>0</v>
      </c>
      <c r="Y48" s="275">
        <v>0</v>
      </c>
      <c r="Z48" s="275">
        <v>0</v>
      </c>
      <c r="AA48" s="275">
        <v>0</v>
      </c>
      <c r="AB48" s="275">
        <v>0</v>
      </c>
      <c r="AC48" s="275">
        <v>0</v>
      </c>
      <c r="AD48" s="275">
        <v>0</v>
      </c>
      <c r="AE48" s="275">
        <v>0</v>
      </c>
      <c r="AF48" s="275">
        <v>0</v>
      </c>
      <c r="AG48" s="275">
        <v>0</v>
      </c>
    </row>
    <row r="49" spans="1:43" x14ac:dyDescent="0.3">
      <c r="C49" s="1" t="s">
        <v>150</v>
      </c>
      <c r="D49" s="180" t="s">
        <v>133</v>
      </c>
      <c r="E49" s="100">
        <f>Assumptions!G98</f>
        <v>0.35181336539087127</v>
      </c>
      <c r="G49" s="182" t="s">
        <v>134</v>
      </c>
      <c r="I49" s="275">
        <v>0</v>
      </c>
      <c r="J49" s="275">
        <v>0</v>
      </c>
      <c r="K49" s="275">
        <v>0</v>
      </c>
      <c r="L49" s="275">
        <v>0</v>
      </c>
      <c r="M49" s="275">
        <v>0</v>
      </c>
      <c r="N49" s="275">
        <v>0</v>
      </c>
      <c r="O49" s="275">
        <v>0</v>
      </c>
      <c r="P49" s="275">
        <v>0</v>
      </c>
      <c r="Q49" s="275">
        <v>0</v>
      </c>
      <c r="R49" s="275">
        <v>0</v>
      </c>
      <c r="S49" s="275">
        <v>0</v>
      </c>
      <c r="T49" s="275">
        <v>0</v>
      </c>
      <c r="U49" s="275">
        <v>0</v>
      </c>
      <c r="V49" s="275">
        <v>0</v>
      </c>
      <c r="W49" s="275">
        <v>0</v>
      </c>
      <c r="X49" s="275">
        <v>0</v>
      </c>
      <c r="Y49" s="275">
        <v>0</v>
      </c>
      <c r="Z49" s="275">
        <v>0</v>
      </c>
      <c r="AA49" s="275">
        <v>0</v>
      </c>
      <c r="AB49" s="275">
        <v>0</v>
      </c>
      <c r="AC49" s="275">
        <v>0</v>
      </c>
      <c r="AD49" s="275">
        <v>0</v>
      </c>
      <c r="AE49" s="275">
        <v>0</v>
      </c>
      <c r="AF49" s="275">
        <v>0</v>
      </c>
      <c r="AG49" s="275">
        <v>0</v>
      </c>
    </row>
    <row r="50" spans="1:43" x14ac:dyDescent="0.3">
      <c r="C50" s="1" t="s">
        <v>151</v>
      </c>
      <c r="D50" s="180" t="s">
        <v>133</v>
      </c>
      <c r="E50" s="100">
        <f>Assumptions!G99</f>
        <v>0.35181336539087127</v>
      </c>
      <c r="G50" s="182" t="s">
        <v>134</v>
      </c>
      <c r="I50" s="275">
        <v>0</v>
      </c>
      <c r="J50" s="275">
        <v>0</v>
      </c>
      <c r="K50" s="275">
        <v>0</v>
      </c>
      <c r="L50" s="275">
        <v>0</v>
      </c>
      <c r="M50" s="275">
        <v>0</v>
      </c>
      <c r="N50" s="275">
        <v>0</v>
      </c>
      <c r="O50" s="275">
        <v>0</v>
      </c>
      <c r="P50" s="275">
        <v>0</v>
      </c>
      <c r="Q50" s="275">
        <v>0</v>
      </c>
      <c r="R50" s="275">
        <v>0</v>
      </c>
      <c r="S50" s="275">
        <v>0</v>
      </c>
      <c r="T50" s="275">
        <v>0</v>
      </c>
      <c r="U50" s="275">
        <v>0</v>
      </c>
      <c r="V50" s="275">
        <v>0</v>
      </c>
      <c r="W50" s="275">
        <v>0</v>
      </c>
      <c r="X50" s="275">
        <v>0</v>
      </c>
      <c r="Y50" s="275">
        <v>0</v>
      </c>
      <c r="Z50" s="275">
        <v>0</v>
      </c>
      <c r="AA50" s="275">
        <v>0</v>
      </c>
      <c r="AB50" s="275">
        <v>0</v>
      </c>
      <c r="AC50" s="275">
        <v>0</v>
      </c>
      <c r="AD50" s="275">
        <v>0</v>
      </c>
      <c r="AE50" s="275">
        <v>0</v>
      </c>
      <c r="AF50" s="275">
        <v>0</v>
      </c>
      <c r="AG50" s="275">
        <v>0</v>
      </c>
    </row>
    <row r="51" spans="1:43" x14ac:dyDescent="0.3">
      <c r="C51" s="1" t="s">
        <v>136</v>
      </c>
      <c r="D51" s="180" t="s">
        <v>130</v>
      </c>
      <c r="E51" s="100">
        <f>Assumptions!G100</f>
        <v>0</v>
      </c>
      <c r="G51" s="182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137</v>
      </c>
      <c r="D52" s="180" t="s">
        <v>130</v>
      </c>
      <c r="E52" s="100">
        <f>Assumptions!G101</f>
        <v>0</v>
      </c>
      <c r="G52" s="182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138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139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140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23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415227.88246538845</v>
      </c>
      <c r="L64" s="112">
        <f>(1-INDEX(Data!$C$9:$C$13, MATCH($A$3, options,0)))*('Option1 (base case)'!L36-L36)</f>
        <v>415479.4671688489</v>
      </c>
      <c r="M64" s="112">
        <f>(1-INDEX(Data!$C$9:$C$13, MATCH($A$3, options,0)))*('Option1 (base case)'!M36-M36)</f>
        <v>413430.50346749753</v>
      </c>
      <c r="N64" s="112">
        <f>(1-INDEX(Data!$C$9:$C$13, MATCH($A$3, options,0)))*('Option1 (base case)'!N36-N36)</f>
        <v>412847.43716506392</v>
      </c>
      <c r="O64" s="112">
        <f>(1-INDEX(Data!$C$9:$C$13, MATCH($A$3, options,0)))*('Option1 (base case)'!O36-O36)</f>
        <v>416913.98141340748</v>
      </c>
      <c r="P64" s="112">
        <f>(1-INDEX(Data!$C$9:$C$13, MATCH($A$3, options,0)))*('Option1 (base case)'!P36-P36)</f>
        <v>422380.60769971437</v>
      </c>
      <c r="Q64" s="112">
        <f>(1-INDEX(Data!$C$9:$C$13, MATCH($A$3, options,0)))*('Option1 (base case)'!Q36-Q36)</f>
        <v>420884.81903421547</v>
      </c>
      <c r="R64" s="112">
        <f>(1-INDEX(Data!$C$9:$C$13, MATCH($A$3, options,0)))*('Option1 (base case)'!R36-R36)</f>
        <v>423118.6583948207</v>
      </c>
      <c r="S64" s="112">
        <f>(1-INDEX(Data!$C$9:$C$13, MATCH($A$3, options,0)))*('Option1 (base case)'!S36-S36)</f>
        <v>425405.40025987069</v>
      </c>
      <c r="T64" s="112">
        <f>(1-INDEX(Data!$C$9:$C$13, MATCH($A$3, options,0)))*('Option1 (base case)'!T36-T36)</f>
        <v>427735.08426691854</v>
      </c>
      <c r="U64" s="112">
        <f>(1-INDEX(Data!$C$9:$C$13, MATCH($A$3, options,0)))*('Option1 (base case)'!U36-U36)</f>
        <v>430100.13824336871</v>
      </c>
      <c r="V64" s="112">
        <f>(1-INDEX(Data!$C$9:$C$13, MATCH($A$3, options,0)))*('Option1 (base case)'!V36-V36)</f>
        <v>432494.61888081772</v>
      </c>
      <c r="W64" s="112">
        <f>(1-INDEX(Data!$C$9:$C$13, MATCH($A$3, options,0)))*('Option1 (base case)'!W36-W36)</f>
        <v>434913.79047993198</v>
      </c>
      <c r="X64" s="112">
        <f>(1-INDEX(Data!$C$9:$C$13, MATCH($A$3, options,0)))*('Option1 (base case)'!X36-X36)</f>
        <v>437353.8231571659</v>
      </c>
      <c r="Y64" s="112">
        <f>(1-INDEX(Data!$C$9:$C$13, MATCH($A$3, options,0)))*('Option1 (base case)'!Y36-Y36)</f>
        <v>439811.57769163797</v>
      </c>
      <c r="Z64" s="112">
        <f>(1-INDEX(Data!$C$9:$C$13, MATCH($A$3, options,0)))*('Option1 (base case)'!Z36-Z36)</f>
        <v>442284.43066398718</v>
      </c>
      <c r="AA64" s="112">
        <f>(1-INDEX(Data!$C$9:$C$13, MATCH($A$3, options,0)))*('Option1 (base case)'!AA36-AA36)</f>
        <v>444770.18435995304</v>
      </c>
      <c r="AB64" s="112">
        <f>(1-INDEX(Data!$C$9:$C$13, MATCH($A$3, options,0)))*('Option1 (base case)'!AB36-AB36)</f>
        <v>447266.99227477005</v>
      </c>
      <c r="AC64" s="112">
        <f>(1-INDEX(Data!$C$9:$C$13, MATCH($A$3, options,0)))*('Option1 (base case)'!AC36-AC36)</f>
        <v>449773.26968678855</v>
      </c>
      <c r="AD64" s="112">
        <f>(1-INDEX(Data!$C$9:$C$13, MATCH($A$3, options,0)))*('Option1 (base case)'!AD36-AD36)</f>
        <v>452287.65716670256</v>
      </c>
      <c r="AE64" s="112">
        <f>(1-INDEX(Data!$C$9:$C$13, MATCH($A$3, options,0)))*('Option1 (base case)'!AE36-AE36)</f>
        <v>454537.56865664112</v>
      </c>
      <c r="AF64" s="112">
        <f>(1-INDEX(Data!$C$9:$C$13, MATCH($A$3, options,0)))*('Option1 (base case)'!AF36-AF36)</f>
        <v>456795.25525828573</v>
      </c>
      <c r="AG64" s="112">
        <f>(1-INDEX(Data!$C$9:$C$13, MATCH($A$3, options,0)))*('Option1 (base case)'!AG36-AG36)</f>
        <v>459059.77228472603</v>
      </c>
    </row>
    <row r="65" spans="1:33" x14ac:dyDescent="0.3">
      <c r="G65" s="187"/>
    </row>
    <row r="66" spans="1:33" x14ac:dyDescent="0.3">
      <c r="A66" s="6"/>
      <c r="B66" s="6"/>
      <c r="C66" s="126" t="s">
        <v>32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Replace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-4069420.6875299625</v>
      </c>
      <c r="J67" s="28">
        <f t="shared" si="4"/>
        <v>-2034710.3437649813</v>
      </c>
      <c r="K67" s="28">
        <f t="shared" si="4"/>
        <v>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142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Replace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-4069420.6875299625</v>
      </c>
      <c r="J72" s="28" cm="1">
        <f t="array" ref="J72">SUMPRODUCT(($I67:J67))-SUMPRODUCT(($I67:J67)*($I$6:J$6&lt;=(J$6-$E14)))</f>
        <v>-6104131.0312949438</v>
      </c>
      <c r="K72" s="28" cm="1">
        <f t="array" ref="K72">SUMPRODUCT(($I67:K67))-SUMPRODUCT(($I67:K67)*($I$6:K$6&lt;=(K$6-$E14)))</f>
        <v>-6104131.0312949438</v>
      </c>
      <c r="L72" s="28" cm="1">
        <f t="array" ref="L72">SUMPRODUCT(($I67:L67))-SUMPRODUCT(($I67:L67)*($I$6:L$6&lt;=(L$6-$E14)))</f>
        <v>-6104131.0312949438</v>
      </c>
      <c r="M72" s="28" cm="1">
        <f t="array" ref="M72">SUMPRODUCT(($I67:M67))-SUMPRODUCT(($I67:M67)*($I$6:M$6&lt;=(M$6-$E14)))</f>
        <v>-6104131.0312949438</v>
      </c>
      <c r="N72" s="28" cm="1">
        <f t="array" ref="N72">SUMPRODUCT(($I67:N67))-SUMPRODUCT(($I67:N67)*($I$6:N$6&lt;=(N$6-$E14)))</f>
        <v>-6104131.0312949438</v>
      </c>
      <c r="O72" s="28" cm="1">
        <f t="array" ref="O72">SUMPRODUCT(($I67:O67))-SUMPRODUCT(($I67:O67)*($I$6:O$6&lt;=(O$6-$E14)))</f>
        <v>-6104131.0312949438</v>
      </c>
      <c r="P72" s="28" cm="1">
        <f t="array" ref="P72">SUMPRODUCT(($I67:P67))-SUMPRODUCT(($I67:P67)*($I$6:P$6&lt;=(P$6-$E14)))</f>
        <v>-6104131.0312949438</v>
      </c>
      <c r="Q72" s="28" cm="1">
        <f t="array" ref="Q72">SUMPRODUCT(($I67:Q67))-SUMPRODUCT(($I67:Q67)*($I$6:Q$6&lt;=(Q$6-$E14)))</f>
        <v>-6104131.0312949438</v>
      </c>
      <c r="R72" s="28" cm="1">
        <f t="array" ref="R72">SUMPRODUCT(($I67:R67))-SUMPRODUCT(($I67:R67)*($I$6:R$6&lt;=(R$6-$E14)))</f>
        <v>-6104131.0312949438</v>
      </c>
      <c r="S72" s="28" cm="1">
        <f t="array" ref="S72">SUMPRODUCT(($I67:S67))-SUMPRODUCT(($I67:S67)*($I$6:S$6&lt;=(S$6-$E14)))</f>
        <v>-6104131.0312949438</v>
      </c>
      <c r="T72" s="28" cm="1">
        <f t="array" ref="T72">SUMPRODUCT(($I67:T67))-SUMPRODUCT(($I67:T67)*($I$6:T$6&lt;=(T$6-$E14)))</f>
        <v>-6104131.0312949438</v>
      </c>
      <c r="U72" s="28" cm="1">
        <f t="array" ref="U72">SUMPRODUCT(($I67:U67))-SUMPRODUCT(($I67:U67)*($I$6:U$6&lt;=(U$6-$E14)))</f>
        <v>-6104131.0312949438</v>
      </c>
      <c r="V72" s="28" cm="1">
        <f t="array" ref="V72">SUMPRODUCT(($I67:V67))-SUMPRODUCT(($I67:V67)*($I$6:V$6&lt;=(V$6-$E14)))</f>
        <v>-6104131.0312949438</v>
      </c>
      <c r="W72" s="28" cm="1">
        <f t="array" ref="W72">SUMPRODUCT(($I67:W67))-SUMPRODUCT(($I67:W67)*($I$6:W$6&lt;=(W$6-$E14)))</f>
        <v>-6104131.0312949438</v>
      </c>
      <c r="X72" s="28" cm="1">
        <f t="array" ref="X72">SUMPRODUCT(($I67:X67))-SUMPRODUCT(($I67:X67)*($I$6:X$6&lt;=(X$6-$E14)))</f>
        <v>-6104131.0312949438</v>
      </c>
      <c r="Y72" s="28" cm="1">
        <f t="array" ref="Y72">SUMPRODUCT(($I67:Y67))-SUMPRODUCT(($I67:Y67)*($I$6:Y$6&lt;=(Y$6-$E14)))</f>
        <v>-6104131.0312949438</v>
      </c>
      <c r="Z72" s="28" cm="1">
        <f t="array" ref="Z72">SUMPRODUCT(($I67:Z67))-SUMPRODUCT(($I67:Z67)*($I$6:Z$6&lt;=(Z$6-$E14)))</f>
        <v>-6104131.0312949438</v>
      </c>
      <c r="AA72" s="28" cm="1">
        <f t="array" ref="AA72">SUMPRODUCT(($I67:AA67))-SUMPRODUCT(($I67:AA67)*($I$6:AA$6&lt;=(AA$6-$E14)))</f>
        <v>-6104131.0312949438</v>
      </c>
      <c r="AB72" s="28" cm="1">
        <f t="array" ref="AB72">SUMPRODUCT(($I67:AB67))-SUMPRODUCT(($I67:AB67)*($I$6:AB$6&lt;=(AB$6-$E14)))</f>
        <v>-6104131.0312949438</v>
      </c>
      <c r="AC72" s="28" cm="1">
        <f t="array" ref="AC72">SUMPRODUCT(($I67:AC67))-SUMPRODUCT(($I67:AC67)*($I$6:AC$6&lt;=(AC$6-$E14)))</f>
        <v>-6104131.0312949438</v>
      </c>
      <c r="AD72" s="28" cm="1">
        <f t="array" ref="AD72">SUMPRODUCT(($I67:AD67))-SUMPRODUCT(($I67:AD67)*($I$6:AD$6&lt;=(AD$6-$E14)))</f>
        <v>-6104131.0312949438</v>
      </c>
      <c r="AE72" s="28" cm="1">
        <f t="array" ref="AE72">SUMPRODUCT(($I67:AE67))-SUMPRODUCT(($I67:AE67)*($I$6:AE$6&lt;=(AE$6-$E14)))</f>
        <v>-6104131.0312949438</v>
      </c>
      <c r="AF72" s="28" cm="1">
        <f t="array" ref="AF72">SUMPRODUCT(($I67:AF67))-SUMPRODUCT(($I67:AF67)*($I$6:AF$6&lt;=(AF$6-$E14)))</f>
        <v>-6104131.0312949438</v>
      </c>
      <c r="AG72" s="28" cm="1">
        <f t="array" ref="AG72">SUMPRODUCT(($I67:AG67))-SUMPRODUCT(($I67:AG67)*($I$6:AG$6&lt;=(AG$6-$E14)))</f>
        <v>-6104131.0312949438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143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Replace 1 transformer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-173494.49969625444</v>
      </c>
      <c r="K77" s="28">
        <f t="shared" si="7"/>
        <v>-260241.74954438166</v>
      </c>
      <c r="L77" s="28">
        <f t="shared" si="7"/>
        <v>-260241.74954438166</v>
      </c>
      <c r="M77" s="28">
        <f t="shared" si="7"/>
        <v>-260241.74954438166</v>
      </c>
      <c r="N77" s="28">
        <f t="shared" si="7"/>
        <v>-260241.74954438166</v>
      </c>
      <c r="O77" s="28">
        <f t="shared" si="7"/>
        <v>-260241.74954438166</v>
      </c>
      <c r="P77" s="28">
        <f t="shared" si="7"/>
        <v>-260241.74954438166</v>
      </c>
      <c r="Q77" s="28">
        <f t="shared" si="7"/>
        <v>-260241.74954438166</v>
      </c>
      <c r="R77" s="28">
        <f t="shared" si="7"/>
        <v>-260241.74954438166</v>
      </c>
      <c r="S77" s="28">
        <f t="shared" si="7"/>
        <v>-260241.74954438166</v>
      </c>
      <c r="T77" s="28">
        <f t="shared" si="7"/>
        <v>-260241.74954438166</v>
      </c>
      <c r="U77" s="28">
        <f t="shared" si="7"/>
        <v>-260241.74954438166</v>
      </c>
      <c r="V77" s="28">
        <f t="shared" si="7"/>
        <v>-260241.74954438166</v>
      </c>
      <c r="W77" s="28">
        <f t="shared" si="7"/>
        <v>-260241.74954438166</v>
      </c>
      <c r="X77" s="28">
        <f t="shared" si="7"/>
        <v>-260241.74954438166</v>
      </c>
      <c r="Y77" s="28">
        <f t="shared" si="7"/>
        <v>-260241.74954438166</v>
      </c>
      <c r="Z77" s="28">
        <f t="shared" si="7"/>
        <v>-260241.74954438166</v>
      </c>
      <c r="AA77" s="28">
        <f t="shared" si="7"/>
        <v>-260241.74954438166</v>
      </c>
      <c r="AB77" s="28">
        <f t="shared" si="7"/>
        <v>-260241.74954438166</v>
      </c>
      <c r="AC77" s="28">
        <f t="shared" si="7"/>
        <v>-260241.74954438166</v>
      </c>
      <c r="AD77" s="28">
        <f t="shared" si="7"/>
        <v>-260241.74954438166</v>
      </c>
      <c r="AE77" s="28">
        <f t="shared" si="7"/>
        <v>-260241.74954438166</v>
      </c>
      <c r="AF77" s="28">
        <f t="shared" si="7"/>
        <v>-260241.74954438166</v>
      </c>
      <c r="AG77" s="28">
        <f t="shared" si="7"/>
        <v>-260241.74954438166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144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-173494.49969625444</v>
      </c>
      <c r="K80" s="152">
        <f t="shared" si="10"/>
        <v>-260241.74954438166</v>
      </c>
      <c r="L80" s="152">
        <f t="shared" si="10"/>
        <v>-260241.74954438166</v>
      </c>
      <c r="M80" s="152">
        <f t="shared" si="10"/>
        <v>-260241.74954438166</v>
      </c>
      <c r="N80" s="152">
        <f t="shared" si="10"/>
        <v>-260241.74954438166</v>
      </c>
      <c r="O80" s="152">
        <f t="shared" si="10"/>
        <v>-260241.74954438166</v>
      </c>
      <c r="P80" s="152">
        <f t="shared" si="10"/>
        <v>-260241.74954438166</v>
      </c>
      <c r="Q80" s="152">
        <f t="shared" si="10"/>
        <v>-260241.74954438166</v>
      </c>
      <c r="R80" s="152">
        <f t="shared" si="10"/>
        <v>-260241.74954438166</v>
      </c>
      <c r="S80" s="152">
        <f t="shared" si="10"/>
        <v>-260241.74954438166</v>
      </c>
      <c r="T80" s="152">
        <f t="shared" si="10"/>
        <v>-260241.74954438166</v>
      </c>
      <c r="U80" s="152">
        <f t="shared" si="10"/>
        <v>-260241.74954438166</v>
      </c>
      <c r="V80" s="152">
        <f t="shared" si="10"/>
        <v>-260241.74954438166</v>
      </c>
      <c r="W80" s="152">
        <f t="shared" si="10"/>
        <v>-260241.74954438166</v>
      </c>
      <c r="X80" s="152">
        <f t="shared" si="10"/>
        <v>-260241.74954438166</v>
      </c>
      <c r="Y80" s="152">
        <f t="shared" si="10"/>
        <v>-260241.74954438166</v>
      </c>
      <c r="Z80" s="152">
        <f t="shared" si="10"/>
        <v>-260241.74954438166</v>
      </c>
      <c r="AA80" s="152">
        <f t="shared" si="10"/>
        <v>-260241.74954438166</v>
      </c>
      <c r="AB80" s="152">
        <f t="shared" si="10"/>
        <v>-260241.74954438166</v>
      </c>
      <c r="AC80" s="152">
        <f>SUM(AC77:AC79)</f>
        <v>-260241.74954438166</v>
      </c>
      <c r="AD80" s="152">
        <f>SUM(AD77:AD79)</f>
        <v>-260241.74954438166</v>
      </c>
      <c r="AE80" s="152">
        <f>SUM(AE77:AE79)</f>
        <v>-260241.74954438166</v>
      </c>
      <c r="AF80" s="152">
        <f>SUM(AF77:AF79)</f>
        <v>-260241.74954438166</v>
      </c>
      <c r="AG80" s="152">
        <f>SUM(AG77:AG79)</f>
        <v>-260241.74954438166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143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-173494.49969625444</v>
      </c>
      <c r="K82" s="28">
        <f t="shared" si="12"/>
        <v>-260241.74954438166</v>
      </c>
      <c r="L82" s="28">
        <f t="shared" si="12"/>
        <v>-260241.74954438166</v>
      </c>
      <c r="M82" s="28">
        <f t="shared" si="12"/>
        <v>-260241.74954438166</v>
      </c>
      <c r="N82" s="28">
        <f t="shared" si="12"/>
        <v>-260241.74954438166</v>
      </c>
      <c r="O82" s="28">
        <f t="shared" si="12"/>
        <v>-260241.74954438166</v>
      </c>
      <c r="P82" s="28">
        <f t="shared" si="12"/>
        <v>-260241.74954438166</v>
      </c>
      <c r="Q82" s="28">
        <f t="shared" si="12"/>
        <v>-260241.74954438166</v>
      </c>
      <c r="R82" s="28">
        <f t="shared" si="12"/>
        <v>-260241.74954438166</v>
      </c>
      <c r="S82" s="28">
        <f t="shared" si="12"/>
        <v>-260241.74954438166</v>
      </c>
      <c r="T82" s="28">
        <f t="shared" si="12"/>
        <v>-260241.74954438166</v>
      </c>
      <c r="U82" s="28">
        <f t="shared" si="12"/>
        <v>-260241.74954438166</v>
      </c>
      <c r="V82" s="28">
        <f t="shared" si="12"/>
        <v>-260241.74954438166</v>
      </c>
      <c r="W82" s="28">
        <f t="shared" si="12"/>
        <v>-260241.74954438166</v>
      </c>
      <c r="X82" s="28">
        <f t="shared" si="12"/>
        <v>-260241.74954438166</v>
      </c>
      <c r="Y82" s="28">
        <f t="shared" si="12"/>
        <v>-260241.74954438166</v>
      </c>
      <c r="Z82" s="28">
        <f t="shared" si="12"/>
        <v>-260241.74954438166</v>
      </c>
      <c r="AA82" s="28">
        <f t="shared" si="12"/>
        <v>-260241.74954438166</v>
      </c>
      <c r="AB82" s="28">
        <f t="shared" si="12"/>
        <v>-260241.74954438166</v>
      </c>
      <c r="AC82" s="28">
        <f>AC80</f>
        <v>-260241.74954438166</v>
      </c>
      <c r="AD82" s="28">
        <f>AD80</f>
        <v>-260241.74954438166</v>
      </c>
      <c r="AE82" s="28">
        <f>AE80</f>
        <v>-260241.74954438166</v>
      </c>
      <c r="AF82" s="28">
        <f>AF80</f>
        <v>-260241.74954438166</v>
      </c>
      <c r="AG82" s="28">
        <f>AG80</f>
        <v>-260241.74954438166</v>
      </c>
    </row>
    <row r="83" spans="1:33" x14ac:dyDescent="0.3">
      <c r="A83" s="6"/>
      <c r="B83" s="6"/>
      <c r="C83" s="4" t="s">
        <v>33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145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415227.88246538845</v>
      </c>
      <c r="L84" s="28">
        <f t="shared" si="14"/>
        <v>415479.4671688489</v>
      </c>
      <c r="M84" s="28">
        <f t="shared" si="14"/>
        <v>413430.50346749753</v>
      </c>
      <c r="N84" s="28">
        <f t="shared" si="14"/>
        <v>412847.43716506392</v>
      </c>
      <c r="O84" s="28">
        <f t="shared" si="14"/>
        <v>416913.98141340748</v>
      </c>
      <c r="P84" s="28">
        <f t="shared" si="14"/>
        <v>422380.60769971437</v>
      </c>
      <c r="Q84" s="28">
        <f t="shared" si="14"/>
        <v>420884.81903421547</v>
      </c>
      <c r="R84" s="28">
        <f t="shared" si="14"/>
        <v>423118.6583948207</v>
      </c>
      <c r="S84" s="28">
        <f t="shared" si="14"/>
        <v>425405.40025987069</v>
      </c>
      <c r="T84" s="28">
        <f t="shared" si="14"/>
        <v>427735.08426691854</v>
      </c>
      <c r="U84" s="28">
        <f t="shared" si="14"/>
        <v>430100.13824336871</v>
      </c>
      <c r="V84" s="28">
        <f t="shared" si="14"/>
        <v>432494.61888081772</v>
      </c>
      <c r="W84" s="28">
        <f t="shared" si="14"/>
        <v>434913.79047993198</v>
      </c>
      <c r="X84" s="28">
        <f t="shared" si="14"/>
        <v>437353.8231571659</v>
      </c>
      <c r="Y84" s="28">
        <f t="shared" si="14"/>
        <v>439811.57769163797</v>
      </c>
      <c r="Z84" s="28">
        <f t="shared" si="14"/>
        <v>442284.43066398718</v>
      </c>
      <c r="AA84" s="28">
        <f t="shared" si="14"/>
        <v>444770.18435995304</v>
      </c>
      <c r="AB84" s="28">
        <f t="shared" si="14"/>
        <v>447266.99227477005</v>
      </c>
      <c r="AC84" s="28">
        <f>AC64</f>
        <v>449773.26968678855</v>
      </c>
      <c r="AD84" s="28">
        <f>AD64</f>
        <v>452287.65716670256</v>
      </c>
      <c r="AE84" s="28">
        <f>AE64</f>
        <v>454537.56865664112</v>
      </c>
      <c r="AF84" s="28">
        <f>AF64</f>
        <v>456795.25525828573</v>
      </c>
      <c r="AG84" s="28">
        <f>AG64</f>
        <v>459059.77228472603</v>
      </c>
    </row>
    <row r="85" spans="1:33" x14ac:dyDescent="0.3">
      <c r="A85" s="6"/>
      <c r="B85" s="6"/>
      <c r="C85" s="4" t="s">
        <v>146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147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-173494.49969625444</v>
      </c>
      <c r="K87" s="155">
        <f t="shared" si="16"/>
        <v>154986.13292100679</v>
      </c>
      <c r="L87" s="155">
        <f t="shared" si="16"/>
        <v>155237.71762446724</v>
      </c>
      <c r="M87" s="155">
        <f t="shared" si="16"/>
        <v>153188.75392311587</v>
      </c>
      <c r="N87" s="155">
        <f t="shared" si="16"/>
        <v>152605.68762068226</v>
      </c>
      <c r="O87" s="155">
        <f t="shared" si="16"/>
        <v>156672.23186902583</v>
      </c>
      <c r="P87" s="155">
        <f t="shared" si="16"/>
        <v>162138.85815533271</v>
      </c>
      <c r="Q87" s="155">
        <f t="shared" si="16"/>
        <v>160643.06948983381</v>
      </c>
      <c r="R87" s="155">
        <f t="shared" si="16"/>
        <v>162876.90885043904</v>
      </c>
      <c r="S87" s="155">
        <f t="shared" si="16"/>
        <v>165163.65071548903</v>
      </c>
      <c r="T87" s="155">
        <f t="shared" si="16"/>
        <v>167493.33472253688</v>
      </c>
      <c r="U87" s="155">
        <f t="shared" si="16"/>
        <v>169858.38869898705</v>
      </c>
      <c r="V87" s="155">
        <f t="shared" si="16"/>
        <v>172252.86933643607</v>
      </c>
      <c r="W87" s="155">
        <f t="shared" si="16"/>
        <v>174672.04093555032</v>
      </c>
      <c r="X87" s="155">
        <f t="shared" si="16"/>
        <v>177112.07361278424</v>
      </c>
      <c r="Y87" s="155">
        <f t="shared" si="16"/>
        <v>179569.82814725631</v>
      </c>
      <c r="Z87" s="155">
        <f t="shared" si="16"/>
        <v>182042.68111960552</v>
      </c>
      <c r="AA87" s="155">
        <f t="shared" si="16"/>
        <v>184528.43481557138</v>
      </c>
      <c r="AB87" s="155">
        <f t="shared" si="16"/>
        <v>187025.24273038839</v>
      </c>
      <c r="AC87" s="155">
        <f>SUM(AC82:AC86)</f>
        <v>189531.52014240689</v>
      </c>
      <c r="AD87" s="155">
        <f>SUM(AD82:AD86)</f>
        <v>192045.9076223209</v>
      </c>
      <c r="AE87" s="155">
        <f>SUM(AE82:AE86)</f>
        <v>194295.81911225946</v>
      </c>
      <c r="AF87" s="155">
        <f>SUM(AF82:AF86)</f>
        <v>196553.50571390407</v>
      </c>
      <c r="AG87" s="155">
        <f>SUM(AG82:AG86)</f>
        <v>198818.02274034437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152</v>
      </c>
      <c r="D90" s="72"/>
      <c r="E90" s="205"/>
      <c r="F90" s="206"/>
      <c r="G90" s="207" cm="1">
        <f t="array" ref="G90">IF(SUM($I17:$AG17)=0,0,(INDEX(I$6:AG$6,MATCH(TRUE,INDEX($I17:$AG17&lt;&gt;0,),0))))</f>
        <v>1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A91" s="6"/>
      <c r="B91" s="6"/>
      <c r="C91" s="72"/>
      <c r="D91" s="208"/>
      <c r="E91" s="205"/>
      <c r="F91" s="206"/>
      <c r="G91" s="207"/>
      <c r="H91" s="30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</row>
    <row r="92" spans="1:33" x14ac:dyDescent="0.3">
      <c r="C92" s="209" t="s">
        <v>153</v>
      </c>
      <c r="D92" s="210"/>
      <c r="E92" s="210"/>
      <c r="F92" s="210"/>
      <c r="G92" s="211">
        <f>IF(_xlfn.MINIFS($G$90:$G$91, $G$90:$G$91, "&gt;"&amp;0)=0, $A$4, _xlfn.MINIFS($G$90:$G$91, $G$90:$G$91, "&gt;"&amp;0))</f>
        <v>1</v>
      </c>
    </row>
    <row r="94" spans="1:33" x14ac:dyDescent="0.3">
      <c r="G94" s="10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3"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</row>
    <row r="96" spans="1:33" x14ac:dyDescent="0.3"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</row>
    <row r="97" spans="1:43" x14ac:dyDescent="0.3"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</row>
    <row r="98" spans="1:43" x14ac:dyDescent="0.3"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</row>
    <row r="99" spans="1:43" x14ac:dyDescent="0.3"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</row>
    <row r="100" spans="1:43" x14ac:dyDescent="0.3"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</row>
    <row r="101" spans="1:43" x14ac:dyDescent="0.3"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</row>
    <row r="102" spans="1:43" ht="14.5" x14ac:dyDescent="0.3">
      <c r="A102" s="78" t="s">
        <v>37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D105"/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22</v>
      </c>
      <c r="C106" s="1" t="s">
        <v>147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7">J87</f>
        <v>-173494.49969625444</v>
      </c>
      <c r="K106" s="28">
        <f t="shared" si="17"/>
        <v>154986.13292100679</v>
      </c>
      <c r="L106" s="28">
        <f t="shared" si="17"/>
        <v>155237.71762446724</v>
      </c>
      <c r="M106" s="28">
        <f t="shared" si="17"/>
        <v>153188.75392311587</v>
      </c>
      <c r="N106" s="28">
        <f t="shared" si="17"/>
        <v>152605.68762068226</v>
      </c>
      <c r="O106" s="28">
        <f t="shared" si="17"/>
        <v>156672.23186902583</v>
      </c>
      <c r="P106" s="28">
        <f t="shared" si="17"/>
        <v>162138.85815533271</v>
      </c>
      <c r="Q106" s="28">
        <f t="shared" si="17"/>
        <v>160643.06948983381</v>
      </c>
      <c r="R106" s="28">
        <f t="shared" si="17"/>
        <v>162876.90885043904</v>
      </c>
      <c r="S106" s="28">
        <f t="shared" si="17"/>
        <v>165163.65071548903</v>
      </c>
      <c r="T106" s="28">
        <f t="shared" si="17"/>
        <v>167493.33472253688</v>
      </c>
      <c r="U106" s="28">
        <f t="shared" si="17"/>
        <v>169858.38869898705</v>
      </c>
      <c r="V106" s="28">
        <f t="shared" si="17"/>
        <v>172252.86933643607</v>
      </c>
      <c r="W106" s="28">
        <f t="shared" si="17"/>
        <v>174672.04093555032</v>
      </c>
      <c r="X106" s="28">
        <f t="shared" si="17"/>
        <v>177112.07361278424</v>
      </c>
      <c r="Y106" s="28">
        <f t="shared" si="17"/>
        <v>179569.82814725631</v>
      </c>
      <c r="Z106" s="28">
        <f t="shared" si="17"/>
        <v>182042.68111960552</v>
      </c>
      <c r="AA106" s="28">
        <f t="shared" si="17"/>
        <v>184528.43481557138</v>
      </c>
      <c r="AB106" s="28">
        <f t="shared" si="17"/>
        <v>187025.24273038839</v>
      </c>
      <c r="AC106" s="28">
        <f t="shared" si="17"/>
        <v>189531.52014240689</v>
      </c>
      <c r="AD106" s="28">
        <f t="shared" si="17"/>
        <v>192045.9076223209</v>
      </c>
      <c r="AE106" s="28">
        <f t="shared" si="17"/>
        <v>194295.81911225946</v>
      </c>
      <c r="AF106" s="28">
        <f t="shared" si="17"/>
        <v>196553.50571390407</v>
      </c>
      <c r="AG106" s="28">
        <f t="shared" si="17"/>
        <v>198818.02274034437</v>
      </c>
    </row>
    <row r="107" spans="1:43" ht="13.5" x14ac:dyDescent="0.3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8">J82</f>
        <v>-173494.49969625444</v>
      </c>
      <c r="K107" s="28">
        <f t="shared" si="18"/>
        <v>-260241.74954438166</v>
      </c>
      <c r="L107" s="28">
        <f t="shared" si="18"/>
        <v>-260241.74954438166</v>
      </c>
      <c r="M107" s="28">
        <f t="shared" si="18"/>
        <v>-260241.74954438166</v>
      </c>
      <c r="N107" s="28">
        <f t="shared" si="18"/>
        <v>-260241.74954438166</v>
      </c>
      <c r="O107" s="28">
        <f t="shared" si="18"/>
        <v>-260241.74954438166</v>
      </c>
      <c r="P107" s="28">
        <f t="shared" si="18"/>
        <v>-260241.74954438166</v>
      </c>
      <c r="Q107" s="28">
        <f t="shared" si="18"/>
        <v>-260241.74954438166</v>
      </c>
      <c r="R107" s="28">
        <f t="shared" si="18"/>
        <v>-260241.74954438166</v>
      </c>
      <c r="S107" s="28">
        <f t="shared" si="18"/>
        <v>-260241.74954438166</v>
      </c>
      <c r="T107" s="28">
        <f t="shared" si="18"/>
        <v>-260241.74954438166</v>
      </c>
      <c r="U107" s="28">
        <f t="shared" si="18"/>
        <v>-260241.74954438166</v>
      </c>
      <c r="V107" s="28">
        <f t="shared" si="18"/>
        <v>-260241.74954438166</v>
      </c>
      <c r="W107" s="28">
        <f t="shared" si="18"/>
        <v>-260241.74954438166</v>
      </c>
      <c r="X107" s="28">
        <f t="shared" si="18"/>
        <v>-260241.74954438166</v>
      </c>
      <c r="Y107" s="28">
        <f t="shared" si="18"/>
        <v>-260241.74954438166</v>
      </c>
      <c r="Z107" s="28">
        <f t="shared" si="18"/>
        <v>-260241.74954438166</v>
      </c>
      <c r="AA107" s="28">
        <f t="shared" si="18"/>
        <v>-260241.74954438166</v>
      </c>
      <c r="AB107" s="28">
        <f t="shared" si="18"/>
        <v>-260241.74954438166</v>
      </c>
      <c r="AC107" s="28">
        <f t="shared" si="18"/>
        <v>-260241.74954438166</v>
      </c>
      <c r="AD107" s="28">
        <f t="shared" si="18"/>
        <v>-260241.74954438166</v>
      </c>
      <c r="AE107" s="28">
        <f t="shared" si="18"/>
        <v>-260241.74954438166</v>
      </c>
      <c r="AF107" s="28">
        <f t="shared" si="18"/>
        <v>-260241.74954438166</v>
      </c>
      <c r="AG107" s="28">
        <f t="shared" si="18"/>
        <v>-260241.74954438166</v>
      </c>
    </row>
    <row r="108" spans="1:43" x14ac:dyDescent="0.3">
      <c r="C108" s="1" t="s">
        <v>104</v>
      </c>
      <c r="D108" s="222"/>
      <c r="E108" s="34"/>
      <c r="I108" s="28">
        <f>SUM(I84:I85)</f>
        <v>0</v>
      </c>
      <c r="J108" s="28">
        <f t="shared" ref="J108:AG108" si="19">SUM(J84:J85)</f>
        <v>0</v>
      </c>
      <c r="K108" s="28">
        <f t="shared" si="19"/>
        <v>415227.88246538845</v>
      </c>
      <c r="L108" s="28">
        <f t="shared" si="19"/>
        <v>415479.4671688489</v>
      </c>
      <c r="M108" s="28">
        <f t="shared" si="19"/>
        <v>413430.50346749753</v>
      </c>
      <c r="N108" s="28">
        <f t="shared" si="19"/>
        <v>412847.43716506392</v>
      </c>
      <c r="O108" s="28">
        <f t="shared" si="19"/>
        <v>416913.98141340748</v>
      </c>
      <c r="P108" s="28">
        <f t="shared" si="19"/>
        <v>422380.60769971437</v>
      </c>
      <c r="Q108" s="28">
        <f t="shared" si="19"/>
        <v>420884.81903421547</v>
      </c>
      <c r="R108" s="28">
        <f t="shared" si="19"/>
        <v>423118.6583948207</v>
      </c>
      <c r="S108" s="28">
        <f t="shared" si="19"/>
        <v>425405.40025987069</v>
      </c>
      <c r="T108" s="28">
        <f t="shared" si="19"/>
        <v>427735.08426691854</v>
      </c>
      <c r="U108" s="28">
        <f t="shared" si="19"/>
        <v>430100.13824336871</v>
      </c>
      <c r="V108" s="28">
        <f t="shared" si="19"/>
        <v>432494.61888081772</v>
      </c>
      <c r="W108" s="28">
        <f t="shared" si="19"/>
        <v>434913.79047993198</v>
      </c>
      <c r="X108" s="28">
        <f t="shared" si="19"/>
        <v>437353.8231571659</v>
      </c>
      <c r="Y108" s="28">
        <f t="shared" si="19"/>
        <v>439811.57769163797</v>
      </c>
      <c r="Z108" s="28">
        <f t="shared" si="19"/>
        <v>442284.43066398718</v>
      </c>
      <c r="AA108" s="28">
        <f t="shared" si="19"/>
        <v>444770.18435995304</v>
      </c>
      <c r="AB108" s="28">
        <f t="shared" si="19"/>
        <v>447266.99227477005</v>
      </c>
      <c r="AC108" s="28">
        <f t="shared" si="19"/>
        <v>449773.26968678855</v>
      </c>
      <c r="AD108" s="28">
        <f t="shared" si="19"/>
        <v>452287.65716670256</v>
      </c>
      <c r="AE108" s="28">
        <f t="shared" si="19"/>
        <v>454537.56865664112</v>
      </c>
      <c r="AF108" s="28">
        <f t="shared" si="19"/>
        <v>456795.25525828573</v>
      </c>
      <c r="AG108" s="28">
        <f t="shared" si="19"/>
        <v>459059.77228472603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-190843.94966587989</v>
      </c>
      <c r="K110" s="28" cm="1">
        <f t="array" ref="K110">K$106+IF($C110&lt;&gt;0,SUMPRODUCT((K$107:K$108)*TRANSPOSE(($D110:$E110))),0)</f>
        <v>128961.95796656862</v>
      </c>
      <c r="L110" s="28" cm="1">
        <f t="array" ref="L110">L$106+IF($C110&lt;&gt;0,SUMPRODUCT((L$107:L$108)*TRANSPOSE(($D110:$E110))),0)</f>
        <v>129213.54267002907</v>
      </c>
      <c r="M110" s="28" cm="1">
        <f t="array" ref="M110">M$106+IF($C110&lt;&gt;0,SUMPRODUCT((M$107:M$108)*TRANSPOSE(($D110:$E110))),0)</f>
        <v>127164.5789686777</v>
      </c>
      <c r="N110" s="28" cm="1">
        <f t="array" ref="N110">N$106+IF($C110&lt;&gt;0,SUMPRODUCT((N$107:N$108)*TRANSPOSE(($D110:$E110))),0)</f>
        <v>126581.51266624409</v>
      </c>
      <c r="O110" s="28" cm="1">
        <f t="array" ref="O110">O$106+IF($C110&lt;&gt;0,SUMPRODUCT((O$107:O$108)*TRANSPOSE(($D110:$E110))),0)</f>
        <v>130648.05691458765</v>
      </c>
      <c r="P110" s="28" cm="1">
        <f t="array" ref="P110">P$106+IF($C110&lt;&gt;0,SUMPRODUCT((P$107:P$108)*TRANSPOSE(($D110:$E110))),0)</f>
        <v>136114.68320089453</v>
      </c>
      <c r="Q110" s="28" cm="1">
        <f t="array" ref="Q110">Q$106+IF($C110&lt;&gt;0,SUMPRODUCT((Q$107:Q$108)*TRANSPOSE(($D110:$E110))),0)</f>
        <v>134618.89453539564</v>
      </c>
      <c r="R110" s="28" cm="1">
        <f t="array" ref="R110">R$106+IF($C110&lt;&gt;0,SUMPRODUCT((R$107:R$108)*TRANSPOSE(($D110:$E110))),0)</f>
        <v>136852.73389600086</v>
      </c>
      <c r="S110" s="28" cm="1">
        <f t="array" ref="S110">S$106+IF($C110&lt;&gt;0,SUMPRODUCT((S$107:S$108)*TRANSPOSE(($D110:$E110))),0)</f>
        <v>139139.47576105085</v>
      </c>
      <c r="T110" s="28" cm="1">
        <f t="array" ref="T110">T$106+IF($C110&lt;&gt;0,SUMPRODUCT((T$107:T$108)*TRANSPOSE(($D110:$E110))),0)</f>
        <v>141469.1597680987</v>
      </c>
      <c r="U110" s="28" cm="1">
        <f t="array" ref="U110">U$106+IF($C110&lt;&gt;0,SUMPRODUCT((U$107:U$108)*TRANSPOSE(($D110:$E110))),0)</f>
        <v>143834.21374454888</v>
      </c>
      <c r="V110" s="28" cm="1">
        <f t="array" ref="V110">V$106+IF($C110&lt;&gt;0,SUMPRODUCT((V$107:V$108)*TRANSPOSE(($D110:$E110))),0)</f>
        <v>146228.69438199789</v>
      </c>
      <c r="W110" s="28" cm="1">
        <f t="array" ref="W110">W$106+IF($C110&lt;&gt;0,SUMPRODUCT((W$107:W$108)*TRANSPOSE(($D110:$E110))),0)</f>
        <v>148647.86598111215</v>
      </c>
      <c r="X110" s="28" cm="1">
        <f t="array" ref="X110">X$106+IF($C110&lt;&gt;0,SUMPRODUCT((X$107:X$108)*TRANSPOSE(($D110:$E110))),0)</f>
        <v>151087.89865834606</v>
      </c>
      <c r="Y110" s="28" cm="1">
        <f t="array" ref="Y110">Y$106+IF($C110&lt;&gt;0,SUMPRODUCT((Y$107:Y$108)*TRANSPOSE(($D110:$E110))),0)</f>
        <v>153545.65319281814</v>
      </c>
      <c r="Z110" s="28" cm="1">
        <f t="array" ref="Z110">Z$106+IF($C110&lt;&gt;0,SUMPRODUCT((Z$107:Z$108)*TRANSPOSE(($D110:$E110))),0)</f>
        <v>156018.50616516735</v>
      </c>
      <c r="AA110" s="28" cm="1">
        <f t="array" ref="AA110">AA$106+IF($C110&lt;&gt;0,SUMPRODUCT((AA$107:AA$108)*TRANSPOSE(($D110:$E110))),0)</f>
        <v>158504.25986113321</v>
      </c>
      <c r="AB110" s="28" cm="1">
        <f t="array" ref="AB110">AB$106+IF($C110&lt;&gt;0,SUMPRODUCT((AB$107:AB$108)*TRANSPOSE(($D110:$E110))),0)</f>
        <v>161001.06777595021</v>
      </c>
      <c r="AC110" s="28" cm="1">
        <f t="array" ref="AC110">AC$106+IF($C110&lt;&gt;0,SUMPRODUCT((AC$107:AC$108)*TRANSPOSE(($D110:$E110))),0)</f>
        <v>163507.34518796872</v>
      </c>
      <c r="AD110" s="28" cm="1">
        <f t="array" ref="AD110">AD$106+IF($C110&lt;&gt;0,SUMPRODUCT((AD$107:AD$108)*TRANSPOSE(($D110:$E110))),0)</f>
        <v>166021.73266788272</v>
      </c>
      <c r="AE110" s="28" cm="1">
        <f t="array" ref="AE110">AE$106+IF($C110&lt;&gt;0,SUMPRODUCT((AE$107:AE$108)*TRANSPOSE(($D110:$E110))),0)</f>
        <v>168271.64415782128</v>
      </c>
      <c r="AF110" s="28" cm="1">
        <f t="array" ref="AF110">AF$106+IF($C110&lt;&gt;0,SUMPRODUCT((AF$107:AF$108)*TRANSPOSE(($D110:$E110))),0)</f>
        <v>170529.3307594659</v>
      </c>
      <c r="AG110" s="28" cm="1">
        <f t="array" ref="AG110">AG$106+IF($C110&lt;&gt;0,SUMPRODUCT((AG$107:AG$108)*TRANSPOSE(($D110:$E110))),0)</f>
        <v>172793.8477859062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-156145.04972662899</v>
      </c>
      <c r="K111" s="28" cm="1">
        <f t="array" ref="K111">K$106+IF($C111&lt;&gt;0,SUMPRODUCT((K$107:K$108)*TRANSPOSE(($D111:$E111))),0)</f>
        <v>181010.30787544497</v>
      </c>
      <c r="L111" s="28" cm="1">
        <f t="array" ref="L111">L$106+IF($C111&lt;&gt;0,SUMPRODUCT((L$107:L$108)*TRANSPOSE(($D111:$E111))),0)</f>
        <v>181261.89257890542</v>
      </c>
      <c r="M111" s="28" cm="1">
        <f t="array" ref="M111">M$106+IF($C111&lt;&gt;0,SUMPRODUCT((M$107:M$108)*TRANSPOSE(($D111:$E111))),0)</f>
        <v>179212.92887755405</v>
      </c>
      <c r="N111" s="28" cm="1">
        <f t="array" ref="N111">N$106+IF($C111&lt;&gt;0,SUMPRODUCT((N$107:N$108)*TRANSPOSE(($D111:$E111))),0)</f>
        <v>178629.86257512044</v>
      </c>
      <c r="O111" s="28" cm="1">
        <f t="array" ref="O111">O$106+IF($C111&lt;&gt;0,SUMPRODUCT((O$107:O$108)*TRANSPOSE(($D111:$E111))),0)</f>
        <v>182696.406823464</v>
      </c>
      <c r="P111" s="28" cm="1">
        <f t="array" ref="P111">P$106+IF($C111&lt;&gt;0,SUMPRODUCT((P$107:P$108)*TRANSPOSE(($D111:$E111))),0)</f>
        <v>188163.03310977088</v>
      </c>
      <c r="Q111" s="28" cm="1">
        <f t="array" ref="Q111">Q$106+IF($C111&lt;&gt;0,SUMPRODUCT((Q$107:Q$108)*TRANSPOSE(($D111:$E111))),0)</f>
        <v>186667.24444427199</v>
      </c>
      <c r="R111" s="28" cm="1">
        <f t="array" ref="R111">R$106+IF($C111&lt;&gt;0,SUMPRODUCT((R$107:R$108)*TRANSPOSE(($D111:$E111))),0)</f>
        <v>188901.08380487721</v>
      </c>
      <c r="S111" s="28" cm="1">
        <f t="array" ref="S111">S$106+IF($C111&lt;&gt;0,SUMPRODUCT((S$107:S$108)*TRANSPOSE(($D111:$E111))),0)</f>
        <v>191187.8256699272</v>
      </c>
      <c r="T111" s="28" cm="1">
        <f t="array" ref="T111">T$106+IF($C111&lt;&gt;0,SUMPRODUCT((T$107:T$108)*TRANSPOSE(($D111:$E111))),0)</f>
        <v>193517.50967697505</v>
      </c>
      <c r="U111" s="28" cm="1">
        <f t="array" ref="U111">U$106+IF($C111&lt;&gt;0,SUMPRODUCT((U$107:U$108)*TRANSPOSE(($D111:$E111))),0)</f>
        <v>195882.56365342523</v>
      </c>
      <c r="V111" s="28" cm="1">
        <f t="array" ref="V111">V$106+IF($C111&lt;&gt;0,SUMPRODUCT((V$107:V$108)*TRANSPOSE(($D111:$E111))),0)</f>
        <v>198277.04429087424</v>
      </c>
      <c r="W111" s="28" cm="1">
        <f t="array" ref="W111">W$106+IF($C111&lt;&gt;0,SUMPRODUCT((W$107:W$108)*TRANSPOSE(($D111:$E111))),0)</f>
        <v>200696.2158899885</v>
      </c>
      <c r="X111" s="28" cm="1">
        <f t="array" ref="X111">X$106+IF($C111&lt;&gt;0,SUMPRODUCT((X$107:X$108)*TRANSPOSE(($D111:$E111))),0)</f>
        <v>203136.24856722241</v>
      </c>
      <c r="Y111" s="28" cm="1">
        <f t="array" ref="Y111">Y$106+IF($C111&lt;&gt;0,SUMPRODUCT((Y$107:Y$108)*TRANSPOSE(($D111:$E111))),0)</f>
        <v>205594.00310169448</v>
      </c>
      <c r="Z111" s="28" cm="1">
        <f t="array" ref="Z111">Z$106+IF($C111&lt;&gt;0,SUMPRODUCT((Z$107:Z$108)*TRANSPOSE(($D111:$E111))),0)</f>
        <v>208066.8560740437</v>
      </c>
      <c r="AA111" s="28" cm="1">
        <f t="array" ref="AA111">AA$106+IF($C111&lt;&gt;0,SUMPRODUCT((AA$107:AA$108)*TRANSPOSE(($D111:$E111))),0)</f>
        <v>210552.60977000956</v>
      </c>
      <c r="AB111" s="28" cm="1">
        <f t="array" ref="AB111">AB$106+IF($C111&lt;&gt;0,SUMPRODUCT((AB$107:AB$108)*TRANSPOSE(($D111:$E111))),0)</f>
        <v>213049.41768482656</v>
      </c>
      <c r="AC111" s="28" cm="1">
        <f t="array" ref="AC111">AC$106+IF($C111&lt;&gt;0,SUMPRODUCT((AC$107:AC$108)*TRANSPOSE(($D111:$E111))),0)</f>
        <v>215555.69509684507</v>
      </c>
      <c r="AD111" s="28" cm="1">
        <f t="array" ref="AD111">AD$106+IF($C111&lt;&gt;0,SUMPRODUCT((AD$107:AD$108)*TRANSPOSE(($D111:$E111))),0)</f>
        <v>218070.08257675907</v>
      </c>
      <c r="AE111" s="28" cm="1">
        <f t="array" ref="AE111">AE$106+IF($C111&lt;&gt;0,SUMPRODUCT((AE$107:AE$108)*TRANSPOSE(($D111:$E111))),0)</f>
        <v>220319.99406669763</v>
      </c>
      <c r="AF111" s="28" cm="1">
        <f t="array" ref="AF111">AF$106+IF($C111&lt;&gt;0,SUMPRODUCT((AF$107:AF$108)*TRANSPOSE(($D111:$E111))),0)</f>
        <v>222577.68066834225</v>
      </c>
      <c r="AG111" s="28" cm="1">
        <f t="array" ref="AG111">AG$106+IF($C111&lt;&gt;0,SUMPRODUCT((AG$107:AG$108)*TRANSPOSE(($D111:$E111))),0)</f>
        <v>224842.19769478255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-173494.49969625444</v>
      </c>
      <c r="K112" s="28" cm="1">
        <f t="array" ref="K112">K$106+IF($C112&lt;&gt;0,SUMPRODUCT((K$107:K$108)*TRANSPOSE(($D112:$E112))),0)</f>
        <v>196508.92116754563</v>
      </c>
      <c r="L112" s="28" cm="1">
        <f t="array" ref="L112">L$106+IF($C112&lt;&gt;0,SUMPRODUCT((L$107:L$108)*TRANSPOSE(($D112:$E112))),0)</f>
        <v>196785.66434135212</v>
      </c>
      <c r="M112" s="28" cm="1">
        <f t="array" ref="M112">M$106+IF($C112&lt;&gt;0,SUMPRODUCT((M$107:M$108)*TRANSPOSE(($D112:$E112))),0)</f>
        <v>194531.80426986562</v>
      </c>
      <c r="N112" s="28" cm="1">
        <f t="array" ref="N112">N$106+IF($C112&lt;&gt;0,SUMPRODUCT((N$107:N$108)*TRANSPOSE(($D112:$E112))),0)</f>
        <v>193890.43133718867</v>
      </c>
      <c r="O112" s="28" cm="1">
        <f t="array" ref="O112">O$106+IF($C112&lt;&gt;0,SUMPRODUCT((O$107:O$108)*TRANSPOSE(($D112:$E112))),0)</f>
        <v>198363.63001036659</v>
      </c>
      <c r="P112" s="28" cm="1">
        <f t="array" ref="P112">P$106+IF($C112&lt;&gt;0,SUMPRODUCT((P$107:P$108)*TRANSPOSE(($D112:$E112))),0)</f>
        <v>204376.91892530414</v>
      </c>
      <c r="Q112" s="28" cm="1">
        <f t="array" ref="Q112">Q$106+IF($C112&lt;&gt;0,SUMPRODUCT((Q$107:Q$108)*TRANSPOSE(($D112:$E112))),0)</f>
        <v>202731.55139325536</v>
      </c>
      <c r="R112" s="28" cm="1">
        <f t="array" ref="R112">R$106+IF($C112&lt;&gt;0,SUMPRODUCT((R$107:R$108)*TRANSPOSE(($D112:$E112))),0)</f>
        <v>205188.77468992112</v>
      </c>
      <c r="S112" s="28" cm="1">
        <f t="array" ref="S112">S$106+IF($C112&lt;&gt;0,SUMPRODUCT((S$107:S$108)*TRANSPOSE(($D112:$E112))),0)</f>
        <v>207704.19074147611</v>
      </c>
      <c r="T112" s="28" cm="1">
        <f t="array" ref="T112">T$106+IF($C112&lt;&gt;0,SUMPRODUCT((T$107:T$108)*TRANSPOSE(($D112:$E112))),0)</f>
        <v>210266.84314922872</v>
      </c>
      <c r="U112" s="28" cm="1">
        <f t="array" ref="U112">U$106+IF($C112&lt;&gt;0,SUMPRODUCT((U$107:U$108)*TRANSPOSE(($D112:$E112))),0)</f>
        <v>212868.40252332392</v>
      </c>
      <c r="V112" s="28" cm="1">
        <f t="array" ref="V112">V$106+IF($C112&lt;&gt;0,SUMPRODUCT((V$107:V$108)*TRANSPOSE(($D112:$E112))),0)</f>
        <v>215502.33122451784</v>
      </c>
      <c r="W112" s="28" cm="1">
        <f t="array" ref="W112">W$106+IF($C112&lt;&gt;0,SUMPRODUCT((W$107:W$108)*TRANSPOSE(($D112:$E112))),0)</f>
        <v>218163.41998354351</v>
      </c>
      <c r="X112" s="28" cm="1">
        <f t="array" ref="X112">X$106+IF($C112&lt;&gt;0,SUMPRODUCT((X$107:X$108)*TRANSPOSE(($D112:$E112))),0)</f>
        <v>220847.45592850083</v>
      </c>
      <c r="Y112" s="28" cm="1">
        <f t="array" ref="Y112">Y$106+IF($C112&lt;&gt;0,SUMPRODUCT((Y$107:Y$108)*TRANSPOSE(($D112:$E112))),0)</f>
        <v>223550.98591642012</v>
      </c>
      <c r="Z112" s="28" cm="1">
        <f t="array" ref="Z112">Z$106+IF($C112&lt;&gt;0,SUMPRODUCT((Z$107:Z$108)*TRANSPOSE(($D112:$E112))),0)</f>
        <v>226271.12418600425</v>
      </c>
      <c r="AA112" s="28" cm="1">
        <f t="array" ref="AA112">AA$106+IF($C112&lt;&gt;0,SUMPRODUCT((AA$107:AA$108)*TRANSPOSE(($D112:$E112))),0)</f>
        <v>229005.45325156668</v>
      </c>
      <c r="AB112" s="28" cm="1">
        <f t="array" ref="AB112">AB$106+IF($C112&lt;&gt;0,SUMPRODUCT((AB$107:AB$108)*TRANSPOSE(($D112:$E112))),0)</f>
        <v>231751.94195786541</v>
      </c>
      <c r="AC112" s="28" cm="1">
        <f t="array" ref="AC112">AC$106+IF($C112&lt;&gt;0,SUMPRODUCT((AC$107:AC$108)*TRANSPOSE(($D112:$E112))),0)</f>
        <v>234508.84711108575</v>
      </c>
      <c r="AD112" s="28" cm="1">
        <f t="array" ref="AD112">AD$106+IF($C112&lt;&gt;0,SUMPRODUCT((AD$107:AD$108)*TRANSPOSE(($D112:$E112))),0)</f>
        <v>237274.67333899115</v>
      </c>
      <c r="AE112" s="28" cm="1">
        <f t="array" ref="AE112">AE$106+IF($C112&lt;&gt;0,SUMPRODUCT((AE$107:AE$108)*TRANSPOSE(($D112:$E112))),0)</f>
        <v>239749.57597792358</v>
      </c>
      <c r="AF112" s="28" cm="1">
        <f t="array" ref="AF112">AF$106+IF($C112&lt;&gt;0,SUMPRODUCT((AF$107:AF$108)*TRANSPOSE(($D112:$E112))),0)</f>
        <v>242233.03123973263</v>
      </c>
      <c r="AG112" s="28" cm="1">
        <f t="array" ref="AG112">AG$106+IF($C112&lt;&gt;0,SUMPRODUCT((AG$107:AG$108)*TRANSPOSE(($D112:$E112))),0)</f>
        <v>244723.99996881699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-173494.49969625444</v>
      </c>
      <c r="K113" s="28" cm="1">
        <f t="array" ref="K113">K$106+IF($C113&lt;&gt;0,SUMPRODUCT((K$107:K$108)*TRANSPOSE(($D113:$E113))),0)</f>
        <v>113463.34467446795</v>
      </c>
      <c r="L113" s="28" cm="1">
        <f t="array" ref="L113">L$106+IF($C113&lt;&gt;0,SUMPRODUCT((L$107:L$108)*TRANSPOSE(($D113:$E113))),0)</f>
        <v>113689.77090758235</v>
      </c>
      <c r="M113" s="28" cm="1">
        <f t="array" ref="M113">M$106+IF($C113&lt;&gt;0,SUMPRODUCT((M$107:M$108)*TRANSPOSE(($D113:$E113))),0)</f>
        <v>111845.70357636613</v>
      </c>
      <c r="N113" s="28" cm="1">
        <f t="array" ref="N113">N$106+IF($C113&lt;&gt;0,SUMPRODUCT((N$107:N$108)*TRANSPOSE(($D113:$E113))),0)</f>
        <v>111320.94390417586</v>
      </c>
      <c r="O113" s="28" cm="1">
        <f t="array" ref="O113">O$106+IF($C113&lt;&gt;0,SUMPRODUCT((O$107:O$108)*TRANSPOSE(($D113:$E113))),0)</f>
        <v>114980.83372768507</v>
      </c>
      <c r="P113" s="28" cm="1">
        <f t="array" ref="P113">P$106+IF($C113&lt;&gt;0,SUMPRODUCT((P$107:P$108)*TRANSPOSE(($D113:$E113))),0)</f>
        <v>119900.79738536128</v>
      </c>
      <c r="Q113" s="28" cm="1">
        <f t="array" ref="Q113">Q$106+IF($C113&lt;&gt;0,SUMPRODUCT((Q$107:Q$108)*TRANSPOSE(($D113:$E113))),0)</f>
        <v>118554.58758641226</v>
      </c>
      <c r="R113" s="28" cm="1">
        <f t="array" ref="R113">R$106+IF($C113&lt;&gt;0,SUMPRODUCT((R$107:R$108)*TRANSPOSE(($D113:$E113))),0)</f>
        <v>120565.04301095696</v>
      </c>
      <c r="S113" s="28" cm="1">
        <f t="array" ref="S113">S$106+IF($C113&lt;&gt;0,SUMPRODUCT((S$107:S$108)*TRANSPOSE(($D113:$E113))),0)</f>
        <v>122623.11068950195</v>
      </c>
      <c r="T113" s="28" cm="1">
        <f t="array" ref="T113">T$106+IF($C113&lt;&gt;0,SUMPRODUCT((T$107:T$108)*TRANSPOSE(($D113:$E113))),0)</f>
        <v>124719.82629584502</v>
      </c>
      <c r="U113" s="28" cm="1">
        <f t="array" ref="U113">U$106+IF($C113&lt;&gt;0,SUMPRODUCT((U$107:U$108)*TRANSPOSE(($D113:$E113))),0)</f>
        <v>126848.37487465018</v>
      </c>
      <c r="V113" s="28" cm="1">
        <f t="array" ref="V113">V$106+IF($C113&lt;&gt;0,SUMPRODUCT((V$107:V$108)*TRANSPOSE(($D113:$E113))),0)</f>
        <v>129003.40744835429</v>
      </c>
      <c r="W113" s="28" cm="1">
        <f t="array" ref="W113">W$106+IF($C113&lt;&gt;0,SUMPRODUCT((W$107:W$108)*TRANSPOSE(($D113:$E113))),0)</f>
        <v>131180.66188755713</v>
      </c>
      <c r="X113" s="28" cm="1">
        <f t="array" ref="X113">X$106+IF($C113&lt;&gt;0,SUMPRODUCT((X$107:X$108)*TRANSPOSE(($D113:$E113))),0)</f>
        <v>133376.69129706765</v>
      </c>
      <c r="Y113" s="28" cm="1">
        <f t="array" ref="Y113">Y$106+IF($C113&lt;&gt;0,SUMPRODUCT((Y$107:Y$108)*TRANSPOSE(($D113:$E113))),0)</f>
        <v>135588.6703780925</v>
      </c>
      <c r="Z113" s="28" cm="1">
        <f t="array" ref="Z113">Z$106+IF($C113&lt;&gt;0,SUMPRODUCT((Z$107:Z$108)*TRANSPOSE(($D113:$E113))),0)</f>
        <v>137814.23805320679</v>
      </c>
      <c r="AA113" s="28" cm="1">
        <f t="array" ref="AA113">AA$106+IF($C113&lt;&gt;0,SUMPRODUCT((AA$107:AA$108)*TRANSPOSE(($D113:$E113))),0)</f>
        <v>140051.41637957608</v>
      </c>
      <c r="AB113" s="28" cm="1">
        <f t="array" ref="AB113">AB$106+IF($C113&lt;&gt;0,SUMPRODUCT((AB$107:AB$108)*TRANSPOSE(($D113:$E113))),0)</f>
        <v>142298.54350291137</v>
      </c>
      <c r="AC113" s="28" cm="1">
        <f t="array" ref="AC113">AC$106+IF($C113&lt;&gt;0,SUMPRODUCT((AC$107:AC$108)*TRANSPOSE(($D113:$E113))),0)</f>
        <v>144554.19317372804</v>
      </c>
      <c r="AD113" s="28" cm="1">
        <f t="array" ref="AD113">AD$106+IF($C113&lt;&gt;0,SUMPRODUCT((AD$107:AD$108)*TRANSPOSE(($D113:$E113))),0)</f>
        <v>146817.14190565064</v>
      </c>
      <c r="AE113" s="28" cm="1">
        <f t="array" ref="AE113">AE$106+IF($C113&lt;&gt;0,SUMPRODUCT((AE$107:AE$108)*TRANSPOSE(($D113:$E113))),0)</f>
        <v>148842.06224659533</v>
      </c>
      <c r="AF113" s="28" cm="1">
        <f t="array" ref="AF113">AF$106+IF($C113&lt;&gt;0,SUMPRODUCT((AF$107:AF$108)*TRANSPOSE(($D113:$E113))),0)</f>
        <v>150873.98018807551</v>
      </c>
      <c r="AG113" s="28" cm="1">
        <f t="array" ref="AG113">AG$106+IF($C113&lt;&gt;0,SUMPRODUCT((AG$107:AG$108)*TRANSPOSE(($D113:$E113))),0)</f>
        <v>152912.04551187175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-190843.94966587989</v>
      </c>
      <c r="K114" s="28" cm="1">
        <f t="array" ref="K114">K$106+IF($C114&lt;&gt;0,SUMPRODUCT((K$107:K$108)*TRANSPOSE(($D114:$E114))),0)</f>
        <v>87439.169720029779</v>
      </c>
      <c r="L114" s="28" cm="1">
        <f t="array" ref="L114">L$106+IF($C114&lt;&gt;0,SUMPRODUCT((L$107:L$108)*TRANSPOSE(($D114:$E114))),0)</f>
        <v>87665.595953144191</v>
      </c>
      <c r="M114" s="28" cm="1">
        <f t="array" ref="M114">M$106+IF($C114&lt;&gt;0,SUMPRODUCT((M$107:M$108)*TRANSPOSE(($D114:$E114))),0)</f>
        <v>85821.528621927951</v>
      </c>
      <c r="N114" s="28" cm="1">
        <f t="array" ref="N114">N$106+IF($C114&lt;&gt;0,SUMPRODUCT((N$107:N$108)*TRANSPOSE(($D114:$E114))),0)</f>
        <v>85296.7689497377</v>
      </c>
      <c r="O114" s="28" cm="1">
        <f t="array" ref="O114">O$106+IF($C114&lt;&gt;0,SUMPRODUCT((O$107:O$108)*TRANSPOSE(($D114:$E114))),0)</f>
        <v>88956.658773246905</v>
      </c>
      <c r="P114" s="28" cm="1">
        <f t="array" ref="P114">P$106+IF($C114&lt;&gt;0,SUMPRODUCT((P$107:P$108)*TRANSPOSE(($D114:$E114))),0)</f>
        <v>93876.622430923104</v>
      </c>
      <c r="Q114" s="28" cm="1">
        <f t="array" ref="Q114">Q$106+IF($C114&lt;&gt;0,SUMPRODUCT((Q$107:Q$108)*TRANSPOSE(($D114:$E114))),0)</f>
        <v>92530.41263197409</v>
      </c>
      <c r="R114" s="28" cm="1">
        <f t="array" ref="R114">R$106+IF($C114&lt;&gt;0,SUMPRODUCT((R$107:R$108)*TRANSPOSE(($D114:$E114))),0)</f>
        <v>94540.868056518797</v>
      </c>
      <c r="S114" s="28" cm="1">
        <f t="array" ref="S114">S$106+IF($C114&lt;&gt;0,SUMPRODUCT((S$107:S$108)*TRANSPOSE(($D114:$E114))),0)</f>
        <v>96598.935735063787</v>
      </c>
      <c r="T114" s="28" cm="1">
        <f t="array" ref="T114">T$106+IF($C114&lt;&gt;0,SUMPRODUCT((T$107:T$108)*TRANSPOSE(($D114:$E114))),0)</f>
        <v>98695.651341406861</v>
      </c>
      <c r="U114" s="28" cm="1">
        <f t="array" ref="U114">U$106+IF($C114&lt;&gt;0,SUMPRODUCT((U$107:U$108)*TRANSPOSE(($D114:$E114))),0)</f>
        <v>100824.19992021201</v>
      </c>
      <c r="V114" s="28" cm="1">
        <f t="array" ref="V114">V$106+IF($C114&lt;&gt;0,SUMPRODUCT((V$107:V$108)*TRANSPOSE(($D114:$E114))),0)</f>
        <v>102979.23249391612</v>
      </c>
      <c r="W114" s="28" cm="1">
        <f t="array" ref="W114">W$106+IF($C114&lt;&gt;0,SUMPRODUCT((W$107:W$108)*TRANSPOSE(($D114:$E114))),0)</f>
        <v>105156.48693311895</v>
      </c>
      <c r="X114" s="28" cm="1">
        <f t="array" ref="X114">X$106+IF($C114&lt;&gt;0,SUMPRODUCT((X$107:X$108)*TRANSPOSE(($D114:$E114))),0)</f>
        <v>107352.51634262947</v>
      </c>
      <c r="Y114" s="28" cm="1">
        <f t="array" ref="Y114">Y$106+IF($C114&lt;&gt;0,SUMPRODUCT((Y$107:Y$108)*TRANSPOSE(($D114:$E114))),0)</f>
        <v>109564.49542365434</v>
      </c>
      <c r="Z114" s="28" cm="1">
        <f t="array" ref="Z114">Z$106+IF($C114&lt;&gt;0,SUMPRODUCT((Z$107:Z$108)*TRANSPOSE(($D114:$E114))),0)</f>
        <v>111790.06309876863</v>
      </c>
      <c r="AA114" s="28" cm="1">
        <f t="array" ref="AA114">AA$106+IF($C114&lt;&gt;0,SUMPRODUCT((AA$107:AA$108)*TRANSPOSE(($D114:$E114))),0)</f>
        <v>114027.24142513791</v>
      </c>
      <c r="AB114" s="28" cm="1">
        <f t="array" ref="AB114">AB$106+IF($C114&lt;&gt;0,SUMPRODUCT((AB$107:AB$108)*TRANSPOSE(($D114:$E114))),0)</f>
        <v>116274.36854847321</v>
      </c>
      <c r="AC114" s="28" cm="1">
        <f t="array" ref="AC114">AC$106+IF($C114&lt;&gt;0,SUMPRODUCT((AC$107:AC$108)*TRANSPOSE(($D114:$E114))),0)</f>
        <v>118530.01821928986</v>
      </c>
      <c r="AD114" s="28" cm="1">
        <f t="array" ref="AD114">AD$106+IF($C114&lt;&gt;0,SUMPRODUCT((AD$107:AD$108)*TRANSPOSE(($D114:$E114))),0)</f>
        <v>120792.96695121247</v>
      </c>
      <c r="AE114" s="28" cm="1">
        <f t="array" ref="AE114">AE$106+IF($C114&lt;&gt;0,SUMPRODUCT((AE$107:AE$108)*TRANSPOSE(($D114:$E114))),0)</f>
        <v>122817.88729215717</v>
      </c>
      <c r="AF114" s="28" cm="1">
        <f t="array" ref="AF114">AF$106+IF($C114&lt;&gt;0,SUMPRODUCT((AF$107:AF$108)*TRANSPOSE(($D114:$E114))),0)</f>
        <v>124849.80523363734</v>
      </c>
      <c r="AG114" s="28" cm="1">
        <f t="array" ref="AG114">AG$106+IF($C114&lt;&gt;0,SUMPRODUCT((AG$107:AG$108)*TRANSPOSE(($D114:$E114))),0)</f>
        <v>126887.87055743361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-173494.49969625444</v>
      </c>
      <c r="K115" s="28" cm="1">
        <f t="array" ref="K115">K$106+IF($C115&lt;&gt;0,SUMPRODUCT((K$107:K$108)*TRANSPOSE(($D115:$E115))),0)</f>
        <v>154986.13292100679</v>
      </c>
      <c r="L115" s="28" cm="1">
        <f t="array" ref="L115">L$106+IF($C115&lt;&gt;0,SUMPRODUCT((L$107:L$108)*TRANSPOSE(($D115:$E115))),0)</f>
        <v>155237.71762446724</v>
      </c>
      <c r="M115" s="28" cm="1">
        <f t="array" ref="M115">M$106+IF($C115&lt;&gt;0,SUMPRODUCT((M$107:M$108)*TRANSPOSE(($D115:$E115))),0)</f>
        <v>153188.75392311587</v>
      </c>
      <c r="N115" s="28" cm="1">
        <f t="array" ref="N115">N$106+IF($C115&lt;&gt;0,SUMPRODUCT((N$107:N$108)*TRANSPOSE(($D115:$E115))),0)</f>
        <v>152605.68762068226</v>
      </c>
      <c r="O115" s="28" cm="1">
        <f t="array" ref="O115">O$106+IF($C115&lt;&gt;0,SUMPRODUCT((O$107:O$108)*TRANSPOSE(($D115:$E115))),0)</f>
        <v>156672.23186902583</v>
      </c>
      <c r="P115" s="28" cm="1">
        <f t="array" ref="P115">P$106+IF($C115&lt;&gt;0,SUMPRODUCT((P$107:P$108)*TRANSPOSE(($D115:$E115))),0)</f>
        <v>162138.85815533271</v>
      </c>
      <c r="Q115" s="28" cm="1">
        <f t="array" ref="Q115">Q$106+IF($C115&lt;&gt;0,SUMPRODUCT((Q$107:Q$108)*TRANSPOSE(($D115:$E115))),0)</f>
        <v>160643.06948983381</v>
      </c>
      <c r="R115" s="28" cm="1">
        <f t="array" ref="R115">R$106+IF($C115&lt;&gt;0,SUMPRODUCT((R$107:R$108)*TRANSPOSE(($D115:$E115))),0)</f>
        <v>162876.90885043904</v>
      </c>
      <c r="S115" s="28" cm="1">
        <f t="array" ref="S115">S$106+IF($C115&lt;&gt;0,SUMPRODUCT((S$107:S$108)*TRANSPOSE(($D115:$E115))),0)</f>
        <v>165163.65071548903</v>
      </c>
      <c r="T115" s="28" cm="1">
        <f t="array" ref="T115">T$106+IF($C115&lt;&gt;0,SUMPRODUCT((T$107:T$108)*TRANSPOSE(($D115:$E115))),0)</f>
        <v>167493.33472253688</v>
      </c>
      <c r="U115" s="28" cm="1">
        <f t="array" ref="U115">U$106+IF($C115&lt;&gt;0,SUMPRODUCT((U$107:U$108)*TRANSPOSE(($D115:$E115))),0)</f>
        <v>169858.38869898705</v>
      </c>
      <c r="V115" s="28" cm="1">
        <f t="array" ref="V115">V$106+IF($C115&lt;&gt;0,SUMPRODUCT((V$107:V$108)*TRANSPOSE(($D115:$E115))),0)</f>
        <v>172252.86933643607</v>
      </c>
      <c r="W115" s="28" cm="1">
        <f t="array" ref="W115">W$106+IF($C115&lt;&gt;0,SUMPRODUCT((W$107:W$108)*TRANSPOSE(($D115:$E115))),0)</f>
        <v>174672.04093555032</v>
      </c>
      <c r="X115" s="28" cm="1">
        <f t="array" ref="X115">X$106+IF($C115&lt;&gt;0,SUMPRODUCT((X$107:X$108)*TRANSPOSE(($D115:$E115))),0)</f>
        <v>177112.07361278424</v>
      </c>
      <c r="Y115" s="28" cm="1">
        <f t="array" ref="Y115">Y$106+IF($C115&lt;&gt;0,SUMPRODUCT((Y$107:Y$108)*TRANSPOSE(($D115:$E115))),0)</f>
        <v>179569.82814725631</v>
      </c>
      <c r="Z115" s="28" cm="1">
        <f t="array" ref="Z115">Z$106+IF($C115&lt;&gt;0,SUMPRODUCT((Z$107:Z$108)*TRANSPOSE(($D115:$E115))),0)</f>
        <v>182042.68111960552</v>
      </c>
      <c r="AA115" s="28" cm="1">
        <f t="array" ref="AA115">AA$106+IF($C115&lt;&gt;0,SUMPRODUCT((AA$107:AA$108)*TRANSPOSE(($D115:$E115))),0)</f>
        <v>184528.43481557138</v>
      </c>
      <c r="AB115" s="28" cm="1">
        <f t="array" ref="AB115">AB$106+IF($C115&lt;&gt;0,SUMPRODUCT((AB$107:AB$108)*TRANSPOSE(($D115:$E115))),0)</f>
        <v>187025.24273038839</v>
      </c>
      <c r="AC115" s="28" cm="1">
        <f t="array" ref="AC115">AC$106+IF($C115&lt;&gt;0,SUMPRODUCT((AC$107:AC$108)*TRANSPOSE(($D115:$E115))),0)</f>
        <v>189531.52014240689</v>
      </c>
      <c r="AD115" s="28" cm="1">
        <f t="array" ref="AD115">AD$106+IF($C115&lt;&gt;0,SUMPRODUCT((AD$107:AD$108)*TRANSPOSE(($D115:$E115))),0)</f>
        <v>192045.9076223209</v>
      </c>
      <c r="AE115" s="28" cm="1">
        <f t="array" ref="AE115">AE$106+IF($C115&lt;&gt;0,SUMPRODUCT((AE$107:AE$108)*TRANSPOSE(($D115:$E115))),0)</f>
        <v>194295.81911225946</v>
      </c>
      <c r="AF115" s="28" cm="1">
        <f t="array" ref="AF115">AF$106+IF($C115&lt;&gt;0,SUMPRODUCT((AF$107:AF$108)*TRANSPOSE(($D115:$E115))),0)</f>
        <v>196553.50571390407</v>
      </c>
      <c r="AG115" s="28" cm="1">
        <f t="array" ref="AG115">AG$106+IF($C115&lt;&gt;0,SUMPRODUCT((AG$107:AG$108)*TRANSPOSE(($D115:$E115))),0)</f>
        <v>198818.02274034437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-173494.49969625444</v>
      </c>
      <c r="K116" s="28" cm="1">
        <f t="array" ref="K116">K$106+IF($C116&lt;&gt;0,SUMPRODUCT((K$107:K$108)*TRANSPOSE(($D116:$E116))),0)</f>
        <v>154986.13292100679</v>
      </c>
      <c r="L116" s="28" cm="1">
        <f t="array" ref="L116">L$106+IF($C116&lt;&gt;0,SUMPRODUCT((L$107:L$108)*TRANSPOSE(($D116:$E116))),0)</f>
        <v>155237.71762446724</v>
      </c>
      <c r="M116" s="28" cm="1">
        <f t="array" ref="M116">M$106+IF($C116&lt;&gt;0,SUMPRODUCT((M$107:M$108)*TRANSPOSE(($D116:$E116))),0)</f>
        <v>153188.75392311587</v>
      </c>
      <c r="N116" s="28" cm="1">
        <f t="array" ref="N116">N$106+IF($C116&lt;&gt;0,SUMPRODUCT((N$107:N$108)*TRANSPOSE(($D116:$E116))),0)</f>
        <v>152605.68762068226</v>
      </c>
      <c r="O116" s="28" cm="1">
        <f t="array" ref="O116">O$106+IF($C116&lt;&gt;0,SUMPRODUCT((O$107:O$108)*TRANSPOSE(($D116:$E116))),0)</f>
        <v>156672.23186902583</v>
      </c>
      <c r="P116" s="28" cm="1">
        <f t="array" ref="P116">P$106+IF($C116&lt;&gt;0,SUMPRODUCT((P$107:P$108)*TRANSPOSE(($D116:$E116))),0)</f>
        <v>162138.85815533271</v>
      </c>
      <c r="Q116" s="28" cm="1">
        <f t="array" ref="Q116">Q$106+IF($C116&lt;&gt;0,SUMPRODUCT((Q$107:Q$108)*TRANSPOSE(($D116:$E116))),0)</f>
        <v>160643.06948983381</v>
      </c>
      <c r="R116" s="28" cm="1">
        <f t="array" ref="R116">R$106+IF($C116&lt;&gt;0,SUMPRODUCT((R$107:R$108)*TRANSPOSE(($D116:$E116))),0)</f>
        <v>162876.90885043904</v>
      </c>
      <c r="S116" s="28" cm="1">
        <f t="array" ref="S116">S$106+IF($C116&lt;&gt;0,SUMPRODUCT((S$107:S$108)*TRANSPOSE(($D116:$E116))),0)</f>
        <v>165163.65071548903</v>
      </c>
      <c r="T116" s="28" cm="1">
        <f t="array" ref="T116">T$106+IF($C116&lt;&gt;0,SUMPRODUCT((T$107:T$108)*TRANSPOSE(($D116:$E116))),0)</f>
        <v>167493.33472253688</v>
      </c>
      <c r="U116" s="28" cm="1">
        <f t="array" ref="U116">U$106+IF($C116&lt;&gt;0,SUMPRODUCT((U$107:U$108)*TRANSPOSE(($D116:$E116))),0)</f>
        <v>169858.38869898705</v>
      </c>
      <c r="V116" s="28" cm="1">
        <f t="array" ref="V116">V$106+IF($C116&lt;&gt;0,SUMPRODUCT((V$107:V$108)*TRANSPOSE(($D116:$E116))),0)</f>
        <v>172252.86933643607</v>
      </c>
      <c r="W116" s="28" cm="1">
        <f t="array" ref="W116">W$106+IF($C116&lt;&gt;0,SUMPRODUCT((W$107:W$108)*TRANSPOSE(($D116:$E116))),0)</f>
        <v>174672.04093555032</v>
      </c>
      <c r="X116" s="28" cm="1">
        <f t="array" ref="X116">X$106+IF($C116&lt;&gt;0,SUMPRODUCT((X$107:X$108)*TRANSPOSE(($D116:$E116))),0)</f>
        <v>177112.07361278424</v>
      </c>
      <c r="Y116" s="28" cm="1">
        <f t="array" ref="Y116">Y$106+IF($C116&lt;&gt;0,SUMPRODUCT((Y$107:Y$108)*TRANSPOSE(($D116:$E116))),0)</f>
        <v>179569.82814725631</v>
      </c>
      <c r="Z116" s="28" cm="1">
        <f t="array" ref="Z116">Z$106+IF($C116&lt;&gt;0,SUMPRODUCT((Z$107:Z$108)*TRANSPOSE(($D116:$E116))),0)</f>
        <v>182042.68111960552</v>
      </c>
      <c r="AA116" s="28" cm="1">
        <f t="array" ref="AA116">AA$106+IF($C116&lt;&gt;0,SUMPRODUCT((AA$107:AA$108)*TRANSPOSE(($D116:$E116))),0)</f>
        <v>184528.43481557138</v>
      </c>
      <c r="AB116" s="28" cm="1">
        <f t="array" ref="AB116">AB$106+IF($C116&lt;&gt;0,SUMPRODUCT((AB$107:AB$108)*TRANSPOSE(($D116:$E116))),0)</f>
        <v>187025.24273038839</v>
      </c>
      <c r="AC116" s="28" cm="1">
        <f t="array" ref="AC116">AC$106+IF($C116&lt;&gt;0,SUMPRODUCT((AC$107:AC$108)*TRANSPOSE(($D116:$E116))),0)</f>
        <v>189531.52014240689</v>
      </c>
      <c r="AD116" s="28" cm="1">
        <f t="array" ref="AD116">AD$106+IF($C116&lt;&gt;0,SUMPRODUCT((AD$107:AD$108)*TRANSPOSE(($D116:$E116))),0)</f>
        <v>192045.9076223209</v>
      </c>
      <c r="AE116" s="28" cm="1">
        <f t="array" ref="AE116">AE$106+IF($C116&lt;&gt;0,SUMPRODUCT((AE$107:AE$108)*TRANSPOSE(($D116:$E116))),0)</f>
        <v>194295.81911225946</v>
      </c>
      <c r="AF116" s="28" cm="1">
        <f t="array" ref="AF116">AF$106+IF($C116&lt;&gt;0,SUMPRODUCT((AF$107:AF$108)*TRANSPOSE(($D116:$E116))),0)</f>
        <v>196553.50571390407</v>
      </c>
      <c r="AG116" s="28" cm="1">
        <f t="array" ref="AG116">AG$106+IF($C116&lt;&gt;0,SUMPRODUCT((AG$107:AG$108)*TRANSPOSE(($D116:$E116))),0)</f>
        <v>198818.02274034437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-173494.49969625444</v>
      </c>
      <c r="K117" s="28" cm="1">
        <f t="array" ref="K117">K$106+IF($C117&lt;&gt;0,SUMPRODUCT((K$107:K$108)*TRANSPOSE(($D117:$E117))),0)</f>
        <v>154986.13292100679</v>
      </c>
      <c r="L117" s="28" cm="1">
        <f t="array" ref="L117">L$106+IF($C117&lt;&gt;0,SUMPRODUCT((L$107:L$108)*TRANSPOSE(($D117:$E117))),0)</f>
        <v>155237.71762446724</v>
      </c>
      <c r="M117" s="28" cm="1">
        <f t="array" ref="M117">M$106+IF($C117&lt;&gt;0,SUMPRODUCT((M$107:M$108)*TRANSPOSE(($D117:$E117))),0)</f>
        <v>153188.75392311587</v>
      </c>
      <c r="N117" s="28" cm="1">
        <f t="array" ref="N117">N$106+IF($C117&lt;&gt;0,SUMPRODUCT((N$107:N$108)*TRANSPOSE(($D117:$E117))),0)</f>
        <v>152605.68762068226</v>
      </c>
      <c r="O117" s="28" cm="1">
        <f t="array" ref="O117">O$106+IF($C117&lt;&gt;0,SUMPRODUCT((O$107:O$108)*TRANSPOSE(($D117:$E117))),0)</f>
        <v>156672.23186902583</v>
      </c>
      <c r="P117" s="28" cm="1">
        <f t="array" ref="P117">P$106+IF($C117&lt;&gt;0,SUMPRODUCT((P$107:P$108)*TRANSPOSE(($D117:$E117))),0)</f>
        <v>162138.85815533271</v>
      </c>
      <c r="Q117" s="28" cm="1">
        <f t="array" ref="Q117">Q$106+IF($C117&lt;&gt;0,SUMPRODUCT((Q$107:Q$108)*TRANSPOSE(($D117:$E117))),0)</f>
        <v>160643.06948983381</v>
      </c>
      <c r="R117" s="28" cm="1">
        <f t="array" ref="R117">R$106+IF($C117&lt;&gt;0,SUMPRODUCT((R$107:R$108)*TRANSPOSE(($D117:$E117))),0)</f>
        <v>162876.90885043904</v>
      </c>
      <c r="S117" s="28" cm="1">
        <f t="array" ref="S117">S$106+IF($C117&lt;&gt;0,SUMPRODUCT((S$107:S$108)*TRANSPOSE(($D117:$E117))),0)</f>
        <v>165163.65071548903</v>
      </c>
      <c r="T117" s="28" cm="1">
        <f t="array" ref="T117">T$106+IF($C117&lt;&gt;0,SUMPRODUCT((T$107:T$108)*TRANSPOSE(($D117:$E117))),0)</f>
        <v>167493.33472253688</v>
      </c>
      <c r="U117" s="28" cm="1">
        <f t="array" ref="U117">U$106+IF($C117&lt;&gt;0,SUMPRODUCT((U$107:U$108)*TRANSPOSE(($D117:$E117))),0)</f>
        <v>169858.38869898705</v>
      </c>
      <c r="V117" s="28" cm="1">
        <f t="array" ref="V117">V$106+IF($C117&lt;&gt;0,SUMPRODUCT((V$107:V$108)*TRANSPOSE(($D117:$E117))),0)</f>
        <v>172252.86933643607</v>
      </c>
      <c r="W117" s="28" cm="1">
        <f t="array" ref="W117">W$106+IF($C117&lt;&gt;0,SUMPRODUCT((W$107:W$108)*TRANSPOSE(($D117:$E117))),0)</f>
        <v>174672.04093555032</v>
      </c>
      <c r="X117" s="28" cm="1">
        <f t="array" ref="X117">X$106+IF($C117&lt;&gt;0,SUMPRODUCT((X$107:X$108)*TRANSPOSE(($D117:$E117))),0)</f>
        <v>177112.07361278424</v>
      </c>
      <c r="Y117" s="28" cm="1">
        <f t="array" ref="Y117">Y$106+IF($C117&lt;&gt;0,SUMPRODUCT((Y$107:Y$108)*TRANSPOSE(($D117:$E117))),0)</f>
        <v>179569.82814725631</v>
      </c>
      <c r="Z117" s="28" cm="1">
        <f t="array" ref="Z117">Z$106+IF($C117&lt;&gt;0,SUMPRODUCT((Z$107:Z$108)*TRANSPOSE(($D117:$E117))),0)</f>
        <v>182042.68111960552</v>
      </c>
      <c r="AA117" s="28" cm="1">
        <f t="array" ref="AA117">AA$106+IF($C117&lt;&gt;0,SUMPRODUCT((AA$107:AA$108)*TRANSPOSE(($D117:$E117))),0)</f>
        <v>184528.43481557138</v>
      </c>
      <c r="AB117" s="28" cm="1">
        <f t="array" ref="AB117">AB$106+IF($C117&lt;&gt;0,SUMPRODUCT((AB$107:AB$108)*TRANSPOSE(($D117:$E117))),0)</f>
        <v>187025.24273038839</v>
      </c>
      <c r="AC117" s="28" cm="1">
        <f t="array" ref="AC117">AC$106+IF($C117&lt;&gt;0,SUMPRODUCT((AC$107:AC$108)*TRANSPOSE(($D117:$E117))),0)</f>
        <v>189531.52014240689</v>
      </c>
      <c r="AD117" s="28" cm="1">
        <f t="array" ref="AD117">AD$106+IF($C117&lt;&gt;0,SUMPRODUCT((AD$107:AD$108)*TRANSPOSE(($D117:$E117))),0)</f>
        <v>192045.9076223209</v>
      </c>
      <c r="AE117" s="28" cm="1">
        <f t="array" ref="AE117">AE$106+IF($C117&lt;&gt;0,SUMPRODUCT((AE$107:AE$108)*TRANSPOSE(($D117:$E117))),0)</f>
        <v>194295.81911225946</v>
      </c>
      <c r="AF117" s="28" cm="1">
        <f t="array" ref="AF117">AF$106+IF($C117&lt;&gt;0,SUMPRODUCT((AF$107:AF$108)*TRANSPOSE(($D117:$E117))),0)</f>
        <v>196553.50571390407</v>
      </c>
      <c r="AG117" s="28" cm="1">
        <f t="array" ref="AG117">AG$106+IF($C117&lt;&gt;0,SUMPRODUCT((AG$107:AG$108)*TRANSPOSE(($D117:$E117))),0)</f>
        <v>198818.02274034437</v>
      </c>
    </row>
    <row r="118" spans="1:33" x14ac:dyDescent="0.3">
      <c r="E118" s="215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3">
      <c r="I129" s="219"/>
      <c r="J129" s="219"/>
      <c r="K129" s="219"/>
      <c r="L129" s="219"/>
    </row>
    <row r="130" spans="9:12" x14ac:dyDescent="0.3">
      <c r="I130" s="219"/>
      <c r="J130" s="219"/>
      <c r="K130" s="219"/>
      <c r="L130" s="219"/>
    </row>
    <row r="131" spans="9:12" x14ac:dyDescent="0.3">
      <c r="I131" s="219"/>
      <c r="J131" s="219"/>
      <c r="K131" s="219"/>
      <c r="L131" s="219"/>
    </row>
    <row r="132" spans="9:12" x14ac:dyDescent="0.3">
      <c r="I132" s="219"/>
      <c r="J132" s="219"/>
      <c r="K132" s="219"/>
      <c r="L132" s="219"/>
    </row>
    <row r="133" spans="9:12" x14ac:dyDescent="0.3">
      <c r="I133" s="219"/>
      <c r="J133" s="219"/>
      <c r="K133" s="219"/>
      <c r="L133" s="219"/>
    </row>
    <row r="134" spans="9:12" x14ac:dyDescent="0.3">
      <c r="I134" s="219"/>
      <c r="J134" s="219"/>
      <c r="K134" s="219"/>
      <c r="L134" s="219"/>
    </row>
    <row r="135" spans="9:12" x14ac:dyDescent="0.3">
      <c r="I135" s="219"/>
      <c r="J135" s="219"/>
      <c r="K135" s="219"/>
      <c r="L135" s="219"/>
    </row>
    <row r="136" spans="9:12" x14ac:dyDescent="0.3">
      <c r="I136" s="219"/>
      <c r="J136" s="219"/>
      <c r="K136" s="219"/>
      <c r="L136" s="219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CHA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154</v>
      </c>
      <c r="B3" s="5"/>
      <c r="C3" s="176" t="str">
        <f>INDEX(Assumptions!$E$14:$E$18, MATCH(A3,_xlfn.ANCHORARRAY( Assumptions!$C$14),0))</f>
        <v>Refurb transformer #2 completed in 2026-2027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108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109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110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</row>
    <row r="13" spans="1:43" ht="13.5" x14ac:dyDescent="0.3">
      <c r="C13" s="3" t="s">
        <v>103</v>
      </c>
      <c r="D13"/>
      <c r="E13" s="106" t="s">
        <v>111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155</v>
      </c>
      <c r="D14"/>
      <c r="E14" s="127">
        <v>20</v>
      </c>
      <c r="G14" s="182">
        <f>input_dollars</f>
        <v>45291</v>
      </c>
      <c r="H14" s="128"/>
      <c r="I14" s="29">
        <f>Workings_costs!E34</f>
        <v>639520</v>
      </c>
      <c r="J14" s="29">
        <f>Workings_costs!F34</f>
        <v>0</v>
      </c>
      <c r="K14" s="29">
        <f>Workings_costs!G34</f>
        <v>0</v>
      </c>
      <c r="L14" s="29">
        <f>Workings_costs!H34</f>
        <v>0</v>
      </c>
      <c r="M14" s="29">
        <f>Workings_costs!I34</f>
        <v>0</v>
      </c>
      <c r="N14" s="29">
        <f>Workings_costs!J34</f>
        <v>0</v>
      </c>
      <c r="O14" s="29">
        <f>Workings_costs!K34</f>
        <v>0</v>
      </c>
      <c r="P14" s="29">
        <f>Workings_costs!L34</f>
        <v>0</v>
      </c>
      <c r="Q14" s="29">
        <f>Workings_costs!M34</f>
        <v>0</v>
      </c>
      <c r="R14" s="29">
        <f>Workings_costs!N34</f>
        <v>0</v>
      </c>
      <c r="S14" s="29">
        <f>Workings_costs!O34</f>
        <v>0</v>
      </c>
      <c r="T14" s="29">
        <f>Workings_costs!P34</f>
        <v>0</v>
      </c>
      <c r="U14" s="29">
        <f>Workings_costs!Q34</f>
        <v>0</v>
      </c>
      <c r="V14" s="29">
        <f>Workings_costs!R34</f>
        <v>0</v>
      </c>
      <c r="W14" s="29">
        <f>Workings_costs!S34</f>
        <v>0</v>
      </c>
      <c r="X14" s="29">
        <f>Workings_costs!T34</f>
        <v>0</v>
      </c>
      <c r="Y14" s="29">
        <f>Workings_costs!U34</f>
        <v>0</v>
      </c>
      <c r="Z14" s="29">
        <f>Workings_costs!V34</f>
        <v>0</v>
      </c>
      <c r="AA14" s="29">
        <f>Workings_costs!W34</f>
        <v>0</v>
      </c>
      <c r="AB14" s="29">
        <f>Workings_costs!X34</f>
        <v>0</v>
      </c>
      <c r="AC14" s="29">
        <f>Workings_costs!Y34</f>
        <v>0</v>
      </c>
      <c r="AD14" s="29">
        <f>Workings_costs!Z34</f>
        <v>0</v>
      </c>
      <c r="AE14" s="29">
        <f>Workings_costs!AA34</f>
        <v>0</v>
      </c>
      <c r="AF14" s="29">
        <f>Workings_costs!AB34</f>
        <v>0</v>
      </c>
      <c r="AG14" s="29">
        <f>Workings_costs!AC34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32</v>
      </c>
      <c r="G17" s="182">
        <f>input_dollars</f>
        <v>45291</v>
      </c>
      <c r="H17" s="95"/>
      <c r="I17" s="94">
        <f t="shared" ref="I17:Q17" si="0">SUM(I14:I16)</f>
        <v>639520</v>
      </c>
      <c r="J17" s="94">
        <f t="shared" si="0"/>
        <v>0</v>
      </c>
      <c r="K17" s="94">
        <f t="shared" si="0"/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B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  <c r="AH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33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ht="13.5" x14ac:dyDescent="0.3">
      <c r="G20" s="180"/>
      <c r="AH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113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114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115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116</v>
      </c>
      <c r="D27" s="180"/>
      <c r="E27"/>
      <c r="G27" s="182" t="s">
        <v>117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118</v>
      </c>
      <c r="D28" s="180" t="s">
        <v>108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377">
        <f>Workings_risks!E35</f>
        <v>285320.88237505034</v>
      </c>
      <c r="J28" s="377">
        <f>Workings_risks!F35</f>
        <v>289351.04363172705</v>
      </c>
      <c r="K28" s="377">
        <f>Workings_risks!G35</f>
        <v>298057.92140397278</v>
      </c>
      <c r="L28" s="377">
        <f>Workings_risks!H35</f>
        <v>304883.9683711339</v>
      </c>
      <c r="M28" s="377">
        <f>Workings_risks!I35</f>
        <v>308870.59749541851</v>
      </c>
      <c r="N28" s="377">
        <f>Workings_risks!J35</f>
        <v>314100.17703790509</v>
      </c>
      <c r="O28" s="377">
        <f>Workings_risks!K35</f>
        <v>324232.79537231335</v>
      </c>
      <c r="P28" s="377">
        <f>Workings_risks!L35</f>
        <v>335968.10681912466</v>
      </c>
      <c r="Q28" s="377">
        <f>Workings_risks!M35</f>
        <v>339915.53336810472</v>
      </c>
      <c r="R28" s="377">
        <f>Workings_risks!N35</f>
        <v>348031.1078672937</v>
      </c>
      <c r="S28" s="377">
        <f>Workings_risks!O35</f>
        <v>356227.26888973918</v>
      </c>
      <c r="T28" s="377">
        <f>Workings_risks!P35</f>
        <v>364503.76842082356</v>
      </c>
      <c r="U28" s="377">
        <f>Workings_risks!Q35</f>
        <v>372860.35872394982</v>
      </c>
      <c r="V28" s="377">
        <f>Workings_risks!R35</f>
        <v>381296.80223693937</v>
      </c>
      <c r="W28" s="377">
        <f>Workings_risks!S35</f>
        <v>389812.87157831149</v>
      </c>
      <c r="X28" s="377">
        <f>Workings_risks!T35</f>
        <v>398408.32973151957</v>
      </c>
      <c r="Y28" s="377">
        <f>Workings_risks!U35</f>
        <v>407082.95976440102</v>
      </c>
      <c r="Z28" s="377">
        <f>Workings_risks!V35</f>
        <v>415836.54005819414</v>
      </c>
      <c r="AA28" s="377">
        <f>Workings_risks!W35</f>
        <v>424668.86413295206</v>
      </c>
      <c r="AB28" s="377">
        <f>Workings_risks!X35</f>
        <v>433579.72577770706</v>
      </c>
      <c r="AC28" s="377">
        <f>Workings_risks!Y35</f>
        <v>442568.9140795602</v>
      </c>
      <c r="AD28" s="377">
        <f>Workings_risks!Z35</f>
        <v>451636.2283032579</v>
      </c>
      <c r="AE28" s="377">
        <f>Workings_risks!AA35</f>
        <v>460781.48783298203</v>
      </c>
      <c r="AF28" s="377">
        <f>Workings_risks!AB35</f>
        <v>470004.49245157401</v>
      </c>
      <c r="AG28" s="377">
        <f>Workings_risks!AC35</f>
        <v>479305.057090252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 s="378"/>
      <c r="J29" s="378"/>
      <c r="K29" s="378"/>
      <c r="L29" s="378"/>
      <c r="M29" s="378"/>
      <c r="N29" s="378"/>
      <c r="O29" s="378"/>
      <c r="P29" s="378"/>
      <c r="Q29" s="378"/>
      <c r="R29" s="378"/>
      <c r="S29" s="378"/>
      <c r="T29" s="378"/>
      <c r="U29" s="378"/>
      <c r="V29" s="378"/>
      <c r="W29" s="378"/>
      <c r="X29" s="378"/>
      <c r="Y29" s="378"/>
      <c r="Z29" s="378"/>
      <c r="AA29" s="378"/>
      <c r="AB29" s="378"/>
      <c r="AC29" s="378"/>
      <c r="AD29" s="378"/>
      <c r="AE29" s="378"/>
      <c r="AF29" s="378"/>
      <c r="AG29" s="378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119</v>
      </c>
      <c r="G30" s="182">
        <f>input_dollars</f>
        <v>45291</v>
      </c>
      <c r="H30" s="128"/>
      <c r="I30" s="377">
        <f>Workings_risks!E36</f>
        <v>584.88390844473759</v>
      </c>
      <c r="J30" s="377">
        <f>Workings_risks!F36</f>
        <v>420.35330228707852</v>
      </c>
      <c r="K30" s="377">
        <f>Workings_risks!G36</f>
        <v>431.40626276001137</v>
      </c>
      <c r="L30" s="377">
        <f>Workings_risks!H36</f>
        <v>442.57708213382955</v>
      </c>
      <c r="M30" s="377">
        <f>Workings_risks!I36</f>
        <v>453.86522521224754</v>
      </c>
      <c r="N30" s="377">
        <f>Workings_risks!J36</f>
        <v>465.27017126374471</v>
      </c>
      <c r="O30" s="377">
        <f>Workings_risks!K36</f>
        <v>476.79141402156455</v>
      </c>
      <c r="P30" s="377">
        <f>Workings_risks!L36</f>
        <v>488.42844721895079</v>
      </c>
      <c r="Q30" s="377">
        <f>Workings_risks!M36</f>
        <v>500.18077905391141</v>
      </c>
      <c r="R30" s="377">
        <f>Workings_risks!N36</f>
        <v>512.04793218921907</v>
      </c>
      <c r="S30" s="377">
        <f>Workings_risks!O36</f>
        <v>524.02942928764628</v>
      </c>
      <c r="T30" s="377">
        <f>Workings_risks!P36</f>
        <v>536.12480747672998</v>
      </c>
      <c r="U30" s="377">
        <f>Workings_risks!Q36</f>
        <v>548.33360388400729</v>
      </c>
      <c r="V30" s="377">
        <f>Workings_risks!R36</f>
        <v>560.65537010177968</v>
      </c>
      <c r="W30" s="377">
        <f>Workings_risks!S36</f>
        <v>573.08967218711314</v>
      </c>
      <c r="X30" s="377">
        <f>Workings_risks!T36</f>
        <v>585.63606173230914</v>
      </c>
      <c r="Y30" s="377">
        <f>Workings_risks!U36</f>
        <v>598.29411925919806</v>
      </c>
      <c r="Z30" s="377">
        <f>Workings_risks!V36</f>
        <v>611.06341805722809</v>
      </c>
      <c r="AA30" s="377">
        <f>Workings_risks!W36</f>
        <v>623.94355311299432</v>
      </c>
      <c r="AB30" s="377">
        <f>Workings_risks!X36</f>
        <v>636.93411941309137</v>
      </c>
      <c r="AC30" s="377">
        <f>Workings_risks!Y36</f>
        <v>650.03470471173193</v>
      </c>
      <c r="AD30" s="377">
        <f>Workings_risks!Z36</f>
        <v>663.24491122789345</v>
      </c>
      <c r="AE30" s="377">
        <f>Workings_risks!AA36</f>
        <v>663.24491122789345</v>
      </c>
      <c r="AF30" s="377">
        <f>Workings_risks!AB36</f>
        <v>663.24491122789345</v>
      </c>
      <c r="AG30" s="377">
        <f>Workings_risks!AC36</f>
        <v>663.24491122789345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377">
        <f>Workings_risks!E37</f>
        <v>23694.818430286083</v>
      </c>
      <c r="J31" s="377">
        <f>Workings_risks!F37</f>
        <v>23841.095715982407</v>
      </c>
      <c r="K31" s="377">
        <f>Workings_risks!G37</f>
        <v>24467.984305048842</v>
      </c>
      <c r="L31" s="377">
        <f>Workings_risks!H37</f>
        <v>25101.557474257021</v>
      </c>
      <c r="M31" s="377">
        <f>Workings_risks!I37</f>
        <v>25741.784868984312</v>
      </c>
      <c r="N31" s="377">
        <f>Workings_risks!J37</f>
        <v>26388.636955003283</v>
      </c>
      <c r="O31" s="377">
        <f>Workings_risks!K37</f>
        <v>27042.085018481706</v>
      </c>
      <c r="P31" s="377">
        <f>Workings_risks!L37</f>
        <v>27702.100345587365</v>
      </c>
      <c r="Q31" s="377">
        <f>Workings_risks!M37</f>
        <v>28368.655042883234</v>
      </c>
      <c r="R31" s="377">
        <f>Workings_risks!N37</f>
        <v>29041.722037327509</v>
      </c>
      <c r="S31" s="377">
        <f>Workings_risks!O37</f>
        <v>29721.274255878379</v>
      </c>
      <c r="T31" s="377">
        <f>Workings_risks!P37</f>
        <v>30407.285445889233</v>
      </c>
      <c r="U31" s="377">
        <f>Workings_risks!Q37</f>
        <v>31099.729354713465</v>
      </c>
      <c r="V31" s="377">
        <f>Workings_risks!R37</f>
        <v>31798.58055009969</v>
      </c>
      <c r="W31" s="377">
        <f>Workings_risks!S37</f>
        <v>32503.814420191702</v>
      </c>
      <c r="X31" s="377">
        <f>Workings_risks!T37</f>
        <v>33215.405532738114</v>
      </c>
      <c r="Y31" s="377">
        <f>Workings_risks!U37</f>
        <v>33933.330096277925</v>
      </c>
      <c r="Z31" s="377">
        <f>Workings_risks!V37</f>
        <v>34657.563909152552</v>
      </c>
      <c r="AA31" s="377">
        <f>Workings_risks!W37</f>
        <v>35388.084000296229</v>
      </c>
      <c r="AB31" s="377">
        <f>Workings_risks!X37</f>
        <v>36124.867398643168</v>
      </c>
      <c r="AC31" s="377">
        <f>Workings_risks!Y37</f>
        <v>36867.89072292998</v>
      </c>
      <c r="AD31" s="377">
        <f>Workings_risks!Z37</f>
        <v>37617.131412288494</v>
      </c>
      <c r="AE31" s="377">
        <f>Workings_risks!AA37</f>
        <v>37617.131412288494</v>
      </c>
      <c r="AF31" s="377">
        <f>Workings_risks!AB37</f>
        <v>37617.131412288494</v>
      </c>
      <c r="AG31" s="377">
        <f>Workings_risks!AC37</f>
        <v>37617.131412288494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377">
        <f>Workings_risks!E38</f>
        <v>2122.0329984000005</v>
      </c>
      <c r="J32" s="377">
        <f>Workings_risks!F38</f>
        <v>1372.5855832319999</v>
      </c>
      <c r="K32" s="377">
        <f>Workings_risks!G38</f>
        <v>1408.6769713919998</v>
      </c>
      <c r="L32" s="377">
        <f>Workings_risks!H38</f>
        <v>1445.153205888</v>
      </c>
      <c r="M32" s="377">
        <f>Workings_risks!I38</f>
        <v>1482.012539136</v>
      </c>
      <c r="N32" s="377">
        <f>Workings_risks!J38</f>
        <v>1519.2532707840001</v>
      </c>
      <c r="O32" s="377">
        <f>Workings_risks!K38</f>
        <v>1556.8737477119998</v>
      </c>
      <c r="P32" s="377">
        <f>Workings_risks!L38</f>
        <v>1594.8723167999999</v>
      </c>
      <c r="Q32" s="377">
        <f>Workings_risks!M38</f>
        <v>1633.2473721599999</v>
      </c>
      <c r="R32" s="377">
        <f>Workings_risks!N38</f>
        <v>1671.9973551359999</v>
      </c>
      <c r="S32" s="377">
        <f>Workings_risks!O38</f>
        <v>1711.120707072</v>
      </c>
      <c r="T32" s="377">
        <f>Workings_risks!P38</f>
        <v>1750.6159165439997</v>
      </c>
      <c r="U32" s="377">
        <f>Workings_risks!Q38</f>
        <v>1790.481472128</v>
      </c>
      <c r="V32" s="377">
        <f>Workings_risks!R38</f>
        <v>1830.7159096319999</v>
      </c>
      <c r="W32" s="377">
        <f>Workings_risks!S38</f>
        <v>1871.3178120960001</v>
      </c>
      <c r="X32" s="377">
        <f>Workings_risks!T38</f>
        <v>1912.2857153279999</v>
      </c>
      <c r="Y32" s="377">
        <f>Workings_risks!U38</f>
        <v>1953.6182495999999</v>
      </c>
      <c r="Z32" s="377">
        <f>Workings_risks!V38</f>
        <v>1995.3140215679998</v>
      </c>
      <c r="AA32" s="377">
        <f>Workings_risks!W38</f>
        <v>2037.3717087360001</v>
      </c>
      <c r="AB32" s="377">
        <f>Workings_risks!X38</f>
        <v>2079.7899886079999</v>
      </c>
      <c r="AC32" s="377">
        <f>Workings_risks!Y38</f>
        <v>2122.5675150719999</v>
      </c>
      <c r="AD32" s="377">
        <f>Workings_risks!Z38</f>
        <v>2165.702989248</v>
      </c>
      <c r="AE32" s="377">
        <f>Workings_risks!AA38</f>
        <v>2165.702989248</v>
      </c>
      <c r="AF32" s="377">
        <f>Workings_risks!AB38</f>
        <v>2165.702989248</v>
      </c>
      <c r="AG32" s="377">
        <f>Workings_risks!AC38</f>
        <v>2165.702989248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119</v>
      </c>
      <c r="E33"/>
      <c r="G33" s="182">
        <f>input_dollars</f>
        <v>45291</v>
      </c>
      <c r="H33"/>
      <c r="I33" s="377">
        <f>Workings_risks!E39</f>
        <v>141000</v>
      </c>
      <c r="J33" s="377">
        <f>Workings_risks!F39</f>
        <v>35250</v>
      </c>
      <c r="K33" s="377">
        <f>Workings_risks!G39</f>
        <v>35250</v>
      </c>
      <c r="L33" s="377">
        <f>Workings_risks!H39</f>
        <v>35250</v>
      </c>
      <c r="M33" s="377">
        <f>Workings_risks!I39</f>
        <v>35250</v>
      </c>
      <c r="N33" s="377">
        <f>Workings_risks!J39</f>
        <v>35250</v>
      </c>
      <c r="O33" s="377">
        <f>Workings_risks!K39</f>
        <v>35250</v>
      </c>
      <c r="P33" s="377">
        <f>Workings_risks!L39</f>
        <v>35250</v>
      </c>
      <c r="Q33" s="377">
        <f>Workings_risks!M39</f>
        <v>35250</v>
      </c>
      <c r="R33" s="377">
        <f>Workings_risks!N39</f>
        <v>35250</v>
      </c>
      <c r="S33" s="377">
        <f>Workings_risks!O39</f>
        <v>35250</v>
      </c>
      <c r="T33" s="377">
        <f>Workings_risks!P39</f>
        <v>35250</v>
      </c>
      <c r="U33" s="377">
        <f>Workings_risks!Q39</f>
        <v>35250</v>
      </c>
      <c r="V33" s="377">
        <f>Workings_risks!R39</f>
        <v>35250</v>
      </c>
      <c r="W33" s="377">
        <f>Workings_risks!S39</f>
        <v>35250</v>
      </c>
      <c r="X33" s="377">
        <f>Workings_risks!T39</f>
        <v>35250</v>
      </c>
      <c r="Y33" s="377">
        <f>Workings_risks!U39</f>
        <v>35250</v>
      </c>
      <c r="Z33" s="377">
        <f>Workings_risks!V39</f>
        <v>35250</v>
      </c>
      <c r="AA33" s="377">
        <f>Workings_risks!W39</f>
        <v>35250</v>
      </c>
      <c r="AB33" s="377">
        <f>Workings_risks!X39</f>
        <v>35250</v>
      </c>
      <c r="AC33" s="377">
        <f>Workings_risks!Y39</f>
        <v>35250</v>
      </c>
      <c r="AD33" s="377">
        <f>Workings_risks!Z39</f>
        <v>35250</v>
      </c>
      <c r="AE33" s="377">
        <f>Workings_risks!AA39</f>
        <v>35250</v>
      </c>
      <c r="AF33" s="377">
        <f>Workings_risks!AB39</f>
        <v>35250</v>
      </c>
      <c r="AG33" s="377">
        <f>Workings_risks!AC39</f>
        <v>35250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120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121</v>
      </c>
      <c r="D36" s="192"/>
      <c r="E36" s="95"/>
      <c r="F36" s="3"/>
      <c r="G36" s="184"/>
      <c r="H36" s="95"/>
      <c r="I36" s="147">
        <f>SUM(I28:I34)</f>
        <v>452722.61771218112</v>
      </c>
      <c r="J36" s="147">
        <f t="shared" ref="J36:AB36" si="2">SUM(J28:J34)</f>
        <v>350235.07823322853</v>
      </c>
      <c r="K36" s="147">
        <f t="shared" si="2"/>
        <v>359615.98894317361</v>
      </c>
      <c r="L36" s="147">
        <f t="shared" si="2"/>
        <v>367123.25613341277</v>
      </c>
      <c r="M36" s="147">
        <f t="shared" si="2"/>
        <v>371798.26012875105</v>
      </c>
      <c r="N36" s="147">
        <f t="shared" si="2"/>
        <v>377723.33743495605</v>
      </c>
      <c r="O36" s="147">
        <f t="shared" si="2"/>
        <v>388558.54555252864</v>
      </c>
      <c r="P36" s="147">
        <f t="shared" si="2"/>
        <v>401003.50792873098</v>
      </c>
      <c r="Q36" s="147">
        <f t="shared" si="2"/>
        <v>405667.61656220187</v>
      </c>
      <c r="R36" s="147">
        <f t="shared" si="2"/>
        <v>414506.8751919464</v>
      </c>
      <c r="S36" s="147">
        <f t="shared" si="2"/>
        <v>423433.69328197726</v>
      </c>
      <c r="T36" s="147">
        <f t="shared" si="2"/>
        <v>432447.79459073348</v>
      </c>
      <c r="U36" s="147">
        <f t="shared" si="2"/>
        <v>441548.90315467532</v>
      </c>
      <c r="V36" s="147">
        <f t="shared" si="2"/>
        <v>450736.75406677282</v>
      </c>
      <c r="W36" s="147">
        <f t="shared" si="2"/>
        <v>460011.09348278627</v>
      </c>
      <c r="X36" s="147">
        <f t="shared" si="2"/>
        <v>469371.65704131802</v>
      </c>
      <c r="Y36" s="147">
        <f t="shared" si="2"/>
        <v>478818.20222953818</v>
      </c>
      <c r="Z36" s="147">
        <f t="shared" si="2"/>
        <v>488350.48140697187</v>
      </c>
      <c r="AA36" s="147">
        <f t="shared" si="2"/>
        <v>497968.26339509728</v>
      </c>
      <c r="AB36" s="147">
        <f t="shared" si="2"/>
        <v>507671.3172843713</v>
      </c>
      <c r="AC36" s="147">
        <f>SUM(AC28:AC34)</f>
        <v>517459.40702227392</v>
      </c>
      <c r="AD36" s="147">
        <f>SUM(AD28:AD34)</f>
        <v>527332.3076160223</v>
      </c>
      <c r="AE36" s="147">
        <f>SUM(AE28:AE34)</f>
        <v>536477.56714574643</v>
      </c>
      <c r="AF36" s="147">
        <f>SUM(AF28:AF34)</f>
        <v>545700.57176433841</v>
      </c>
      <c r="AG36" s="147">
        <f>SUM(AG28:AG34)</f>
        <v>555001.1364030164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122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123</v>
      </c>
      <c r="G41" s="180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4" x14ac:dyDescent="0.35">
      <c r="C42" s="1" t="s">
        <v>124</v>
      </c>
      <c r="G42" s="180" t="s">
        <v>125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  <c r="AH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3">
      <c r="C45" s="1" t="s">
        <v>126</v>
      </c>
      <c r="D45" s="180" t="s">
        <v>108</v>
      </c>
      <c r="E45" s="101">
        <f>Assumptions!G94</f>
        <v>151432.81740793545</v>
      </c>
      <c r="G45" s="182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ht="13.5" x14ac:dyDescent="0.3">
      <c r="C46" s="1" t="s">
        <v>127</v>
      </c>
      <c r="D46" s="180" t="s">
        <v>108</v>
      </c>
      <c r="E46" s="101">
        <f>Assumptions!G95</f>
        <v>24590</v>
      </c>
      <c r="G46" s="182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ht="13.5" x14ac:dyDescent="0.3">
      <c r="C47" s="1" t="s">
        <v>128</v>
      </c>
      <c r="D47" s="180" t="s">
        <v>108</v>
      </c>
      <c r="E47" s="100">
        <f>Assumptions!G96</f>
        <v>88.357719508603083</v>
      </c>
      <c r="G47" s="182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ht="13.5" x14ac:dyDescent="0.3">
      <c r="C48" s="1" t="s">
        <v>129</v>
      </c>
      <c r="D48" s="180" t="s">
        <v>130</v>
      </c>
      <c r="E48" s="100">
        <f>Assumptions!G97</f>
        <v>0</v>
      </c>
      <c r="G48" s="182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ht="13.5" x14ac:dyDescent="0.3">
      <c r="C49" s="1" t="s">
        <v>132</v>
      </c>
      <c r="D49" s="180" t="s">
        <v>133</v>
      </c>
      <c r="E49" s="100">
        <f>Assumptions!G98</f>
        <v>0.35181336539087127</v>
      </c>
      <c r="G49" s="182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ht="13.5" x14ac:dyDescent="0.3">
      <c r="C50" s="1" t="s">
        <v>135</v>
      </c>
      <c r="D50" s="180" t="s">
        <v>133</v>
      </c>
      <c r="E50" s="100">
        <f>Assumptions!G99</f>
        <v>0.35181336539087127</v>
      </c>
      <c r="G50" s="182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ht="13.5" x14ac:dyDescent="0.3">
      <c r="C51" s="1" t="s">
        <v>136</v>
      </c>
      <c r="D51" s="180" t="s">
        <v>130</v>
      </c>
      <c r="E51" s="100">
        <f>Assumptions!G100</f>
        <v>0</v>
      </c>
      <c r="G51" s="182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ht="13.5" x14ac:dyDescent="0.3">
      <c r="C52" s="1" t="s">
        <v>137</v>
      </c>
      <c r="D52" s="180" t="s">
        <v>130</v>
      </c>
      <c r="E52" s="100">
        <f>Assumptions!G101</f>
        <v>0</v>
      </c>
      <c r="G52" s="182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ht="13.5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ht="13.5" x14ac:dyDescent="0.3">
      <c r="C54" s="1" t="s">
        <v>138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ht="13.5" x14ac:dyDescent="0.3">
      <c r="C55" s="1" t="s">
        <v>139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ht="13.5" x14ac:dyDescent="0.3">
      <c r="D56" s="180"/>
      <c r="G56" s="180"/>
      <c r="AH56"/>
    </row>
    <row r="57" spans="1:43" ht="13.5" x14ac:dyDescent="0.3">
      <c r="C57" s="3" t="s">
        <v>140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  <c r="AH57"/>
    </row>
    <row r="58" spans="1:43" ht="13.5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ht="13.5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4.5" x14ac:dyDescent="0.3">
      <c r="A60" s="78" t="s">
        <v>23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ht="13.5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/>
    </row>
    <row r="64" spans="1:43" ht="13.5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113159.15207635402</v>
      </c>
      <c r="K64" s="112">
        <f>(1-INDEX(Data!$C$9:$C$13, MATCH($A$3, options,0)))*('Option1 (base case)'!K36-K36)</f>
        <v>113377.35208884539</v>
      </c>
      <c r="L64" s="112">
        <f>(1-INDEX(Data!$C$9:$C$13, MATCH($A$3, options,0)))*('Option1 (base case)'!L36-L36)</f>
        <v>113557.42528484453</v>
      </c>
      <c r="M64" s="112">
        <f>(1-INDEX(Data!$C$9:$C$13, MATCH($A$3, options,0)))*('Option1 (base case)'!M36-M36)</f>
        <v>113679.67463444249</v>
      </c>
      <c r="N64" s="112">
        <f>(1-INDEX(Data!$C$9:$C$13, MATCH($A$3, options,0)))*('Option1 (base case)'!N36-N36)</f>
        <v>113827.8928736627</v>
      </c>
      <c r="O64" s="112">
        <f>(1-INDEX(Data!$C$9:$C$13, MATCH($A$3, options,0)))*('Option1 (base case)'!O36-O36)</f>
        <v>114077.20377518126</v>
      </c>
      <c r="P64" s="112">
        <f>(1-INDEX(Data!$C$9:$C$13, MATCH($A$3, options,0)))*('Option1 (base case)'!P36-P36)</f>
        <v>114359.90077967488</v>
      </c>
      <c r="Q64" s="112">
        <f>(1-INDEX(Data!$C$9:$C$13, MATCH($A$3, options,0)))*('Option1 (base case)'!Q36-Q36)</f>
        <v>114483.15962988313</v>
      </c>
      <c r="R64" s="112">
        <f>(1-INDEX(Data!$C$9:$C$13, MATCH($A$3, options,0)))*('Option1 (base case)'!R36-R36)</f>
        <v>114692.45439922099</v>
      </c>
      <c r="S64" s="112">
        <f>(1-INDEX(Data!$C$9:$C$13, MATCH($A$3, options,0)))*('Option1 (base case)'!S36-S36)</f>
        <v>114903.86546904006</v>
      </c>
      <c r="T64" s="112">
        <f>(1-INDEX(Data!$C$9:$C$13, MATCH($A$3, options,0)))*('Option1 (base case)'!T36-T36)</f>
        <v>115117.38529504451</v>
      </c>
      <c r="U64" s="112">
        <f>(1-INDEX(Data!$C$9:$C$13, MATCH($A$3, options,0)))*('Option1 (base case)'!U36-U36)</f>
        <v>115333.01406984526</v>
      </c>
      <c r="V64" s="112">
        <f>(1-INDEX(Data!$C$9:$C$13, MATCH($A$3, options,0)))*('Option1 (base case)'!V36-V36)</f>
        <v>115550.74121605646</v>
      </c>
      <c r="W64" s="112">
        <f>(1-INDEX(Data!$C$9:$C$13, MATCH($A$3, options,0)))*('Option1 (base case)'!W36-W36)</f>
        <v>115770.55696941126</v>
      </c>
      <c r="X64" s="112">
        <f>(1-INDEX(Data!$C$9:$C$13, MATCH($A$3, options,0)))*('Option1 (base case)'!X36-X36)</f>
        <v>115992.46623189212</v>
      </c>
      <c r="Y64" s="112">
        <f>(1-INDEX(Data!$C$9:$C$13, MATCH($A$3, options,0)))*('Option1 (base case)'!Y36-Y36)</f>
        <v>116216.4639396682</v>
      </c>
      <c r="Z64" s="112">
        <f>(1-INDEX(Data!$C$9:$C$13, MATCH($A$3, options,0)))*('Option1 (base case)'!Z36-Z36)</f>
        <v>116442.54270033742</v>
      </c>
      <c r="AA64" s="112">
        <f>(1-INDEX(Data!$C$9:$C$13, MATCH($A$3, options,0)))*('Option1 (base case)'!AA36-AA36)</f>
        <v>116670.69440747943</v>
      </c>
      <c r="AB64" s="112">
        <f>(1-INDEX(Data!$C$9:$C$13, MATCH($A$3, options,0)))*('Option1 (base case)'!AB36-AB36)</f>
        <v>116900.91096119158</v>
      </c>
      <c r="AC64" s="112">
        <f>(1-INDEX(Data!$C$9:$C$13, MATCH($A$3, options,0)))*('Option1 (base case)'!AC36-AC36)</f>
        <v>117133.20129087957</v>
      </c>
      <c r="AD64" s="112">
        <f>(1-INDEX(Data!$C$9:$C$13, MATCH($A$3, options,0)))*('Option1 (base case)'!AD36-AD36)</f>
        <v>117367.56353991257</v>
      </c>
      <c r="AE64" s="112">
        <f>(1-INDEX(Data!$C$9:$C$13, MATCH($A$3, options,0)))*('Option1 (base case)'!AE36-AE36)</f>
        <v>117557.30613504222</v>
      </c>
      <c r="AF64" s="112">
        <f>(1-INDEX(Data!$C$9:$C$13, MATCH($A$3, options,0)))*('Option1 (base case)'!AF36-AF36)</f>
        <v>117748.72891549906</v>
      </c>
      <c r="AG64" s="112">
        <f>(1-INDEX(Data!$C$9:$C$13, MATCH($A$3, options,0)))*('Option1 (base case)'!AG36-AG36)</f>
        <v>117941.82345788798</v>
      </c>
      <c r="AH64"/>
    </row>
    <row r="65" spans="1:34" ht="13.5" x14ac:dyDescent="0.3">
      <c r="G65" s="187"/>
      <c r="AH65"/>
    </row>
    <row r="66" spans="1:34" ht="13.5" x14ac:dyDescent="0.3">
      <c r="A66" s="6"/>
      <c r="B66" s="6"/>
      <c r="C66" s="126" t="s">
        <v>32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ht="13.5" x14ac:dyDescent="0.3">
      <c r="A67" s="6"/>
      <c r="B67" s="6"/>
      <c r="C67" s="4" t="str">
        <f>C14</f>
        <v>Refurbish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-639520</v>
      </c>
      <c r="J67" s="28">
        <f t="shared" si="4"/>
        <v>0</v>
      </c>
      <c r="K67" s="28">
        <f t="shared" si="4"/>
        <v>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  <c r="AH67"/>
    </row>
    <row r="68" spans="1:34" ht="13.5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  <c r="AH68"/>
    </row>
    <row r="69" spans="1:34" ht="13.5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  <c r="AH69"/>
    </row>
    <row r="70" spans="1:34" ht="13.5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ht="13.5" x14ac:dyDescent="0.3">
      <c r="A71" s="6"/>
      <c r="B71" s="6"/>
      <c r="C71" s="126" t="s">
        <v>142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ht="13.5" x14ac:dyDescent="0.3">
      <c r="A72" s="6"/>
      <c r="B72" s="6"/>
      <c r="C72" s="4" t="str">
        <f>C14</f>
        <v>Refurbish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-639520</v>
      </c>
      <c r="J72" s="28" cm="1">
        <f t="array" ref="J72">SUMPRODUCT(($I67:J67))-SUMPRODUCT(($I67:J67)*($I$6:J$6&lt;=(J$6-$E14)))</f>
        <v>-639520</v>
      </c>
      <c r="K72" s="28" cm="1">
        <f t="array" ref="K72">SUMPRODUCT(($I67:K67))-SUMPRODUCT(($I67:K67)*($I$6:K$6&lt;=(K$6-$E14)))</f>
        <v>-639520</v>
      </c>
      <c r="L72" s="28" cm="1">
        <f t="array" ref="L72">SUMPRODUCT(($I67:L67))-SUMPRODUCT(($I67:L67)*($I$6:L$6&lt;=(L$6-$E14)))</f>
        <v>-639520</v>
      </c>
      <c r="M72" s="28" cm="1">
        <f t="array" ref="M72">SUMPRODUCT(($I67:M67))-SUMPRODUCT(($I67:M67)*($I$6:M$6&lt;=(M$6-$E14)))</f>
        <v>-639520</v>
      </c>
      <c r="N72" s="28" cm="1">
        <f t="array" ref="N72">SUMPRODUCT(($I67:N67))-SUMPRODUCT(($I67:N67)*($I$6:N$6&lt;=(N$6-$E14)))</f>
        <v>-639520</v>
      </c>
      <c r="O72" s="28" cm="1">
        <f t="array" ref="O72">SUMPRODUCT(($I67:O67))-SUMPRODUCT(($I67:O67)*($I$6:O$6&lt;=(O$6-$E14)))</f>
        <v>-639520</v>
      </c>
      <c r="P72" s="28" cm="1">
        <f t="array" ref="P72">SUMPRODUCT(($I67:P67))-SUMPRODUCT(($I67:P67)*($I$6:P$6&lt;=(P$6-$E14)))</f>
        <v>-639520</v>
      </c>
      <c r="Q72" s="28" cm="1">
        <f t="array" ref="Q72">SUMPRODUCT(($I67:Q67))-SUMPRODUCT(($I67:Q67)*($I$6:Q$6&lt;=(Q$6-$E14)))</f>
        <v>-639520</v>
      </c>
      <c r="R72" s="28" cm="1">
        <f t="array" ref="R72">SUMPRODUCT(($I67:R67))-SUMPRODUCT(($I67:R67)*($I$6:R$6&lt;=(R$6-$E14)))</f>
        <v>-639520</v>
      </c>
      <c r="S72" s="28" cm="1">
        <f t="array" ref="S72">SUMPRODUCT(($I67:S67))-SUMPRODUCT(($I67:S67)*($I$6:S$6&lt;=(S$6-$E14)))</f>
        <v>-639520</v>
      </c>
      <c r="T72" s="28" cm="1">
        <f t="array" ref="T72">SUMPRODUCT(($I67:T67))-SUMPRODUCT(($I67:T67)*($I$6:T$6&lt;=(T$6-$E14)))</f>
        <v>-639520</v>
      </c>
      <c r="U72" s="28" cm="1">
        <f t="array" ref="U72">SUMPRODUCT(($I67:U67))-SUMPRODUCT(($I67:U67)*($I$6:U$6&lt;=(U$6-$E14)))</f>
        <v>-639520</v>
      </c>
      <c r="V72" s="28" cm="1">
        <f t="array" ref="V72">SUMPRODUCT(($I67:V67))-SUMPRODUCT(($I67:V67)*($I$6:V$6&lt;=(V$6-$E14)))</f>
        <v>-639520</v>
      </c>
      <c r="W72" s="28" cm="1">
        <f t="array" ref="W72">SUMPRODUCT(($I67:W67))-SUMPRODUCT(($I67:W67)*($I$6:W$6&lt;=(W$6-$E14)))</f>
        <v>-639520</v>
      </c>
      <c r="X72" s="28" cm="1">
        <f t="array" ref="X72">SUMPRODUCT(($I67:X67))-SUMPRODUCT(($I67:X67)*($I$6:X$6&lt;=(X$6-$E14)))</f>
        <v>-639520</v>
      </c>
      <c r="Y72" s="28" cm="1">
        <f t="array" ref="Y72">SUMPRODUCT(($I67:Y67))-SUMPRODUCT(($I67:Y67)*($I$6:Y$6&lt;=(Y$6-$E14)))</f>
        <v>-639520</v>
      </c>
      <c r="Z72" s="28" cm="1">
        <f t="array" ref="Z72">SUMPRODUCT(($I67:Z67))-SUMPRODUCT(($I67:Z67)*($I$6:Z$6&lt;=(Z$6-$E14)))</f>
        <v>-639520</v>
      </c>
      <c r="AA72" s="28" cm="1">
        <f t="array" ref="AA72">SUMPRODUCT(($I67:AA67))-SUMPRODUCT(($I67:AA67)*($I$6:AA$6&lt;=(AA$6-$E14)))</f>
        <v>-639520</v>
      </c>
      <c r="AB72" s="28" cm="1">
        <f t="array" ref="AB72">SUMPRODUCT(($I67:AB67))-SUMPRODUCT(($I67:AB67)*($I$6:AB$6&lt;=(AB$6-$E14)))</f>
        <v>-639520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  <c r="AH72"/>
    </row>
    <row r="73" spans="1:34" ht="13.5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ht="13.5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ht="13.5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ht="13.5" x14ac:dyDescent="0.3">
      <c r="A76" s="6"/>
      <c r="B76" s="6"/>
      <c r="C76" s="126" t="s">
        <v>143</v>
      </c>
      <c r="D76" s="34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ht="13.5" x14ac:dyDescent="0.3">
      <c r="A77" s="6"/>
      <c r="B77" s="6"/>
      <c r="C77" s="4" t="str">
        <f>$C$76&amp;" - "&amp;C14</f>
        <v>Annualised capex - Refurbish 1 transformer</v>
      </c>
      <c r="D77" s="34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-44997.315824280915</v>
      </c>
      <c r="K77" s="28">
        <f t="shared" si="7"/>
        <v>-44997.315824280915</v>
      </c>
      <c r="L77" s="28">
        <f t="shared" si="7"/>
        <v>-44997.315824280915</v>
      </c>
      <c r="M77" s="28">
        <f t="shared" si="7"/>
        <v>-44997.315824280915</v>
      </c>
      <c r="N77" s="28">
        <f t="shared" si="7"/>
        <v>-44997.315824280915</v>
      </c>
      <c r="O77" s="28">
        <f t="shared" si="7"/>
        <v>-44997.315824280915</v>
      </c>
      <c r="P77" s="28">
        <f t="shared" si="7"/>
        <v>-44997.315824280915</v>
      </c>
      <c r="Q77" s="28">
        <f t="shared" si="7"/>
        <v>-44997.315824280915</v>
      </c>
      <c r="R77" s="28">
        <f t="shared" si="7"/>
        <v>-44997.315824280915</v>
      </c>
      <c r="S77" s="28">
        <f t="shared" si="7"/>
        <v>-44997.315824280915</v>
      </c>
      <c r="T77" s="28">
        <f t="shared" si="7"/>
        <v>-44997.315824280915</v>
      </c>
      <c r="U77" s="28">
        <f t="shared" si="7"/>
        <v>-44997.315824280915</v>
      </c>
      <c r="V77" s="28">
        <f t="shared" si="7"/>
        <v>-44997.315824280915</v>
      </c>
      <c r="W77" s="28">
        <f t="shared" si="7"/>
        <v>-44997.315824280915</v>
      </c>
      <c r="X77" s="28">
        <f t="shared" si="7"/>
        <v>-44997.315824280915</v>
      </c>
      <c r="Y77" s="28">
        <f t="shared" si="7"/>
        <v>-44997.315824280915</v>
      </c>
      <c r="Z77" s="28">
        <f t="shared" si="7"/>
        <v>-44997.315824280915</v>
      </c>
      <c r="AA77" s="28">
        <f t="shared" si="7"/>
        <v>-44997.315824280915</v>
      </c>
      <c r="AB77" s="28">
        <f t="shared" si="7"/>
        <v>-44997.315824280915</v>
      </c>
      <c r="AC77" s="28">
        <f t="shared" si="7"/>
        <v>-44997.315824280915</v>
      </c>
      <c r="AD77" s="28">
        <f t="shared" si="7"/>
        <v>0</v>
      </c>
      <c r="AE77" s="28">
        <f t="shared" si="7"/>
        <v>0</v>
      </c>
      <c r="AF77" s="28">
        <f t="shared" si="7"/>
        <v>0</v>
      </c>
      <c r="AG77" s="28">
        <f t="shared" si="7"/>
        <v>0</v>
      </c>
      <c r="AH77"/>
    </row>
    <row r="78" spans="1:34" ht="13.5" x14ac:dyDescent="0.3">
      <c r="A78" s="6"/>
      <c r="B78" s="6"/>
      <c r="C78" s="4" t="str">
        <f>$C$76&amp;" - "&amp;C15</f>
        <v xml:space="preserve">Annualised capex - </v>
      </c>
      <c r="D78" s="34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  <c r="AH78"/>
    </row>
    <row r="79" spans="1:34" ht="13.5" x14ac:dyDescent="0.3">
      <c r="A79" s="6"/>
      <c r="B79" s="6"/>
      <c r="C79" s="4" t="str">
        <f>$C$76&amp;" - "&amp;C16</f>
        <v xml:space="preserve">Annualised capex - </v>
      </c>
      <c r="D79" s="34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  <c r="AH79"/>
    </row>
    <row r="80" spans="1:34" ht="13.5" x14ac:dyDescent="0.3">
      <c r="A80" s="6"/>
      <c r="B80" s="6"/>
      <c r="C80" s="149" t="s">
        <v>144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-44997.315824280915</v>
      </c>
      <c r="K80" s="152">
        <f t="shared" si="10"/>
        <v>-44997.315824280915</v>
      </c>
      <c r="L80" s="152">
        <f t="shared" si="10"/>
        <v>-44997.315824280915</v>
      </c>
      <c r="M80" s="152">
        <f t="shared" si="10"/>
        <v>-44997.315824280915</v>
      </c>
      <c r="N80" s="152">
        <f t="shared" si="10"/>
        <v>-44997.315824280915</v>
      </c>
      <c r="O80" s="152">
        <f t="shared" si="10"/>
        <v>-44997.315824280915</v>
      </c>
      <c r="P80" s="152">
        <f t="shared" si="10"/>
        <v>-44997.315824280915</v>
      </c>
      <c r="Q80" s="152">
        <f t="shared" si="10"/>
        <v>-44997.315824280915</v>
      </c>
      <c r="R80" s="152">
        <f t="shared" si="10"/>
        <v>-44997.315824280915</v>
      </c>
      <c r="S80" s="152">
        <f t="shared" si="10"/>
        <v>-44997.315824280915</v>
      </c>
      <c r="T80" s="152">
        <f t="shared" si="10"/>
        <v>-44997.315824280915</v>
      </c>
      <c r="U80" s="152">
        <f t="shared" si="10"/>
        <v>-44997.315824280915</v>
      </c>
      <c r="V80" s="152">
        <f t="shared" si="10"/>
        <v>-44997.315824280915</v>
      </c>
      <c r="W80" s="152">
        <f t="shared" si="10"/>
        <v>-44997.315824280915</v>
      </c>
      <c r="X80" s="152">
        <f t="shared" si="10"/>
        <v>-44997.315824280915</v>
      </c>
      <c r="Y80" s="152">
        <f t="shared" si="10"/>
        <v>-44997.315824280915</v>
      </c>
      <c r="Z80" s="152">
        <f t="shared" si="10"/>
        <v>-44997.315824280915</v>
      </c>
      <c r="AA80" s="152">
        <f t="shared" si="10"/>
        <v>-44997.315824280915</v>
      </c>
      <c r="AB80" s="152">
        <f t="shared" si="10"/>
        <v>-44997.315824280915</v>
      </c>
      <c r="AC80" s="152">
        <f>SUM(AC77:AC79)</f>
        <v>-44997.315824280915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  <c r="AH80"/>
    </row>
    <row r="81" spans="1:34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3.5" x14ac:dyDescent="0.3">
      <c r="A82" s="6"/>
      <c r="B82" s="6"/>
      <c r="C82" s="4" t="s">
        <v>143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-44997.315824280915</v>
      </c>
      <c r="K82" s="28">
        <f t="shared" si="12"/>
        <v>-44997.315824280915</v>
      </c>
      <c r="L82" s="28">
        <f t="shared" si="12"/>
        <v>-44997.315824280915</v>
      </c>
      <c r="M82" s="28">
        <f t="shared" si="12"/>
        <v>-44997.315824280915</v>
      </c>
      <c r="N82" s="28">
        <f t="shared" si="12"/>
        <v>-44997.315824280915</v>
      </c>
      <c r="O82" s="28">
        <f t="shared" si="12"/>
        <v>-44997.315824280915</v>
      </c>
      <c r="P82" s="28">
        <f t="shared" si="12"/>
        <v>-44997.315824280915</v>
      </c>
      <c r="Q82" s="28">
        <f t="shared" si="12"/>
        <v>-44997.315824280915</v>
      </c>
      <c r="R82" s="28">
        <f t="shared" si="12"/>
        <v>-44997.315824280915</v>
      </c>
      <c r="S82" s="28">
        <f t="shared" si="12"/>
        <v>-44997.315824280915</v>
      </c>
      <c r="T82" s="28">
        <f t="shared" si="12"/>
        <v>-44997.315824280915</v>
      </c>
      <c r="U82" s="28">
        <f t="shared" si="12"/>
        <v>-44997.315824280915</v>
      </c>
      <c r="V82" s="28">
        <f t="shared" si="12"/>
        <v>-44997.315824280915</v>
      </c>
      <c r="W82" s="28">
        <f t="shared" si="12"/>
        <v>-44997.315824280915</v>
      </c>
      <c r="X82" s="28">
        <f t="shared" si="12"/>
        <v>-44997.315824280915</v>
      </c>
      <c r="Y82" s="28">
        <f t="shared" si="12"/>
        <v>-44997.315824280915</v>
      </c>
      <c r="Z82" s="28">
        <f t="shared" si="12"/>
        <v>-44997.315824280915</v>
      </c>
      <c r="AA82" s="28">
        <f t="shared" si="12"/>
        <v>-44997.315824280915</v>
      </c>
      <c r="AB82" s="28">
        <f t="shared" si="12"/>
        <v>-44997.315824280915</v>
      </c>
      <c r="AC82" s="28">
        <f>AC80</f>
        <v>-44997.315824280915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  <c r="AH82"/>
    </row>
    <row r="83" spans="1:34" ht="13.5" x14ac:dyDescent="0.3">
      <c r="A83" s="6"/>
      <c r="B83" s="6"/>
      <c r="C83" s="4" t="s">
        <v>33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  <c r="AH83"/>
    </row>
    <row r="84" spans="1:34" ht="13.5" x14ac:dyDescent="0.3">
      <c r="A84" s="6"/>
      <c r="B84" s="6"/>
      <c r="C84" s="4" t="s">
        <v>145</v>
      </c>
      <c r="D84" s="34"/>
      <c r="F84" s="85"/>
      <c r="G84" s="185">
        <f t="shared" si="11"/>
        <v>45291</v>
      </c>
      <c r="H84" s="28"/>
      <c r="I84" s="28">
        <f t="shared" ref="I84:AG84" si="14">I64</f>
        <v>0</v>
      </c>
      <c r="J84" s="28">
        <f t="shared" si="14"/>
        <v>113159.15207635402</v>
      </c>
      <c r="K84" s="28">
        <f t="shared" si="14"/>
        <v>113377.35208884539</v>
      </c>
      <c r="L84" s="28">
        <f t="shared" si="14"/>
        <v>113557.42528484453</v>
      </c>
      <c r="M84" s="28">
        <f t="shared" si="14"/>
        <v>113679.67463444249</v>
      </c>
      <c r="N84" s="28">
        <f t="shared" si="14"/>
        <v>113827.8928736627</v>
      </c>
      <c r="O84" s="28">
        <f t="shared" si="14"/>
        <v>114077.20377518126</v>
      </c>
      <c r="P84" s="28">
        <f t="shared" si="14"/>
        <v>114359.90077967488</v>
      </c>
      <c r="Q84" s="28">
        <f t="shared" si="14"/>
        <v>114483.15962988313</v>
      </c>
      <c r="R84" s="28">
        <f t="shared" si="14"/>
        <v>114692.45439922099</v>
      </c>
      <c r="S84" s="28">
        <f t="shared" si="14"/>
        <v>114903.86546904006</v>
      </c>
      <c r="T84" s="28">
        <f t="shared" si="14"/>
        <v>115117.38529504451</v>
      </c>
      <c r="U84" s="28">
        <f t="shared" si="14"/>
        <v>115333.01406984526</v>
      </c>
      <c r="V84" s="28">
        <f t="shared" si="14"/>
        <v>115550.74121605646</v>
      </c>
      <c r="W84" s="28">
        <f t="shared" si="14"/>
        <v>115770.55696941126</v>
      </c>
      <c r="X84" s="28">
        <f t="shared" si="14"/>
        <v>115992.46623189212</v>
      </c>
      <c r="Y84" s="28">
        <f t="shared" si="14"/>
        <v>116216.4639396682</v>
      </c>
      <c r="Z84" s="28">
        <f t="shared" si="14"/>
        <v>116442.54270033742</v>
      </c>
      <c r="AA84" s="28">
        <f t="shared" si="14"/>
        <v>116670.69440747943</v>
      </c>
      <c r="AB84" s="28">
        <f t="shared" si="14"/>
        <v>116900.91096119158</v>
      </c>
      <c r="AC84" s="28">
        <f t="shared" si="14"/>
        <v>117133.20129087957</v>
      </c>
      <c r="AD84" s="28">
        <f t="shared" si="14"/>
        <v>117367.56353991257</v>
      </c>
      <c r="AE84" s="28">
        <f t="shared" si="14"/>
        <v>117557.30613504222</v>
      </c>
      <c r="AF84" s="28">
        <f t="shared" si="14"/>
        <v>117748.72891549906</v>
      </c>
      <c r="AG84" s="28">
        <f t="shared" si="14"/>
        <v>117941.82345788798</v>
      </c>
      <c r="AH84"/>
    </row>
    <row r="85" spans="1:34" ht="13.5" x14ac:dyDescent="0.3">
      <c r="A85" s="6"/>
      <c r="B85" s="6"/>
      <c r="C85" s="4" t="s">
        <v>146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  <c r="AH85"/>
    </row>
    <row r="86" spans="1:34" ht="13.5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ht="13.5" x14ac:dyDescent="0.3">
      <c r="A87" s="6"/>
      <c r="B87" s="6"/>
      <c r="C87" s="153" t="s">
        <v>147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68161.836252073103</v>
      </c>
      <c r="K87" s="155">
        <f t="shared" si="16"/>
        <v>68380.036264564478</v>
      </c>
      <c r="L87" s="155">
        <f t="shared" si="16"/>
        <v>68560.109460563617</v>
      </c>
      <c r="M87" s="155">
        <f t="shared" si="16"/>
        <v>68682.358810161575</v>
      </c>
      <c r="N87" s="155">
        <f t="shared" si="16"/>
        <v>68830.577049381784</v>
      </c>
      <c r="O87" s="155">
        <f t="shared" si="16"/>
        <v>69079.887950900345</v>
      </c>
      <c r="P87" s="155">
        <f t="shared" si="16"/>
        <v>69362.584955393962</v>
      </c>
      <c r="Q87" s="155">
        <f t="shared" si="16"/>
        <v>69485.843805602213</v>
      </c>
      <c r="R87" s="155">
        <f t="shared" si="16"/>
        <v>69695.13857494008</v>
      </c>
      <c r="S87" s="155">
        <f t="shared" si="16"/>
        <v>69906.549644759143</v>
      </c>
      <c r="T87" s="155">
        <f t="shared" si="16"/>
        <v>70120.069470763599</v>
      </c>
      <c r="U87" s="155">
        <f t="shared" si="16"/>
        <v>70335.698245564345</v>
      </c>
      <c r="V87" s="155">
        <f t="shared" si="16"/>
        <v>70553.425391775541</v>
      </c>
      <c r="W87" s="155">
        <f t="shared" si="16"/>
        <v>70773.241145130349</v>
      </c>
      <c r="X87" s="155">
        <f t="shared" si="16"/>
        <v>70995.150407611203</v>
      </c>
      <c r="Y87" s="155">
        <f t="shared" si="16"/>
        <v>71219.148115387288</v>
      </c>
      <c r="Z87" s="155">
        <f t="shared" si="16"/>
        <v>71445.226876056506</v>
      </c>
      <c r="AA87" s="155">
        <f t="shared" si="16"/>
        <v>71673.378583198515</v>
      </c>
      <c r="AB87" s="155">
        <f t="shared" si="16"/>
        <v>71903.595136910662</v>
      </c>
      <c r="AC87" s="155">
        <f>SUM(AC82:AC86)</f>
        <v>72135.885466598658</v>
      </c>
      <c r="AD87" s="155">
        <f>SUM(AD82:AD86)</f>
        <v>117367.56353991257</v>
      </c>
      <c r="AE87" s="155">
        <f>SUM(AE82:AE86)</f>
        <v>117557.30613504222</v>
      </c>
      <c r="AF87" s="155">
        <f>SUM(AF82:AF86)</f>
        <v>117748.72891549906</v>
      </c>
      <c r="AG87" s="155">
        <f>SUM(AG82:AG86)</f>
        <v>117941.82345788798</v>
      </c>
      <c r="AH87"/>
    </row>
    <row r="88" spans="1:34" ht="13.5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/>
    </row>
    <row r="89" spans="1:34" ht="13.5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/>
    </row>
    <row r="90" spans="1:34" ht="13.5" x14ac:dyDescent="0.3">
      <c r="A90" s="6"/>
      <c r="B90" s="6"/>
      <c r="C90" s="204" t="s">
        <v>152</v>
      </c>
      <c r="D90" s="72"/>
      <c r="E90" s="205"/>
      <c r="F90" s="206"/>
      <c r="G90" s="207" cm="1">
        <f t="array" ref="G90">IF(SUM($I17:$AG17)=0,0,(INDEX(I$6:AG$6,MATCH(TRUE,INDEX($I17:$AG17&lt;&gt;0,),0))))</f>
        <v>1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3">
      <c r="C91" s="72"/>
      <c r="D91" s="208"/>
      <c r="E91" s="205"/>
      <c r="F91" s="205"/>
      <c r="G91" s="207"/>
    </row>
    <row r="92" spans="1:34" x14ac:dyDescent="0.3">
      <c r="C92" s="209" t="s">
        <v>153</v>
      </c>
      <c r="D92" s="210"/>
      <c r="E92" s="210"/>
      <c r="F92" s="210"/>
      <c r="G92" s="211">
        <f>IF(_xlfn.MINIFS($G$90:$G$91, $G$90:$G$91, "&gt;"&amp;0)=0, $A$4, _xlfn.MINIFS($G$90:$G$91, $G$90:$G$91, "&gt;"&amp;0))</f>
        <v>1</v>
      </c>
    </row>
    <row r="94" spans="1:34" x14ac:dyDescent="0.3">
      <c r="G94" s="10"/>
    </row>
    <row r="102" spans="1:43" ht="14.5" x14ac:dyDescent="0.3">
      <c r="A102" s="78" t="s">
        <v>37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22</v>
      </c>
      <c r="C106" s="1" t="s">
        <v>147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7">J87</f>
        <v>68161.836252073103</v>
      </c>
      <c r="K106" s="28">
        <f t="shared" si="17"/>
        <v>68380.036264564478</v>
      </c>
      <c r="L106" s="28">
        <f t="shared" si="17"/>
        <v>68560.109460563617</v>
      </c>
      <c r="M106" s="28">
        <f t="shared" si="17"/>
        <v>68682.358810161575</v>
      </c>
      <c r="N106" s="28">
        <f t="shared" si="17"/>
        <v>68830.577049381784</v>
      </c>
      <c r="O106" s="28">
        <f t="shared" si="17"/>
        <v>69079.887950900345</v>
      </c>
      <c r="P106" s="28">
        <f t="shared" si="17"/>
        <v>69362.584955393962</v>
      </c>
      <c r="Q106" s="28">
        <f t="shared" si="17"/>
        <v>69485.843805602213</v>
      </c>
      <c r="R106" s="28">
        <f t="shared" si="17"/>
        <v>69695.13857494008</v>
      </c>
      <c r="S106" s="28">
        <f t="shared" si="17"/>
        <v>69906.549644759143</v>
      </c>
      <c r="T106" s="28">
        <f t="shared" si="17"/>
        <v>70120.069470763599</v>
      </c>
      <c r="U106" s="28">
        <f t="shared" si="17"/>
        <v>70335.698245564345</v>
      </c>
      <c r="V106" s="28">
        <f t="shared" si="17"/>
        <v>70553.425391775541</v>
      </c>
      <c r="W106" s="28">
        <f t="shared" si="17"/>
        <v>70773.241145130349</v>
      </c>
      <c r="X106" s="28">
        <f t="shared" si="17"/>
        <v>70995.150407611203</v>
      </c>
      <c r="Y106" s="28">
        <f t="shared" si="17"/>
        <v>71219.148115387288</v>
      </c>
      <c r="Z106" s="28">
        <f t="shared" si="17"/>
        <v>71445.226876056506</v>
      </c>
      <c r="AA106" s="28">
        <f t="shared" si="17"/>
        <v>71673.378583198515</v>
      </c>
      <c r="AB106" s="28">
        <f t="shared" si="17"/>
        <v>71903.595136910662</v>
      </c>
      <c r="AC106" s="28">
        <f t="shared" si="17"/>
        <v>72135.885466598658</v>
      </c>
      <c r="AD106" s="28">
        <f t="shared" si="17"/>
        <v>117367.56353991257</v>
      </c>
      <c r="AE106" s="28">
        <f t="shared" si="17"/>
        <v>117557.30613504222</v>
      </c>
      <c r="AF106" s="28">
        <f t="shared" si="17"/>
        <v>117748.72891549906</v>
      </c>
      <c r="AG106" s="28">
        <f t="shared" si="17"/>
        <v>117941.82345788798</v>
      </c>
    </row>
    <row r="107" spans="1:43" ht="13.5" x14ac:dyDescent="0.3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8">J82</f>
        <v>-44997.315824280915</v>
      </c>
      <c r="K107" s="28">
        <f t="shared" si="18"/>
        <v>-44997.315824280915</v>
      </c>
      <c r="L107" s="28">
        <f t="shared" si="18"/>
        <v>-44997.315824280915</v>
      </c>
      <c r="M107" s="28">
        <f t="shared" si="18"/>
        <v>-44997.315824280915</v>
      </c>
      <c r="N107" s="28">
        <f t="shared" si="18"/>
        <v>-44997.315824280915</v>
      </c>
      <c r="O107" s="28">
        <f t="shared" si="18"/>
        <v>-44997.315824280915</v>
      </c>
      <c r="P107" s="28">
        <f t="shared" si="18"/>
        <v>-44997.315824280915</v>
      </c>
      <c r="Q107" s="28">
        <f t="shared" si="18"/>
        <v>-44997.315824280915</v>
      </c>
      <c r="R107" s="28">
        <f t="shared" si="18"/>
        <v>-44997.315824280915</v>
      </c>
      <c r="S107" s="28">
        <f t="shared" si="18"/>
        <v>-44997.315824280915</v>
      </c>
      <c r="T107" s="28">
        <f t="shared" si="18"/>
        <v>-44997.315824280915</v>
      </c>
      <c r="U107" s="28">
        <f t="shared" si="18"/>
        <v>-44997.315824280915</v>
      </c>
      <c r="V107" s="28">
        <f t="shared" si="18"/>
        <v>-44997.315824280915</v>
      </c>
      <c r="W107" s="28">
        <f t="shared" si="18"/>
        <v>-44997.315824280915</v>
      </c>
      <c r="X107" s="28">
        <f t="shared" si="18"/>
        <v>-44997.315824280915</v>
      </c>
      <c r="Y107" s="28">
        <f t="shared" si="18"/>
        <v>-44997.315824280915</v>
      </c>
      <c r="Z107" s="28">
        <f t="shared" si="18"/>
        <v>-44997.315824280915</v>
      </c>
      <c r="AA107" s="28">
        <f t="shared" si="18"/>
        <v>-44997.315824280915</v>
      </c>
      <c r="AB107" s="28">
        <f t="shared" si="18"/>
        <v>-44997.315824280915</v>
      </c>
      <c r="AC107" s="28">
        <f t="shared" si="18"/>
        <v>-44997.315824280915</v>
      </c>
      <c r="AD107" s="28">
        <f t="shared" si="18"/>
        <v>0</v>
      </c>
      <c r="AE107" s="28">
        <f t="shared" si="18"/>
        <v>0</v>
      </c>
      <c r="AF107" s="28">
        <f t="shared" si="18"/>
        <v>0</v>
      </c>
      <c r="AG107" s="28">
        <f t="shared" si="18"/>
        <v>0</v>
      </c>
    </row>
    <row r="108" spans="1:43" ht="13.5" x14ac:dyDescent="0.3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19">SUM(J84:J85)</f>
        <v>113159.15207635402</v>
      </c>
      <c r="K108" s="28">
        <f t="shared" si="19"/>
        <v>113377.35208884539</v>
      </c>
      <c r="L108" s="28">
        <f t="shared" si="19"/>
        <v>113557.42528484453</v>
      </c>
      <c r="M108" s="28">
        <f t="shared" si="19"/>
        <v>113679.67463444249</v>
      </c>
      <c r="N108" s="28">
        <f t="shared" si="19"/>
        <v>113827.8928736627</v>
      </c>
      <c r="O108" s="28">
        <f t="shared" si="19"/>
        <v>114077.20377518126</v>
      </c>
      <c r="P108" s="28">
        <f t="shared" si="19"/>
        <v>114359.90077967488</v>
      </c>
      <c r="Q108" s="28">
        <f t="shared" si="19"/>
        <v>114483.15962988313</v>
      </c>
      <c r="R108" s="28">
        <f t="shared" si="19"/>
        <v>114692.45439922099</v>
      </c>
      <c r="S108" s="28">
        <f t="shared" si="19"/>
        <v>114903.86546904006</v>
      </c>
      <c r="T108" s="28">
        <f t="shared" si="19"/>
        <v>115117.38529504451</v>
      </c>
      <c r="U108" s="28">
        <f t="shared" si="19"/>
        <v>115333.01406984526</v>
      </c>
      <c r="V108" s="28">
        <f t="shared" si="19"/>
        <v>115550.74121605646</v>
      </c>
      <c r="W108" s="28">
        <f t="shared" si="19"/>
        <v>115770.55696941126</v>
      </c>
      <c r="X108" s="28">
        <f t="shared" si="19"/>
        <v>115992.46623189212</v>
      </c>
      <c r="Y108" s="28">
        <f t="shared" si="19"/>
        <v>116216.4639396682</v>
      </c>
      <c r="Z108" s="28">
        <f t="shared" si="19"/>
        <v>116442.54270033742</v>
      </c>
      <c r="AA108" s="28">
        <f t="shared" si="19"/>
        <v>116670.69440747943</v>
      </c>
      <c r="AB108" s="28">
        <f t="shared" si="19"/>
        <v>116900.91096119158</v>
      </c>
      <c r="AC108" s="28">
        <f t="shared" si="19"/>
        <v>117133.20129087957</v>
      </c>
      <c r="AD108" s="28">
        <f t="shared" si="19"/>
        <v>117367.56353991257</v>
      </c>
      <c r="AE108" s="28">
        <f t="shared" si="19"/>
        <v>117557.30613504222</v>
      </c>
      <c r="AF108" s="28">
        <f t="shared" si="19"/>
        <v>117748.72891549906</v>
      </c>
      <c r="AG108" s="28">
        <f t="shared" si="19"/>
        <v>117941.82345788798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63662.104669645014</v>
      </c>
      <c r="K110" s="28" cm="1">
        <f t="array" ref="K110">K$106+IF($C110&lt;&gt;0,SUMPRODUCT((K$107:K$108)*TRANSPOSE(($D110:$E110))),0)</f>
        <v>63880.30468213639</v>
      </c>
      <c r="L110" s="28" cm="1">
        <f t="array" ref="L110">L$106+IF($C110&lt;&gt;0,SUMPRODUCT((L$107:L$108)*TRANSPOSE(($D110:$E110))),0)</f>
        <v>64060.377878135529</v>
      </c>
      <c r="M110" s="28" cm="1">
        <f t="array" ref="M110">M$106+IF($C110&lt;&gt;0,SUMPRODUCT((M$107:M$108)*TRANSPOSE(($D110:$E110))),0)</f>
        <v>64182.627227733487</v>
      </c>
      <c r="N110" s="28" cm="1">
        <f t="array" ref="N110">N$106+IF($C110&lt;&gt;0,SUMPRODUCT((N$107:N$108)*TRANSPOSE(($D110:$E110))),0)</f>
        <v>64330.845466953695</v>
      </c>
      <c r="O110" s="28" cm="1">
        <f t="array" ref="O110">O$106+IF($C110&lt;&gt;0,SUMPRODUCT((O$107:O$108)*TRANSPOSE(($D110:$E110))),0)</f>
        <v>64580.156368472257</v>
      </c>
      <c r="P110" s="28" cm="1">
        <f t="array" ref="P110">P$106+IF($C110&lt;&gt;0,SUMPRODUCT((P$107:P$108)*TRANSPOSE(($D110:$E110))),0)</f>
        <v>64862.853372965874</v>
      </c>
      <c r="Q110" s="28" cm="1">
        <f t="array" ref="Q110">Q$106+IF($C110&lt;&gt;0,SUMPRODUCT((Q$107:Q$108)*TRANSPOSE(($D110:$E110))),0)</f>
        <v>64986.112223174125</v>
      </c>
      <c r="R110" s="28" cm="1">
        <f t="array" ref="R110">R$106+IF($C110&lt;&gt;0,SUMPRODUCT((R$107:R$108)*TRANSPOSE(($D110:$E110))),0)</f>
        <v>65195.406992511991</v>
      </c>
      <c r="S110" s="28" cm="1">
        <f t="array" ref="S110">S$106+IF($C110&lt;&gt;0,SUMPRODUCT((S$107:S$108)*TRANSPOSE(($D110:$E110))),0)</f>
        <v>65406.818062331055</v>
      </c>
      <c r="T110" s="28" cm="1">
        <f t="array" ref="T110">T$106+IF($C110&lt;&gt;0,SUMPRODUCT((T$107:T$108)*TRANSPOSE(($D110:$E110))),0)</f>
        <v>65620.337888335504</v>
      </c>
      <c r="U110" s="28" cm="1">
        <f t="array" ref="U110">U$106+IF($C110&lt;&gt;0,SUMPRODUCT((U$107:U$108)*TRANSPOSE(($D110:$E110))),0)</f>
        <v>65835.966663136249</v>
      </c>
      <c r="V110" s="28" cm="1">
        <f t="array" ref="V110">V$106+IF($C110&lt;&gt;0,SUMPRODUCT((V$107:V$108)*TRANSPOSE(($D110:$E110))),0)</f>
        <v>66053.693809347445</v>
      </c>
      <c r="W110" s="28" cm="1">
        <f t="array" ref="W110">W$106+IF($C110&lt;&gt;0,SUMPRODUCT((W$107:W$108)*TRANSPOSE(($D110:$E110))),0)</f>
        <v>66273.509562702253</v>
      </c>
      <c r="X110" s="28" cm="1">
        <f t="array" ref="X110">X$106+IF($C110&lt;&gt;0,SUMPRODUCT((X$107:X$108)*TRANSPOSE(($D110:$E110))),0)</f>
        <v>66495.418825183107</v>
      </c>
      <c r="Y110" s="28" cm="1">
        <f t="array" ref="Y110">Y$106+IF($C110&lt;&gt;0,SUMPRODUCT((Y$107:Y$108)*TRANSPOSE(($D110:$E110))),0)</f>
        <v>66719.416532959192</v>
      </c>
      <c r="Z110" s="28" cm="1">
        <f t="array" ref="Z110">Z$106+IF($C110&lt;&gt;0,SUMPRODUCT((Z$107:Z$108)*TRANSPOSE(($D110:$E110))),0)</f>
        <v>66945.49529362841</v>
      </c>
      <c r="AA110" s="28" cm="1">
        <f t="array" ref="AA110">AA$106+IF($C110&lt;&gt;0,SUMPRODUCT((AA$107:AA$108)*TRANSPOSE(($D110:$E110))),0)</f>
        <v>67173.647000770419</v>
      </c>
      <c r="AB110" s="28" cm="1">
        <f t="array" ref="AB110">AB$106+IF($C110&lt;&gt;0,SUMPRODUCT((AB$107:AB$108)*TRANSPOSE(($D110:$E110))),0)</f>
        <v>67403.863554482567</v>
      </c>
      <c r="AC110" s="28" cm="1">
        <f t="array" ref="AC110">AC$106+IF($C110&lt;&gt;0,SUMPRODUCT((AC$107:AC$108)*TRANSPOSE(($D110:$E110))),0)</f>
        <v>67636.153884170562</v>
      </c>
      <c r="AD110" s="28" cm="1">
        <f t="array" ref="AD110">AD$106+IF($C110&lt;&gt;0,SUMPRODUCT((AD$107:AD$108)*TRANSPOSE(($D110:$E110))),0)</f>
        <v>117367.56353991257</v>
      </c>
      <c r="AE110" s="28" cm="1">
        <f t="array" ref="AE110">AE$106+IF($C110&lt;&gt;0,SUMPRODUCT((AE$107:AE$108)*TRANSPOSE(($D110:$E110))),0)</f>
        <v>117557.30613504222</v>
      </c>
      <c r="AF110" s="28" cm="1">
        <f t="array" ref="AF110">AF$106+IF($C110&lt;&gt;0,SUMPRODUCT((AF$107:AF$108)*TRANSPOSE(($D110:$E110))),0)</f>
        <v>117748.72891549906</v>
      </c>
      <c r="AG110" s="28" cm="1">
        <f t="array" ref="AG110">AG$106+IF($C110&lt;&gt;0,SUMPRODUCT((AG$107:AG$108)*TRANSPOSE(($D110:$E110))),0)</f>
        <v>117941.82345788798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72661.567834501198</v>
      </c>
      <c r="K111" s="28" cm="1">
        <f t="array" ref="K111">K$106+IF($C111&lt;&gt;0,SUMPRODUCT((K$107:K$108)*TRANSPOSE(($D111:$E111))),0)</f>
        <v>72879.767846992574</v>
      </c>
      <c r="L111" s="28" cm="1">
        <f t="array" ref="L111">L$106+IF($C111&lt;&gt;0,SUMPRODUCT((L$107:L$108)*TRANSPOSE(($D111:$E111))),0)</f>
        <v>73059.841042991713</v>
      </c>
      <c r="M111" s="28" cm="1">
        <f t="array" ref="M111">M$106+IF($C111&lt;&gt;0,SUMPRODUCT((M$107:M$108)*TRANSPOSE(($D111:$E111))),0)</f>
        <v>73182.090392589671</v>
      </c>
      <c r="N111" s="28" cm="1">
        <f t="array" ref="N111">N$106+IF($C111&lt;&gt;0,SUMPRODUCT((N$107:N$108)*TRANSPOSE(($D111:$E111))),0)</f>
        <v>73330.308631809879</v>
      </c>
      <c r="O111" s="28" cm="1">
        <f t="array" ref="O111">O$106+IF($C111&lt;&gt;0,SUMPRODUCT((O$107:O$108)*TRANSPOSE(($D111:$E111))),0)</f>
        <v>73579.619533328441</v>
      </c>
      <c r="P111" s="28" cm="1">
        <f t="array" ref="P111">P$106+IF($C111&lt;&gt;0,SUMPRODUCT((P$107:P$108)*TRANSPOSE(($D111:$E111))),0)</f>
        <v>73862.316537822058</v>
      </c>
      <c r="Q111" s="28" cm="1">
        <f t="array" ref="Q111">Q$106+IF($C111&lt;&gt;0,SUMPRODUCT((Q$107:Q$108)*TRANSPOSE(($D111:$E111))),0)</f>
        <v>73985.575388030309</v>
      </c>
      <c r="R111" s="28" cm="1">
        <f t="array" ref="R111">R$106+IF($C111&lt;&gt;0,SUMPRODUCT((R$107:R$108)*TRANSPOSE(($D111:$E111))),0)</f>
        <v>74194.870157368176</v>
      </c>
      <c r="S111" s="28" cm="1">
        <f t="array" ref="S111">S$106+IF($C111&lt;&gt;0,SUMPRODUCT((S$107:S$108)*TRANSPOSE(($D111:$E111))),0)</f>
        <v>74406.281227187239</v>
      </c>
      <c r="T111" s="28" cm="1">
        <f t="array" ref="T111">T$106+IF($C111&lt;&gt;0,SUMPRODUCT((T$107:T$108)*TRANSPOSE(($D111:$E111))),0)</f>
        <v>74619.801053191695</v>
      </c>
      <c r="U111" s="28" cm="1">
        <f t="array" ref="U111">U$106+IF($C111&lt;&gt;0,SUMPRODUCT((U$107:U$108)*TRANSPOSE(($D111:$E111))),0)</f>
        <v>74835.429827992441</v>
      </c>
      <c r="V111" s="28" cm="1">
        <f t="array" ref="V111">V$106+IF($C111&lt;&gt;0,SUMPRODUCT((V$107:V$108)*TRANSPOSE(($D111:$E111))),0)</f>
        <v>75053.156974203637</v>
      </c>
      <c r="W111" s="28" cm="1">
        <f t="array" ref="W111">W$106+IF($C111&lt;&gt;0,SUMPRODUCT((W$107:W$108)*TRANSPOSE(($D111:$E111))),0)</f>
        <v>75272.972727558445</v>
      </c>
      <c r="X111" s="28" cm="1">
        <f t="array" ref="X111">X$106+IF($C111&lt;&gt;0,SUMPRODUCT((X$107:X$108)*TRANSPOSE(($D111:$E111))),0)</f>
        <v>75494.881990039299</v>
      </c>
      <c r="Y111" s="28" cm="1">
        <f t="array" ref="Y111">Y$106+IF($C111&lt;&gt;0,SUMPRODUCT((Y$107:Y$108)*TRANSPOSE(($D111:$E111))),0)</f>
        <v>75718.879697815384</v>
      </c>
      <c r="Z111" s="28" cm="1">
        <f t="array" ref="Z111">Z$106+IF($C111&lt;&gt;0,SUMPRODUCT((Z$107:Z$108)*TRANSPOSE(($D111:$E111))),0)</f>
        <v>75944.958458484602</v>
      </c>
      <c r="AA111" s="28" cm="1">
        <f t="array" ref="AA111">AA$106+IF($C111&lt;&gt;0,SUMPRODUCT((AA$107:AA$108)*TRANSPOSE(($D111:$E111))),0)</f>
        <v>76173.110165626611</v>
      </c>
      <c r="AB111" s="28" cm="1">
        <f t="array" ref="AB111">AB$106+IF($C111&lt;&gt;0,SUMPRODUCT((AB$107:AB$108)*TRANSPOSE(($D111:$E111))),0)</f>
        <v>76403.326719338758</v>
      </c>
      <c r="AC111" s="28" cm="1">
        <f t="array" ref="AC111">AC$106+IF($C111&lt;&gt;0,SUMPRODUCT((AC$107:AC$108)*TRANSPOSE(($D111:$E111))),0)</f>
        <v>76635.617049026754</v>
      </c>
      <c r="AD111" s="28" cm="1">
        <f t="array" ref="AD111">AD$106+IF($C111&lt;&gt;0,SUMPRODUCT((AD$107:AD$108)*TRANSPOSE(($D111:$E111))),0)</f>
        <v>117367.56353991257</v>
      </c>
      <c r="AE111" s="28" cm="1">
        <f t="array" ref="AE111">AE$106+IF($C111&lt;&gt;0,SUMPRODUCT((AE$107:AE$108)*TRANSPOSE(($D111:$E111))),0)</f>
        <v>117557.30613504222</v>
      </c>
      <c r="AF111" s="28" cm="1">
        <f t="array" ref="AF111">AF$106+IF($C111&lt;&gt;0,SUMPRODUCT((AF$107:AF$108)*TRANSPOSE(($D111:$E111))),0)</f>
        <v>117748.72891549906</v>
      </c>
      <c r="AG111" s="28" cm="1">
        <f t="array" ref="AG111">AG$106+IF($C111&lt;&gt;0,SUMPRODUCT((AG$107:AG$108)*TRANSPOSE(($D111:$E111))),0)</f>
        <v>117941.82345788798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79477.75145970851</v>
      </c>
      <c r="K112" s="28" cm="1">
        <f t="array" ref="K112">K$106+IF($C112&lt;&gt;0,SUMPRODUCT((K$107:K$108)*TRANSPOSE(($D112:$E112))),0)</f>
        <v>79717.771473449015</v>
      </c>
      <c r="L112" s="28" cm="1">
        <f t="array" ref="L112">L$106+IF($C112&lt;&gt;0,SUMPRODUCT((L$107:L$108)*TRANSPOSE(($D112:$E112))),0)</f>
        <v>79915.851989048067</v>
      </c>
      <c r="M112" s="28" cm="1">
        <f t="array" ref="M112">M$106+IF($C112&lt;&gt;0,SUMPRODUCT((M$107:M$108)*TRANSPOSE(($D112:$E112))),0)</f>
        <v>80050.326273605824</v>
      </c>
      <c r="N112" s="28" cm="1">
        <f t="array" ref="N112">N$106+IF($C112&lt;&gt;0,SUMPRODUCT((N$107:N$108)*TRANSPOSE(($D112:$E112))),0)</f>
        <v>80213.366336748062</v>
      </c>
      <c r="O112" s="28" cm="1">
        <f t="array" ref="O112">O$106+IF($C112&lt;&gt;0,SUMPRODUCT((O$107:O$108)*TRANSPOSE(($D112:$E112))),0)</f>
        <v>80487.608328418472</v>
      </c>
      <c r="P112" s="28" cm="1">
        <f t="array" ref="P112">P$106+IF($C112&lt;&gt;0,SUMPRODUCT((P$107:P$108)*TRANSPOSE(($D112:$E112))),0)</f>
        <v>80798.575033361456</v>
      </c>
      <c r="Q112" s="28" cm="1">
        <f t="array" ref="Q112">Q$106+IF($C112&lt;&gt;0,SUMPRODUCT((Q$107:Q$108)*TRANSPOSE(($D112:$E112))),0)</f>
        <v>80934.159768590529</v>
      </c>
      <c r="R112" s="28" cm="1">
        <f t="array" ref="R112">R$106+IF($C112&lt;&gt;0,SUMPRODUCT((R$107:R$108)*TRANSPOSE(($D112:$E112))),0)</f>
        <v>81164.384014862182</v>
      </c>
      <c r="S112" s="28" cm="1">
        <f t="array" ref="S112">S$106+IF($C112&lt;&gt;0,SUMPRODUCT((S$107:S$108)*TRANSPOSE(($D112:$E112))),0)</f>
        <v>81396.936191663146</v>
      </c>
      <c r="T112" s="28" cm="1">
        <f t="array" ref="T112">T$106+IF($C112&lt;&gt;0,SUMPRODUCT((T$107:T$108)*TRANSPOSE(($D112:$E112))),0)</f>
        <v>81631.808000268051</v>
      </c>
      <c r="U112" s="28" cm="1">
        <f t="array" ref="U112">U$106+IF($C112&lt;&gt;0,SUMPRODUCT((U$107:U$108)*TRANSPOSE(($D112:$E112))),0)</f>
        <v>81868.999652548868</v>
      </c>
      <c r="V112" s="28" cm="1">
        <f t="array" ref="V112">V$106+IF($C112&lt;&gt;0,SUMPRODUCT((V$107:V$108)*TRANSPOSE(($D112:$E112))),0)</f>
        <v>82108.49951338119</v>
      </c>
      <c r="W112" s="28" cm="1">
        <f t="array" ref="W112">W$106+IF($C112&lt;&gt;0,SUMPRODUCT((W$107:W$108)*TRANSPOSE(($D112:$E112))),0)</f>
        <v>82350.296842071475</v>
      </c>
      <c r="X112" s="28" cm="1">
        <f t="array" ref="X112">X$106+IF($C112&lt;&gt;0,SUMPRODUCT((X$107:X$108)*TRANSPOSE(($D112:$E112))),0)</f>
        <v>82594.397030800421</v>
      </c>
      <c r="Y112" s="28" cm="1">
        <f t="array" ref="Y112">Y$106+IF($C112&lt;&gt;0,SUMPRODUCT((Y$107:Y$108)*TRANSPOSE(($D112:$E112))),0)</f>
        <v>82840.794509354106</v>
      </c>
      <c r="Z112" s="28" cm="1">
        <f t="array" ref="Z112">Z$106+IF($C112&lt;&gt;0,SUMPRODUCT((Z$107:Z$108)*TRANSPOSE(($D112:$E112))),0)</f>
        <v>83089.481146090257</v>
      </c>
      <c r="AA112" s="28" cm="1">
        <f t="array" ref="AA112">AA$106+IF($C112&lt;&gt;0,SUMPRODUCT((AA$107:AA$108)*TRANSPOSE(($D112:$E112))),0)</f>
        <v>83340.448023946461</v>
      </c>
      <c r="AB112" s="28" cm="1">
        <f t="array" ref="AB112">AB$106+IF($C112&lt;&gt;0,SUMPRODUCT((AB$107:AB$108)*TRANSPOSE(($D112:$E112))),0)</f>
        <v>83593.686233029817</v>
      </c>
      <c r="AC112" s="28" cm="1">
        <f t="array" ref="AC112">AC$106+IF($C112&lt;&gt;0,SUMPRODUCT((AC$107:AC$108)*TRANSPOSE(($D112:$E112))),0)</f>
        <v>83849.205595686624</v>
      </c>
      <c r="AD112" s="28" cm="1">
        <f t="array" ref="AD112">AD$106+IF($C112&lt;&gt;0,SUMPRODUCT((AD$107:AD$108)*TRANSPOSE(($D112:$E112))),0)</f>
        <v>129104.31989390383</v>
      </c>
      <c r="AE112" s="28" cm="1">
        <f t="array" ref="AE112">AE$106+IF($C112&lt;&gt;0,SUMPRODUCT((AE$107:AE$108)*TRANSPOSE(($D112:$E112))),0)</f>
        <v>129313.03674854644</v>
      </c>
      <c r="AF112" s="28" cm="1">
        <f t="array" ref="AF112">AF$106+IF($C112&lt;&gt;0,SUMPRODUCT((AF$107:AF$108)*TRANSPOSE(($D112:$E112))),0)</f>
        <v>129523.60180704897</v>
      </c>
      <c r="AG112" s="28" cm="1">
        <f t="array" ref="AG112">AG$106+IF($C112&lt;&gt;0,SUMPRODUCT((AG$107:AG$108)*TRANSPOSE(($D112:$E112))),0)</f>
        <v>129736.00580367677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56845.921044437702</v>
      </c>
      <c r="K113" s="28" cm="1">
        <f t="array" ref="K113">K$106+IF($C113&lt;&gt;0,SUMPRODUCT((K$107:K$108)*TRANSPOSE(($D113:$E113))),0)</f>
        <v>57042.301055679942</v>
      </c>
      <c r="L113" s="28" cm="1">
        <f t="array" ref="L113">L$106+IF($C113&lt;&gt;0,SUMPRODUCT((L$107:L$108)*TRANSPOSE(($D113:$E113))),0)</f>
        <v>57204.366932079167</v>
      </c>
      <c r="M113" s="28" cm="1">
        <f t="array" ref="M113">M$106+IF($C113&lt;&gt;0,SUMPRODUCT((M$107:M$108)*TRANSPOSE(($D113:$E113))),0)</f>
        <v>57314.391346717326</v>
      </c>
      <c r="N113" s="28" cm="1">
        <f t="array" ref="N113">N$106+IF($C113&lt;&gt;0,SUMPRODUCT((N$107:N$108)*TRANSPOSE(($D113:$E113))),0)</f>
        <v>57447.787762015512</v>
      </c>
      <c r="O113" s="28" cm="1">
        <f t="array" ref="O113">O$106+IF($C113&lt;&gt;0,SUMPRODUCT((O$107:O$108)*TRANSPOSE(($D113:$E113))),0)</f>
        <v>57672.167573382219</v>
      </c>
      <c r="P113" s="28" cm="1">
        <f t="array" ref="P113">P$106+IF($C113&lt;&gt;0,SUMPRODUCT((P$107:P$108)*TRANSPOSE(($D113:$E113))),0)</f>
        <v>57926.594877426476</v>
      </c>
      <c r="Q113" s="28" cm="1">
        <f t="array" ref="Q113">Q$106+IF($C113&lt;&gt;0,SUMPRODUCT((Q$107:Q$108)*TRANSPOSE(($D113:$E113))),0)</f>
        <v>58037.527842613898</v>
      </c>
      <c r="R113" s="28" cm="1">
        <f t="array" ref="R113">R$106+IF($C113&lt;&gt;0,SUMPRODUCT((R$107:R$108)*TRANSPOSE(($D113:$E113))),0)</f>
        <v>58225.893135017977</v>
      </c>
      <c r="S113" s="28" cm="1">
        <f t="array" ref="S113">S$106+IF($C113&lt;&gt;0,SUMPRODUCT((S$107:S$108)*TRANSPOSE(($D113:$E113))),0)</f>
        <v>58416.16309785514</v>
      </c>
      <c r="T113" s="28" cm="1">
        <f t="array" ref="T113">T$106+IF($C113&lt;&gt;0,SUMPRODUCT((T$107:T$108)*TRANSPOSE(($D113:$E113))),0)</f>
        <v>58608.330941259148</v>
      </c>
      <c r="U113" s="28" cm="1">
        <f t="array" ref="U113">U$106+IF($C113&lt;&gt;0,SUMPRODUCT((U$107:U$108)*TRANSPOSE(($D113:$E113))),0)</f>
        <v>58802.396838579822</v>
      </c>
      <c r="V113" s="28" cm="1">
        <f t="array" ref="V113">V$106+IF($C113&lt;&gt;0,SUMPRODUCT((V$107:V$108)*TRANSPOSE(($D113:$E113))),0)</f>
        <v>58998.351270169893</v>
      </c>
      <c r="W113" s="28" cm="1">
        <f t="array" ref="W113">W$106+IF($C113&lt;&gt;0,SUMPRODUCT((W$107:W$108)*TRANSPOSE(($D113:$E113))),0)</f>
        <v>59196.185448189222</v>
      </c>
      <c r="X113" s="28" cm="1">
        <f t="array" ref="X113">X$106+IF($C113&lt;&gt;0,SUMPRODUCT((X$107:X$108)*TRANSPOSE(($D113:$E113))),0)</f>
        <v>59395.903784421993</v>
      </c>
      <c r="Y113" s="28" cm="1">
        <f t="array" ref="Y113">Y$106+IF($C113&lt;&gt;0,SUMPRODUCT((Y$107:Y$108)*TRANSPOSE(($D113:$E113))),0)</f>
        <v>59597.501721420471</v>
      </c>
      <c r="Z113" s="28" cm="1">
        <f t="array" ref="Z113">Z$106+IF($C113&lt;&gt;0,SUMPRODUCT((Z$107:Z$108)*TRANSPOSE(($D113:$E113))),0)</f>
        <v>59800.972606022762</v>
      </c>
      <c r="AA113" s="28" cm="1">
        <f t="array" ref="AA113">AA$106+IF($C113&lt;&gt;0,SUMPRODUCT((AA$107:AA$108)*TRANSPOSE(($D113:$E113))),0)</f>
        <v>60006.309142450569</v>
      </c>
      <c r="AB113" s="28" cm="1">
        <f t="array" ref="AB113">AB$106+IF($C113&lt;&gt;0,SUMPRODUCT((AB$107:AB$108)*TRANSPOSE(($D113:$E113))),0)</f>
        <v>60213.504040791508</v>
      </c>
      <c r="AC113" s="28" cm="1">
        <f t="array" ref="AC113">AC$106+IF($C113&lt;&gt;0,SUMPRODUCT((AC$107:AC$108)*TRANSPOSE(($D113:$E113))),0)</f>
        <v>60422.565337510699</v>
      </c>
      <c r="AD113" s="28" cm="1">
        <f t="array" ref="AD113">AD$106+IF($C113&lt;&gt;0,SUMPRODUCT((AD$107:AD$108)*TRANSPOSE(($D113:$E113))),0)</f>
        <v>105630.80718592132</v>
      </c>
      <c r="AE113" s="28" cm="1">
        <f t="array" ref="AE113">AE$106+IF($C113&lt;&gt;0,SUMPRODUCT((AE$107:AE$108)*TRANSPOSE(($D113:$E113))),0)</f>
        <v>105801.575521538</v>
      </c>
      <c r="AF113" s="28" cm="1">
        <f t="array" ref="AF113">AF$106+IF($C113&lt;&gt;0,SUMPRODUCT((AF$107:AF$108)*TRANSPOSE(($D113:$E113))),0)</f>
        <v>105973.85602394915</v>
      </c>
      <c r="AG113" s="28" cm="1">
        <f t="array" ref="AG113">AG$106+IF($C113&lt;&gt;0,SUMPRODUCT((AG$107:AG$108)*TRANSPOSE(($D113:$E113))),0)</f>
        <v>106147.64111209918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52346.189462009614</v>
      </c>
      <c r="K114" s="28" cm="1">
        <f t="array" ref="K114">K$106+IF($C114&lt;&gt;0,SUMPRODUCT((K$107:K$108)*TRANSPOSE(($D114:$E114))),0)</f>
        <v>52542.569473251846</v>
      </c>
      <c r="L114" s="28" cm="1">
        <f t="array" ref="L114">L$106+IF($C114&lt;&gt;0,SUMPRODUCT((L$107:L$108)*TRANSPOSE(($D114:$E114))),0)</f>
        <v>52704.635349651071</v>
      </c>
      <c r="M114" s="28" cm="1">
        <f t="array" ref="M114">M$106+IF($C114&lt;&gt;0,SUMPRODUCT((M$107:M$108)*TRANSPOSE(($D114:$E114))),0)</f>
        <v>52814.65976428923</v>
      </c>
      <c r="N114" s="28" cm="1">
        <f t="array" ref="N114">N$106+IF($C114&lt;&gt;0,SUMPRODUCT((N$107:N$108)*TRANSPOSE(($D114:$E114))),0)</f>
        <v>52948.056179587424</v>
      </c>
      <c r="O114" s="28" cm="1">
        <f t="array" ref="O114">O$106+IF($C114&lt;&gt;0,SUMPRODUCT((O$107:O$108)*TRANSPOSE(($D114:$E114))),0)</f>
        <v>53172.435990954124</v>
      </c>
      <c r="P114" s="28" cm="1">
        <f t="array" ref="P114">P$106+IF($C114&lt;&gt;0,SUMPRODUCT((P$107:P$108)*TRANSPOSE(($D114:$E114))),0)</f>
        <v>53426.863294998388</v>
      </c>
      <c r="Q114" s="28" cm="1">
        <f t="array" ref="Q114">Q$106+IF($C114&lt;&gt;0,SUMPRODUCT((Q$107:Q$108)*TRANSPOSE(($D114:$E114))),0)</f>
        <v>53537.796260185809</v>
      </c>
      <c r="R114" s="28" cm="1">
        <f t="array" ref="R114">R$106+IF($C114&lt;&gt;0,SUMPRODUCT((R$107:R$108)*TRANSPOSE(($D114:$E114))),0)</f>
        <v>53726.161552589889</v>
      </c>
      <c r="S114" s="28" cm="1">
        <f t="array" ref="S114">S$106+IF($C114&lt;&gt;0,SUMPRODUCT((S$107:S$108)*TRANSPOSE(($D114:$E114))),0)</f>
        <v>53916.431515427044</v>
      </c>
      <c r="T114" s="28" cm="1">
        <f t="array" ref="T114">T$106+IF($C114&lt;&gt;0,SUMPRODUCT((T$107:T$108)*TRANSPOSE(($D114:$E114))),0)</f>
        <v>54108.599358831052</v>
      </c>
      <c r="U114" s="28" cm="1">
        <f t="array" ref="U114">U$106+IF($C114&lt;&gt;0,SUMPRODUCT((U$107:U$108)*TRANSPOSE(($D114:$E114))),0)</f>
        <v>54302.665256151726</v>
      </c>
      <c r="V114" s="28" cm="1">
        <f t="array" ref="V114">V$106+IF($C114&lt;&gt;0,SUMPRODUCT((V$107:V$108)*TRANSPOSE(($D114:$E114))),0)</f>
        <v>54498.619687741804</v>
      </c>
      <c r="W114" s="28" cm="1">
        <f t="array" ref="W114">W$106+IF($C114&lt;&gt;0,SUMPRODUCT((W$107:W$108)*TRANSPOSE(($D114:$E114))),0)</f>
        <v>54696.453865761127</v>
      </c>
      <c r="X114" s="28" cm="1">
        <f t="array" ref="X114">X$106+IF($C114&lt;&gt;0,SUMPRODUCT((X$107:X$108)*TRANSPOSE(($D114:$E114))),0)</f>
        <v>54896.172201993904</v>
      </c>
      <c r="Y114" s="28" cm="1">
        <f t="array" ref="Y114">Y$106+IF($C114&lt;&gt;0,SUMPRODUCT((Y$107:Y$108)*TRANSPOSE(($D114:$E114))),0)</f>
        <v>55097.770138992375</v>
      </c>
      <c r="Z114" s="28" cm="1">
        <f t="array" ref="Z114">Z$106+IF($C114&lt;&gt;0,SUMPRODUCT((Z$107:Z$108)*TRANSPOSE(($D114:$E114))),0)</f>
        <v>55301.241023594674</v>
      </c>
      <c r="AA114" s="28" cm="1">
        <f t="array" ref="AA114">AA$106+IF($C114&lt;&gt;0,SUMPRODUCT((AA$107:AA$108)*TRANSPOSE(($D114:$E114))),0)</f>
        <v>55506.577560022481</v>
      </c>
      <c r="AB114" s="28" cm="1">
        <f t="array" ref="AB114">AB$106+IF($C114&lt;&gt;0,SUMPRODUCT((AB$107:AB$108)*TRANSPOSE(($D114:$E114))),0)</f>
        <v>55713.772458363412</v>
      </c>
      <c r="AC114" s="28" cm="1">
        <f t="array" ref="AC114">AC$106+IF($C114&lt;&gt;0,SUMPRODUCT((AC$107:AC$108)*TRANSPOSE(($D114:$E114))),0)</f>
        <v>55922.833755082611</v>
      </c>
      <c r="AD114" s="28" cm="1">
        <f t="array" ref="AD114">AD$106+IF($C114&lt;&gt;0,SUMPRODUCT((AD$107:AD$108)*TRANSPOSE(($D114:$E114))),0)</f>
        <v>105630.80718592132</v>
      </c>
      <c r="AE114" s="28" cm="1">
        <f t="array" ref="AE114">AE$106+IF($C114&lt;&gt;0,SUMPRODUCT((AE$107:AE$108)*TRANSPOSE(($D114:$E114))),0)</f>
        <v>105801.575521538</v>
      </c>
      <c r="AF114" s="28" cm="1">
        <f t="array" ref="AF114">AF$106+IF($C114&lt;&gt;0,SUMPRODUCT((AF$107:AF$108)*TRANSPOSE(($D114:$E114))),0)</f>
        <v>105973.85602394915</v>
      </c>
      <c r="AG114" s="28" cm="1">
        <f t="array" ref="AG114">AG$106+IF($C114&lt;&gt;0,SUMPRODUCT((AG$107:AG$108)*TRANSPOSE(($D114:$E114))),0)</f>
        <v>106147.64111209918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68161.836252073103</v>
      </c>
      <c r="K115" s="28" cm="1">
        <f t="array" ref="K115">K$106+IF($C115&lt;&gt;0,SUMPRODUCT((K$107:K$108)*TRANSPOSE(($D115:$E115))),0)</f>
        <v>68380.036264564478</v>
      </c>
      <c r="L115" s="28" cm="1">
        <f t="array" ref="L115">L$106+IF($C115&lt;&gt;0,SUMPRODUCT((L$107:L$108)*TRANSPOSE(($D115:$E115))),0)</f>
        <v>68560.109460563617</v>
      </c>
      <c r="M115" s="28" cm="1">
        <f t="array" ref="M115">M$106+IF($C115&lt;&gt;0,SUMPRODUCT((M$107:M$108)*TRANSPOSE(($D115:$E115))),0)</f>
        <v>68682.358810161575</v>
      </c>
      <c r="N115" s="28" cm="1">
        <f t="array" ref="N115">N$106+IF($C115&lt;&gt;0,SUMPRODUCT((N$107:N$108)*TRANSPOSE(($D115:$E115))),0)</f>
        <v>68830.577049381784</v>
      </c>
      <c r="O115" s="28" cm="1">
        <f t="array" ref="O115">O$106+IF($C115&lt;&gt;0,SUMPRODUCT((O$107:O$108)*TRANSPOSE(($D115:$E115))),0)</f>
        <v>69079.887950900345</v>
      </c>
      <c r="P115" s="28" cm="1">
        <f t="array" ref="P115">P$106+IF($C115&lt;&gt;0,SUMPRODUCT((P$107:P$108)*TRANSPOSE(($D115:$E115))),0)</f>
        <v>69362.584955393962</v>
      </c>
      <c r="Q115" s="28" cm="1">
        <f t="array" ref="Q115">Q$106+IF($C115&lt;&gt;0,SUMPRODUCT((Q$107:Q$108)*TRANSPOSE(($D115:$E115))),0)</f>
        <v>69485.843805602213</v>
      </c>
      <c r="R115" s="28" cm="1">
        <f t="array" ref="R115">R$106+IF($C115&lt;&gt;0,SUMPRODUCT((R$107:R$108)*TRANSPOSE(($D115:$E115))),0)</f>
        <v>69695.13857494008</v>
      </c>
      <c r="S115" s="28" cm="1">
        <f t="array" ref="S115">S$106+IF($C115&lt;&gt;0,SUMPRODUCT((S$107:S$108)*TRANSPOSE(($D115:$E115))),0)</f>
        <v>69906.549644759143</v>
      </c>
      <c r="T115" s="28" cm="1">
        <f t="array" ref="T115">T$106+IF($C115&lt;&gt;0,SUMPRODUCT((T$107:T$108)*TRANSPOSE(($D115:$E115))),0)</f>
        <v>70120.069470763599</v>
      </c>
      <c r="U115" s="28" cm="1">
        <f t="array" ref="U115">U$106+IF($C115&lt;&gt;0,SUMPRODUCT((U$107:U$108)*TRANSPOSE(($D115:$E115))),0)</f>
        <v>70335.698245564345</v>
      </c>
      <c r="V115" s="28" cm="1">
        <f t="array" ref="V115">V$106+IF($C115&lt;&gt;0,SUMPRODUCT((V$107:V$108)*TRANSPOSE(($D115:$E115))),0)</f>
        <v>70553.425391775541</v>
      </c>
      <c r="W115" s="28" cm="1">
        <f t="array" ref="W115">W$106+IF($C115&lt;&gt;0,SUMPRODUCT((W$107:W$108)*TRANSPOSE(($D115:$E115))),0)</f>
        <v>70773.241145130349</v>
      </c>
      <c r="X115" s="28" cm="1">
        <f t="array" ref="X115">X$106+IF($C115&lt;&gt;0,SUMPRODUCT((X$107:X$108)*TRANSPOSE(($D115:$E115))),0)</f>
        <v>70995.150407611203</v>
      </c>
      <c r="Y115" s="28" cm="1">
        <f t="array" ref="Y115">Y$106+IF($C115&lt;&gt;0,SUMPRODUCT((Y$107:Y$108)*TRANSPOSE(($D115:$E115))),0)</f>
        <v>71219.148115387288</v>
      </c>
      <c r="Z115" s="28" cm="1">
        <f t="array" ref="Z115">Z$106+IF($C115&lt;&gt;0,SUMPRODUCT((Z$107:Z$108)*TRANSPOSE(($D115:$E115))),0)</f>
        <v>71445.226876056506</v>
      </c>
      <c r="AA115" s="28" cm="1">
        <f t="array" ref="AA115">AA$106+IF($C115&lt;&gt;0,SUMPRODUCT((AA$107:AA$108)*TRANSPOSE(($D115:$E115))),0)</f>
        <v>71673.378583198515</v>
      </c>
      <c r="AB115" s="28" cm="1">
        <f t="array" ref="AB115">AB$106+IF($C115&lt;&gt;0,SUMPRODUCT((AB$107:AB$108)*TRANSPOSE(($D115:$E115))),0)</f>
        <v>71903.595136910662</v>
      </c>
      <c r="AC115" s="28" cm="1">
        <f t="array" ref="AC115">AC$106+IF($C115&lt;&gt;0,SUMPRODUCT((AC$107:AC$108)*TRANSPOSE(($D115:$E115))),0)</f>
        <v>72135.885466598658</v>
      </c>
      <c r="AD115" s="28" cm="1">
        <f t="array" ref="AD115">AD$106+IF($C115&lt;&gt;0,SUMPRODUCT((AD$107:AD$108)*TRANSPOSE(($D115:$E115))),0)</f>
        <v>117367.56353991257</v>
      </c>
      <c r="AE115" s="28" cm="1">
        <f t="array" ref="AE115">AE$106+IF($C115&lt;&gt;0,SUMPRODUCT((AE$107:AE$108)*TRANSPOSE(($D115:$E115))),0)</f>
        <v>117557.30613504222</v>
      </c>
      <c r="AF115" s="28" cm="1">
        <f t="array" ref="AF115">AF$106+IF($C115&lt;&gt;0,SUMPRODUCT((AF$107:AF$108)*TRANSPOSE(($D115:$E115))),0)</f>
        <v>117748.72891549906</v>
      </c>
      <c r="AG115" s="28" cm="1">
        <f t="array" ref="AG115">AG$106+IF($C115&lt;&gt;0,SUMPRODUCT((AG$107:AG$108)*TRANSPOSE(($D115:$E115))),0)</f>
        <v>117941.82345788798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68161.836252073103</v>
      </c>
      <c r="K116" s="28" cm="1">
        <f t="array" ref="K116">K$106+IF($C116&lt;&gt;0,SUMPRODUCT((K$107:K$108)*TRANSPOSE(($D116:$E116))),0)</f>
        <v>68380.036264564478</v>
      </c>
      <c r="L116" s="28" cm="1">
        <f t="array" ref="L116">L$106+IF($C116&lt;&gt;0,SUMPRODUCT((L$107:L$108)*TRANSPOSE(($D116:$E116))),0)</f>
        <v>68560.109460563617</v>
      </c>
      <c r="M116" s="28" cm="1">
        <f t="array" ref="M116">M$106+IF($C116&lt;&gt;0,SUMPRODUCT((M$107:M$108)*TRANSPOSE(($D116:$E116))),0)</f>
        <v>68682.358810161575</v>
      </c>
      <c r="N116" s="28" cm="1">
        <f t="array" ref="N116">N$106+IF($C116&lt;&gt;0,SUMPRODUCT((N$107:N$108)*TRANSPOSE(($D116:$E116))),0)</f>
        <v>68830.577049381784</v>
      </c>
      <c r="O116" s="28" cm="1">
        <f t="array" ref="O116">O$106+IF($C116&lt;&gt;0,SUMPRODUCT((O$107:O$108)*TRANSPOSE(($D116:$E116))),0)</f>
        <v>69079.887950900345</v>
      </c>
      <c r="P116" s="28" cm="1">
        <f t="array" ref="P116">P$106+IF($C116&lt;&gt;0,SUMPRODUCT((P$107:P$108)*TRANSPOSE(($D116:$E116))),0)</f>
        <v>69362.584955393962</v>
      </c>
      <c r="Q116" s="28" cm="1">
        <f t="array" ref="Q116">Q$106+IF($C116&lt;&gt;0,SUMPRODUCT((Q$107:Q$108)*TRANSPOSE(($D116:$E116))),0)</f>
        <v>69485.843805602213</v>
      </c>
      <c r="R116" s="28" cm="1">
        <f t="array" ref="R116">R$106+IF($C116&lt;&gt;0,SUMPRODUCT((R$107:R$108)*TRANSPOSE(($D116:$E116))),0)</f>
        <v>69695.13857494008</v>
      </c>
      <c r="S116" s="28" cm="1">
        <f t="array" ref="S116">S$106+IF($C116&lt;&gt;0,SUMPRODUCT((S$107:S$108)*TRANSPOSE(($D116:$E116))),0)</f>
        <v>69906.549644759143</v>
      </c>
      <c r="T116" s="28" cm="1">
        <f t="array" ref="T116">T$106+IF($C116&lt;&gt;0,SUMPRODUCT((T$107:T$108)*TRANSPOSE(($D116:$E116))),0)</f>
        <v>70120.069470763599</v>
      </c>
      <c r="U116" s="28" cm="1">
        <f t="array" ref="U116">U$106+IF($C116&lt;&gt;0,SUMPRODUCT((U$107:U$108)*TRANSPOSE(($D116:$E116))),0)</f>
        <v>70335.698245564345</v>
      </c>
      <c r="V116" s="28" cm="1">
        <f t="array" ref="V116">V$106+IF($C116&lt;&gt;0,SUMPRODUCT((V$107:V$108)*TRANSPOSE(($D116:$E116))),0)</f>
        <v>70553.425391775541</v>
      </c>
      <c r="W116" s="28" cm="1">
        <f t="array" ref="W116">W$106+IF($C116&lt;&gt;0,SUMPRODUCT((W$107:W$108)*TRANSPOSE(($D116:$E116))),0)</f>
        <v>70773.241145130349</v>
      </c>
      <c r="X116" s="28" cm="1">
        <f t="array" ref="X116">X$106+IF($C116&lt;&gt;0,SUMPRODUCT((X$107:X$108)*TRANSPOSE(($D116:$E116))),0)</f>
        <v>70995.150407611203</v>
      </c>
      <c r="Y116" s="28" cm="1">
        <f t="array" ref="Y116">Y$106+IF($C116&lt;&gt;0,SUMPRODUCT((Y$107:Y$108)*TRANSPOSE(($D116:$E116))),0)</f>
        <v>71219.148115387288</v>
      </c>
      <c r="Z116" s="28" cm="1">
        <f t="array" ref="Z116">Z$106+IF($C116&lt;&gt;0,SUMPRODUCT((Z$107:Z$108)*TRANSPOSE(($D116:$E116))),0)</f>
        <v>71445.226876056506</v>
      </c>
      <c r="AA116" s="28" cm="1">
        <f t="array" ref="AA116">AA$106+IF($C116&lt;&gt;0,SUMPRODUCT((AA$107:AA$108)*TRANSPOSE(($D116:$E116))),0)</f>
        <v>71673.378583198515</v>
      </c>
      <c r="AB116" s="28" cm="1">
        <f t="array" ref="AB116">AB$106+IF($C116&lt;&gt;0,SUMPRODUCT((AB$107:AB$108)*TRANSPOSE(($D116:$E116))),0)</f>
        <v>71903.595136910662</v>
      </c>
      <c r="AC116" s="28" cm="1">
        <f t="array" ref="AC116">AC$106+IF($C116&lt;&gt;0,SUMPRODUCT((AC$107:AC$108)*TRANSPOSE(($D116:$E116))),0)</f>
        <v>72135.885466598658</v>
      </c>
      <c r="AD116" s="28" cm="1">
        <f t="array" ref="AD116">AD$106+IF($C116&lt;&gt;0,SUMPRODUCT((AD$107:AD$108)*TRANSPOSE(($D116:$E116))),0)</f>
        <v>117367.56353991257</v>
      </c>
      <c r="AE116" s="28" cm="1">
        <f t="array" ref="AE116">AE$106+IF($C116&lt;&gt;0,SUMPRODUCT((AE$107:AE$108)*TRANSPOSE(($D116:$E116))),0)</f>
        <v>117557.30613504222</v>
      </c>
      <c r="AF116" s="28" cm="1">
        <f t="array" ref="AF116">AF$106+IF($C116&lt;&gt;0,SUMPRODUCT((AF$107:AF$108)*TRANSPOSE(($D116:$E116))),0)</f>
        <v>117748.72891549906</v>
      </c>
      <c r="AG116" s="28" cm="1">
        <f t="array" ref="AG116">AG$106+IF($C116&lt;&gt;0,SUMPRODUCT((AG$107:AG$108)*TRANSPOSE(($D116:$E116))),0)</f>
        <v>117941.82345788798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68161.836252073103</v>
      </c>
      <c r="K117" s="28" cm="1">
        <f t="array" ref="K117">K$106+IF($C117&lt;&gt;0,SUMPRODUCT((K$107:K$108)*TRANSPOSE(($D117:$E117))),0)</f>
        <v>68380.036264564478</v>
      </c>
      <c r="L117" s="28" cm="1">
        <f t="array" ref="L117">L$106+IF($C117&lt;&gt;0,SUMPRODUCT((L$107:L$108)*TRANSPOSE(($D117:$E117))),0)</f>
        <v>68560.109460563617</v>
      </c>
      <c r="M117" s="28" cm="1">
        <f t="array" ref="M117">M$106+IF($C117&lt;&gt;0,SUMPRODUCT((M$107:M$108)*TRANSPOSE(($D117:$E117))),0)</f>
        <v>68682.358810161575</v>
      </c>
      <c r="N117" s="28" cm="1">
        <f t="array" ref="N117">N$106+IF($C117&lt;&gt;0,SUMPRODUCT((N$107:N$108)*TRANSPOSE(($D117:$E117))),0)</f>
        <v>68830.577049381784</v>
      </c>
      <c r="O117" s="28" cm="1">
        <f t="array" ref="O117">O$106+IF($C117&lt;&gt;0,SUMPRODUCT((O$107:O$108)*TRANSPOSE(($D117:$E117))),0)</f>
        <v>69079.887950900345</v>
      </c>
      <c r="P117" s="28" cm="1">
        <f t="array" ref="P117">P$106+IF($C117&lt;&gt;0,SUMPRODUCT((P$107:P$108)*TRANSPOSE(($D117:$E117))),0)</f>
        <v>69362.584955393962</v>
      </c>
      <c r="Q117" s="28" cm="1">
        <f t="array" ref="Q117">Q$106+IF($C117&lt;&gt;0,SUMPRODUCT((Q$107:Q$108)*TRANSPOSE(($D117:$E117))),0)</f>
        <v>69485.843805602213</v>
      </c>
      <c r="R117" s="28" cm="1">
        <f t="array" ref="R117">R$106+IF($C117&lt;&gt;0,SUMPRODUCT((R$107:R$108)*TRANSPOSE(($D117:$E117))),0)</f>
        <v>69695.13857494008</v>
      </c>
      <c r="S117" s="28" cm="1">
        <f t="array" ref="S117">S$106+IF($C117&lt;&gt;0,SUMPRODUCT((S$107:S$108)*TRANSPOSE(($D117:$E117))),0)</f>
        <v>69906.549644759143</v>
      </c>
      <c r="T117" s="28" cm="1">
        <f t="array" ref="T117">T$106+IF($C117&lt;&gt;0,SUMPRODUCT((T$107:T$108)*TRANSPOSE(($D117:$E117))),0)</f>
        <v>70120.069470763599</v>
      </c>
      <c r="U117" s="28" cm="1">
        <f t="array" ref="U117">U$106+IF($C117&lt;&gt;0,SUMPRODUCT((U$107:U$108)*TRANSPOSE(($D117:$E117))),0)</f>
        <v>70335.698245564345</v>
      </c>
      <c r="V117" s="28" cm="1">
        <f t="array" ref="V117">V$106+IF($C117&lt;&gt;0,SUMPRODUCT((V$107:V$108)*TRANSPOSE(($D117:$E117))),0)</f>
        <v>70553.425391775541</v>
      </c>
      <c r="W117" s="28" cm="1">
        <f t="array" ref="W117">W$106+IF($C117&lt;&gt;0,SUMPRODUCT((W$107:W$108)*TRANSPOSE(($D117:$E117))),0)</f>
        <v>70773.241145130349</v>
      </c>
      <c r="X117" s="28" cm="1">
        <f t="array" ref="X117">X$106+IF($C117&lt;&gt;0,SUMPRODUCT((X$107:X$108)*TRANSPOSE(($D117:$E117))),0)</f>
        <v>70995.150407611203</v>
      </c>
      <c r="Y117" s="28" cm="1">
        <f t="array" ref="Y117">Y$106+IF($C117&lt;&gt;0,SUMPRODUCT((Y$107:Y$108)*TRANSPOSE(($D117:$E117))),0)</f>
        <v>71219.148115387288</v>
      </c>
      <c r="Z117" s="28" cm="1">
        <f t="array" ref="Z117">Z$106+IF($C117&lt;&gt;0,SUMPRODUCT((Z$107:Z$108)*TRANSPOSE(($D117:$E117))),0)</f>
        <v>71445.226876056506</v>
      </c>
      <c r="AA117" s="28" cm="1">
        <f t="array" ref="AA117">AA$106+IF($C117&lt;&gt;0,SUMPRODUCT((AA$107:AA$108)*TRANSPOSE(($D117:$E117))),0)</f>
        <v>71673.378583198515</v>
      </c>
      <c r="AB117" s="28" cm="1">
        <f t="array" ref="AB117">AB$106+IF($C117&lt;&gt;0,SUMPRODUCT((AB$107:AB$108)*TRANSPOSE(($D117:$E117))),0)</f>
        <v>71903.595136910662</v>
      </c>
      <c r="AC117" s="28" cm="1">
        <f t="array" ref="AC117">AC$106+IF($C117&lt;&gt;0,SUMPRODUCT((AC$107:AC$108)*TRANSPOSE(($D117:$E117))),0)</f>
        <v>72135.885466598658</v>
      </c>
      <c r="AD117" s="28" cm="1">
        <f t="array" ref="AD117">AD$106+IF($C117&lt;&gt;0,SUMPRODUCT((AD$107:AD$108)*TRANSPOSE(($D117:$E117))),0)</f>
        <v>117367.56353991257</v>
      </c>
      <c r="AE117" s="28" cm="1">
        <f t="array" ref="AE117">AE$106+IF($C117&lt;&gt;0,SUMPRODUCT((AE$107:AE$108)*TRANSPOSE(($D117:$E117))),0)</f>
        <v>117557.30613504222</v>
      </c>
      <c r="AF117" s="28" cm="1">
        <f t="array" ref="AF117">AF$106+IF($C117&lt;&gt;0,SUMPRODUCT((AF$107:AF$108)*TRANSPOSE(($D117:$E117))),0)</f>
        <v>117748.72891549906</v>
      </c>
      <c r="AG117" s="28" cm="1">
        <f t="array" ref="AG117">AG$106+IF($C117&lt;&gt;0,SUMPRODUCT((AG$107:AG$108)*TRANSPOSE(($D117:$E117))),0)</f>
        <v>117941.82345788798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5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4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CHA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156</v>
      </c>
      <c r="B3" s="5"/>
      <c r="C3" s="176" t="str">
        <f>INDEX(Assumptions!$E$14:$E$18, MATCH(A3,_xlfn.ANCHORARRAY( Assumptions!$C$14),0))</f>
        <v>Make site emergency spare ready in 2026-2027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108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109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110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/>
      <c r="AI11"/>
      <c r="AJ11"/>
      <c r="AK11"/>
      <c r="AL11"/>
      <c r="AM11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  <c r="AL12"/>
      <c r="AM12"/>
    </row>
    <row r="13" spans="1:43" ht="13.5" x14ac:dyDescent="0.3">
      <c r="C13" s="3" t="s">
        <v>103</v>
      </c>
      <c r="D13"/>
      <c r="E13" s="106" t="s">
        <v>111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352</v>
      </c>
      <c r="D14"/>
      <c r="E14" s="127">
        <v>20</v>
      </c>
      <c r="G14" s="182">
        <f>input_dollars</f>
        <v>45291</v>
      </c>
      <c r="H14" s="128"/>
      <c r="I14" s="29">
        <f>Workings_costs!E49</f>
        <v>2000000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32</v>
      </c>
      <c r="G17" s="182">
        <f>input_dollars</f>
        <v>45291</v>
      </c>
      <c r="H17" s="95"/>
      <c r="I17" s="94">
        <f t="shared" ref="I17:Q17" si="0">SUM(I14:I16)</f>
        <v>2000000</v>
      </c>
      <c r="J17" s="94">
        <f t="shared" si="0"/>
        <v>0</v>
      </c>
      <c r="K17" s="94">
        <f t="shared" si="0"/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  <c r="AL17"/>
      <c r="AM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33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  <c r="AL19"/>
      <c r="AM19"/>
    </row>
    <row r="20" spans="1:43" ht="13.5" x14ac:dyDescent="0.3">
      <c r="G20" s="180"/>
      <c r="AH20"/>
      <c r="AI20"/>
      <c r="AJ20"/>
      <c r="AK20"/>
      <c r="AL20"/>
      <c r="AM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113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114</v>
      </c>
      <c r="D24" s="99"/>
      <c r="E24" s="99"/>
      <c r="F24" s="99"/>
      <c r="G24" s="183"/>
      <c r="H24" s="99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115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116</v>
      </c>
      <c r="D27" s="180"/>
      <c r="E27"/>
      <c r="G27" s="182" t="s">
        <v>117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118</v>
      </c>
      <c r="D28" s="180" t="s">
        <v>108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Workings_risks!E48</f>
        <v>285320.88237505034</v>
      </c>
      <c r="J28" s="29">
        <f>Workings_risks!F48</f>
        <v>73745.945726040547</v>
      </c>
      <c r="K28" s="29">
        <f>Workings_risks!G48</f>
        <v>75965.281535782968</v>
      </c>
      <c r="L28" s="29">
        <f>Workings_risks!H48</f>
        <v>77705.210537135601</v>
      </c>
      <c r="M28" s="29">
        <f>Workings_risks!I48</f>
        <v>78721.385649843287</v>
      </c>
      <c r="N28" s="29">
        <f>Workings_risks!J48</f>
        <v>80059.280436972898</v>
      </c>
      <c r="O28" s="29">
        <f>Workings_risks!K48</f>
        <v>82639.451650248026</v>
      </c>
      <c r="P28" s="29">
        <f>Workings_risks!L48</f>
        <v>85628.532511475438</v>
      </c>
      <c r="Q28" s="29">
        <f>Workings_risks!M48</f>
        <v>86637.121659700846</v>
      </c>
      <c r="R28" s="29">
        <f>Workings_risks!N48</f>
        <v>88705.869698314345</v>
      </c>
      <c r="S28" s="29">
        <f>Workings_risks!O48</f>
        <v>90795.172705083576</v>
      </c>
      <c r="T28" s="29">
        <f>Workings_risks!P48</f>
        <v>92904.967307493047</v>
      </c>
      <c r="U28" s="29">
        <f>Workings_risks!Q48</f>
        <v>95035.19197168661</v>
      </c>
      <c r="V28" s="29">
        <f>Workings_risks!R48</f>
        <v>97185.785235371091</v>
      </c>
      <c r="W28" s="29">
        <f>Workings_risks!S48</f>
        <v>99356.688357655425</v>
      </c>
      <c r="X28" s="29">
        <f>Workings_risks!T48</f>
        <v>101547.84355235263</v>
      </c>
      <c r="Y28" s="29">
        <f>Workings_risks!U48</f>
        <v>103759.19575638785</v>
      </c>
      <c r="Z28" s="29">
        <f>Workings_risks!V48</f>
        <v>105990.68820757681</v>
      </c>
      <c r="AA28" s="29">
        <f>Workings_risks!W48</f>
        <v>108242.26775063855</v>
      </c>
      <c r="AB28" s="29">
        <f>Workings_risks!X48</f>
        <v>110513.88129910329</v>
      </c>
      <c r="AC28" s="29">
        <f>Workings_risks!Y48</f>
        <v>112805.47849050652</v>
      </c>
      <c r="AD28" s="29">
        <f>Workings_risks!Z48</f>
        <v>115117.00903074631</v>
      </c>
      <c r="AE28" s="29">
        <f>Workings_risks!AA48</f>
        <v>117448.4226921962</v>
      </c>
      <c r="AF28" s="29">
        <f>Workings_risks!AB48</f>
        <v>119799.67285823665</v>
      </c>
      <c r="AG28" s="29">
        <f>Workings_risks!AC48</f>
        <v>122170.71120593853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119</v>
      </c>
      <c r="G30" s="182">
        <f>input_dollars</f>
        <v>45291</v>
      </c>
      <c r="H30" s="128"/>
      <c r="I30" s="29">
        <f>Workings_risks!E49</f>
        <v>584.88390844473759</v>
      </c>
      <c r="J30" s="29">
        <f>Workings_risks!F49</f>
        <v>600.50471135378461</v>
      </c>
      <c r="K30" s="29">
        <f>Workings_risks!G49</f>
        <v>616.29465798613819</v>
      </c>
      <c r="L30" s="29">
        <f>Workings_risks!H49</f>
        <v>632.25297447689923</v>
      </c>
      <c r="M30" s="29">
        <f>Workings_risks!I49</f>
        <v>648.37888696116886</v>
      </c>
      <c r="N30" s="29">
        <f>Workings_risks!J49</f>
        <v>664.67167220072349</v>
      </c>
      <c r="O30" s="29">
        <f>Workings_risks!K49</f>
        <v>681.13058526019313</v>
      </c>
      <c r="P30" s="29">
        <f>Workings_risks!L49</f>
        <v>697.75491736611889</v>
      </c>
      <c r="Q30" s="29">
        <f>Workings_risks!M49</f>
        <v>714.54397420980615</v>
      </c>
      <c r="R30" s="29">
        <f>Workings_risks!N49</f>
        <v>731.49704701779626</v>
      </c>
      <c r="S30" s="29">
        <f>Workings_risks!O49</f>
        <v>748.61347041092324</v>
      </c>
      <c r="T30" s="29">
        <f>Workings_risks!P49</f>
        <v>765.89257901002202</v>
      </c>
      <c r="U30" s="29">
        <f>Workings_risks!Q49</f>
        <v>783.3337219006911</v>
      </c>
      <c r="V30" s="29">
        <f>Workings_risks!R49</f>
        <v>800.93624816852969</v>
      </c>
      <c r="W30" s="29">
        <f>Workings_risks!S49</f>
        <v>818.69952859628359</v>
      </c>
      <c r="X30" s="29">
        <f>Workings_risks!T49</f>
        <v>836.6229411990804</v>
      </c>
      <c r="Y30" s="29">
        <f>Workings_risks!U49</f>
        <v>854.70588568919459</v>
      </c>
      <c r="Z30" s="29">
        <f>Workings_risks!V49</f>
        <v>872.94774731413656</v>
      </c>
      <c r="AA30" s="29">
        <f>Workings_risks!W49</f>
        <v>891.3479402509455</v>
      </c>
      <c r="AB30" s="29">
        <f>Workings_risks!X49</f>
        <v>909.90587867666011</v>
      </c>
      <c r="AC30" s="29">
        <f>Workings_risks!Y49</f>
        <v>928.62099846546607</v>
      </c>
      <c r="AD30" s="29">
        <f>Workings_risks!Z49</f>
        <v>947.4927354915493</v>
      </c>
      <c r="AE30" s="29">
        <f>Workings_risks!AA49</f>
        <v>947.4927354915493</v>
      </c>
      <c r="AF30" s="29">
        <f>Workings_risks!AB49</f>
        <v>947.4927354915493</v>
      </c>
      <c r="AG30" s="29">
        <f>Workings_risks!AC49</f>
        <v>947.4927354915493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Workings_risks!E50</f>
        <v>23694.818430286083</v>
      </c>
      <c r="J31" s="29">
        <f>Workings_risks!F50</f>
        <v>24327.648438636581</v>
      </c>
      <c r="K31" s="29">
        <f>Workings_risks!G50</f>
        <v>24967.330797948533</v>
      </c>
      <c r="L31" s="29">
        <f>Workings_risks!H50</f>
        <v>25613.834157405119</v>
      </c>
      <c r="M31" s="29">
        <f>Workings_risks!I50</f>
        <v>26267.127166189533</v>
      </c>
      <c r="N31" s="29">
        <f>Workings_risks!J50</f>
        <v>26927.180524472977</v>
      </c>
      <c r="O31" s="29">
        <f>Workings_risks!K50</f>
        <v>27593.964053431777</v>
      </c>
      <c r="P31" s="29">
        <f>Workings_risks!L50</f>
        <v>28267.44903923371</v>
      </c>
      <c r="Q31" s="29">
        <f>Workings_risks!M50</f>
        <v>28947.607354043135</v>
      </c>
      <c r="R31" s="29">
        <f>Workings_risks!N50</f>
        <v>29634.410284027828</v>
      </c>
      <c r="S31" s="29">
        <f>Workings_risks!O50</f>
        <v>30327.830873345283</v>
      </c>
      <c r="T31" s="29">
        <f>Workings_risks!P50</f>
        <v>31027.842166153012</v>
      </c>
      <c r="U31" s="29">
        <f>Workings_risks!Q50</f>
        <v>31734.417792605094</v>
      </c>
      <c r="V31" s="29">
        <f>Workings_risks!R50</f>
        <v>32447.531382855599</v>
      </c>
      <c r="W31" s="29">
        <f>Workings_risks!S50</f>
        <v>33167.15744605349</v>
      </c>
      <c r="X31" s="29">
        <f>Workings_risks!T50</f>
        <v>33893.270784345987</v>
      </c>
      <c r="Y31" s="29">
        <f>Workings_risks!U50</f>
        <v>34625.847078875187</v>
      </c>
      <c r="Z31" s="29">
        <f>Workings_risks!V50</f>
        <v>35364.861424786606</v>
      </c>
      <c r="AA31" s="29">
        <f>Workings_risks!W50</f>
        <v>36110.290089218928</v>
      </c>
      <c r="AB31" s="29">
        <f>Workings_risks!X50</f>
        <v>36862.109339310824</v>
      </c>
      <c r="AC31" s="29">
        <f>Workings_risks!Y50</f>
        <v>37620.296321195812</v>
      </c>
      <c r="AD31" s="29">
        <f>Workings_risks!Z50</f>
        <v>38384.82818100744</v>
      </c>
      <c r="AE31" s="29">
        <f>Workings_risks!AA50</f>
        <v>38384.82818100744</v>
      </c>
      <c r="AF31" s="29">
        <f>Workings_risks!AB50</f>
        <v>38384.82818100744</v>
      </c>
      <c r="AG31" s="29">
        <f>Workings_risks!AC50</f>
        <v>38384.82818100744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 t="s">
        <v>119</v>
      </c>
      <c r="E32"/>
      <c r="G32" s="182">
        <f>input_dollars</f>
        <v>45291</v>
      </c>
      <c r="H32"/>
      <c r="I32" s="29">
        <f>Workings_risks!E51</f>
        <v>2122.0329984000005</v>
      </c>
      <c r="J32" s="29">
        <f>Workings_risks!F51</f>
        <v>2178.7072524800001</v>
      </c>
      <c r="K32" s="29">
        <f>Workings_risks!G51</f>
        <v>2235.9951814400001</v>
      </c>
      <c r="L32" s="29">
        <f>Workings_risks!H51</f>
        <v>2293.8939775999997</v>
      </c>
      <c r="M32" s="29">
        <f>Workings_risks!I51</f>
        <v>2352.4008332799999</v>
      </c>
      <c r="N32" s="29">
        <f>Workings_risks!J51</f>
        <v>2411.51312448</v>
      </c>
      <c r="O32" s="29">
        <f>Workings_risks!K51</f>
        <v>2471.2281484800001</v>
      </c>
      <c r="P32" s="29">
        <f>Workings_risks!L51</f>
        <v>2531.5433337599998</v>
      </c>
      <c r="Q32" s="29">
        <f>Workings_risks!M51</f>
        <v>2592.4561612799998</v>
      </c>
      <c r="R32" s="29">
        <f>Workings_risks!N51</f>
        <v>2653.9640595200003</v>
      </c>
      <c r="S32" s="29">
        <f>Workings_risks!O51</f>
        <v>2716.0646144000002</v>
      </c>
      <c r="T32" s="29">
        <f>Workings_risks!P51</f>
        <v>2778.7554118400003</v>
      </c>
      <c r="U32" s="29">
        <f>Workings_risks!Q51</f>
        <v>2842.0340902400003</v>
      </c>
      <c r="V32" s="29">
        <f>Workings_risks!R51</f>
        <v>2905.8982879999999</v>
      </c>
      <c r="W32" s="29">
        <f>Workings_risks!S51</f>
        <v>2970.3457222400002</v>
      </c>
      <c r="X32" s="29">
        <f>Workings_risks!T51</f>
        <v>3035.3741363200002</v>
      </c>
      <c r="Y32" s="29">
        <f>Workings_risks!U51</f>
        <v>3100.98135232</v>
      </c>
      <c r="Z32" s="29">
        <f>Workings_risks!V51</f>
        <v>3167.1651398399999</v>
      </c>
      <c r="AA32" s="29">
        <f>Workings_risks!W51</f>
        <v>3233.92337344</v>
      </c>
      <c r="AB32" s="29">
        <f>Workings_risks!X51</f>
        <v>3301.2539276800003</v>
      </c>
      <c r="AC32" s="29">
        <f>Workings_risks!Y51</f>
        <v>3369.1547558400002</v>
      </c>
      <c r="AD32" s="29">
        <f>Workings_risks!Z51</f>
        <v>3437.6238112000001</v>
      </c>
      <c r="AE32" s="29">
        <f>Workings_risks!AA51</f>
        <v>3437.6238112000001</v>
      </c>
      <c r="AF32" s="29">
        <f>Workings_risks!AB51</f>
        <v>3437.6238112000001</v>
      </c>
      <c r="AG32" s="29">
        <f>Workings_risks!AC51</f>
        <v>3437.6238112000001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93"/>
      <c r="E33"/>
      <c r="G33" s="182">
        <f>input_dollars</f>
        <v>45291</v>
      </c>
      <c r="H33"/>
      <c r="I33" s="29">
        <f>Workings_risks!E52</f>
        <v>141000</v>
      </c>
      <c r="J33" s="29">
        <f>Workings_risks!F52</f>
        <v>141000</v>
      </c>
      <c r="K33" s="29">
        <f>Workings_risks!G52</f>
        <v>141000</v>
      </c>
      <c r="L33" s="29">
        <f>Workings_risks!H52</f>
        <v>141000</v>
      </c>
      <c r="M33" s="29">
        <f>Workings_risks!I52</f>
        <v>141000</v>
      </c>
      <c r="N33" s="29">
        <f>Workings_risks!J52</f>
        <v>141000</v>
      </c>
      <c r="O33" s="29">
        <f>Workings_risks!K52</f>
        <v>141000</v>
      </c>
      <c r="P33" s="29">
        <f>Workings_risks!L52</f>
        <v>141000</v>
      </c>
      <c r="Q33" s="29">
        <f>Workings_risks!M52</f>
        <v>141000</v>
      </c>
      <c r="R33" s="29">
        <f>Workings_risks!N52</f>
        <v>141000</v>
      </c>
      <c r="S33" s="29">
        <f>Workings_risks!O52</f>
        <v>141000</v>
      </c>
      <c r="T33" s="29">
        <f>Workings_risks!P52</f>
        <v>141000</v>
      </c>
      <c r="U33" s="29">
        <f>Workings_risks!Q52</f>
        <v>141000</v>
      </c>
      <c r="V33" s="29">
        <f>Workings_risks!R52</f>
        <v>141000</v>
      </c>
      <c r="W33" s="29">
        <f>Workings_risks!S52</f>
        <v>141000</v>
      </c>
      <c r="X33" s="29">
        <f>Workings_risks!T52</f>
        <v>141000</v>
      </c>
      <c r="Y33" s="29">
        <f>Workings_risks!U52</f>
        <v>141000</v>
      </c>
      <c r="Z33" s="29">
        <f>Workings_risks!V52</f>
        <v>141000</v>
      </c>
      <c r="AA33" s="29">
        <f>Workings_risks!W52</f>
        <v>141000</v>
      </c>
      <c r="AB33" s="29">
        <f>Workings_risks!X52</f>
        <v>141000</v>
      </c>
      <c r="AC33" s="29">
        <f>Workings_risks!Y52</f>
        <v>141000</v>
      </c>
      <c r="AD33" s="29">
        <f>Workings_risks!Z52</f>
        <v>141000</v>
      </c>
      <c r="AE33" s="29">
        <f>Workings_risks!AA52</f>
        <v>141000</v>
      </c>
      <c r="AF33" s="29">
        <f>Workings_risks!AB52</f>
        <v>141000</v>
      </c>
      <c r="AG33" s="29">
        <f>Workings_risks!AC52</f>
        <v>141000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120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121</v>
      </c>
      <c r="D36" s="192"/>
      <c r="E36" s="95"/>
      <c r="F36" s="3"/>
      <c r="G36" s="184"/>
      <c r="H36" s="95"/>
      <c r="I36" s="147">
        <f>SUM(I28:I34)</f>
        <v>452722.61771218112</v>
      </c>
      <c r="J36" s="147">
        <f t="shared" ref="J36:AG36" si="2">SUM(J28:J34)</f>
        <v>241852.80612851091</v>
      </c>
      <c r="K36" s="147">
        <f t="shared" si="2"/>
        <v>244784.90217315764</v>
      </c>
      <c r="L36" s="147">
        <f t="shared" si="2"/>
        <v>247245.1916466176</v>
      </c>
      <c r="M36" s="147">
        <f t="shared" si="2"/>
        <v>248989.29253627401</v>
      </c>
      <c r="N36" s="147">
        <f t="shared" si="2"/>
        <v>251062.6457581266</v>
      </c>
      <c r="O36" s="147">
        <f t="shared" si="2"/>
        <v>254385.77443742001</v>
      </c>
      <c r="P36" s="147">
        <f t="shared" si="2"/>
        <v>258125.27980183528</v>
      </c>
      <c r="Q36" s="147">
        <f t="shared" si="2"/>
        <v>259891.72914923378</v>
      </c>
      <c r="R36" s="147">
        <f t="shared" si="2"/>
        <v>262725.74108887999</v>
      </c>
      <c r="S36" s="147">
        <f t="shared" si="2"/>
        <v>265587.68166323978</v>
      </c>
      <c r="T36" s="147">
        <f t="shared" si="2"/>
        <v>268477.45746449608</v>
      </c>
      <c r="U36" s="147">
        <f t="shared" si="2"/>
        <v>271394.9775764324</v>
      </c>
      <c r="V36" s="147">
        <f t="shared" si="2"/>
        <v>274340.15115439519</v>
      </c>
      <c r="W36" s="147">
        <f t="shared" si="2"/>
        <v>277312.89105454518</v>
      </c>
      <c r="X36" s="147">
        <f t="shared" si="2"/>
        <v>280313.11141421768</v>
      </c>
      <c r="Y36" s="147">
        <f t="shared" si="2"/>
        <v>283340.73007327225</v>
      </c>
      <c r="Z36" s="147">
        <f t="shared" si="2"/>
        <v>286395.66251951759</v>
      </c>
      <c r="AA36" s="147">
        <f t="shared" si="2"/>
        <v>289477.8291535484</v>
      </c>
      <c r="AB36" s="147">
        <f t="shared" si="2"/>
        <v>292587.15044477076</v>
      </c>
      <c r="AC36" s="147">
        <f t="shared" si="2"/>
        <v>295723.55056600779</v>
      </c>
      <c r="AD36" s="147">
        <f t="shared" si="2"/>
        <v>298886.95375844534</v>
      </c>
      <c r="AE36" s="147">
        <f t="shared" si="2"/>
        <v>301218.36741989519</v>
      </c>
      <c r="AF36" s="147">
        <f t="shared" si="2"/>
        <v>303569.61758593563</v>
      </c>
      <c r="AG36" s="147">
        <f t="shared" si="2"/>
        <v>305940.65593363752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122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123</v>
      </c>
      <c r="G41" s="180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124</v>
      </c>
      <c r="G42" s="180" t="s">
        <v>125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126</v>
      </c>
      <c r="D45" s="180" t="s">
        <v>108</v>
      </c>
      <c r="E45" s="101">
        <f>Assumptions!G94</f>
        <v>151432.81740793545</v>
      </c>
      <c r="G45" s="182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127</v>
      </c>
      <c r="D46" s="180" t="s">
        <v>108</v>
      </c>
      <c r="E46" s="101">
        <f>Assumptions!G95</f>
        <v>24590</v>
      </c>
      <c r="G46" s="182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128</v>
      </c>
      <c r="D47" s="180" t="s">
        <v>108</v>
      </c>
      <c r="E47" s="100">
        <f>Assumptions!G96</f>
        <v>88.357719508603083</v>
      </c>
      <c r="G47" s="182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129</v>
      </c>
      <c r="D48" s="180" t="s">
        <v>130</v>
      </c>
      <c r="E48" s="100">
        <f>Assumptions!G97</f>
        <v>0</v>
      </c>
      <c r="G48" s="182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132</v>
      </c>
      <c r="D49" s="180" t="s">
        <v>133</v>
      </c>
      <c r="E49" s="100">
        <f>Assumptions!G98</f>
        <v>0.35181336539087127</v>
      </c>
      <c r="G49" s="182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135</v>
      </c>
      <c r="D50" s="180" t="s">
        <v>133</v>
      </c>
      <c r="E50" s="100">
        <f>Assumptions!G99</f>
        <v>0.35181336539087127</v>
      </c>
      <c r="G50" s="182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136</v>
      </c>
      <c r="D51" s="180" t="s">
        <v>130</v>
      </c>
      <c r="E51" s="100">
        <f>Assumptions!G100</f>
        <v>0</v>
      </c>
      <c r="G51" s="182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137</v>
      </c>
      <c r="D52" s="180" t="s">
        <v>130</v>
      </c>
      <c r="E52" s="100">
        <f>Assumptions!G101</f>
        <v>0</v>
      </c>
      <c r="G52" s="182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138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139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140</v>
      </c>
      <c r="D57" s="192"/>
      <c r="E57" s="95"/>
      <c r="F57" s="3"/>
      <c r="G57" s="182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23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221541.42418107163</v>
      </c>
      <c r="K64" s="112">
        <f>(1-INDEX(Data!$C$9:$C$13, MATCH($A$3, options,0)))*('Option1 (base case)'!K36-K36)</f>
        <v>228208.43885886137</v>
      </c>
      <c r="L64" s="112">
        <f>(1-INDEX(Data!$C$9:$C$13, MATCH($A$3, options,0)))*('Option1 (base case)'!L36-L36)</f>
        <v>233435.4897716397</v>
      </c>
      <c r="M64" s="112">
        <f>(1-INDEX(Data!$C$9:$C$13, MATCH($A$3, options,0)))*('Option1 (base case)'!M36-M36)</f>
        <v>236488.64222691953</v>
      </c>
      <c r="N64" s="112">
        <f>(1-INDEX(Data!$C$9:$C$13, MATCH($A$3, options,0)))*('Option1 (base case)'!N36-N36)</f>
        <v>240488.58455049215</v>
      </c>
      <c r="O64" s="112">
        <f>(1-INDEX(Data!$C$9:$C$13, MATCH($A$3, options,0)))*('Option1 (base case)'!O36-O36)</f>
        <v>248249.97489028989</v>
      </c>
      <c r="P64" s="112">
        <f>(1-INDEX(Data!$C$9:$C$13, MATCH($A$3, options,0)))*('Option1 (base case)'!P36-P36)</f>
        <v>257238.12890657058</v>
      </c>
      <c r="Q64" s="112">
        <f>(1-INDEX(Data!$C$9:$C$13, MATCH($A$3, options,0)))*('Option1 (base case)'!Q36-Q36)</f>
        <v>260259.04704285122</v>
      </c>
      <c r="R64" s="112">
        <f>(1-INDEX(Data!$C$9:$C$13, MATCH($A$3, options,0)))*('Option1 (base case)'!R36-R36)</f>
        <v>266473.5885022874</v>
      </c>
      <c r="S64" s="112">
        <f>(1-INDEX(Data!$C$9:$C$13, MATCH($A$3, options,0)))*('Option1 (base case)'!S36-S36)</f>
        <v>272749.87708777754</v>
      </c>
      <c r="T64" s="112">
        <f>(1-INDEX(Data!$C$9:$C$13, MATCH($A$3, options,0)))*('Option1 (base case)'!T36-T36)</f>
        <v>279087.72242128191</v>
      </c>
      <c r="U64" s="112">
        <f>(1-INDEX(Data!$C$9:$C$13, MATCH($A$3, options,0)))*('Option1 (base case)'!U36-U36)</f>
        <v>285486.93964808818</v>
      </c>
      <c r="V64" s="112">
        <f>(1-INDEX(Data!$C$9:$C$13, MATCH($A$3, options,0)))*('Option1 (base case)'!V36-V36)</f>
        <v>291947.34412843408</v>
      </c>
      <c r="W64" s="112">
        <f>(1-INDEX(Data!$C$9:$C$13, MATCH($A$3, options,0)))*('Option1 (base case)'!W36-W36)</f>
        <v>298468.75939765235</v>
      </c>
      <c r="X64" s="112">
        <f>(1-INDEX(Data!$C$9:$C$13, MATCH($A$3, options,0)))*('Option1 (base case)'!X36-X36)</f>
        <v>305051.01185899245</v>
      </c>
      <c r="Y64" s="112">
        <f>(1-INDEX(Data!$C$9:$C$13, MATCH($A$3, options,0)))*('Option1 (base case)'!Y36-Y36)</f>
        <v>311693.93609593413</v>
      </c>
      <c r="Z64" s="112">
        <f>(1-INDEX(Data!$C$9:$C$13, MATCH($A$3, options,0)))*('Option1 (base case)'!Z36-Z36)</f>
        <v>318397.3615877917</v>
      </c>
      <c r="AA64" s="112">
        <f>(1-INDEX(Data!$C$9:$C$13, MATCH($A$3, options,0)))*('Option1 (base case)'!AA36-AA36)</f>
        <v>325161.12864902831</v>
      </c>
      <c r="AB64" s="112">
        <f>(1-INDEX(Data!$C$9:$C$13, MATCH($A$3, options,0)))*('Option1 (base case)'!AB36-AB36)</f>
        <v>331985.07780079212</v>
      </c>
      <c r="AC64" s="112">
        <f>(1-INDEX(Data!$C$9:$C$13, MATCH($A$3, options,0)))*('Option1 (base case)'!AC36-AC36)</f>
        <v>338869.05774714571</v>
      </c>
      <c r="AD64" s="112">
        <f>(1-INDEX(Data!$C$9:$C$13, MATCH($A$3, options,0)))*('Option1 (base case)'!AD36-AD36)</f>
        <v>345812.91739748954</v>
      </c>
      <c r="AE64" s="112">
        <f>(1-INDEX(Data!$C$9:$C$13, MATCH($A$3, options,0)))*('Option1 (base case)'!AE36-AE36)</f>
        <v>352816.50586089346</v>
      </c>
      <c r="AF64" s="112">
        <f>(1-INDEX(Data!$C$9:$C$13, MATCH($A$3, options,0)))*('Option1 (base case)'!AF36-AF36)</f>
        <v>359879.68309390184</v>
      </c>
      <c r="AG64" s="112">
        <f>(1-INDEX(Data!$C$9:$C$13, MATCH($A$3, options,0)))*('Option1 (base case)'!AG36-AG36)</f>
        <v>367002.30392726685</v>
      </c>
    </row>
    <row r="65" spans="1:33" x14ac:dyDescent="0.3">
      <c r="G65" s="187"/>
    </row>
    <row r="66" spans="1:33" x14ac:dyDescent="0.3">
      <c r="A66" s="6"/>
      <c r="B66" s="6"/>
      <c r="C66" s="126" t="s">
        <v>32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Emergency spare ready</v>
      </c>
      <c r="D67" s="34"/>
      <c r="F67" s="85"/>
      <c r="G67" s="185">
        <f>input_dollars</f>
        <v>45291</v>
      </c>
      <c r="H67" s="28"/>
      <c r="I67" s="28">
        <f t="shared" ref="I67:AG67" si="4">-I14</f>
        <v>-2000000</v>
      </c>
      <c r="J67" s="28">
        <f t="shared" si="4"/>
        <v>0</v>
      </c>
      <c r="K67" s="28">
        <f t="shared" si="4"/>
        <v>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142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Emergency spare ready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-2000000</v>
      </c>
      <c r="J72" s="28" cm="1">
        <f t="array" ref="J72">SUMPRODUCT(($I67:J67))-SUMPRODUCT(($I67:J67)*($I$6:J$6&lt;=(J$6-$E14)))</f>
        <v>-2000000</v>
      </c>
      <c r="K72" s="28" cm="1">
        <f t="array" ref="K72">SUMPRODUCT(($I67:K67))-SUMPRODUCT(($I67:K67)*($I$6:K$6&lt;=(K$6-$E14)))</f>
        <v>-2000000</v>
      </c>
      <c r="L72" s="28" cm="1">
        <f t="array" ref="L72">SUMPRODUCT(($I67:L67))-SUMPRODUCT(($I67:L67)*($I$6:L$6&lt;=(L$6-$E14)))</f>
        <v>-2000000</v>
      </c>
      <c r="M72" s="28" cm="1">
        <f t="array" ref="M72">SUMPRODUCT(($I67:M67))-SUMPRODUCT(($I67:M67)*($I$6:M$6&lt;=(M$6-$E14)))</f>
        <v>-2000000</v>
      </c>
      <c r="N72" s="28" cm="1">
        <f t="array" ref="N72">SUMPRODUCT(($I67:N67))-SUMPRODUCT(($I67:N67)*($I$6:N$6&lt;=(N$6-$E14)))</f>
        <v>-2000000</v>
      </c>
      <c r="O72" s="28" cm="1">
        <f t="array" ref="O72">SUMPRODUCT(($I67:O67))-SUMPRODUCT(($I67:O67)*($I$6:O$6&lt;=(O$6-$E14)))</f>
        <v>-2000000</v>
      </c>
      <c r="P72" s="28" cm="1">
        <f t="array" ref="P72">SUMPRODUCT(($I67:P67))-SUMPRODUCT(($I67:P67)*($I$6:P$6&lt;=(P$6-$E14)))</f>
        <v>-2000000</v>
      </c>
      <c r="Q72" s="28" cm="1">
        <f t="array" ref="Q72">SUMPRODUCT(($I67:Q67))-SUMPRODUCT(($I67:Q67)*($I$6:Q$6&lt;=(Q$6-$E14)))</f>
        <v>-2000000</v>
      </c>
      <c r="R72" s="28" cm="1">
        <f t="array" ref="R72">SUMPRODUCT(($I67:R67))-SUMPRODUCT(($I67:R67)*($I$6:R$6&lt;=(R$6-$E14)))</f>
        <v>-2000000</v>
      </c>
      <c r="S72" s="28" cm="1">
        <f t="array" ref="S72">SUMPRODUCT(($I67:S67))-SUMPRODUCT(($I67:S67)*($I$6:S$6&lt;=(S$6-$E14)))</f>
        <v>-2000000</v>
      </c>
      <c r="T72" s="28" cm="1">
        <f t="array" ref="T72">SUMPRODUCT(($I67:T67))-SUMPRODUCT(($I67:T67)*($I$6:T$6&lt;=(T$6-$E14)))</f>
        <v>-2000000</v>
      </c>
      <c r="U72" s="28" cm="1">
        <f t="array" ref="U72">SUMPRODUCT(($I67:U67))-SUMPRODUCT(($I67:U67)*($I$6:U$6&lt;=(U$6-$E14)))</f>
        <v>-2000000</v>
      </c>
      <c r="V72" s="28" cm="1">
        <f t="array" ref="V72">SUMPRODUCT(($I67:V67))-SUMPRODUCT(($I67:V67)*($I$6:V$6&lt;=(V$6-$E14)))</f>
        <v>-2000000</v>
      </c>
      <c r="W72" s="28" cm="1">
        <f t="array" ref="W72">SUMPRODUCT(($I67:W67))-SUMPRODUCT(($I67:W67)*($I$6:W$6&lt;=(W$6-$E14)))</f>
        <v>-2000000</v>
      </c>
      <c r="X72" s="28" cm="1">
        <f t="array" ref="X72">SUMPRODUCT(($I67:X67))-SUMPRODUCT(($I67:X67)*($I$6:X$6&lt;=(X$6-$E14)))</f>
        <v>-2000000</v>
      </c>
      <c r="Y72" s="28" cm="1">
        <f t="array" ref="Y72">SUMPRODUCT(($I67:Y67))-SUMPRODUCT(($I67:Y67)*($I$6:Y$6&lt;=(Y$6-$E14)))</f>
        <v>-2000000</v>
      </c>
      <c r="Z72" s="28" cm="1">
        <f t="array" ref="Z72">SUMPRODUCT(($I67:Z67))-SUMPRODUCT(($I67:Z67)*($I$6:Z$6&lt;=(Z$6-$E14)))</f>
        <v>-2000000</v>
      </c>
      <c r="AA72" s="28" cm="1">
        <f t="array" ref="AA72">SUMPRODUCT(($I67:AA67))-SUMPRODUCT(($I67:AA67)*($I$6:AA$6&lt;=(AA$6-$E14)))</f>
        <v>-2000000</v>
      </c>
      <c r="AB72" s="28" cm="1">
        <f t="array" ref="AB72">SUMPRODUCT(($I67:AB67))-SUMPRODUCT(($I67:AB67)*($I$6:AB$6&lt;=(AB$6-$E14)))</f>
        <v>-2000000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143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Emergency spare ready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-140722.15356605238</v>
      </c>
      <c r="K77" s="28">
        <f t="shared" si="7"/>
        <v>-140722.15356605238</v>
      </c>
      <c r="L77" s="28">
        <f t="shared" si="7"/>
        <v>-140722.15356605238</v>
      </c>
      <c r="M77" s="28">
        <f t="shared" si="7"/>
        <v>-140722.15356605238</v>
      </c>
      <c r="N77" s="28">
        <f t="shared" si="7"/>
        <v>-140722.15356605238</v>
      </c>
      <c r="O77" s="28">
        <f t="shared" si="7"/>
        <v>-140722.15356605238</v>
      </c>
      <c r="P77" s="28">
        <f t="shared" si="7"/>
        <v>-140722.15356605238</v>
      </c>
      <c r="Q77" s="28">
        <f t="shared" si="7"/>
        <v>-140722.15356605238</v>
      </c>
      <c r="R77" s="28">
        <f t="shared" si="7"/>
        <v>-140722.15356605238</v>
      </c>
      <c r="S77" s="28">
        <f t="shared" si="7"/>
        <v>-140722.15356605238</v>
      </c>
      <c r="T77" s="28">
        <f t="shared" si="7"/>
        <v>-140722.15356605238</v>
      </c>
      <c r="U77" s="28">
        <f t="shared" si="7"/>
        <v>-140722.15356605238</v>
      </c>
      <c r="V77" s="28">
        <f t="shared" si="7"/>
        <v>-140722.15356605238</v>
      </c>
      <c r="W77" s="28">
        <f t="shared" si="7"/>
        <v>-140722.15356605238</v>
      </c>
      <c r="X77" s="28">
        <f t="shared" si="7"/>
        <v>-140722.15356605238</v>
      </c>
      <c r="Y77" s="28">
        <f t="shared" si="7"/>
        <v>-140722.15356605238</v>
      </c>
      <c r="Z77" s="28">
        <f t="shared" si="7"/>
        <v>-140722.15356605238</v>
      </c>
      <c r="AA77" s="28">
        <f t="shared" si="7"/>
        <v>-140722.15356605238</v>
      </c>
      <c r="AB77" s="28">
        <f t="shared" si="7"/>
        <v>-140722.15356605238</v>
      </c>
      <c r="AC77" s="28">
        <f t="shared" si="7"/>
        <v>-140722.15356605238</v>
      </c>
      <c r="AD77" s="28">
        <f t="shared" si="7"/>
        <v>0</v>
      </c>
      <c r="AE77" s="28">
        <f t="shared" si="7"/>
        <v>0</v>
      </c>
      <c r="AF77" s="28">
        <f t="shared" si="7"/>
        <v>0</v>
      </c>
      <c r="AG77" s="28">
        <f t="shared" si="7"/>
        <v>0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144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-140722.15356605238</v>
      </c>
      <c r="K80" s="152">
        <f t="shared" si="10"/>
        <v>-140722.15356605238</v>
      </c>
      <c r="L80" s="152">
        <f t="shared" si="10"/>
        <v>-140722.15356605238</v>
      </c>
      <c r="M80" s="152">
        <f t="shared" si="10"/>
        <v>-140722.15356605238</v>
      </c>
      <c r="N80" s="152">
        <f t="shared" si="10"/>
        <v>-140722.15356605238</v>
      </c>
      <c r="O80" s="152">
        <f t="shared" si="10"/>
        <v>-140722.15356605238</v>
      </c>
      <c r="P80" s="152">
        <f t="shared" si="10"/>
        <v>-140722.15356605238</v>
      </c>
      <c r="Q80" s="152">
        <f t="shared" si="10"/>
        <v>-140722.15356605238</v>
      </c>
      <c r="R80" s="152">
        <f t="shared" si="10"/>
        <v>-140722.15356605238</v>
      </c>
      <c r="S80" s="152">
        <f t="shared" si="10"/>
        <v>-140722.15356605238</v>
      </c>
      <c r="T80" s="152">
        <f t="shared" si="10"/>
        <v>-140722.15356605238</v>
      </c>
      <c r="U80" s="152">
        <f t="shared" si="10"/>
        <v>-140722.15356605238</v>
      </c>
      <c r="V80" s="152">
        <f t="shared" si="10"/>
        <v>-140722.15356605238</v>
      </c>
      <c r="W80" s="152">
        <f t="shared" si="10"/>
        <v>-140722.15356605238</v>
      </c>
      <c r="X80" s="152">
        <f t="shared" si="10"/>
        <v>-140722.15356605238</v>
      </c>
      <c r="Y80" s="152">
        <f t="shared" si="10"/>
        <v>-140722.15356605238</v>
      </c>
      <c r="Z80" s="152">
        <f t="shared" si="10"/>
        <v>-140722.15356605238</v>
      </c>
      <c r="AA80" s="152">
        <f t="shared" si="10"/>
        <v>-140722.15356605238</v>
      </c>
      <c r="AB80" s="152">
        <f t="shared" si="10"/>
        <v>-140722.15356605238</v>
      </c>
      <c r="AC80" s="152">
        <f>SUM(AC77:AC79)</f>
        <v>-140722.15356605238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143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-140722.15356605238</v>
      </c>
      <c r="K82" s="28">
        <f t="shared" si="12"/>
        <v>-140722.15356605238</v>
      </c>
      <c r="L82" s="28">
        <f t="shared" si="12"/>
        <v>-140722.15356605238</v>
      </c>
      <c r="M82" s="28">
        <f t="shared" si="12"/>
        <v>-140722.15356605238</v>
      </c>
      <c r="N82" s="28">
        <f t="shared" si="12"/>
        <v>-140722.15356605238</v>
      </c>
      <c r="O82" s="28">
        <f t="shared" si="12"/>
        <v>-140722.15356605238</v>
      </c>
      <c r="P82" s="28">
        <f t="shared" si="12"/>
        <v>-140722.15356605238</v>
      </c>
      <c r="Q82" s="28">
        <f t="shared" si="12"/>
        <v>-140722.15356605238</v>
      </c>
      <c r="R82" s="28">
        <f t="shared" si="12"/>
        <v>-140722.15356605238</v>
      </c>
      <c r="S82" s="28">
        <f t="shared" si="12"/>
        <v>-140722.15356605238</v>
      </c>
      <c r="T82" s="28">
        <f t="shared" si="12"/>
        <v>-140722.15356605238</v>
      </c>
      <c r="U82" s="28">
        <f t="shared" si="12"/>
        <v>-140722.15356605238</v>
      </c>
      <c r="V82" s="28">
        <f t="shared" si="12"/>
        <v>-140722.15356605238</v>
      </c>
      <c r="W82" s="28">
        <f t="shared" si="12"/>
        <v>-140722.15356605238</v>
      </c>
      <c r="X82" s="28">
        <f t="shared" si="12"/>
        <v>-140722.15356605238</v>
      </c>
      <c r="Y82" s="28">
        <f t="shared" si="12"/>
        <v>-140722.15356605238</v>
      </c>
      <c r="Z82" s="28">
        <f t="shared" si="12"/>
        <v>-140722.15356605238</v>
      </c>
      <c r="AA82" s="28">
        <f t="shared" si="12"/>
        <v>-140722.15356605238</v>
      </c>
      <c r="AB82" s="28">
        <f t="shared" si="12"/>
        <v>-140722.15356605238</v>
      </c>
      <c r="AC82" s="28">
        <f>AC80</f>
        <v>-140722.15356605238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33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145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221541.42418107163</v>
      </c>
      <c r="K84" s="28">
        <f t="shared" si="14"/>
        <v>228208.43885886137</v>
      </c>
      <c r="L84" s="28">
        <f t="shared" si="14"/>
        <v>233435.4897716397</v>
      </c>
      <c r="M84" s="28">
        <f t="shared" si="14"/>
        <v>236488.64222691953</v>
      </c>
      <c r="N84" s="28">
        <f t="shared" si="14"/>
        <v>240488.58455049215</v>
      </c>
      <c r="O84" s="28">
        <f t="shared" si="14"/>
        <v>248249.97489028989</v>
      </c>
      <c r="P84" s="28">
        <f t="shared" si="14"/>
        <v>257238.12890657058</v>
      </c>
      <c r="Q84" s="28">
        <f t="shared" si="14"/>
        <v>260259.04704285122</v>
      </c>
      <c r="R84" s="28">
        <f t="shared" si="14"/>
        <v>266473.5885022874</v>
      </c>
      <c r="S84" s="28">
        <f t="shared" si="14"/>
        <v>272749.87708777754</v>
      </c>
      <c r="T84" s="28">
        <f t="shared" si="14"/>
        <v>279087.72242128191</v>
      </c>
      <c r="U84" s="28">
        <f t="shared" si="14"/>
        <v>285486.93964808818</v>
      </c>
      <c r="V84" s="28">
        <f t="shared" si="14"/>
        <v>291947.34412843408</v>
      </c>
      <c r="W84" s="28">
        <f t="shared" si="14"/>
        <v>298468.75939765235</v>
      </c>
      <c r="X84" s="28">
        <f t="shared" si="14"/>
        <v>305051.01185899245</v>
      </c>
      <c r="Y84" s="28">
        <f t="shared" si="14"/>
        <v>311693.93609593413</v>
      </c>
      <c r="Z84" s="28">
        <f t="shared" si="14"/>
        <v>318397.3615877917</v>
      </c>
      <c r="AA84" s="28">
        <f t="shared" si="14"/>
        <v>325161.12864902831</v>
      </c>
      <c r="AB84" s="28">
        <f t="shared" si="14"/>
        <v>331985.07780079212</v>
      </c>
      <c r="AC84" s="28">
        <f>AC64</f>
        <v>338869.05774714571</v>
      </c>
      <c r="AD84" s="28">
        <f>AD64</f>
        <v>345812.91739748954</v>
      </c>
      <c r="AE84" s="28">
        <f>AE64</f>
        <v>352816.50586089346</v>
      </c>
      <c r="AF84" s="28">
        <f>AF64</f>
        <v>359879.68309390184</v>
      </c>
      <c r="AG84" s="28">
        <f>AG64</f>
        <v>367002.30392726685</v>
      </c>
    </row>
    <row r="85" spans="1:33" x14ac:dyDescent="0.3">
      <c r="A85" s="6"/>
      <c r="B85" s="6"/>
      <c r="C85" s="4" t="s">
        <v>146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147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80819.270615019253</v>
      </c>
      <c r="K87" s="155">
        <f t="shared" si="16"/>
        <v>87486.285292808985</v>
      </c>
      <c r="L87" s="155">
        <f t="shared" si="16"/>
        <v>92713.336205587315</v>
      </c>
      <c r="M87" s="155">
        <f t="shared" si="16"/>
        <v>95766.488660867151</v>
      </c>
      <c r="N87" s="155">
        <f t="shared" si="16"/>
        <v>99766.430984439765</v>
      </c>
      <c r="O87" s="155">
        <f t="shared" si="16"/>
        <v>107527.82132423751</v>
      </c>
      <c r="P87" s="155">
        <f t="shared" si="16"/>
        <v>116515.9753405182</v>
      </c>
      <c r="Q87" s="155">
        <f t="shared" si="16"/>
        <v>119536.89347679884</v>
      </c>
      <c r="R87" s="155">
        <f t="shared" si="16"/>
        <v>125751.43493623502</v>
      </c>
      <c r="S87" s="155">
        <f t="shared" si="16"/>
        <v>132027.72352172516</v>
      </c>
      <c r="T87" s="155">
        <f t="shared" si="16"/>
        <v>138365.56885522953</v>
      </c>
      <c r="U87" s="155">
        <f t="shared" si="16"/>
        <v>144764.7860820358</v>
      </c>
      <c r="V87" s="155">
        <f t="shared" si="16"/>
        <v>151225.1905623817</v>
      </c>
      <c r="W87" s="155">
        <f t="shared" si="16"/>
        <v>157746.60583159997</v>
      </c>
      <c r="X87" s="155">
        <f t="shared" si="16"/>
        <v>164328.85829294007</v>
      </c>
      <c r="Y87" s="155">
        <f t="shared" si="16"/>
        <v>170971.78252988175</v>
      </c>
      <c r="Z87" s="155">
        <f t="shared" si="16"/>
        <v>177675.20802173932</v>
      </c>
      <c r="AA87" s="155">
        <f t="shared" si="16"/>
        <v>184438.97508297593</v>
      </c>
      <c r="AB87" s="155">
        <f t="shared" si="16"/>
        <v>191262.92423473974</v>
      </c>
      <c r="AC87" s="155">
        <f>SUM(AC82:AC86)</f>
        <v>198146.90418109333</v>
      </c>
      <c r="AD87" s="155">
        <f>SUM(AD82:AD86)</f>
        <v>345812.91739748954</v>
      </c>
      <c r="AE87" s="155">
        <f>SUM(AE82:AE86)</f>
        <v>352816.50586089346</v>
      </c>
      <c r="AF87" s="155">
        <f>SUM(AF82:AF86)</f>
        <v>359879.68309390184</v>
      </c>
      <c r="AG87" s="155">
        <f>SUM(AG82:AG86)</f>
        <v>367002.30392726685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152</v>
      </c>
      <c r="D90" s="72"/>
      <c r="E90" s="205"/>
      <c r="F90" s="206"/>
      <c r="G90" s="207" cm="1">
        <f t="array" ref="G90">IF(SUM($I17:$AG17)=0,0,(INDEX(I$6:AG$6,MATCH(TRUE,INDEX($I17:$AG17&lt;&gt;0,),0))))</f>
        <v>1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153</v>
      </c>
      <c r="D92" s="210"/>
      <c r="E92" s="210"/>
      <c r="F92" s="210"/>
      <c r="G92" s="211">
        <f>IF(_xlfn.MINIFS($G$90:$G$91, $G$90:$G$91, "&gt;"&amp;0)=0, $A$4, _xlfn.MINIFS($G$90:$G$91, $G$90:$G$91, "&gt;"&amp;0))</f>
        <v>1</v>
      </c>
    </row>
    <row r="94" spans="1:33" x14ac:dyDescent="0.3">
      <c r="G94" s="10"/>
    </row>
    <row r="102" spans="1:43" ht="14.5" x14ac:dyDescent="0.3">
      <c r="A102" s="78" t="s">
        <v>37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22</v>
      </c>
      <c r="C106" s="1" t="s">
        <v>147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7">J87</f>
        <v>80819.270615019253</v>
      </c>
      <c r="K106" s="28">
        <f t="shared" si="17"/>
        <v>87486.285292808985</v>
      </c>
      <c r="L106" s="28">
        <f t="shared" si="17"/>
        <v>92713.336205587315</v>
      </c>
      <c r="M106" s="28">
        <f t="shared" si="17"/>
        <v>95766.488660867151</v>
      </c>
      <c r="N106" s="28">
        <f t="shared" si="17"/>
        <v>99766.430984439765</v>
      </c>
      <c r="O106" s="28">
        <f t="shared" si="17"/>
        <v>107527.82132423751</v>
      </c>
      <c r="P106" s="28">
        <f t="shared" si="17"/>
        <v>116515.9753405182</v>
      </c>
      <c r="Q106" s="28">
        <f t="shared" si="17"/>
        <v>119536.89347679884</v>
      </c>
      <c r="R106" s="28">
        <f t="shared" si="17"/>
        <v>125751.43493623502</v>
      </c>
      <c r="S106" s="28">
        <f t="shared" si="17"/>
        <v>132027.72352172516</v>
      </c>
      <c r="T106" s="28">
        <f t="shared" si="17"/>
        <v>138365.56885522953</v>
      </c>
      <c r="U106" s="28">
        <f t="shared" si="17"/>
        <v>144764.7860820358</v>
      </c>
      <c r="V106" s="28">
        <f t="shared" si="17"/>
        <v>151225.1905623817</v>
      </c>
      <c r="W106" s="28">
        <f t="shared" si="17"/>
        <v>157746.60583159997</v>
      </c>
      <c r="X106" s="28">
        <f t="shared" si="17"/>
        <v>164328.85829294007</v>
      </c>
      <c r="Y106" s="28">
        <f t="shared" si="17"/>
        <v>170971.78252988175</v>
      </c>
      <c r="Z106" s="28">
        <f t="shared" si="17"/>
        <v>177675.20802173932</v>
      </c>
      <c r="AA106" s="28">
        <f t="shared" si="17"/>
        <v>184438.97508297593</v>
      </c>
      <c r="AB106" s="28">
        <f t="shared" si="17"/>
        <v>191262.92423473974</v>
      </c>
      <c r="AC106" s="28">
        <f t="shared" si="17"/>
        <v>198146.90418109333</v>
      </c>
      <c r="AD106" s="28">
        <f t="shared" si="17"/>
        <v>345812.91739748954</v>
      </c>
      <c r="AE106" s="28">
        <f t="shared" si="17"/>
        <v>352816.50586089346</v>
      </c>
      <c r="AF106" s="28">
        <f t="shared" si="17"/>
        <v>359879.68309390184</v>
      </c>
      <c r="AG106" s="28">
        <f t="shared" si="17"/>
        <v>367002.30392726685</v>
      </c>
    </row>
    <row r="107" spans="1:43" ht="13.5" x14ac:dyDescent="0.3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8">J82</f>
        <v>-140722.15356605238</v>
      </c>
      <c r="K107" s="28">
        <f t="shared" si="18"/>
        <v>-140722.15356605238</v>
      </c>
      <c r="L107" s="28">
        <f t="shared" si="18"/>
        <v>-140722.15356605238</v>
      </c>
      <c r="M107" s="28">
        <f t="shared" si="18"/>
        <v>-140722.15356605238</v>
      </c>
      <c r="N107" s="28">
        <f t="shared" si="18"/>
        <v>-140722.15356605238</v>
      </c>
      <c r="O107" s="28">
        <f t="shared" si="18"/>
        <v>-140722.15356605238</v>
      </c>
      <c r="P107" s="28">
        <f t="shared" si="18"/>
        <v>-140722.15356605238</v>
      </c>
      <c r="Q107" s="28">
        <f t="shared" si="18"/>
        <v>-140722.15356605238</v>
      </c>
      <c r="R107" s="28">
        <f t="shared" si="18"/>
        <v>-140722.15356605238</v>
      </c>
      <c r="S107" s="28">
        <f t="shared" si="18"/>
        <v>-140722.15356605238</v>
      </c>
      <c r="T107" s="28">
        <f t="shared" si="18"/>
        <v>-140722.15356605238</v>
      </c>
      <c r="U107" s="28">
        <f t="shared" si="18"/>
        <v>-140722.15356605238</v>
      </c>
      <c r="V107" s="28">
        <f t="shared" si="18"/>
        <v>-140722.15356605238</v>
      </c>
      <c r="W107" s="28">
        <f t="shared" si="18"/>
        <v>-140722.15356605238</v>
      </c>
      <c r="X107" s="28">
        <f t="shared" si="18"/>
        <v>-140722.15356605238</v>
      </c>
      <c r="Y107" s="28">
        <f t="shared" si="18"/>
        <v>-140722.15356605238</v>
      </c>
      <c r="Z107" s="28">
        <f t="shared" si="18"/>
        <v>-140722.15356605238</v>
      </c>
      <c r="AA107" s="28">
        <f t="shared" si="18"/>
        <v>-140722.15356605238</v>
      </c>
      <c r="AB107" s="28">
        <f t="shared" si="18"/>
        <v>-140722.15356605238</v>
      </c>
      <c r="AC107" s="28">
        <f t="shared" si="18"/>
        <v>-140722.15356605238</v>
      </c>
      <c r="AD107" s="28">
        <f t="shared" si="18"/>
        <v>0</v>
      </c>
      <c r="AE107" s="28">
        <f t="shared" si="18"/>
        <v>0</v>
      </c>
      <c r="AF107" s="28">
        <f t="shared" si="18"/>
        <v>0</v>
      </c>
      <c r="AG107" s="28">
        <f t="shared" si="18"/>
        <v>0</v>
      </c>
    </row>
    <row r="108" spans="1:43" ht="13.5" x14ac:dyDescent="0.3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19">SUM(J84:J85)</f>
        <v>221541.42418107163</v>
      </c>
      <c r="K108" s="28">
        <f t="shared" si="19"/>
        <v>228208.43885886137</v>
      </c>
      <c r="L108" s="28">
        <f t="shared" si="19"/>
        <v>233435.4897716397</v>
      </c>
      <c r="M108" s="28">
        <f t="shared" si="19"/>
        <v>236488.64222691953</v>
      </c>
      <c r="N108" s="28">
        <f t="shared" si="19"/>
        <v>240488.58455049215</v>
      </c>
      <c r="O108" s="28">
        <f t="shared" si="19"/>
        <v>248249.97489028989</v>
      </c>
      <c r="P108" s="28">
        <f t="shared" si="19"/>
        <v>257238.12890657058</v>
      </c>
      <c r="Q108" s="28">
        <f t="shared" si="19"/>
        <v>260259.04704285122</v>
      </c>
      <c r="R108" s="28">
        <f t="shared" si="19"/>
        <v>266473.5885022874</v>
      </c>
      <c r="S108" s="28">
        <f t="shared" si="19"/>
        <v>272749.87708777754</v>
      </c>
      <c r="T108" s="28">
        <f t="shared" si="19"/>
        <v>279087.72242128191</v>
      </c>
      <c r="U108" s="28">
        <f t="shared" si="19"/>
        <v>285486.93964808818</v>
      </c>
      <c r="V108" s="28">
        <f t="shared" si="19"/>
        <v>291947.34412843408</v>
      </c>
      <c r="W108" s="28">
        <f t="shared" si="19"/>
        <v>298468.75939765235</v>
      </c>
      <c r="X108" s="28">
        <f t="shared" si="19"/>
        <v>305051.01185899245</v>
      </c>
      <c r="Y108" s="28">
        <f t="shared" si="19"/>
        <v>311693.93609593413</v>
      </c>
      <c r="Z108" s="28">
        <f t="shared" si="19"/>
        <v>318397.3615877917</v>
      </c>
      <c r="AA108" s="28">
        <f t="shared" si="19"/>
        <v>325161.12864902831</v>
      </c>
      <c r="AB108" s="28">
        <f t="shared" si="19"/>
        <v>331985.07780079212</v>
      </c>
      <c r="AC108" s="28">
        <f t="shared" si="19"/>
        <v>338869.05774714571</v>
      </c>
      <c r="AD108" s="28">
        <f t="shared" si="19"/>
        <v>345812.91739748954</v>
      </c>
      <c r="AE108" s="28">
        <f t="shared" si="19"/>
        <v>352816.50586089346</v>
      </c>
      <c r="AF108" s="28">
        <f t="shared" si="19"/>
        <v>359879.68309390184</v>
      </c>
      <c r="AG108" s="28">
        <f t="shared" si="19"/>
        <v>367002.30392726685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66747.05525841401</v>
      </c>
      <c r="K110" s="28" cm="1">
        <f t="array" ref="K110">K$106+IF($C110&lt;&gt;0,SUMPRODUCT((K$107:K$108)*TRANSPOSE(($D110:$E110))),0)</f>
        <v>73414.069936203741</v>
      </c>
      <c r="L110" s="28" cm="1">
        <f t="array" ref="L110">L$106+IF($C110&lt;&gt;0,SUMPRODUCT((L$107:L$108)*TRANSPOSE(($D110:$E110))),0)</f>
        <v>78641.120848982071</v>
      </c>
      <c r="M110" s="28" cm="1">
        <f t="array" ref="M110">M$106+IF($C110&lt;&gt;0,SUMPRODUCT((M$107:M$108)*TRANSPOSE(($D110:$E110))),0)</f>
        <v>81694.273304261907</v>
      </c>
      <c r="N110" s="28" cm="1">
        <f t="array" ref="N110">N$106+IF($C110&lt;&gt;0,SUMPRODUCT((N$107:N$108)*TRANSPOSE(($D110:$E110))),0)</f>
        <v>85694.215627834521</v>
      </c>
      <c r="O110" s="28" cm="1">
        <f t="array" ref="O110">O$106+IF($C110&lt;&gt;0,SUMPRODUCT((O$107:O$108)*TRANSPOSE(($D110:$E110))),0)</f>
        <v>93455.605967632262</v>
      </c>
      <c r="P110" s="28" cm="1">
        <f t="array" ref="P110">P$106+IF($C110&lt;&gt;0,SUMPRODUCT((P$107:P$108)*TRANSPOSE(($D110:$E110))),0)</f>
        <v>102443.75998391295</v>
      </c>
      <c r="Q110" s="28" cm="1">
        <f t="array" ref="Q110">Q$106+IF($C110&lt;&gt;0,SUMPRODUCT((Q$107:Q$108)*TRANSPOSE(($D110:$E110))),0)</f>
        <v>105464.6781201936</v>
      </c>
      <c r="R110" s="28" cm="1">
        <f t="array" ref="R110">R$106+IF($C110&lt;&gt;0,SUMPRODUCT((R$107:R$108)*TRANSPOSE(($D110:$E110))),0)</f>
        <v>111679.21957962977</v>
      </c>
      <c r="S110" s="28" cm="1">
        <f t="array" ref="S110">S$106+IF($C110&lt;&gt;0,SUMPRODUCT((S$107:S$108)*TRANSPOSE(($D110:$E110))),0)</f>
        <v>117955.50816511991</v>
      </c>
      <c r="T110" s="28" cm="1">
        <f t="array" ref="T110">T$106+IF($C110&lt;&gt;0,SUMPRODUCT((T$107:T$108)*TRANSPOSE(($D110:$E110))),0)</f>
        <v>124293.35349862429</v>
      </c>
      <c r="U110" s="28" cm="1">
        <f t="array" ref="U110">U$106+IF($C110&lt;&gt;0,SUMPRODUCT((U$107:U$108)*TRANSPOSE(($D110:$E110))),0)</f>
        <v>130692.57072543056</v>
      </c>
      <c r="V110" s="28" cm="1">
        <f t="array" ref="V110">V$106+IF($C110&lt;&gt;0,SUMPRODUCT((V$107:V$108)*TRANSPOSE(($D110:$E110))),0)</f>
        <v>137152.97520577646</v>
      </c>
      <c r="W110" s="28" cm="1">
        <f t="array" ref="W110">W$106+IF($C110&lt;&gt;0,SUMPRODUCT((W$107:W$108)*TRANSPOSE(($D110:$E110))),0)</f>
        <v>143674.39047499473</v>
      </c>
      <c r="X110" s="28" cm="1">
        <f t="array" ref="X110">X$106+IF($C110&lt;&gt;0,SUMPRODUCT((X$107:X$108)*TRANSPOSE(($D110:$E110))),0)</f>
        <v>150256.64293633483</v>
      </c>
      <c r="Y110" s="28" cm="1">
        <f t="array" ref="Y110">Y$106+IF($C110&lt;&gt;0,SUMPRODUCT((Y$107:Y$108)*TRANSPOSE(($D110:$E110))),0)</f>
        <v>156899.5671732765</v>
      </c>
      <c r="Z110" s="28" cm="1">
        <f t="array" ref="Z110">Z$106+IF($C110&lt;&gt;0,SUMPRODUCT((Z$107:Z$108)*TRANSPOSE(($D110:$E110))),0)</f>
        <v>163602.99266513408</v>
      </c>
      <c r="AA110" s="28" cm="1">
        <f t="array" ref="AA110">AA$106+IF($C110&lt;&gt;0,SUMPRODUCT((AA$107:AA$108)*TRANSPOSE(($D110:$E110))),0)</f>
        <v>170366.75972637068</v>
      </c>
      <c r="AB110" s="28" cm="1">
        <f t="array" ref="AB110">AB$106+IF($C110&lt;&gt;0,SUMPRODUCT((AB$107:AB$108)*TRANSPOSE(($D110:$E110))),0)</f>
        <v>177190.70887813449</v>
      </c>
      <c r="AC110" s="28" cm="1">
        <f t="array" ref="AC110">AC$106+IF($C110&lt;&gt;0,SUMPRODUCT((AC$107:AC$108)*TRANSPOSE(($D110:$E110))),0)</f>
        <v>184074.68882448808</v>
      </c>
      <c r="AD110" s="28" cm="1">
        <f t="array" ref="AD110">AD$106+IF($C110&lt;&gt;0,SUMPRODUCT((AD$107:AD$108)*TRANSPOSE(($D110:$E110))),0)</f>
        <v>345812.91739748954</v>
      </c>
      <c r="AE110" s="28" cm="1">
        <f t="array" ref="AE110">AE$106+IF($C110&lt;&gt;0,SUMPRODUCT((AE$107:AE$108)*TRANSPOSE(($D110:$E110))),0)</f>
        <v>352816.50586089346</v>
      </c>
      <c r="AF110" s="28" cm="1">
        <f t="array" ref="AF110">AF$106+IF($C110&lt;&gt;0,SUMPRODUCT((AF$107:AF$108)*TRANSPOSE(($D110:$E110))),0)</f>
        <v>359879.68309390184</v>
      </c>
      <c r="AG110" s="28" cm="1">
        <f t="array" ref="AG110">AG$106+IF($C110&lt;&gt;0,SUMPRODUCT((AG$107:AG$108)*TRANSPOSE(($D110:$E110))),0)</f>
        <v>367002.30392726685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94891.485971624497</v>
      </c>
      <c r="K111" s="28" cm="1">
        <f t="array" ref="K111">K$106+IF($C111&lt;&gt;0,SUMPRODUCT((K$107:K$108)*TRANSPOSE(($D111:$E111))),0)</f>
        <v>101558.50064941423</v>
      </c>
      <c r="L111" s="28" cm="1">
        <f t="array" ref="L111">L$106+IF($C111&lt;&gt;0,SUMPRODUCT((L$107:L$108)*TRANSPOSE(($D111:$E111))),0)</f>
        <v>106785.55156219256</v>
      </c>
      <c r="M111" s="28" cm="1">
        <f t="array" ref="M111">M$106+IF($C111&lt;&gt;0,SUMPRODUCT((M$107:M$108)*TRANSPOSE(($D111:$E111))),0)</f>
        <v>109838.7040174724</v>
      </c>
      <c r="N111" s="28" cm="1">
        <f t="array" ref="N111">N$106+IF($C111&lt;&gt;0,SUMPRODUCT((N$107:N$108)*TRANSPOSE(($D111:$E111))),0)</f>
        <v>113838.64634104501</v>
      </c>
      <c r="O111" s="28" cm="1">
        <f t="array" ref="O111">O$106+IF($C111&lt;&gt;0,SUMPRODUCT((O$107:O$108)*TRANSPOSE(($D111:$E111))),0)</f>
        <v>121600.03668084275</v>
      </c>
      <c r="P111" s="28" cm="1">
        <f t="array" ref="P111">P$106+IF($C111&lt;&gt;0,SUMPRODUCT((P$107:P$108)*TRANSPOSE(($D111:$E111))),0)</f>
        <v>130588.19069712344</v>
      </c>
      <c r="Q111" s="28" cm="1">
        <f t="array" ref="Q111">Q$106+IF($C111&lt;&gt;0,SUMPRODUCT((Q$107:Q$108)*TRANSPOSE(($D111:$E111))),0)</f>
        <v>133609.10883340408</v>
      </c>
      <c r="R111" s="28" cm="1">
        <f t="array" ref="R111">R$106+IF($C111&lt;&gt;0,SUMPRODUCT((R$107:R$108)*TRANSPOSE(($D111:$E111))),0)</f>
        <v>139823.65029284026</v>
      </c>
      <c r="S111" s="28" cm="1">
        <f t="array" ref="S111">S$106+IF($C111&lt;&gt;0,SUMPRODUCT((S$107:S$108)*TRANSPOSE(($D111:$E111))),0)</f>
        <v>146099.9388783304</v>
      </c>
      <c r="T111" s="28" cm="1">
        <f t="array" ref="T111">T$106+IF($C111&lt;&gt;0,SUMPRODUCT((T$107:T$108)*TRANSPOSE(($D111:$E111))),0)</f>
        <v>152437.78421183478</v>
      </c>
      <c r="U111" s="28" cm="1">
        <f t="array" ref="U111">U$106+IF($C111&lt;&gt;0,SUMPRODUCT((U$107:U$108)*TRANSPOSE(($D111:$E111))),0)</f>
        <v>158837.00143864105</v>
      </c>
      <c r="V111" s="28" cm="1">
        <f t="array" ref="V111">V$106+IF($C111&lt;&gt;0,SUMPRODUCT((V$107:V$108)*TRANSPOSE(($D111:$E111))),0)</f>
        <v>165297.40591898694</v>
      </c>
      <c r="W111" s="28" cm="1">
        <f t="array" ref="W111">W$106+IF($C111&lt;&gt;0,SUMPRODUCT((W$107:W$108)*TRANSPOSE(($D111:$E111))),0)</f>
        <v>171818.82118820521</v>
      </c>
      <c r="X111" s="28" cm="1">
        <f t="array" ref="X111">X$106+IF($C111&lt;&gt;0,SUMPRODUCT((X$107:X$108)*TRANSPOSE(($D111:$E111))),0)</f>
        <v>178401.07364954532</v>
      </c>
      <c r="Y111" s="28" cm="1">
        <f t="array" ref="Y111">Y$106+IF($C111&lt;&gt;0,SUMPRODUCT((Y$107:Y$108)*TRANSPOSE(($D111:$E111))),0)</f>
        <v>185043.99788648699</v>
      </c>
      <c r="Z111" s="28" cm="1">
        <f t="array" ref="Z111">Z$106+IF($C111&lt;&gt;0,SUMPRODUCT((Z$107:Z$108)*TRANSPOSE(($D111:$E111))),0)</f>
        <v>191747.42337834457</v>
      </c>
      <c r="AA111" s="28" cm="1">
        <f t="array" ref="AA111">AA$106+IF($C111&lt;&gt;0,SUMPRODUCT((AA$107:AA$108)*TRANSPOSE(($D111:$E111))),0)</f>
        <v>198511.19043958117</v>
      </c>
      <c r="AB111" s="28" cm="1">
        <f t="array" ref="AB111">AB$106+IF($C111&lt;&gt;0,SUMPRODUCT((AB$107:AB$108)*TRANSPOSE(($D111:$E111))),0)</f>
        <v>205335.13959134498</v>
      </c>
      <c r="AC111" s="28" cm="1">
        <f t="array" ref="AC111">AC$106+IF($C111&lt;&gt;0,SUMPRODUCT((AC$107:AC$108)*TRANSPOSE(($D111:$E111))),0)</f>
        <v>212219.11953769857</v>
      </c>
      <c r="AD111" s="28" cm="1">
        <f t="array" ref="AD111">AD$106+IF($C111&lt;&gt;0,SUMPRODUCT((AD$107:AD$108)*TRANSPOSE(($D111:$E111))),0)</f>
        <v>345812.91739748954</v>
      </c>
      <c r="AE111" s="28" cm="1">
        <f t="array" ref="AE111">AE$106+IF($C111&lt;&gt;0,SUMPRODUCT((AE$107:AE$108)*TRANSPOSE(($D111:$E111))),0)</f>
        <v>352816.50586089346</v>
      </c>
      <c r="AF111" s="28" cm="1">
        <f t="array" ref="AF111">AF$106+IF($C111&lt;&gt;0,SUMPRODUCT((AF$107:AF$108)*TRANSPOSE(($D111:$E111))),0)</f>
        <v>359879.68309390184</v>
      </c>
      <c r="AG111" s="28" cm="1">
        <f t="array" ref="AG111">AG$106+IF($C111&lt;&gt;0,SUMPRODUCT((AG$107:AG$108)*TRANSPOSE(($D111:$E111))),0)</f>
        <v>367002.30392726685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102973.41303312642</v>
      </c>
      <c r="K112" s="28" cm="1">
        <f t="array" ref="K112">K$106+IF($C112&lt;&gt;0,SUMPRODUCT((K$107:K$108)*TRANSPOSE(($D112:$E112))),0)</f>
        <v>110307.12917869512</v>
      </c>
      <c r="L112" s="28" cm="1">
        <f t="array" ref="L112">L$106+IF($C112&lt;&gt;0,SUMPRODUCT((L$107:L$108)*TRANSPOSE(($D112:$E112))),0)</f>
        <v>116056.88518275128</v>
      </c>
      <c r="M112" s="28" cm="1">
        <f t="array" ref="M112">M$106+IF($C112&lt;&gt;0,SUMPRODUCT((M$107:M$108)*TRANSPOSE(($D112:$E112))),0)</f>
        <v>119415.3528835591</v>
      </c>
      <c r="N112" s="28" cm="1">
        <f t="array" ref="N112">N$106+IF($C112&lt;&gt;0,SUMPRODUCT((N$107:N$108)*TRANSPOSE(($D112:$E112))),0)</f>
        <v>123815.28943948899</v>
      </c>
      <c r="O112" s="28" cm="1">
        <f t="array" ref="O112">O$106+IF($C112&lt;&gt;0,SUMPRODUCT((O$107:O$108)*TRANSPOSE(($D112:$E112))),0)</f>
        <v>132352.81881326649</v>
      </c>
      <c r="P112" s="28" cm="1">
        <f t="array" ref="P112">P$106+IF($C112&lt;&gt;0,SUMPRODUCT((P$107:P$108)*TRANSPOSE(($D112:$E112))),0)</f>
        <v>142239.78823117525</v>
      </c>
      <c r="Q112" s="28" cm="1">
        <f t="array" ref="Q112">Q$106+IF($C112&lt;&gt;0,SUMPRODUCT((Q$107:Q$108)*TRANSPOSE(($D112:$E112))),0)</f>
        <v>145562.79818108396</v>
      </c>
      <c r="R112" s="28" cm="1">
        <f t="array" ref="R112">R$106+IF($C112&lt;&gt;0,SUMPRODUCT((R$107:R$108)*TRANSPOSE(($D112:$E112))),0)</f>
        <v>152398.79378646376</v>
      </c>
      <c r="S112" s="28" cm="1">
        <f t="array" ref="S112">S$106+IF($C112&lt;&gt;0,SUMPRODUCT((S$107:S$108)*TRANSPOSE(($D112:$E112))),0)</f>
        <v>159302.71123050293</v>
      </c>
      <c r="T112" s="28" cm="1">
        <f t="array" ref="T112">T$106+IF($C112&lt;&gt;0,SUMPRODUCT((T$107:T$108)*TRANSPOSE(($D112:$E112))),0)</f>
        <v>166274.34109735774</v>
      </c>
      <c r="U112" s="28" cm="1">
        <f t="array" ref="U112">U$106+IF($C112&lt;&gt;0,SUMPRODUCT((U$107:U$108)*TRANSPOSE(($D112:$E112))),0)</f>
        <v>173313.48004684463</v>
      </c>
      <c r="V112" s="28" cm="1">
        <f t="array" ref="V112">V$106+IF($C112&lt;&gt;0,SUMPRODUCT((V$107:V$108)*TRANSPOSE(($D112:$E112))),0)</f>
        <v>180419.92497522512</v>
      </c>
      <c r="W112" s="28" cm="1">
        <f t="array" ref="W112">W$106+IF($C112&lt;&gt;0,SUMPRODUCT((W$107:W$108)*TRANSPOSE(($D112:$E112))),0)</f>
        <v>187593.48177136522</v>
      </c>
      <c r="X112" s="28" cm="1">
        <f t="array" ref="X112">X$106+IF($C112&lt;&gt;0,SUMPRODUCT((X$107:X$108)*TRANSPOSE(($D112:$E112))),0)</f>
        <v>194833.95947883933</v>
      </c>
      <c r="Y112" s="28" cm="1">
        <f t="array" ref="Y112">Y$106+IF($C112&lt;&gt;0,SUMPRODUCT((Y$107:Y$108)*TRANSPOSE(($D112:$E112))),0)</f>
        <v>202141.17613947517</v>
      </c>
      <c r="Z112" s="28" cm="1">
        <f t="array" ref="Z112">Z$106+IF($C112&lt;&gt;0,SUMPRODUCT((Z$107:Z$108)*TRANSPOSE(($D112:$E112))),0)</f>
        <v>209514.94418051851</v>
      </c>
      <c r="AA112" s="28" cm="1">
        <f t="array" ref="AA112">AA$106+IF($C112&lt;&gt;0,SUMPRODUCT((AA$107:AA$108)*TRANSPOSE(($D112:$E112))),0)</f>
        <v>216955.08794787875</v>
      </c>
      <c r="AB112" s="28" cm="1">
        <f t="array" ref="AB112">AB$106+IF($C112&lt;&gt;0,SUMPRODUCT((AB$107:AB$108)*TRANSPOSE(($D112:$E112))),0)</f>
        <v>224461.43201481894</v>
      </c>
      <c r="AC112" s="28" cm="1">
        <f t="array" ref="AC112">AC$106+IF($C112&lt;&gt;0,SUMPRODUCT((AC$107:AC$108)*TRANSPOSE(($D112:$E112))),0)</f>
        <v>232033.8099558079</v>
      </c>
      <c r="AD112" s="28" cm="1">
        <f t="array" ref="AD112">AD$106+IF($C112&lt;&gt;0,SUMPRODUCT((AD$107:AD$108)*TRANSPOSE(($D112:$E112))),0)</f>
        <v>380394.2091372385</v>
      </c>
      <c r="AE112" s="28" cm="1">
        <f t="array" ref="AE112">AE$106+IF($C112&lt;&gt;0,SUMPRODUCT((AE$107:AE$108)*TRANSPOSE(($D112:$E112))),0)</f>
        <v>388098.15644698282</v>
      </c>
      <c r="AF112" s="28" cm="1">
        <f t="array" ref="AF112">AF$106+IF($C112&lt;&gt;0,SUMPRODUCT((AF$107:AF$108)*TRANSPOSE(($D112:$E112))),0)</f>
        <v>395867.65140329202</v>
      </c>
      <c r="AG112" s="28" cm="1">
        <f t="array" ref="AG112">AG$106+IF($C112&lt;&gt;0,SUMPRODUCT((AG$107:AG$108)*TRANSPOSE(($D112:$E112))),0)</f>
        <v>403702.53431999352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58665.12819691209</v>
      </c>
      <c r="K113" s="28" cm="1">
        <f t="array" ref="K113">K$106+IF($C113&lt;&gt;0,SUMPRODUCT((K$107:K$108)*TRANSPOSE(($D113:$E113))),0)</f>
        <v>64665.441406922851</v>
      </c>
      <c r="L113" s="28" cm="1">
        <f t="array" ref="L113">L$106+IF($C113&lt;&gt;0,SUMPRODUCT((L$107:L$108)*TRANSPOSE(($D113:$E113))),0)</f>
        <v>69369.787228423345</v>
      </c>
      <c r="M113" s="28" cm="1">
        <f t="array" ref="M113">M$106+IF($C113&lt;&gt;0,SUMPRODUCT((M$107:M$108)*TRANSPOSE(($D113:$E113))),0)</f>
        <v>72117.624438175204</v>
      </c>
      <c r="N113" s="28" cm="1">
        <f t="array" ref="N113">N$106+IF($C113&lt;&gt;0,SUMPRODUCT((N$107:N$108)*TRANSPOSE(($D113:$E113))),0)</f>
        <v>75717.572529390542</v>
      </c>
      <c r="O113" s="28" cm="1">
        <f t="array" ref="O113">O$106+IF($C113&lt;&gt;0,SUMPRODUCT((O$107:O$108)*TRANSPOSE(($D113:$E113))),0)</f>
        <v>82702.823835208517</v>
      </c>
      <c r="P113" s="28" cm="1">
        <f t="array" ref="P113">P$106+IF($C113&lt;&gt;0,SUMPRODUCT((P$107:P$108)*TRANSPOSE(($D113:$E113))),0)</f>
        <v>90792.162449861135</v>
      </c>
      <c r="Q113" s="28" cm="1">
        <f t="array" ref="Q113">Q$106+IF($C113&lt;&gt;0,SUMPRODUCT((Q$107:Q$108)*TRANSPOSE(($D113:$E113))),0)</f>
        <v>93510.988772513723</v>
      </c>
      <c r="R113" s="28" cm="1">
        <f t="array" ref="R113">R$106+IF($C113&lt;&gt;0,SUMPRODUCT((R$107:R$108)*TRANSPOSE(($D113:$E113))),0)</f>
        <v>99104.076086006273</v>
      </c>
      <c r="S113" s="28" cm="1">
        <f t="array" ref="S113">S$106+IF($C113&lt;&gt;0,SUMPRODUCT((S$107:S$108)*TRANSPOSE(($D113:$E113))),0)</f>
        <v>104752.7358129474</v>
      </c>
      <c r="T113" s="28" cm="1">
        <f t="array" ref="T113">T$106+IF($C113&lt;&gt;0,SUMPRODUCT((T$107:T$108)*TRANSPOSE(($D113:$E113))),0)</f>
        <v>110456.79661310134</v>
      </c>
      <c r="U113" s="28" cm="1">
        <f t="array" ref="U113">U$106+IF($C113&lt;&gt;0,SUMPRODUCT((U$107:U$108)*TRANSPOSE(($D113:$E113))),0)</f>
        <v>116216.09211722699</v>
      </c>
      <c r="V113" s="28" cm="1">
        <f t="array" ref="V113">V$106+IF($C113&lt;&gt;0,SUMPRODUCT((V$107:V$108)*TRANSPOSE(($D113:$E113))),0)</f>
        <v>122030.45614953829</v>
      </c>
      <c r="W113" s="28" cm="1">
        <f t="array" ref="W113">W$106+IF($C113&lt;&gt;0,SUMPRODUCT((W$107:W$108)*TRANSPOSE(($D113:$E113))),0)</f>
        <v>127899.72989183474</v>
      </c>
      <c r="X113" s="28" cm="1">
        <f t="array" ref="X113">X$106+IF($C113&lt;&gt;0,SUMPRODUCT((X$107:X$108)*TRANSPOSE(($D113:$E113))),0)</f>
        <v>133823.75710704082</v>
      </c>
      <c r="Y113" s="28" cm="1">
        <f t="array" ref="Y113">Y$106+IF($C113&lt;&gt;0,SUMPRODUCT((Y$107:Y$108)*TRANSPOSE(($D113:$E113))),0)</f>
        <v>139802.38892028833</v>
      </c>
      <c r="Z113" s="28" cm="1">
        <f t="array" ref="Z113">Z$106+IF($C113&lt;&gt;0,SUMPRODUCT((Z$107:Z$108)*TRANSPOSE(($D113:$E113))),0)</f>
        <v>145835.47186296014</v>
      </c>
      <c r="AA113" s="28" cm="1">
        <f t="array" ref="AA113">AA$106+IF($C113&lt;&gt;0,SUMPRODUCT((AA$107:AA$108)*TRANSPOSE(($D113:$E113))),0)</f>
        <v>151922.8622180731</v>
      </c>
      <c r="AB113" s="28" cm="1">
        <f t="array" ref="AB113">AB$106+IF($C113&lt;&gt;0,SUMPRODUCT((AB$107:AB$108)*TRANSPOSE(($D113:$E113))),0)</f>
        <v>158064.41645466053</v>
      </c>
      <c r="AC113" s="28" cm="1">
        <f t="array" ref="AC113">AC$106+IF($C113&lt;&gt;0,SUMPRODUCT((AC$107:AC$108)*TRANSPOSE(($D113:$E113))),0)</f>
        <v>164259.99840637876</v>
      </c>
      <c r="AD113" s="28" cm="1">
        <f t="array" ref="AD113">AD$106+IF($C113&lt;&gt;0,SUMPRODUCT((AD$107:AD$108)*TRANSPOSE(($D113:$E113))),0)</f>
        <v>311231.62565774057</v>
      </c>
      <c r="AE113" s="28" cm="1">
        <f t="array" ref="AE113">AE$106+IF($C113&lt;&gt;0,SUMPRODUCT((AE$107:AE$108)*TRANSPOSE(($D113:$E113))),0)</f>
        <v>317534.85527480411</v>
      </c>
      <c r="AF113" s="28" cm="1">
        <f t="array" ref="AF113">AF$106+IF($C113&lt;&gt;0,SUMPRODUCT((AF$107:AF$108)*TRANSPOSE(($D113:$E113))),0)</f>
        <v>323891.71478451166</v>
      </c>
      <c r="AG113" s="28" cm="1">
        <f t="array" ref="AG113">AG$106+IF($C113&lt;&gt;0,SUMPRODUCT((AG$107:AG$108)*TRANSPOSE(($D113:$E113))),0)</f>
        <v>330302.07353454019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44592.912840306853</v>
      </c>
      <c r="K114" s="28" cm="1">
        <f t="array" ref="K114">K$106+IF($C114&lt;&gt;0,SUMPRODUCT((K$107:K$108)*TRANSPOSE(($D114:$E114))),0)</f>
        <v>50593.226050317608</v>
      </c>
      <c r="L114" s="28" cm="1">
        <f t="array" ref="L114">L$106+IF($C114&lt;&gt;0,SUMPRODUCT((L$107:L$108)*TRANSPOSE(($D114:$E114))),0)</f>
        <v>55297.571871818109</v>
      </c>
      <c r="M114" s="28" cm="1">
        <f t="array" ref="M114">M$106+IF($C114&lt;&gt;0,SUMPRODUCT((M$107:M$108)*TRANSPOSE(($D114:$E114))),0)</f>
        <v>58045.40908156996</v>
      </c>
      <c r="N114" s="28" cm="1">
        <f t="array" ref="N114">N$106+IF($C114&lt;&gt;0,SUMPRODUCT((N$107:N$108)*TRANSPOSE(($D114:$E114))),0)</f>
        <v>61645.357172785312</v>
      </c>
      <c r="O114" s="28" cm="1">
        <f t="array" ref="O114">O$106+IF($C114&lt;&gt;0,SUMPRODUCT((O$107:O$108)*TRANSPOSE(($D114:$E114))),0)</f>
        <v>68630.608478603273</v>
      </c>
      <c r="P114" s="28" cm="1">
        <f t="array" ref="P114">P$106+IF($C114&lt;&gt;0,SUMPRODUCT((P$107:P$108)*TRANSPOSE(($D114:$E114))),0)</f>
        <v>76719.947093255905</v>
      </c>
      <c r="Q114" s="28" cm="1">
        <f t="array" ref="Q114">Q$106+IF($C114&lt;&gt;0,SUMPRODUCT((Q$107:Q$108)*TRANSPOSE(($D114:$E114))),0)</f>
        <v>79438.773415908479</v>
      </c>
      <c r="R114" s="28" cm="1">
        <f t="array" ref="R114">R$106+IF($C114&lt;&gt;0,SUMPRODUCT((R$107:R$108)*TRANSPOSE(($D114:$E114))),0)</f>
        <v>85031.860729401029</v>
      </c>
      <c r="S114" s="28" cm="1">
        <f t="array" ref="S114">S$106+IF($C114&lt;&gt;0,SUMPRODUCT((S$107:S$108)*TRANSPOSE(($D114:$E114))),0)</f>
        <v>90680.520456342172</v>
      </c>
      <c r="T114" s="28" cm="1">
        <f t="array" ref="T114">T$106+IF($C114&lt;&gt;0,SUMPRODUCT((T$107:T$108)*TRANSPOSE(($D114:$E114))),0)</f>
        <v>96384.581256496109</v>
      </c>
      <c r="U114" s="28" cm="1">
        <f t="array" ref="U114">U$106+IF($C114&lt;&gt;0,SUMPRODUCT((U$107:U$108)*TRANSPOSE(($D114:$E114))),0)</f>
        <v>102143.87676062174</v>
      </c>
      <c r="V114" s="28" cm="1">
        <f t="array" ref="V114">V$106+IF($C114&lt;&gt;0,SUMPRODUCT((V$107:V$108)*TRANSPOSE(($D114:$E114))),0)</f>
        <v>107958.24079293305</v>
      </c>
      <c r="W114" s="28" cm="1">
        <f t="array" ref="W114">W$106+IF($C114&lt;&gt;0,SUMPRODUCT((W$107:W$108)*TRANSPOSE(($D114:$E114))),0)</f>
        <v>113827.51453522949</v>
      </c>
      <c r="X114" s="28" cm="1">
        <f t="array" ref="X114">X$106+IF($C114&lt;&gt;0,SUMPRODUCT((X$107:X$108)*TRANSPOSE(($D114:$E114))),0)</f>
        <v>119751.54175043559</v>
      </c>
      <c r="Y114" s="28" cm="1">
        <f t="array" ref="Y114">Y$106+IF($C114&lt;&gt;0,SUMPRODUCT((Y$107:Y$108)*TRANSPOSE(($D114:$E114))),0)</f>
        <v>125730.17356368309</v>
      </c>
      <c r="Z114" s="28" cm="1">
        <f t="array" ref="Z114">Z$106+IF($C114&lt;&gt;0,SUMPRODUCT((Z$107:Z$108)*TRANSPOSE(($D114:$E114))),0)</f>
        <v>131763.2565063549</v>
      </c>
      <c r="AA114" s="28" cm="1">
        <f t="array" ref="AA114">AA$106+IF($C114&lt;&gt;0,SUMPRODUCT((AA$107:AA$108)*TRANSPOSE(($D114:$E114))),0)</f>
        <v>137850.64686146786</v>
      </c>
      <c r="AB114" s="28" cm="1">
        <f t="array" ref="AB114">AB$106+IF($C114&lt;&gt;0,SUMPRODUCT((AB$107:AB$108)*TRANSPOSE(($D114:$E114))),0)</f>
        <v>143992.20109805529</v>
      </c>
      <c r="AC114" s="28" cm="1">
        <f t="array" ref="AC114">AC$106+IF($C114&lt;&gt;0,SUMPRODUCT((AC$107:AC$108)*TRANSPOSE(($D114:$E114))),0)</f>
        <v>150187.78304977351</v>
      </c>
      <c r="AD114" s="28" cm="1">
        <f t="array" ref="AD114">AD$106+IF($C114&lt;&gt;0,SUMPRODUCT((AD$107:AD$108)*TRANSPOSE(($D114:$E114))),0)</f>
        <v>311231.62565774057</v>
      </c>
      <c r="AE114" s="28" cm="1">
        <f t="array" ref="AE114">AE$106+IF($C114&lt;&gt;0,SUMPRODUCT((AE$107:AE$108)*TRANSPOSE(($D114:$E114))),0)</f>
        <v>317534.85527480411</v>
      </c>
      <c r="AF114" s="28" cm="1">
        <f t="array" ref="AF114">AF$106+IF($C114&lt;&gt;0,SUMPRODUCT((AF$107:AF$108)*TRANSPOSE(($D114:$E114))),0)</f>
        <v>323891.71478451166</v>
      </c>
      <c r="AG114" s="28" cm="1">
        <f t="array" ref="AG114">AG$106+IF($C114&lt;&gt;0,SUMPRODUCT((AG$107:AG$108)*TRANSPOSE(($D114:$E114))),0)</f>
        <v>330302.07353454019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80819.270615019253</v>
      </c>
      <c r="K115" s="28" cm="1">
        <f t="array" ref="K115">K$106+IF($C115&lt;&gt;0,SUMPRODUCT((K$107:K$108)*TRANSPOSE(($D115:$E115))),0)</f>
        <v>87486.285292808985</v>
      </c>
      <c r="L115" s="28" cm="1">
        <f t="array" ref="L115">L$106+IF($C115&lt;&gt;0,SUMPRODUCT((L$107:L$108)*TRANSPOSE(($D115:$E115))),0)</f>
        <v>92713.336205587315</v>
      </c>
      <c r="M115" s="28" cm="1">
        <f t="array" ref="M115">M$106+IF($C115&lt;&gt;0,SUMPRODUCT((M$107:M$108)*TRANSPOSE(($D115:$E115))),0)</f>
        <v>95766.488660867151</v>
      </c>
      <c r="N115" s="28" cm="1">
        <f t="array" ref="N115">N$106+IF($C115&lt;&gt;0,SUMPRODUCT((N$107:N$108)*TRANSPOSE(($D115:$E115))),0)</f>
        <v>99766.430984439765</v>
      </c>
      <c r="O115" s="28" cm="1">
        <f t="array" ref="O115">O$106+IF($C115&lt;&gt;0,SUMPRODUCT((O$107:O$108)*TRANSPOSE(($D115:$E115))),0)</f>
        <v>107527.82132423751</v>
      </c>
      <c r="P115" s="28" cm="1">
        <f t="array" ref="P115">P$106+IF($C115&lt;&gt;0,SUMPRODUCT((P$107:P$108)*TRANSPOSE(($D115:$E115))),0)</f>
        <v>116515.9753405182</v>
      </c>
      <c r="Q115" s="28" cm="1">
        <f t="array" ref="Q115">Q$106+IF($C115&lt;&gt;0,SUMPRODUCT((Q$107:Q$108)*TRANSPOSE(($D115:$E115))),0)</f>
        <v>119536.89347679884</v>
      </c>
      <c r="R115" s="28" cm="1">
        <f t="array" ref="R115">R$106+IF($C115&lt;&gt;0,SUMPRODUCT((R$107:R$108)*TRANSPOSE(($D115:$E115))),0)</f>
        <v>125751.43493623502</v>
      </c>
      <c r="S115" s="28" cm="1">
        <f t="array" ref="S115">S$106+IF($C115&lt;&gt;0,SUMPRODUCT((S$107:S$108)*TRANSPOSE(($D115:$E115))),0)</f>
        <v>132027.72352172516</v>
      </c>
      <c r="T115" s="28" cm="1">
        <f t="array" ref="T115">T$106+IF($C115&lt;&gt;0,SUMPRODUCT((T$107:T$108)*TRANSPOSE(($D115:$E115))),0)</f>
        <v>138365.56885522953</v>
      </c>
      <c r="U115" s="28" cm="1">
        <f t="array" ref="U115">U$106+IF($C115&lt;&gt;0,SUMPRODUCT((U$107:U$108)*TRANSPOSE(($D115:$E115))),0)</f>
        <v>144764.7860820358</v>
      </c>
      <c r="V115" s="28" cm="1">
        <f t="array" ref="V115">V$106+IF($C115&lt;&gt;0,SUMPRODUCT((V$107:V$108)*TRANSPOSE(($D115:$E115))),0)</f>
        <v>151225.1905623817</v>
      </c>
      <c r="W115" s="28" cm="1">
        <f t="array" ref="W115">W$106+IF($C115&lt;&gt;0,SUMPRODUCT((W$107:W$108)*TRANSPOSE(($D115:$E115))),0)</f>
        <v>157746.60583159997</v>
      </c>
      <c r="X115" s="28" cm="1">
        <f t="array" ref="X115">X$106+IF($C115&lt;&gt;0,SUMPRODUCT((X$107:X$108)*TRANSPOSE(($D115:$E115))),0)</f>
        <v>164328.85829294007</v>
      </c>
      <c r="Y115" s="28" cm="1">
        <f t="array" ref="Y115">Y$106+IF($C115&lt;&gt;0,SUMPRODUCT((Y$107:Y$108)*TRANSPOSE(($D115:$E115))),0)</f>
        <v>170971.78252988175</v>
      </c>
      <c r="Z115" s="28" cm="1">
        <f t="array" ref="Z115">Z$106+IF($C115&lt;&gt;0,SUMPRODUCT((Z$107:Z$108)*TRANSPOSE(($D115:$E115))),0)</f>
        <v>177675.20802173932</v>
      </c>
      <c r="AA115" s="28" cm="1">
        <f t="array" ref="AA115">AA$106+IF($C115&lt;&gt;0,SUMPRODUCT((AA$107:AA$108)*TRANSPOSE(($D115:$E115))),0)</f>
        <v>184438.97508297593</v>
      </c>
      <c r="AB115" s="28" cm="1">
        <f t="array" ref="AB115">AB$106+IF($C115&lt;&gt;0,SUMPRODUCT((AB$107:AB$108)*TRANSPOSE(($D115:$E115))),0)</f>
        <v>191262.92423473974</v>
      </c>
      <c r="AC115" s="28" cm="1">
        <f t="array" ref="AC115">AC$106+IF($C115&lt;&gt;0,SUMPRODUCT((AC$107:AC$108)*TRANSPOSE(($D115:$E115))),0)</f>
        <v>198146.90418109333</v>
      </c>
      <c r="AD115" s="28" cm="1">
        <f t="array" ref="AD115">AD$106+IF($C115&lt;&gt;0,SUMPRODUCT((AD$107:AD$108)*TRANSPOSE(($D115:$E115))),0)</f>
        <v>345812.91739748954</v>
      </c>
      <c r="AE115" s="28" cm="1">
        <f t="array" ref="AE115">AE$106+IF($C115&lt;&gt;0,SUMPRODUCT((AE$107:AE$108)*TRANSPOSE(($D115:$E115))),0)</f>
        <v>352816.50586089346</v>
      </c>
      <c r="AF115" s="28" cm="1">
        <f t="array" ref="AF115">AF$106+IF($C115&lt;&gt;0,SUMPRODUCT((AF$107:AF$108)*TRANSPOSE(($D115:$E115))),0)</f>
        <v>359879.68309390184</v>
      </c>
      <c r="AG115" s="28" cm="1">
        <f t="array" ref="AG115">AG$106+IF($C115&lt;&gt;0,SUMPRODUCT((AG$107:AG$108)*TRANSPOSE(($D115:$E115))),0)</f>
        <v>367002.30392726685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80819.270615019253</v>
      </c>
      <c r="K116" s="28" cm="1">
        <f t="array" ref="K116">K$106+IF($C116&lt;&gt;0,SUMPRODUCT((K$107:K$108)*TRANSPOSE(($D116:$E116))),0)</f>
        <v>87486.285292808985</v>
      </c>
      <c r="L116" s="28" cm="1">
        <f t="array" ref="L116">L$106+IF($C116&lt;&gt;0,SUMPRODUCT((L$107:L$108)*TRANSPOSE(($D116:$E116))),0)</f>
        <v>92713.336205587315</v>
      </c>
      <c r="M116" s="28" cm="1">
        <f t="array" ref="M116">M$106+IF($C116&lt;&gt;0,SUMPRODUCT((M$107:M$108)*TRANSPOSE(($D116:$E116))),0)</f>
        <v>95766.488660867151</v>
      </c>
      <c r="N116" s="28" cm="1">
        <f t="array" ref="N116">N$106+IF($C116&lt;&gt;0,SUMPRODUCT((N$107:N$108)*TRANSPOSE(($D116:$E116))),0)</f>
        <v>99766.430984439765</v>
      </c>
      <c r="O116" s="28" cm="1">
        <f t="array" ref="O116">O$106+IF($C116&lt;&gt;0,SUMPRODUCT((O$107:O$108)*TRANSPOSE(($D116:$E116))),0)</f>
        <v>107527.82132423751</v>
      </c>
      <c r="P116" s="28" cm="1">
        <f t="array" ref="P116">P$106+IF($C116&lt;&gt;0,SUMPRODUCT((P$107:P$108)*TRANSPOSE(($D116:$E116))),0)</f>
        <v>116515.9753405182</v>
      </c>
      <c r="Q116" s="28" cm="1">
        <f t="array" ref="Q116">Q$106+IF($C116&lt;&gt;0,SUMPRODUCT((Q$107:Q$108)*TRANSPOSE(($D116:$E116))),0)</f>
        <v>119536.89347679884</v>
      </c>
      <c r="R116" s="28" cm="1">
        <f t="array" ref="R116">R$106+IF($C116&lt;&gt;0,SUMPRODUCT((R$107:R$108)*TRANSPOSE(($D116:$E116))),0)</f>
        <v>125751.43493623502</v>
      </c>
      <c r="S116" s="28" cm="1">
        <f t="array" ref="S116">S$106+IF($C116&lt;&gt;0,SUMPRODUCT((S$107:S$108)*TRANSPOSE(($D116:$E116))),0)</f>
        <v>132027.72352172516</v>
      </c>
      <c r="T116" s="28" cm="1">
        <f t="array" ref="T116">T$106+IF($C116&lt;&gt;0,SUMPRODUCT((T$107:T$108)*TRANSPOSE(($D116:$E116))),0)</f>
        <v>138365.56885522953</v>
      </c>
      <c r="U116" s="28" cm="1">
        <f t="array" ref="U116">U$106+IF($C116&lt;&gt;0,SUMPRODUCT((U$107:U$108)*TRANSPOSE(($D116:$E116))),0)</f>
        <v>144764.7860820358</v>
      </c>
      <c r="V116" s="28" cm="1">
        <f t="array" ref="V116">V$106+IF($C116&lt;&gt;0,SUMPRODUCT((V$107:V$108)*TRANSPOSE(($D116:$E116))),0)</f>
        <v>151225.1905623817</v>
      </c>
      <c r="W116" s="28" cm="1">
        <f t="array" ref="W116">W$106+IF($C116&lt;&gt;0,SUMPRODUCT((W$107:W$108)*TRANSPOSE(($D116:$E116))),0)</f>
        <v>157746.60583159997</v>
      </c>
      <c r="X116" s="28" cm="1">
        <f t="array" ref="X116">X$106+IF($C116&lt;&gt;0,SUMPRODUCT((X$107:X$108)*TRANSPOSE(($D116:$E116))),0)</f>
        <v>164328.85829294007</v>
      </c>
      <c r="Y116" s="28" cm="1">
        <f t="array" ref="Y116">Y$106+IF($C116&lt;&gt;0,SUMPRODUCT((Y$107:Y$108)*TRANSPOSE(($D116:$E116))),0)</f>
        <v>170971.78252988175</v>
      </c>
      <c r="Z116" s="28" cm="1">
        <f t="array" ref="Z116">Z$106+IF($C116&lt;&gt;0,SUMPRODUCT((Z$107:Z$108)*TRANSPOSE(($D116:$E116))),0)</f>
        <v>177675.20802173932</v>
      </c>
      <c r="AA116" s="28" cm="1">
        <f t="array" ref="AA116">AA$106+IF($C116&lt;&gt;0,SUMPRODUCT((AA$107:AA$108)*TRANSPOSE(($D116:$E116))),0)</f>
        <v>184438.97508297593</v>
      </c>
      <c r="AB116" s="28" cm="1">
        <f t="array" ref="AB116">AB$106+IF($C116&lt;&gt;0,SUMPRODUCT((AB$107:AB$108)*TRANSPOSE(($D116:$E116))),0)</f>
        <v>191262.92423473974</v>
      </c>
      <c r="AC116" s="28" cm="1">
        <f t="array" ref="AC116">AC$106+IF($C116&lt;&gt;0,SUMPRODUCT((AC$107:AC$108)*TRANSPOSE(($D116:$E116))),0)</f>
        <v>198146.90418109333</v>
      </c>
      <c r="AD116" s="28" cm="1">
        <f t="array" ref="AD116">AD$106+IF($C116&lt;&gt;0,SUMPRODUCT((AD$107:AD$108)*TRANSPOSE(($D116:$E116))),0)</f>
        <v>345812.91739748954</v>
      </c>
      <c r="AE116" s="28" cm="1">
        <f t="array" ref="AE116">AE$106+IF($C116&lt;&gt;0,SUMPRODUCT((AE$107:AE$108)*TRANSPOSE(($D116:$E116))),0)</f>
        <v>352816.50586089346</v>
      </c>
      <c r="AF116" s="28" cm="1">
        <f t="array" ref="AF116">AF$106+IF($C116&lt;&gt;0,SUMPRODUCT((AF$107:AF$108)*TRANSPOSE(($D116:$E116))),0)</f>
        <v>359879.68309390184</v>
      </c>
      <c r="AG116" s="28" cm="1">
        <f t="array" ref="AG116">AG$106+IF($C116&lt;&gt;0,SUMPRODUCT((AG$107:AG$108)*TRANSPOSE(($D116:$E116))),0)</f>
        <v>367002.30392726685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80819.270615019253</v>
      </c>
      <c r="K117" s="28" cm="1">
        <f t="array" ref="K117">K$106+IF($C117&lt;&gt;0,SUMPRODUCT((K$107:K$108)*TRANSPOSE(($D117:$E117))),0)</f>
        <v>87486.285292808985</v>
      </c>
      <c r="L117" s="28" cm="1">
        <f t="array" ref="L117">L$106+IF($C117&lt;&gt;0,SUMPRODUCT((L$107:L$108)*TRANSPOSE(($D117:$E117))),0)</f>
        <v>92713.336205587315</v>
      </c>
      <c r="M117" s="28" cm="1">
        <f t="array" ref="M117">M$106+IF($C117&lt;&gt;0,SUMPRODUCT((M$107:M$108)*TRANSPOSE(($D117:$E117))),0)</f>
        <v>95766.488660867151</v>
      </c>
      <c r="N117" s="28" cm="1">
        <f t="array" ref="N117">N$106+IF($C117&lt;&gt;0,SUMPRODUCT((N$107:N$108)*TRANSPOSE(($D117:$E117))),0)</f>
        <v>99766.430984439765</v>
      </c>
      <c r="O117" s="28" cm="1">
        <f t="array" ref="O117">O$106+IF($C117&lt;&gt;0,SUMPRODUCT((O$107:O$108)*TRANSPOSE(($D117:$E117))),0)</f>
        <v>107527.82132423751</v>
      </c>
      <c r="P117" s="28" cm="1">
        <f t="array" ref="P117">P$106+IF($C117&lt;&gt;0,SUMPRODUCT((P$107:P$108)*TRANSPOSE(($D117:$E117))),0)</f>
        <v>116515.9753405182</v>
      </c>
      <c r="Q117" s="28" cm="1">
        <f t="array" ref="Q117">Q$106+IF($C117&lt;&gt;0,SUMPRODUCT((Q$107:Q$108)*TRANSPOSE(($D117:$E117))),0)</f>
        <v>119536.89347679884</v>
      </c>
      <c r="R117" s="28" cm="1">
        <f t="array" ref="R117">R$106+IF($C117&lt;&gt;0,SUMPRODUCT((R$107:R$108)*TRANSPOSE(($D117:$E117))),0)</f>
        <v>125751.43493623502</v>
      </c>
      <c r="S117" s="28" cm="1">
        <f t="array" ref="S117">S$106+IF($C117&lt;&gt;0,SUMPRODUCT((S$107:S$108)*TRANSPOSE(($D117:$E117))),0)</f>
        <v>132027.72352172516</v>
      </c>
      <c r="T117" s="28" cm="1">
        <f t="array" ref="T117">T$106+IF($C117&lt;&gt;0,SUMPRODUCT((T$107:T$108)*TRANSPOSE(($D117:$E117))),0)</f>
        <v>138365.56885522953</v>
      </c>
      <c r="U117" s="28" cm="1">
        <f t="array" ref="U117">U$106+IF($C117&lt;&gt;0,SUMPRODUCT((U$107:U$108)*TRANSPOSE(($D117:$E117))),0)</f>
        <v>144764.7860820358</v>
      </c>
      <c r="V117" s="28" cm="1">
        <f t="array" ref="V117">V$106+IF($C117&lt;&gt;0,SUMPRODUCT((V$107:V$108)*TRANSPOSE(($D117:$E117))),0)</f>
        <v>151225.1905623817</v>
      </c>
      <c r="W117" s="28" cm="1">
        <f t="array" ref="W117">W$106+IF($C117&lt;&gt;0,SUMPRODUCT((W$107:W$108)*TRANSPOSE(($D117:$E117))),0)</f>
        <v>157746.60583159997</v>
      </c>
      <c r="X117" s="28" cm="1">
        <f t="array" ref="X117">X$106+IF($C117&lt;&gt;0,SUMPRODUCT((X$107:X$108)*TRANSPOSE(($D117:$E117))),0)</f>
        <v>164328.85829294007</v>
      </c>
      <c r="Y117" s="28" cm="1">
        <f t="array" ref="Y117">Y$106+IF($C117&lt;&gt;0,SUMPRODUCT((Y$107:Y$108)*TRANSPOSE(($D117:$E117))),0)</f>
        <v>170971.78252988175</v>
      </c>
      <c r="Z117" s="28" cm="1">
        <f t="array" ref="Z117">Z$106+IF($C117&lt;&gt;0,SUMPRODUCT((Z$107:Z$108)*TRANSPOSE(($D117:$E117))),0)</f>
        <v>177675.20802173932</v>
      </c>
      <c r="AA117" s="28" cm="1">
        <f t="array" ref="AA117">AA$106+IF($C117&lt;&gt;0,SUMPRODUCT((AA$107:AA$108)*TRANSPOSE(($D117:$E117))),0)</f>
        <v>184438.97508297593</v>
      </c>
      <c r="AB117" s="28" cm="1">
        <f t="array" ref="AB117">AB$106+IF($C117&lt;&gt;0,SUMPRODUCT((AB$107:AB$108)*TRANSPOSE(($D117:$E117))),0)</f>
        <v>191262.92423473974</v>
      </c>
      <c r="AC117" s="28" cm="1">
        <f t="array" ref="AC117">AC$106+IF($C117&lt;&gt;0,SUMPRODUCT((AC$107:AC$108)*TRANSPOSE(($D117:$E117))),0)</f>
        <v>198146.90418109333</v>
      </c>
      <c r="AD117" s="28" cm="1">
        <f t="array" ref="AD117">AD$106+IF($C117&lt;&gt;0,SUMPRODUCT((AD$107:AD$108)*TRANSPOSE(($D117:$E117))),0)</f>
        <v>345812.91739748954</v>
      </c>
      <c r="AE117" s="28" cm="1">
        <f t="array" ref="AE117">AE$106+IF($C117&lt;&gt;0,SUMPRODUCT((AE$107:AE$108)*TRANSPOSE(($D117:$E117))),0)</f>
        <v>352816.50586089346</v>
      </c>
      <c r="AF117" s="28" cm="1">
        <f t="array" ref="AF117">AF$106+IF($C117&lt;&gt;0,SUMPRODUCT((AF$107:AF$108)*TRANSPOSE(($D117:$E117))),0)</f>
        <v>359879.68309390184</v>
      </c>
      <c r="AG117" s="28" cm="1">
        <f t="array" ref="AG117">AG$106+IF($C117&lt;&gt;0,SUMPRODUCT((AG$107:AG$108)*TRANSPOSE(($D117:$E117))),0)</f>
        <v>367002.30392726685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CHA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160</v>
      </c>
      <c r="B3" s="5"/>
      <c r="C3" s="176">
        <f>INDEX(Assumptions!$E$14:$E$18, MATCH(A3,_xlfn.ANCHORARRAY( Assumptions!$C$14),0))</f>
        <v>0</v>
      </c>
    </row>
    <row r="4" spans="1:43" x14ac:dyDescent="0.3">
      <c r="A4" s="1" t="str">
        <f>(INDEX(Data!$D$9:$D$13, MATCH(A3, options,0)))</f>
        <v>Not used</v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108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109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110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</row>
    <row r="13" spans="1:43" ht="13.5" x14ac:dyDescent="0.3">
      <c r="C13" s="3" t="s">
        <v>103</v>
      </c>
      <c r="D13"/>
      <c r="E13" s="106" t="s">
        <v>111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112</v>
      </c>
      <c r="D14"/>
      <c r="E14" s="127">
        <v>0</v>
      </c>
      <c r="G14" s="182">
        <f>input_dollars</f>
        <v>45291</v>
      </c>
      <c r="H14" s="128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112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112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32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>SUM(K14:K16)</f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33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6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</row>
    <row r="20" spans="1:43" ht="13.5" x14ac:dyDescent="0.3">
      <c r="G20" s="180"/>
      <c r="AH20"/>
      <c r="AI20"/>
      <c r="AJ20"/>
      <c r="AK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113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114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115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116</v>
      </c>
      <c r="D27" s="180"/>
      <c r="E27"/>
      <c r="G27" s="182" t="s">
        <v>117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118</v>
      </c>
      <c r="D28" s="180" t="s">
        <v>108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">
        <v>157</v>
      </c>
      <c r="D30" s="180" t="s">
        <v>119</v>
      </c>
      <c r="G30" s="182">
        <f>input_dollars</f>
        <v>45291</v>
      </c>
      <c r="H30" s="128"/>
      <c r="I30" s="147" cm="1">
        <f t="array" ref="I30">SUMPRODUCT((Assumptions!$H$70:$H$71)*(Assumptions!$G$70:$G$71)*(Assumptions!$I$70:$I$71)*(I$24:I$25))</f>
        <v>0</v>
      </c>
      <c r="J30" s="147" cm="1">
        <f t="array" ref="J30">SUMPRODUCT((Assumptions!$H$70:$H$71)*(Assumptions!$G$70:$G$71)*(Assumptions!$I$70:$I$71)*(J$24:J$25))</f>
        <v>0</v>
      </c>
      <c r="K30" s="147" cm="1">
        <f t="array" ref="K30">SUMPRODUCT((Assumptions!$H$70:$H$71)*(Assumptions!$G$70:$G$71)*(Assumptions!$I$70:$I$71)*(K$24:K$25))</f>
        <v>0</v>
      </c>
      <c r="L30" s="147" cm="1">
        <f t="array" ref="L30">SUMPRODUCT((Assumptions!$H$70:$H$71)*(Assumptions!$G$70:$G$71)*(Assumptions!$I$70:$I$71)*(L$24:L$25))</f>
        <v>0</v>
      </c>
      <c r="M30" s="147" cm="1">
        <f t="array" ref="M30">SUMPRODUCT((Assumptions!$H$70:$H$71)*(Assumptions!$G$70:$G$71)*(Assumptions!$I$70:$I$71)*(M$24:M$25))</f>
        <v>0</v>
      </c>
      <c r="N30" s="147" cm="1">
        <f t="array" ref="N30">SUMPRODUCT((Assumptions!$H$70:$H$71)*(Assumptions!$G$70:$G$71)*(Assumptions!$I$70:$I$71)*(N$24:N$25))</f>
        <v>0</v>
      </c>
      <c r="O30" s="147" cm="1">
        <f t="array" ref="O30">SUMPRODUCT((Assumptions!$H$70:$H$71)*(Assumptions!$G$70:$G$71)*(Assumptions!$I$70:$I$71)*(O$24:O$25))</f>
        <v>0</v>
      </c>
      <c r="P30" s="147" cm="1">
        <f t="array" ref="P30">SUMPRODUCT((Assumptions!$H$70:$H$71)*(Assumptions!$G$70:$G$71)*(Assumptions!$I$70:$I$71)*(P$24:P$25))</f>
        <v>0</v>
      </c>
      <c r="Q30" s="147" cm="1">
        <f t="array" ref="Q30">SUMPRODUCT((Assumptions!$H$70:$H$71)*(Assumptions!$G$70:$G$71)*(Assumptions!$I$70:$I$71)*(Q$24:Q$25))</f>
        <v>0</v>
      </c>
      <c r="R30" s="147" cm="1">
        <f t="array" ref="R30">SUMPRODUCT((Assumptions!$H$70:$H$71)*(Assumptions!$G$70:$G$71)*(Assumptions!$I$70:$I$71)*(R$24:R$25))</f>
        <v>0</v>
      </c>
      <c r="S30" s="147" cm="1">
        <f t="array" ref="S30">SUMPRODUCT((Assumptions!$H$70:$H$71)*(Assumptions!$G$70:$G$71)*(Assumptions!$I$70:$I$71)*(S$24:S$25))</f>
        <v>0</v>
      </c>
      <c r="T30" s="147" cm="1">
        <f t="array" ref="T30">SUMPRODUCT((Assumptions!$H$70:$H$71)*(Assumptions!$G$70:$G$71)*(Assumptions!$I$70:$I$71)*(T$24:T$25))</f>
        <v>0</v>
      </c>
      <c r="U30" s="147" cm="1">
        <f t="array" ref="U30">SUMPRODUCT((Assumptions!$H$70:$H$71)*(Assumptions!$G$70:$G$71)*(Assumptions!$I$70:$I$71)*(U$24:U$25))</f>
        <v>0</v>
      </c>
      <c r="V30" s="147" cm="1">
        <f t="array" ref="V30">SUMPRODUCT((Assumptions!$H$70:$H$71)*(Assumptions!$G$70:$G$71)*(Assumptions!$I$70:$I$71)*(V$24:V$25))</f>
        <v>0</v>
      </c>
      <c r="W30" s="147" cm="1">
        <f t="array" ref="W30">SUMPRODUCT((Assumptions!$H$70:$H$71)*(Assumptions!$G$70:$G$71)*(Assumptions!$I$70:$I$71)*(W$24:W$25))</f>
        <v>0</v>
      </c>
      <c r="X30" s="147" cm="1">
        <f t="array" ref="X30">SUMPRODUCT((Assumptions!$H$70:$H$71)*(Assumptions!$G$70:$G$71)*(Assumptions!$I$70:$I$71)*(X$24:X$25))</f>
        <v>0</v>
      </c>
      <c r="Y30" s="147" cm="1">
        <f t="array" ref="Y30">SUMPRODUCT((Assumptions!$H$70:$H$71)*(Assumptions!$G$70:$G$71)*(Assumptions!$I$70:$I$71)*(Y$24:Y$25))</f>
        <v>0</v>
      </c>
      <c r="Z30" s="147" cm="1">
        <f t="array" ref="Z30">SUMPRODUCT((Assumptions!$H$70:$H$71)*(Assumptions!$G$70:$G$71)*(Assumptions!$I$70:$I$71)*(Z$24:Z$25))</f>
        <v>0</v>
      </c>
      <c r="AA30" s="147" cm="1">
        <f t="array" ref="AA30">SUMPRODUCT((Assumptions!$H$70:$H$71)*(Assumptions!$G$70:$G$71)*(Assumptions!$I$70:$I$71)*(AA$24:AA$25))</f>
        <v>0</v>
      </c>
      <c r="AB30" s="147" cm="1">
        <f t="array" ref="AB30">SUMPRODUCT((Assumptions!$H$70:$H$71)*(Assumptions!$G$70:$G$71)*(Assumptions!$I$70:$I$71)*(AB$24:AB$25))</f>
        <v>0</v>
      </c>
      <c r="AC30" s="147" cm="1">
        <f t="array" ref="AC30">SUMPRODUCT((Assumptions!$H$70:$H$71)*(Assumptions!$G$70:$G$71)*(Assumptions!$I$70:$I$71)*(AC$24:AC$25))</f>
        <v>0</v>
      </c>
      <c r="AD30" s="147" cm="1">
        <f t="array" ref="AD30">SUMPRODUCT((Assumptions!$H$70:$H$71)*(Assumptions!$G$70:$G$71)*(Assumptions!$I$70:$I$71)*(AD$24:AD$25))</f>
        <v>0</v>
      </c>
      <c r="AE30" s="147" cm="1">
        <f t="array" ref="AE30">SUMPRODUCT((Assumptions!$H$70:$H$71)*(Assumptions!$G$70:$G$71)*(Assumptions!$I$70:$I$71)*(AE$24:AE$25))</f>
        <v>0</v>
      </c>
      <c r="AF30" s="147" cm="1">
        <f t="array" ref="AF30">SUMPRODUCT((Assumptions!$H$70:$H$71)*(Assumptions!$G$70:$G$71)*(Assumptions!$I$70:$I$71)*(AF$24:AF$25))</f>
        <v>0</v>
      </c>
      <c r="AG30" s="147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">
        <v>158</v>
      </c>
      <c r="D31" s="181"/>
      <c r="E31"/>
      <c r="G31" s="182">
        <f>input_dollars</f>
        <v>45291</v>
      </c>
      <c r="H31" s="128"/>
      <c r="I31" s="147" cm="1">
        <f t="array" ref="I31">(1+Assumptions!$G$81)*SUMPRODUCT((Assumptions!$G$78:$G$79)*(I$24:I$25))</f>
        <v>0</v>
      </c>
      <c r="J31" s="147" cm="1">
        <f t="array" ref="J31">(1+Assumptions!$G$81)*SUMPRODUCT((Assumptions!$G$78:$G$79)*(J$24:J$25))</f>
        <v>0</v>
      </c>
      <c r="K31" s="147" cm="1">
        <f t="array" ref="K31">(1+Assumptions!$G$81)*SUMPRODUCT((Assumptions!$G$78:$G$79)*(K$24:K$25))</f>
        <v>0</v>
      </c>
      <c r="L31" s="147" cm="1">
        <f t="array" ref="L31">(1+Assumptions!$G$81)*SUMPRODUCT((Assumptions!$G$78:$G$79)*(L$24:L$25))</f>
        <v>0</v>
      </c>
      <c r="M31" s="147" cm="1">
        <f t="array" ref="M31">(1+Assumptions!$G$81)*SUMPRODUCT((Assumptions!$G$78:$G$79)*(M$24:M$25))</f>
        <v>0</v>
      </c>
      <c r="N31" s="147" cm="1">
        <f t="array" ref="N31">(1+Assumptions!$G$81)*SUMPRODUCT((Assumptions!$G$78:$G$79)*(N$24:N$25))</f>
        <v>0</v>
      </c>
      <c r="O31" s="147" cm="1">
        <f t="array" ref="O31">(1+Assumptions!$G$81)*SUMPRODUCT((Assumptions!$G$78:$G$79)*(O$24:O$25))</f>
        <v>0</v>
      </c>
      <c r="P31" s="147" cm="1">
        <f t="array" ref="P31">(1+Assumptions!$G$81)*SUMPRODUCT((Assumptions!$G$78:$G$79)*(P$24:P$25))</f>
        <v>0</v>
      </c>
      <c r="Q31" s="147" cm="1">
        <f t="array" ref="Q31">(1+Assumptions!$G$81)*SUMPRODUCT((Assumptions!$G$78:$G$79)*(Q$24:Q$25))</f>
        <v>0</v>
      </c>
      <c r="R31" s="147" cm="1">
        <f t="array" ref="R31">(1+Assumptions!$G$81)*SUMPRODUCT((Assumptions!$G$78:$G$79)*(R$24:R$25))</f>
        <v>0</v>
      </c>
      <c r="S31" s="147" cm="1">
        <f t="array" ref="S31">(1+Assumptions!$G$81)*SUMPRODUCT((Assumptions!$G$78:$G$79)*(S$24:S$25))</f>
        <v>0</v>
      </c>
      <c r="T31" s="147" cm="1">
        <f t="array" ref="T31">(1+Assumptions!$G$81)*SUMPRODUCT((Assumptions!$G$78:$G$79)*(T$24:T$25))</f>
        <v>0</v>
      </c>
      <c r="U31" s="147" cm="1">
        <f t="array" ref="U31">(1+Assumptions!$G$81)*SUMPRODUCT((Assumptions!$G$78:$G$79)*(U$24:U$25))</f>
        <v>0</v>
      </c>
      <c r="V31" s="147" cm="1">
        <f t="array" ref="V31">(1+Assumptions!$G$81)*SUMPRODUCT((Assumptions!$G$78:$G$79)*(V$24:V$25))</f>
        <v>0</v>
      </c>
      <c r="W31" s="147" cm="1">
        <f t="array" ref="W31">(1+Assumptions!$G$81)*SUMPRODUCT((Assumptions!$G$78:$G$79)*(W$24:W$25))</f>
        <v>0</v>
      </c>
      <c r="X31" s="147" cm="1">
        <f t="array" ref="X31">(1+Assumptions!$G$81)*SUMPRODUCT((Assumptions!$G$78:$G$79)*(X$24:X$25))</f>
        <v>0</v>
      </c>
      <c r="Y31" s="147" cm="1">
        <f t="array" ref="Y31">(1+Assumptions!$G$81)*SUMPRODUCT((Assumptions!$G$78:$G$79)*(Y$24:Y$25))</f>
        <v>0</v>
      </c>
      <c r="Z31" s="147" cm="1">
        <f t="array" ref="Z31">(1+Assumptions!$G$81)*SUMPRODUCT((Assumptions!$G$78:$G$79)*(Z$24:Z$25))</f>
        <v>0</v>
      </c>
      <c r="AA31" s="147" cm="1">
        <f t="array" ref="AA31">(1+Assumptions!$G$81)*SUMPRODUCT((Assumptions!$G$78:$G$79)*(AA$24:AA$25))</f>
        <v>0</v>
      </c>
      <c r="AB31" s="147" cm="1">
        <f t="array" ref="AB31">(1+Assumptions!$G$81)*SUMPRODUCT((Assumptions!$G$78:$G$79)*(AB$24:AB$25))</f>
        <v>0</v>
      </c>
      <c r="AC31" s="147" cm="1">
        <f t="array" ref="AC31">(1+Assumptions!$G$81)*SUMPRODUCT((Assumptions!$G$78:$G$79)*(AC$24:AC$25))</f>
        <v>0</v>
      </c>
      <c r="AD31" s="147" cm="1">
        <f t="array" ref="AD31">(1+Assumptions!$G$81)*SUMPRODUCT((Assumptions!$G$78:$G$79)*(AD$24:AD$25))</f>
        <v>0</v>
      </c>
      <c r="AE31" s="147" cm="1">
        <f t="array" ref="AE31">(1+Assumptions!$G$81)*SUMPRODUCT((Assumptions!$G$78:$G$79)*(AE$24:AE$25))</f>
        <v>0</v>
      </c>
      <c r="AF31" s="147" cm="1">
        <f t="array" ref="AF31">(1+Assumptions!$G$81)*SUMPRODUCT((Assumptions!$G$78:$G$79)*(AF$24:AF$25))</f>
        <v>0</v>
      </c>
      <c r="AG31" s="147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">
        <v>159</v>
      </c>
      <c r="D32" s="180" t="s">
        <v>119</v>
      </c>
      <c r="E32"/>
      <c r="G32" s="182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6">
        <v>0</v>
      </c>
      <c r="S32" s="116">
        <v>0</v>
      </c>
      <c r="T32" s="116">
        <v>0</v>
      </c>
      <c r="U32" s="116">
        <v>0</v>
      </c>
      <c r="V32" s="116">
        <v>0</v>
      </c>
      <c r="W32" s="116">
        <v>0</v>
      </c>
      <c r="X32" s="116">
        <v>0</v>
      </c>
      <c r="Y32" s="116">
        <v>0</v>
      </c>
      <c r="Z32" s="116">
        <v>0</v>
      </c>
      <c r="AA32" s="116">
        <v>0</v>
      </c>
      <c r="AB32" s="116">
        <v>0</v>
      </c>
      <c r="AC32" s="116">
        <v>0</v>
      </c>
      <c r="AD32" s="116">
        <v>0</v>
      </c>
      <c r="AE32" s="116">
        <v>0</v>
      </c>
      <c r="AF32" s="116">
        <v>0</v>
      </c>
      <c r="AG32" s="116">
        <v>0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240" t="s">
        <v>120</v>
      </c>
      <c r="D33" s="193"/>
      <c r="E33"/>
      <c r="G33" s="182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6">
        <v>0</v>
      </c>
      <c r="S33" s="116">
        <v>0</v>
      </c>
      <c r="T33" s="116">
        <v>0</v>
      </c>
      <c r="U33" s="116">
        <v>0</v>
      </c>
      <c r="V33" s="116">
        <v>0</v>
      </c>
      <c r="W33" s="116">
        <v>0</v>
      </c>
      <c r="X33" s="116">
        <v>0</v>
      </c>
      <c r="Y33" s="116">
        <v>0</v>
      </c>
      <c r="Z33" s="116">
        <v>0</v>
      </c>
      <c r="AA33" s="116">
        <v>0</v>
      </c>
      <c r="AB33" s="116">
        <v>0</v>
      </c>
      <c r="AC33" s="116">
        <v>0</v>
      </c>
      <c r="AD33" s="116">
        <v>0</v>
      </c>
      <c r="AE33" s="116">
        <v>0</v>
      </c>
      <c r="AF33" s="116">
        <v>0</v>
      </c>
      <c r="AG33" s="116">
        <v>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120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121</v>
      </c>
      <c r="D36" s="192"/>
      <c r="E36" s="95"/>
      <c r="F36" s="3"/>
      <c r="G36" s="184"/>
      <c r="H36" s="95"/>
      <c r="I36" s="147">
        <f>SUM(I28:I34)</f>
        <v>0</v>
      </c>
      <c r="J36" s="147">
        <f t="shared" ref="J36:AG36" si="3">SUM(J28:J34)</f>
        <v>0</v>
      </c>
      <c r="K36" s="147">
        <f t="shared" si="3"/>
        <v>0</v>
      </c>
      <c r="L36" s="147">
        <f t="shared" si="3"/>
        <v>0</v>
      </c>
      <c r="M36" s="147">
        <f t="shared" si="3"/>
        <v>0</v>
      </c>
      <c r="N36" s="147">
        <f t="shared" si="3"/>
        <v>0</v>
      </c>
      <c r="O36" s="147">
        <f t="shared" si="3"/>
        <v>0</v>
      </c>
      <c r="P36" s="147">
        <f t="shared" si="3"/>
        <v>0</v>
      </c>
      <c r="Q36" s="147">
        <f t="shared" si="3"/>
        <v>0</v>
      </c>
      <c r="R36" s="147">
        <f t="shared" si="3"/>
        <v>0</v>
      </c>
      <c r="S36" s="147">
        <f t="shared" si="3"/>
        <v>0</v>
      </c>
      <c r="T36" s="147">
        <f t="shared" si="3"/>
        <v>0</v>
      </c>
      <c r="U36" s="147">
        <f t="shared" si="3"/>
        <v>0</v>
      </c>
      <c r="V36" s="147">
        <f t="shared" si="3"/>
        <v>0</v>
      </c>
      <c r="W36" s="147">
        <f t="shared" si="3"/>
        <v>0</v>
      </c>
      <c r="X36" s="147">
        <f t="shared" si="3"/>
        <v>0</v>
      </c>
      <c r="Y36" s="147">
        <f t="shared" si="3"/>
        <v>0</v>
      </c>
      <c r="Z36" s="147">
        <f t="shared" si="3"/>
        <v>0</v>
      </c>
      <c r="AA36" s="147">
        <f t="shared" si="3"/>
        <v>0</v>
      </c>
      <c r="AB36" s="147">
        <f t="shared" si="3"/>
        <v>0</v>
      </c>
      <c r="AC36" s="147">
        <f t="shared" si="3"/>
        <v>0</v>
      </c>
      <c r="AD36" s="147">
        <f t="shared" si="3"/>
        <v>0</v>
      </c>
      <c r="AE36" s="147">
        <f t="shared" si="3"/>
        <v>0</v>
      </c>
      <c r="AF36" s="147">
        <f t="shared" si="3"/>
        <v>0</v>
      </c>
      <c r="AG36" s="147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122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123</v>
      </c>
      <c r="G41" s="180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4" x14ac:dyDescent="0.35">
      <c r="C42" s="1" t="s">
        <v>124</v>
      </c>
      <c r="G42" s="180" t="s">
        <v>125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126</v>
      </c>
      <c r="D45" s="180" t="s">
        <v>108</v>
      </c>
      <c r="E45" s="101">
        <f>Assumptions!G94</f>
        <v>151432.81740793545</v>
      </c>
      <c r="G45" s="182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127</v>
      </c>
      <c r="D46" s="180" t="s">
        <v>108</v>
      </c>
      <c r="E46" s="101">
        <f>Assumptions!G95</f>
        <v>24590</v>
      </c>
      <c r="G46" s="182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128</v>
      </c>
      <c r="D47" s="180" t="s">
        <v>108</v>
      </c>
      <c r="E47" s="100">
        <f>Assumptions!G96</f>
        <v>88.357719508603083</v>
      </c>
      <c r="G47" s="182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129</v>
      </c>
      <c r="D48" s="180" t="s">
        <v>130</v>
      </c>
      <c r="E48" s="100">
        <f>Assumptions!G97</f>
        <v>0</v>
      </c>
      <c r="G48" s="182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132</v>
      </c>
      <c r="D49" s="180" t="s">
        <v>133</v>
      </c>
      <c r="E49" s="100">
        <f>Assumptions!G98</f>
        <v>0.35181336539087127</v>
      </c>
      <c r="G49" s="182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135</v>
      </c>
      <c r="D50" s="180" t="s">
        <v>133</v>
      </c>
      <c r="E50" s="100">
        <f>Assumptions!G99</f>
        <v>0.35181336539087127</v>
      </c>
      <c r="G50" s="182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136</v>
      </c>
      <c r="D51" s="180" t="s">
        <v>130</v>
      </c>
      <c r="E51" s="100">
        <f>Assumptions!G100</f>
        <v>0</v>
      </c>
      <c r="G51" s="182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137</v>
      </c>
      <c r="D52" s="180" t="s">
        <v>130</v>
      </c>
      <c r="E52" s="100">
        <f>Assumptions!G101</f>
        <v>0</v>
      </c>
      <c r="G52" s="182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138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139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140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23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0</v>
      </c>
      <c r="N64" s="112">
        <f>(1-INDEX(Data!$C$9:$C$13, MATCH($A$3, options,0)))*('Option1 (base case)'!N36-N36)</f>
        <v>0</v>
      </c>
      <c r="O64" s="112">
        <f>(1-INDEX(Data!$C$9:$C$13, MATCH($A$3, options,0)))*('Option1 (base case)'!O36-O36)</f>
        <v>0</v>
      </c>
      <c r="P64" s="112">
        <f>(1-INDEX(Data!$C$9:$C$13, MATCH($A$3, options,0)))*('Option1 (base case)'!P36-P36)</f>
        <v>0</v>
      </c>
      <c r="Q64" s="112">
        <f>(1-INDEX(Data!$C$9:$C$13, MATCH($A$3, options,0)))*('Option1 (base case)'!Q36-Q36)</f>
        <v>0</v>
      </c>
      <c r="R64" s="112">
        <f>(1-INDEX(Data!$C$9:$C$13, MATCH($A$3, options,0)))*('Option1 (base case)'!R36-R36)</f>
        <v>0</v>
      </c>
      <c r="S64" s="112">
        <f>(1-INDEX(Data!$C$9:$C$13, MATCH($A$3, options,0)))*('Option1 (base case)'!S36-S36)</f>
        <v>0</v>
      </c>
      <c r="T64" s="112">
        <f>(1-INDEX(Data!$C$9:$C$13, MATCH($A$3, options,0)))*('Option1 (base case)'!T36-T36)</f>
        <v>0</v>
      </c>
      <c r="U64" s="112">
        <f>(1-INDEX(Data!$C$9:$C$13, MATCH($A$3, options,0)))*('Option1 (base case)'!U36-U36)</f>
        <v>0</v>
      </c>
      <c r="V64" s="112">
        <f>(1-INDEX(Data!$C$9:$C$13, MATCH($A$3, options,0)))*('Option1 (base case)'!V36-V36)</f>
        <v>0</v>
      </c>
      <c r="W64" s="112">
        <f>(1-INDEX(Data!$C$9:$C$13, MATCH($A$3, options,0)))*('Option1 (base case)'!W36-W36)</f>
        <v>0</v>
      </c>
      <c r="X64" s="112">
        <f>(1-INDEX(Data!$C$9:$C$13, MATCH($A$3, options,0)))*('Option1 (base case)'!X36-X36)</f>
        <v>0</v>
      </c>
      <c r="Y64" s="112">
        <f>(1-INDEX(Data!$C$9:$C$13, MATCH($A$3, options,0)))*('Option1 (base case)'!Y36-Y36)</f>
        <v>0</v>
      </c>
      <c r="Z64" s="112">
        <f>(1-INDEX(Data!$C$9:$C$13, MATCH($A$3, options,0)))*('Option1 (base case)'!Z36-Z36)</f>
        <v>0</v>
      </c>
      <c r="AA64" s="112">
        <f>(1-INDEX(Data!$C$9:$C$13, MATCH($A$3, options,0)))*('Option1 (base case)'!AA36-AA36)</f>
        <v>0</v>
      </c>
      <c r="AB64" s="112">
        <f>(1-INDEX(Data!$C$9:$C$13, MATCH($A$3, options,0)))*('Option1 (base case)'!AB36-AB36)</f>
        <v>0</v>
      </c>
      <c r="AC64" s="112">
        <f>(1-INDEX(Data!$C$9:$C$13, MATCH($A$3, options,0)))*('Option1 (base case)'!AC36-AC36)</f>
        <v>0</v>
      </c>
      <c r="AD64" s="112">
        <f>(1-INDEX(Data!$C$9:$C$13, MATCH($A$3, options,0)))*('Option1 (base case)'!AD36-AD36)</f>
        <v>0</v>
      </c>
      <c r="AE64" s="112">
        <f>(1-INDEX(Data!$C$9:$C$13, MATCH($A$3, options,0)))*('Option1 (base case)'!AE36-AE36)</f>
        <v>0</v>
      </c>
      <c r="AF64" s="112">
        <f>(1-INDEX(Data!$C$9:$C$13, MATCH($A$3, options,0)))*('Option1 (base case)'!AF36-AF36)</f>
        <v>0</v>
      </c>
      <c r="AG64" s="112">
        <f>(1-INDEX(Data!$C$9:$C$13, MATCH($A$3, options,0)))*('Option1 (base case)'!AG36-AG36)</f>
        <v>0</v>
      </c>
    </row>
    <row r="65" spans="1:33" x14ac:dyDescent="0.3">
      <c r="G65" s="187"/>
    </row>
    <row r="66" spans="1:33" x14ac:dyDescent="0.3">
      <c r="A66" s="6"/>
      <c r="B66" s="6"/>
      <c r="C66" s="126" t="s">
        <v>32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142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143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144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143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33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145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146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147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152</v>
      </c>
      <c r="D90" s="72"/>
      <c r="E90" s="205"/>
      <c r="F90" s="206"/>
      <c r="G90" s="207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153</v>
      </c>
      <c r="D92" s="210"/>
      <c r="E92" s="210"/>
      <c r="F92" s="210"/>
      <c r="G92" s="211" t="str">
        <f>IF(_xlfn.MINIFS($G$90:$G$91, $G$90:$G$91, "&gt;"&amp;0)=0, $A$4, _xlfn.MINIFS($G$90:$G$91, $G$90:$G$91, "&gt;"&amp;0))</f>
        <v>Not used</v>
      </c>
    </row>
    <row r="94" spans="1:33" x14ac:dyDescent="0.3">
      <c r="G94" s="10"/>
    </row>
    <row r="102" spans="1:43" ht="14.5" x14ac:dyDescent="0.3">
      <c r="A102" s="78" t="s">
        <v>37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22</v>
      </c>
      <c r="C106" s="1" t="s">
        <v>147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ht="13.5" x14ac:dyDescent="0.3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topLeftCell="J1" workbookViewId="0">
      <selection activeCell="AB7" sqref="AB7"/>
    </sheetView>
  </sheetViews>
  <sheetFormatPr defaultColWidth="0" defaultRowHeight="13.5" zeroHeight="1" outlineLevelRow="1" x14ac:dyDescent="0.3"/>
  <cols>
    <col min="1" max="1" width="8.15234375" style="8" customWidth="1"/>
    <col min="2" max="2" width="5.4609375" style="8" customWidth="1"/>
    <col min="3" max="3" width="16.84375" style="8" bestFit="1" customWidth="1"/>
    <col min="4" max="4" width="12.3828125" style="8" customWidth="1"/>
    <col min="5" max="5" width="14.23046875" customWidth="1"/>
    <col min="6" max="6" width="12.3828125" style="8" customWidth="1"/>
    <col min="7" max="7" width="11.61328125" style="8" customWidth="1"/>
    <col min="8" max="8" width="8.613281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5" x14ac:dyDescent="0.45">
      <c r="A2" s="50" t="str">
        <f>proj</f>
        <v>CHA transformer replacement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5" x14ac:dyDescent="0.45">
      <c r="A3" s="178" t="s">
        <v>161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3">
      <c r="A4" s="102"/>
      <c r="B4" s="102"/>
      <c r="C4" s="86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4" s="2" customFormat="1" ht="13" hidden="1" outlineLevel="1" x14ac:dyDescent="0.3">
      <c r="A5" s="86" t="s">
        <v>162</v>
      </c>
      <c r="B5" s="86"/>
      <c r="C5" s="87"/>
      <c r="D5" s="86"/>
      <c r="E5" s="86"/>
      <c r="F5" s="86"/>
      <c r="G5" s="89"/>
      <c r="H5" s="164">
        <f t="shared" ref="H5:AG5" si="0">IF(H9=start,1/((1+real_disc)^(1/2)),G5/(1+real_disc))</f>
        <v>0</v>
      </c>
      <c r="I5" s="164">
        <f t="shared" si="0"/>
        <v>0.98294637436598087</v>
      </c>
      <c r="J5" s="164">
        <f t="shared" si="0"/>
        <v>0.94970664189949849</v>
      </c>
      <c r="K5" s="164">
        <f t="shared" si="0"/>
        <v>0.91759095835700344</v>
      </c>
      <c r="L5" s="164">
        <f t="shared" si="0"/>
        <v>0.88656131242222558</v>
      </c>
      <c r="M5" s="164">
        <f t="shared" si="0"/>
        <v>0.85658097818572532</v>
      </c>
      <c r="N5" s="164">
        <f t="shared" si="0"/>
        <v>0.8276144716770294</v>
      </c>
      <c r="O5" s="164">
        <f t="shared" si="0"/>
        <v>0.79962750886669509</v>
      </c>
      <c r="P5" s="164">
        <f t="shared" si="0"/>
        <v>0.77258696508859437</v>
      </c>
      <c r="Q5" s="164">
        <f t="shared" si="0"/>
        <v>0.74646083583439071</v>
      </c>
      <c r="R5" s="164">
        <f t="shared" si="0"/>
        <v>0.72121819887380756</v>
      </c>
      <c r="S5" s="164">
        <f t="shared" si="0"/>
        <v>0.69682917765585273</v>
      </c>
      <c r="T5" s="164">
        <f t="shared" si="0"/>
        <v>0.67326490594768384</v>
      </c>
      <c r="U5" s="164">
        <f t="shared" si="0"/>
        <v>0.6504974936692598</v>
      </c>
      <c r="V5" s="164">
        <f t="shared" si="0"/>
        <v>0.62849999388334288</v>
      </c>
      <c r="W5" s="164">
        <f t="shared" si="0"/>
        <v>0.60724637090178057</v>
      </c>
      <c r="X5" s="164">
        <f t="shared" si="0"/>
        <v>0.58671146947031949</v>
      </c>
      <c r="Y5" s="164">
        <f t="shared" si="0"/>
        <v>0.56687098499547783</v>
      </c>
      <c r="Z5" s="164">
        <f t="shared" si="0"/>
        <v>0.54770143477823952</v>
      </c>
      <c r="AA5" s="164">
        <f t="shared" si="0"/>
        <v>0.52918013022052135</v>
      </c>
      <c r="AB5" s="164">
        <f t="shared" si="0"/>
        <v>0.5112851499715183</v>
      </c>
      <c r="AC5" s="164">
        <f t="shared" si="0"/>
        <v>0.4939953139821433</v>
      </c>
      <c r="AD5" s="164">
        <f t="shared" si="0"/>
        <v>0.47729015843685346</v>
      </c>
      <c r="AE5" s="164">
        <f t="shared" si="0"/>
        <v>0.46114991153319179</v>
      </c>
      <c r="AF5" s="164">
        <f t="shared" si="0"/>
        <v>0.4455554700803786</v>
      </c>
      <c r="AG5" s="164">
        <f t="shared" si="0"/>
        <v>0.43048837688925473</v>
      </c>
    </row>
    <row r="6" spans="1:34" s="2" customFormat="1" ht="13" hidden="1" outlineLevel="1" x14ac:dyDescent="0.3">
      <c r="A6" s="165" t="str">
        <f>'Option1 (base case)'!A6</f>
        <v>Count</v>
      </c>
      <c r="B6" s="86"/>
      <c r="C6" s="87"/>
      <c r="D6" s="86"/>
      <c r="E6" s="86"/>
      <c r="F6" s="86"/>
      <c r="G6" s="89"/>
      <c r="H6" s="165">
        <f>'Option1 (base case)'!H6</f>
        <v>0</v>
      </c>
      <c r="I6" s="165">
        <f>'Option1 (base case)'!I6</f>
        <v>1</v>
      </c>
      <c r="J6" s="165">
        <f>'Option1 (base case)'!J6</f>
        <v>2</v>
      </c>
      <c r="K6" s="165">
        <f>'Option1 (base case)'!K6</f>
        <v>3</v>
      </c>
      <c r="L6" s="165">
        <f>'Option1 (base case)'!L6</f>
        <v>4</v>
      </c>
      <c r="M6" s="165">
        <f>'Option1 (base case)'!M6</f>
        <v>5</v>
      </c>
      <c r="N6" s="165">
        <f>'Option1 (base case)'!N6</f>
        <v>6</v>
      </c>
      <c r="O6" s="165">
        <f>'Option1 (base case)'!O6</f>
        <v>7</v>
      </c>
      <c r="P6" s="165">
        <f>'Option1 (base case)'!P6</f>
        <v>8</v>
      </c>
      <c r="Q6" s="165">
        <f>'Option1 (base case)'!Q6</f>
        <v>9</v>
      </c>
      <c r="R6" s="165">
        <f>'Option1 (base case)'!R6</f>
        <v>10</v>
      </c>
      <c r="S6" s="165">
        <f>'Option1 (base case)'!S6</f>
        <v>11</v>
      </c>
      <c r="T6" s="165">
        <f>'Option1 (base case)'!T6</f>
        <v>12</v>
      </c>
      <c r="U6" s="165">
        <f>'Option1 (base case)'!U6</f>
        <v>13</v>
      </c>
      <c r="V6" s="165">
        <f>'Option1 (base case)'!V6</f>
        <v>14</v>
      </c>
      <c r="W6" s="165">
        <f>'Option1 (base case)'!W6</f>
        <v>15</v>
      </c>
      <c r="X6" s="165">
        <f>'Option1 (base case)'!X6</f>
        <v>16</v>
      </c>
      <c r="Y6" s="165">
        <f>'Option1 (base case)'!Y6</f>
        <v>17</v>
      </c>
      <c r="Z6" s="165">
        <f>'Option1 (base case)'!Z6</f>
        <v>18</v>
      </c>
      <c r="AA6" s="165">
        <f>'Option1 (base case)'!AA6</f>
        <v>19</v>
      </c>
      <c r="AB6" s="165">
        <f>'Option1 (base case)'!AB6</f>
        <v>20</v>
      </c>
      <c r="AC6" s="165">
        <f>'Option1 (base case)'!AC6</f>
        <v>21</v>
      </c>
      <c r="AD6" s="165">
        <f>'Option1 (base case)'!AD6</f>
        <v>22</v>
      </c>
      <c r="AE6" s="165">
        <f>'Option1 (base case)'!AE6</f>
        <v>23</v>
      </c>
      <c r="AF6" s="165">
        <f>'Option1 (base case)'!AF6</f>
        <v>24</v>
      </c>
      <c r="AG6" s="165">
        <f>'Option1 (base case)'!AG6</f>
        <v>25</v>
      </c>
    </row>
    <row r="7" spans="1:34" s="2" customFormat="1" ht="13" hidden="1" outlineLevel="1" x14ac:dyDescent="0.3">
      <c r="A7" s="86" t="s">
        <v>163</v>
      </c>
      <c r="B7" s="86"/>
      <c r="C7" s="87"/>
      <c r="D7" s="86"/>
      <c r="E7" s="86"/>
      <c r="F7" s="86"/>
      <c r="G7" s="89"/>
      <c r="H7" s="89" t="b">
        <f t="shared" ref="H7:AG7" si="1">H$6&lt;(first_year+years)</f>
        <v>1</v>
      </c>
      <c r="I7" s="89" t="b">
        <f t="shared" si="1"/>
        <v>1</v>
      </c>
      <c r="J7" s="89" t="b">
        <f t="shared" si="1"/>
        <v>1</v>
      </c>
      <c r="K7" s="89" t="b">
        <f t="shared" si="1"/>
        <v>1</v>
      </c>
      <c r="L7" s="89" t="b">
        <f t="shared" si="1"/>
        <v>1</v>
      </c>
      <c r="M7" s="89" t="b">
        <f t="shared" si="1"/>
        <v>1</v>
      </c>
      <c r="N7" s="89" t="b">
        <f t="shared" si="1"/>
        <v>1</v>
      </c>
      <c r="O7" s="89" t="b">
        <f t="shared" si="1"/>
        <v>1</v>
      </c>
      <c r="P7" s="89" t="b">
        <f t="shared" si="1"/>
        <v>1</v>
      </c>
      <c r="Q7" s="89" t="b">
        <f t="shared" si="1"/>
        <v>1</v>
      </c>
      <c r="R7" s="89" t="b">
        <f t="shared" si="1"/>
        <v>1</v>
      </c>
      <c r="S7" s="89" t="b">
        <f t="shared" si="1"/>
        <v>1</v>
      </c>
      <c r="T7" s="89" t="b">
        <f t="shared" si="1"/>
        <v>1</v>
      </c>
      <c r="U7" s="89" t="b">
        <f t="shared" si="1"/>
        <v>1</v>
      </c>
      <c r="V7" s="89" t="b">
        <f t="shared" si="1"/>
        <v>1</v>
      </c>
      <c r="W7" s="89" t="b">
        <f t="shared" si="1"/>
        <v>1</v>
      </c>
      <c r="X7" s="89" t="b">
        <f t="shared" si="1"/>
        <v>1</v>
      </c>
      <c r="Y7" s="89" t="b">
        <f t="shared" si="1"/>
        <v>1</v>
      </c>
      <c r="Z7" s="89" t="b">
        <f t="shared" si="1"/>
        <v>1</v>
      </c>
      <c r="AA7" s="89" t="b">
        <f t="shared" si="1"/>
        <v>1</v>
      </c>
      <c r="AB7" s="89" t="b">
        <f t="shared" si="1"/>
        <v>1</v>
      </c>
      <c r="AC7" s="89" t="b">
        <f t="shared" si="1"/>
        <v>0</v>
      </c>
      <c r="AD7" s="89" t="b">
        <f t="shared" si="1"/>
        <v>0</v>
      </c>
      <c r="AE7" s="89" t="b">
        <f t="shared" si="1"/>
        <v>0</v>
      </c>
      <c r="AF7" s="89" t="b">
        <f t="shared" si="1"/>
        <v>0</v>
      </c>
      <c r="AG7" s="89" t="b">
        <f t="shared" si="1"/>
        <v>0</v>
      </c>
    </row>
    <row r="8" spans="1:34" s="2" customFormat="1" ht="11.25" customHeight="1" collapsed="1" x14ac:dyDescent="0.3"/>
    <row r="9" spans="1:34" s="2" customFormat="1" ht="14.5" x14ac:dyDescent="0.35">
      <c r="A9" s="17"/>
      <c r="B9" s="17"/>
      <c r="C9" s="17"/>
      <c r="D9" s="17"/>
      <c r="E9" s="73"/>
      <c r="F9" s="17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ht="13" x14ac:dyDescent="0.3">
      <c r="C10" s="7"/>
      <c r="D10" s="7"/>
      <c r="F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4.5" x14ac:dyDescent="0.3">
      <c r="A11" s="78" t="s">
        <v>164</v>
      </c>
      <c r="B11" s="78"/>
      <c r="C11" s="79"/>
      <c r="D11" s="79"/>
      <c r="E11" s="79"/>
      <c r="F11" s="63" t="s">
        <v>4</v>
      </c>
      <c r="G11" s="196"/>
      <c r="H11" s="103" t="str" cm="1">
        <f t="array" ref="H11">IF(H6=$C$4,UPPER($A$4),IF(H6=end,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4" s="2" customFormat="1" ht="13" x14ac:dyDescent="0.3">
      <c r="A12" s="7"/>
      <c r="B12" s="7"/>
      <c r="C12" s="7"/>
      <c r="D12" s="7"/>
      <c r="F12" s="7"/>
      <c r="G12" s="198"/>
      <c r="H12" s="7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</row>
    <row r="13" spans="1:34" s="2" customFormat="1" ht="13" x14ac:dyDescent="0.3">
      <c r="A13" s="52"/>
      <c r="B13" s="52"/>
      <c r="C13" s="52"/>
      <c r="D13" s="7"/>
      <c r="F13" s="7"/>
      <c r="G13" s="195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ht="13" x14ac:dyDescent="0.3">
      <c r="A14" s="52" t="str">
        <f>A15</f>
        <v>Option 1 (base case)</v>
      </c>
      <c r="B14" s="52"/>
      <c r="C14" s="52" t="s">
        <v>118</v>
      </c>
      <c r="D14" s="34" t="str">
        <f t="shared" ref="D14:D25" si="2">A14&amp;C14</f>
        <v>Option 1 (base case)Energy at risk value</v>
      </c>
      <c r="F14" s="85">
        <f>SUMPRODUCT($H14:$AG14, $H$5:$AG$5)</f>
        <v>6838904.9210751243</v>
      </c>
      <c r="G14" s="199">
        <f>output_dollars</f>
        <v>46203</v>
      </c>
      <c r="H14" s="28"/>
      <c r="I14" s="28">
        <f>'Option1 (base case)'!I$28*conv_2026</f>
        <v>315763.59635977156</v>
      </c>
      <c r="J14" s="28">
        <f>'Option1 (base case)'!J$28*conv_2026</f>
        <v>326793.47233660921</v>
      </c>
      <c r="K14" s="28">
        <f>'Option1 (base case)'!K$28*conv_2026</f>
        <v>336627.96452343802</v>
      </c>
      <c r="L14" s="28">
        <f>'Option1 (base case)'!L$28*conv_2026</f>
        <v>344338.29618630081</v>
      </c>
      <c r="M14" s="28">
        <f>'Option1 (base case)'!M$28*conv_2026</f>
        <v>348841.80639886443</v>
      </c>
      <c r="N14" s="28">
        <f>'Option1 (base case)'!N$28*conv_2026</f>
        <v>354749.17156901141</v>
      </c>
      <c r="O14" s="28">
        <f>'Option1 (base case)'!O$28*conv_2026</f>
        <v>366194.14061856671</v>
      </c>
      <c r="P14" s="28">
        <f>'Option1 (base case)'!P$28*conv_2026</f>
        <v>379449.30346499401</v>
      </c>
      <c r="Q14" s="28">
        <f>'Option1 (base case)'!Q$28*conv_2026</f>
        <v>383908.7447127644</v>
      </c>
      <c r="R14" s="28">
        <f>'Option1 (base case)'!R$28*conv_2026</f>
        <v>393075.83146723197</v>
      </c>
      <c r="S14" s="28">
        <f>'Option1 (base case)'!S$28*conv_2026</f>
        <v>402334.00165393623</v>
      </c>
      <c r="T14" s="28">
        <f>'Option1 (base case)'!T$28*conv_2026</f>
        <v>411682.97444804898</v>
      </c>
      <c r="U14" s="28">
        <f>'Option1 (base case)'!U$28*conv_2026</f>
        <v>421122.47717222571</v>
      </c>
      <c r="V14" s="28">
        <f>'Option1 (base case)'!V$28*conv_2026</f>
        <v>430652.23746620497</v>
      </c>
      <c r="W14" s="28">
        <f>'Option1 (base case)'!W$28*conv_2026</f>
        <v>440271.99502884003</v>
      </c>
      <c r="X14" s="28">
        <f>'Option1 (base case)'!X$28*conv_2026</f>
        <v>449981.49378946389</v>
      </c>
      <c r="Y14" s="28">
        <f>'Option1 (base case)'!Y$28*conv_2026</f>
        <v>459780.48974410066</v>
      </c>
      <c r="Z14" s="28">
        <f>'Option1 (base case)'!Z$28*conv_2026</f>
        <v>469668.73135961348</v>
      </c>
      <c r="AA14" s="28">
        <f>'Option1 (base case)'!AA$28*conv_2026</f>
        <v>479645.98308583355</v>
      </c>
      <c r="AB14" s="28">
        <f>'Option1 (base case)'!AB$28*conv_2026</f>
        <v>489712.00967748225</v>
      </c>
      <c r="AC14" s="28">
        <f>'Option1 (base case)'!AC$28*conv_2026</f>
        <v>499866.58795993042</v>
      </c>
      <c r="AD14" s="28">
        <f>'Option1 (base case)'!AD$28*conv_2026</f>
        <v>510109.49506145134</v>
      </c>
      <c r="AE14" s="28">
        <f>'Option1 (base case)'!AE$28*conv_2026</f>
        <v>520440.50840486051</v>
      </c>
      <c r="AF14" s="28">
        <f>'Option1 (base case)'!AF$28*conv_2026</f>
        <v>530859.4214141228</v>
      </c>
      <c r="AG14" s="28">
        <f>'Option1 (base case)'!AG$28*conv_2026</f>
        <v>541366.01995214063</v>
      </c>
    </row>
    <row r="15" spans="1:34" s="1" customFormat="1" ht="13" x14ac:dyDescent="0.3">
      <c r="A15" s="115" t="str">
        <f>Data!B9</f>
        <v>Option 1 (base case)</v>
      </c>
      <c r="B15" s="115"/>
      <c r="C15" s="52" t="str">
        <f>'Option1 (base case)'!C$66</f>
        <v>Capital expenditure</v>
      </c>
      <c r="D15" s="34" t="str">
        <f t="shared" si="2"/>
        <v>Option 1 (base case)Capital expenditure</v>
      </c>
      <c r="F15" s="85">
        <f>SUMPRODUCT($H15:$AG15, $H$5:$AG$5)</f>
        <v>0</v>
      </c>
      <c r="G15" s="199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ht="13" x14ac:dyDescent="0.3">
      <c r="A16" s="115" t="str">
        <f t="shared" ref="A16:A25" si="3">A15</f>
        <v>Option 1 (base case)</v>
      </c>
      <c r="B16" s="115"/>
      <c r="C16" s="52" t="str">
        <f>'Option1 (base case)'!C$36</f>
        <v>Total risk cost</v>
      </c>
      <c r="D16" s="34" t="str">
        <f t="shared" si="2"/>
        <v>Option 1 (base case)Total risk cost</v>
      </c>
      <c r="F16" s="96" cm="1">
        <f t="array" ref="F16">SUMPRODUCT(($H16:$AG16)*($H$5:$AG$5)*($H$7:$AG$7))</f>
        <v>8417666.6046275832</v>
      </c>
      <c r="G16" s="199">
        <f>output_dollars</f>
        <v>46203</v>
      </c>
      <c r="H16" s="28"/>
      <c r="I16" s="28">
        <f>'Option1 (base case)'!I$36*conv_2026</f>
        <v>501026.49596568319</v>
      </c>
      <c r="J16" s="28">
        <f>'Option1 (base case)'!J$36*conv_2026</f>
        <v>512836.73132127238</v>
      </c>
      <c r="K16" s="28">
        <f>'Option1 (base case)'!K$36*conv_2026</f>
        <v>523460.03270160354</v>
      </c>
      <c r="L16" s="28">
        <f>'Option1 (base case)'!L$36*conv_2026</f>
        <v>531967.58471319999</v>
      </c>
      <c r="M16" s="28">
        <f>'Option1 (base case)'!M$36*conv_2026</f>
        <v>537276.68777020939</v>
      </c>
      <c r="N16" s="28">
        <f>'Option1 (base case)'!N$36*conv_2026</f>
        <v>543997.98215012241</v>
      </c>
      <c r="O16" s="28">
        <f>'Option1 (base case)'!O$36*conv_2026</f>
        <v>556265.17956046015</v>
      </c>
      <c r="P16" s="28">
        <f>'Option1 (base case)'!P$36*conv_2026</f>
        <v>570350.83451090264</v>
      </c>
      <c r="Q16" s="28">
        <f>'Option1 (base case)'!Q$36*conv_2026</f>
        <v>575648.99692074431</v>
      </c>
      <c r="R16" s="28">
        <f>'Option1 (base case)'!R$36*conv_2026</f>
        <v>585662.99848755542</v>
      </c>
      <c r="S16" s="28">
        <f>'Option1 (base case)'!S$36*conv_2026</f>
        <v>595776.24389691523</v>
      </c>
      <c r="T16" s="28">
        <f>'Option1 (base case)'!T$36*conv_2026</f>
        <v>605988.41908403451</v>
      </c>
      <c r="U16" s="28">
        <f>'Option1 (base case)'!U$36*conv_2026</f>
        <v>616299.21885421628</v>
      </c>
      <c r="V16" s="28">
        <f>'Option1 (base case)'!V$36*conv_2026</f>
        <v>626708.33832984639</v>
      </c>
      <c r="W16" s="28">
        <f>'Option1 (base case)'!W$36*conv_2026</f>
        <v>637215.48577633686</v>
      </c>
      <c r="X16" s="28">
        <f>'Option1 (base case)'!X$36*conv_2026</f>
        <v>647820.37405088439</v>
      </c>
      <c r="Y16" s="28">
        <f>'Option1 (base case)'!Y$36*conv_2026</f>
        <v>658522.72916128696</v>
      </c>
      <c r="Z16" s="28">
        <f>'Option1 (base case)'!Z$36*conv_2026</f>
        <v>669322.26886357542</v>
      </c>
      <c r="AA16" s="28">
        <f>'Option1 (base case)'!AA$36*conv_2026</f>
        <v>680218.72834196279</v>
      </c>
      <c r="AB16" s="28">
        <f>'Option1 (base case)'!AB$36*conv_2026</f>
        <v>691211.84308555373</v>
      </c>
      <c r="AC16" s="28">
        <f>'Option1 (base case)'!AC$36*conv_2026</f>
        <v>702301.36173801275</v>
      </c>
      <c r="AD16" s="28">
        <f>'Option1 (base case)'!AD$36*conv_2026</f>
        <v>713487.03324590798</v>
      </c>
      <c r="AE16" s="28">
        <f>'Option1 (base case)'!AE$36*conv_2026</f>
        <v>723818.04658931727</v>
      </c>
      <c r="AF16" s="28">
        <f>'Option1 (base case)'!AF$36*conv_2026</f>
        <v>734236.95959857956</v>
      </c>
      <c r="AG16" s="28">
        <f>'Option1 (base case)'!AG$36*conv_2026</f>
        <v>744743.55813659739</v>
      </c>
    </row>
    <row r="17" spans="1:33" s="1" customFormat="1" x14ac:dyDescent="0.3">
      <c r="A17" s="115" t="str">
        <f t="shared" si="3"/>
        <v>Option 1 (base case)</v>
      </c>
      <c r="B17" s="115"/>
      <c r="C17" s="12"/>
      <c r="D17" s="34" t="str">
        <f t="shared" si="2"/>
        <v>Option 1 (base case)</v>
      </c>
      <c r="F17"/>
      <c r="G17" s="200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ht="13" x14ac:dyDescent="0.3">
      <c r="A18" s="115" t="str">
        <f t="shared" si="3"/>
        <v>Option 1 (base case)</v>
      </c>
      <c r="B18" s="115"/>
      <c r="C18" s="52" t="str">
        <f>'Option1 (base case)'!C$82</f>
        <v>Annualised capex</v>
      </c>
      <c r="D18" s="34" t="str">
        <f t="shared" si="2"/>
        <v>Option 1 (base case)Annualised capex</v>
      </c>
      <c r="F18" s="85">
        <f>SUMPRODUCT($H18:$AG18, $H$5:$AG$5)</f>
        <v>0</v>
      </c>
      <c r="G18" s="199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ht="13" x14ac:dyDescent="0.3">
      <c r="A19" s="115" t="str">
        <f t="shared" si="3"/>
        <v>Option 1 (base case)</v>
      </c>
      <c r="B19" s="115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5">
        <f>SUMPRODUCT($H19:$AG19, $H$5:$AG$5)</f>
        <v>0</v>
      </c>
      <c r="G19" s="199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ht="13" x14ac:dyDescent="0.3">
      <c r="A20" s="115" t="str">
        <f t="shared" si="3"/>
        <v>Option 1 (base case)</v>
      </c>
      <c r="B20" s="115"/>
      <c r="C20" s="52" t="str">
        <f>'Option1 (base case)'!C$84</f>
        <v>Risk mitigated</v>
      </c>
      <c r="D20" s="34" t="str">
        <f t="shared" si="2"/>
        <v>Option 1 (base case)Risk mitigated</v>
      </c>
      <c r="F20" s="85">
        <f>SUMPRODUCT($H20:$AG20, $H$5:$AG$5)</f>
        <v>0</v>
      </c>
      <c r="G20" s="199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ht="13" x14ac:dyDescent="0.3">
      <c r="A21" s="115" t="str">
        <f t="shared" si="3"/>
        <v>Option 1 (base case)</v>
      </c>
      <c r="B21" s="115"/>
      <c r="C21" s="52" t="str">
        <f>'Option1 (base case)'!C$85</f>
        <v>Other benefits value</v>
      </c>
      <c r="D21" s="34" t="str">
        <f t="shared" si="2"/>
        <v>Option 1 (base case)Other benefits value</v>
      </c>
      <c r="F21" s="85">
        <f>SUMPRODUCT($H21:$AG21, $H$5:$AG$5)</f>
        <v>0</v>
      </c>
      <c r="G21" s="199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ht="13" x14ac:dyDescent="0.3">
      <c r="A22" s="115" t="str">
        <f t="shared" si="3"/>
        <v>Option 1 (base case)</v>
      </c>
      <c r="B22" s="115"/>
      <c r="C22" s="123" t="str">
        <f>'Option1 (base case)'!C$87</f>
        <v>Net benefits</v>
      </c>
      <c r="D22" s="97" t="str">
        <f t="shared" si="2"/>
        <v>Option 1 (base case)Net benefits</v>
      </c>
      <c r="E22" s="98"/>
      <c r="F22" s="122"/>
      <c r="G22" s="201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ht="13" x14ac:dyDescent="0.3">
      <c r="A23" s="115" t="str">
        <f t="shared" si="3"/>
        <v>Option 1 (base case)</v>
      </c>
      <c r="B23" s="115"/>
      <c r="C23" s="6" t="s">
        <v>22</v>
      </c>
      <c r="D23" s="34" t="str">
        <f t="shared" si="2"/>
        <v>Option 1 (base case)NPV</v>
      </c>
      <c r="F23" s="96" cm="1">
        <f t="array" ref="F23">SUMPRODUCT(($H22:$AG22)*($H$5:$AG$5)*($H$7:$AG$7))</f>
        <v>0</v>
      </c>
      <c r="G23" s="199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ht="13" x14ac:dyDescent="0.3">
      <c r="A24" s="115" t="str">
        <f t="shared" si="3"/>
        <v>Option 1 (base case)</v>
      </c>
      <c r="B24" s="115"/>
      <c r="C24" s="6" t="s">
        <v>25</v>
      </c>
      <c r="D24" s="34" t="str">
        <f t="shared" si="2"/>
        <v>Option 1 (base case)PV of costs</v>
      </c>
      <c r="F24" s="96">
        <f>SUM(F18:F19)</f>
        <v>0</v>
      </c>
      <c r="G24" s="199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ht="13" x14ac:dyDescent="0.3">
      <c r="A25" s="115" t="str">
        <f t="shared" si="3"/>
        <v>Option 1 (base case)</v>
      </c>
      <c r="B25" s="115"/>
      <c r="C25" s="6" t="s">
        <v>26</v>
      </c>
      <c r="D25" s="34" t="str">
        <f t="shared" si="2"/>
        <v>Option 1 (base case)PV of benefits</v>
      </c>
      <c r="F25" s="96">
        <f>SUM(F20:F21)</f>
        <v>0</v>
      </c>
      <c r="G25" s="199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ht="13" x14ac:dyDescent="0.3">
      <c r="D26" s="34" t="str">
        <f t="shared" ref="D26:D39" si="6">A26&amp;C26</f>
        <v/>
      </c>
      <c r="G26" s="202"/>
    </row>
    <row r="27" spans="1:33" s="2" customFormat="1" ht="13" x14ac:dyDescent="0.3">
      <c r="A27" s="52"/>
      <c r="B27" s="52"/>
      <c r="C27" s="52"/>
      <c r="D27" s="34" t="str">
        <f t="shared" si="6"/>
        <v/>
      </c>
      <c r="F27" s="7"/>
      <c r="G27" s="195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ht="13" x14ac:dyDescent="0.3">
      <c r="A28" s="52" t="str">
        <f>A29</f>
        <v>Option 2</v>
      </c>
      <c r="B28" s="52"/>
      <c r="C28" s="52" t="s">
        <v>118</v>
      </c>
      <c r="D28" s="34" t="str">
        <f t="shared" si="6"/>
        <v>Option 2Energy at risk value</v>
      </c>
      <c r="F28" s="85">
        <f>SUMPRODUCT($H28:$AG28, $H$5:$AG$5)</f>
        <v>1783590.1789725879</v>
      </c>
      <c r="G28" s="199">
        <f>output_dollars</f>
        <v>46203</v>
      </c>
      <c r="H28" s="28"/>
      <c r="I28" s="28">
        <f>Option2!I$28*conv_2026</f>
        <v>315763.59635977156</v>
      </c>
      <c r="J28" s="28">
        <f>Option2!J$28*conv_2026</f>
        <v>326793.47233660921</v>
      </c>
      <c r="K28" s="28">
        <f>Option2!K$28*conv_2026</f>
        <v>9511.4198423465659</v>
      </c>
      <c r="L28" s="28">
        <f>Option2!L$28*conv_2026</f>
        <v>17314.001024052326</v>
      </c>
      <c r="M28" s="28">
        <f>Option2!M$28*conv_2026</f>
        <v>24447.846022261339</v>
      </c>
      <c r="N28" s="28">
        <f>Option2!N$28*conv_2026</f>
        <v>31356.741285821641</v>
      </c>
      <c r="O28" s="28">
        <f>Option2!O$28*conv_2026</f>
        <v>38651.911413784161</v>
      </c>
      <c r="P28" s="28">
        <f>Option2!P$28*conv_2026</f>
        <v>46202.809668544425</v>
      </c>
      <c r="Q28" s="28">
        <f>Option2!Q$28*conv_2026</f>
        <v>52658.738460683693</v>
      </c>
      <c r="R28" s="28">
        <f>Option2!R$28*conv_2026</f>
        <v>59690.593983357379</v>
      </c>
      <c r="S28" s="28">
        <f>Option2!S$28*conv_2026</f>
        <v>66751.141833448579</v>
      </c>
      <c r="T28" s="28">
        <f>Option2!T$28*conv_2026</f>
        <v>73851.383338405736</v>
      </c>
      <c r="U28" s="28">
        <f>Option2!U$28*conv_2026</f>
        <v>80999.648480329473</v>
      </c>
      <c r="V28" s="28">
        <f>Option2!V$28*conv_2026</f>
        <v>88202.435273327617</v>
      </c>
      <c r="W28" s="28">
        <f>Option2!W$28*conv_2026</f>
        <v>95464.894391200549</v>
      </c>
      <c r="X28" s="28">
        <f>Option2!X$28*conv_2026</f>
        <v>102791.1594873444</v>
      </c>
      <c r="Y28" s="28">
        <f>Option2!Y$28*conv_2026</f>
        <v>110184.59657253732</v>
      </c>
      <c r="Z28" s="28">
        <f>Option2!Z$28*conv_2026</f>
        <v>117647.9793825057</v>
      </c>
      <c r="AA28" s="28">
        <f>Option2!AA$28*conv_2026</f>
        <v>125183.61567051872</v>
      </c>
      <c r="AB28" s="28">
        <f>Option2!AB$28*conv_2026</f>
        <v>132793.41541854729</v>
      </c>
      <c r="AC28" s="28">
        <f>Option2!AC$28*conv_2026</f>
        <v>140479.00247413394</v>
      </c>
      <c r="AD28" s="28">
        <f>Option2!AD$28*conv_2026</f>
        <v>148241.74425076667</v>
      </c>
      <c r="AE28" s="28">
        <f>Option2!AE$28*conv_2026</f>
        <v>156082.78862436069</v>
      </c>
      <c r="AF28" s="28">
        <f>Option2!AF$28*conv_2026</f>
        <v>164003.12797559163</v>
      </c>
      <c r="AG28" s="28">
        <f>Option2!AG$28*conv_2026</f>
        <v>172003.59364897455</v>
      </c>
    </row>
    <row r="29" spans="1:33" s="2" customFormat="1" ht="13" x14ac:dyDescent="0.3">
      <c r="A29" s="115" t="str">
        <f>Data!B10</f>
        <v>Option 2</v>
      </c>
      <c r="B29" s="115"/>
      <c r="C29" s="52" t="str">
        <f>Option2!C$66</f>
        <v>Capital expenditure</v>
      </c>
      <c r="D29" s="34" t="str">
        <f t="shared" si="6"/>
        <v>Option 2Capital expenditure</v>
      </c>
      <c r="E29" s="1"/>
      <c r="F29" s="85" cm="1">
        <f t="array" ref="F29">SUMPRODUCT(($H29:$AG29)*($H$5:$AG$5)*($H$7:$AG$7))</f>
        <v>-6565366.0493664984</v>
      </c>
      <c r="G29" s="199">
        <f>output_dollars</f>
        <v>46203</v>
      </c>
      <c r="H29" s="28"/>
      <c r="I29" s="28">
        <f>SUM(Option2!I$67:I$69)*conv_2026*I$7</f>
        <v>-4503613.267626985</v>
      </c>
      <c r="J29" s="28">
        <f>SUM(Option2!J$67:J$69)*conv_2026*J$7</f>
        <v>-2251806.6338134925</v>
      </c>
      <c r="K29" s="28">
        <f>SUM(Option2!K$67:K$69)*conv_2026*K$7</f>
        <v>0</v>
      </c>
      <c r="L29" s="28">
        <f>SUM(Option2!L$67:L$69)*conv_2026*L$7</f>
        <v>0</v>
      </c>
      <c r="M29" s="28">
        <f>SUM(Option2!M$67:M$69)*conv_2026*M$7</f>
        <v>0</v>
      </c>
      <c r="N29" s="28">
        <f>SUM(Option2!N$67:N$69)*conv_2026*N$7</f>
        <v>0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ht="13" x14ac:dyDescent="0.3">
      <c r="A30" s="115" t="str">
        <f t="shared" ref="A30:A39" si="7">A29</f>
        <v>Option 2</v>
      </c>
      <c r="B30" s="115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5" cm="1">
        <f t="array" ref="F30">SUMPRODUCT(($H30:$AG30)*($H$5:$AG$5)*($H$7:$AG$7))</f>
        <v>2511752.3635362657</v>
      </c>
      <c r="G30" s="199">
        <f>output_dollars</f>
        <v>46203</v>
      </c>
      <c r="H30" s="28"/>
      <c r="I30" s="28">
        <f>Option2!I$36*conv_2026*I$7</f>
        <v>501026.49596568319</v>
      </c>
      <c r="J30" s="28">
        <f>Option2!J$36*conv_2026*J$7</f>
        <v>512836.73132127238</v>
      </c>
      <c r="K30" s="28">
        <f>Option2!K$36*conv_2026*K$7</f>
        <v>63928.825645485384</v>
      </c>
      <c r="L30" s="28">
        <f>Option2!L$36*conv_2026*L$7</f>
        <v>72157.949768830164</v>
      </c>
      <c r="M30" s="28">
        <f>Option2!M$36*conv_2026*M$7</f>
        <v>79734.63359933121</v>
      </c>
      <c r="N30" s="28">
        <f>Option2!N$36*conv_2026*N$7</f>
        <v>87101.205363220026</v>
      </c>
      <c r="O30" s="28">
        <f>Option2!O$36*conv_2026*O$7</f>
        <v>94867.972850853359</v>
      </c>
      <c r="P30" s="28">
        <f>Option2!P$36*conv_2026*P$7</f>
        <v>102903.7321127983</v>
      </c>
      <c r="Q30" s="28">
        <f>Option2!Q$36*conv_2026*Q$7</f>
        <v>109857.27846958597</v>
      </c>
      <c r="R30" s="28">
        <f>Option2!R$36*conv_2026*R$7</f>
        <v>117399.09803442388</v>
      </c>
      <c r="S30" s="28">
        <f>Option2!S$36*conv_2026*S$7</f>
        <v>124981.61443003592</v>
      </c>
      <c r="T30" s="28">
        <f>Option2!T$36*conv_2026*T$7</f>
        <v>132615.53668900009</v>
      </c>
      <c r="U30" s="28">
        <f>Option2!U$36*conv_2026*U$7</f>
        <v>140308.93971285038</v>
      </c>
      <c r="V30" s="28">
        <f>Option2!V$36*conv_2026*V$7</f>
        <v>148068.09606204915</v>
      </c>
      <c r="W30" s="28">
        <f>Option2!W$36*conv_2026*W$7</f>
        <v>155897.95498346208</v>
      </c>
      <c r="X30" s="28">
        <f>Option2!X$36*conv_2026*X$7</f>
        <v>163802.46785265818</v>
      </c>
      <c r="Y30" s="28">
        <f>Option2!Y$36*conv_2026*Y$7</f>
        <v>171784.83484191689</v>
      </c>
      <c r="Z30" s="28">
        <f>Option2!Z$36*conv_2026*Z$7</f>
        <v>179847.67703605883</v>
      </c>
      <c r="AA30" s="28">
        <f>Option2!AA$36*conv_2026*AA$7</f>
        <v>187993.1618217807</v>
      </c>
      <c r="AB30" s="28">
        <f>Option2!AB$36*conv_2026*AB$7</f>
        <v>196223.06820838281</v>
      </c>
      <c r="AC30" s="28">
        <f>Option2!AC$36*conv_2026*AC$7</f>
        <v>0</v>
      </c>
      <c r="AD30" s="28">
        <f>Option2!AD$36*conv_2026*AD$7</f>
        <v>0</v>
      </c>
      <c r="AE30" s="28">
        <f>Option2!AE$36*conv_2026*AE$7</f>
        <v>0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3">
      <c r="A31" s="115" t="str">
        <f t="shared" si="7"/>
        <v>Option 2</v>
      </c>
      <c r="B31" s="115"/>
      <c r="C31" s="12"/>
      <c r="D31" s="34" t="str">
        <f t="shared" si="6"/>
        <v>Option 2</v>
      </c>
      <c r="E31" s="1"/>
      <c r="F31" s="85"/>
      <c r="G31" s="200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ht="13" x14ac:dyDescent="0.3">
      <c r="A32" s="115" t="str">
        <f t="shared" si="7"/>
        <v>Option 2</v>
      </c>
      <c r="B32" s="115"/>
      <c r="C32" s="52" t="str">
        <f>Option2!C$82</f>
        <v>Annualised capex</v>
      </c>
      <c r="D32" s="34" t="str">
        <f t="shared" si="6"/>
        <v>Option 2Annualised capex</v>
      </c>
      <c r="E32" s="1"/>
      <c r="F32" s="85" cm="1">
        <f t="array" ref="F32">SUMPRODUCT(($H32:$AG32)*($H$5:$AG$5)*($H$7:$AG$7))</f>
        <v>-3790039.5414257324</v>
      </c>
      <c r="G32" s="199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-192005.74005206104</v>
      </c>
      <c r="K32" s="28">
        <f>Option2!K$82*conv_2026*K$7</f>
        <v>-288008.61007809156</v>
      </c>
      <c r="L32" s="28">
        <f>Option2!L$82*conv_2026*L$7</f>
        <v>-288008.61007809156</v>
      </c>
      <c r="M32" s="28">
        <f>Option2!M$82*conv_2026*M$7</f>
        <v>-288008.61007809156</v>
      </c>
      <c r="N32" s="28">
        <f>Option2!N$82*conv_2026*N$7</f>
        <v>-288008.61007809156</v>
      </c>
      <c r="O32" s="28">
        <f>Option2!O$82*conv_2026*O$7</f>
        <v>-288008.61007809156</v>
      </c>
      <c r="P32" s="28">
        <f>Option2!P$82*conv_2026*P$7</f>
        <v>-288008.61007809156</v>
      </c>
      <c r="Q32" s="28">
        <f>Option2!Q$82*conv_2026*Q$7</f>
        <v>-288008.61007809156</v>
      </c>
      <c r="R32" s="28">
        <f>Option2!R$82*conv_2026*R$7</f>
        <v>-288008.61007809156</v>
      </c>
      <c r="S32" s="28">
        <f>Option2!S$82*conv_2026*S$7</f>
        <v>-288008.61007809156</v>
      </c>
      <c r="T32" s="28">
        <f>Option2!T$82*conv_2026*T$7</f>
        <v>-288008.61007809156</v>
      </c>
      <c r="U32" s="28">
        <f>Option2!U$82*conv_2026*U$7</f>
        <v>-288008.61007809156</v>
      </c>
      <c r="V32" s="28">
        <f>Option2!V$82*conv_2026*V$7</f>
        <v>-288008.61007809156</v>
      </c>
      <c r="W32" s="28">
        <f>Option2!W$82*conv_2026*W$7</f>
        <v>-288008.61007809156</v>
      </c>
      <c r="X32" s="28">
        <f>Option2!X$82*conv_2026*X$7</f>
        <v>-288008.61007809156</v>
      </c>
      <c r="Y32" s="28">
        <f>Option2!Y$82*conv_2026*Y$7</f>
        <v>-288008.61007809156</v>
      </c>
      <c r="Z32" s="28">
        <f>Option2!Z$82*conv_2026*Z$7</f>
        <v>-288008.61007809156</v>
      </c>
      <c r="AA32" s="28">
        <f>Option2!AA$82*conv_2026*AA$7</f>
        <v>-288008.61007809156</v>
      </c>
      <c r="AB32" s="28">
        <f>Option2!AB$82*conv_2026*AB$7</f>
        <v>-288008.61007809156</v>
      </c>
      <c r="AC32" s="28">
        <f>Option2!AC$82*conv_2026*AC$7</f>
        <v>0</v>
      </c>
      <c r="AD32" s="28">
        <f>Option2!AD$82*conv_2026*AD$7</f>
        <v>0</v>
      </c>
      <c r="AE32" s="28">
        <f>Option2!AE$82*conv_2026*AE$7</f>
        <v>0</v>
      </c>
      <c r="AF32" s="28">
        <f>Option2!AF$82*conv_2026*AF$7</f>
        <v>0</v>
      </c>
      <c r="AG32" s="28">
        <f>Option2!AG$82*conv_2026*AG$7</f>
        <v>0</v>
      </c>
    </row>
    <row r="33" spans="1:33" s="2" customFormat="1" ht="13" x14ac:dyDescent="0.3">
      <c r="A33" s="115" t="str">
        <f t="shared" si="7"/>
        <v>Option 2</v>
      </c>
      <c r="B33" s="115"/>
      <c r="C33" s="52" t="str">
        <f>Option2!C$83</f>
        <v>Operating expenditure</v>
      </c>
      <c r="D33" s="34" t="str">
        <f t="shared" si="6"/>
        <v>Option 2Operating expenditure</v>
      </c>
      <c r="E33" s="1"/>
      <c r="F33" s="85" cm="1">
        <f t="array" ref="F33">SUMPRODUCT(($H33:$AG33)*($H$5:$AG$5)*($H$7:$AG$7))</f>
        <v>0</v>
      </c>
      <c r="G33" s="199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ht="13" x14ac:dyDescent="0.3">
      <c r="A34" s="115" t="str">
        <f t="shared" si="7"/>
        <v>Option 2</v>
      </c>
      <c r="B34" s="115"/>
      <c r="C34" s="52" t="str">
        <f>Option2!C$84</f>
        <v>Risk mitigated</v>
      </c>
      <c r="D34" s="34" t="str">
        <f t="shared" si="6"/>
        <v>Option 2Risk mitigated</v>
      </c>
      <c r="E34" s="1"/>
      <c r="F34" s="85" cm="1">
        <f t="array" ref="F34">SUMPRODUCT(($H34:$AG34)*($H$5:$AG$5)*($H$7:$AG$7))</f>
        <v>5905914.2410913175</v>
      </c>
      <c r="G34" s="199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459531.20705611812</v>
      </c>
      <c r="L34" s="28">
        <f>Option2!L$84*conv_2026*L$7</f>
        <v>459809.63494436978</v>
      </c>
      <c r="M34" s="28">
        <f>Option2!M$84*conv_2026*M$7</f>
        <v>457542.05417087814</v>
      </c>
      <c r="N34" s="28">
        <f>Option2!N$84*conv_2026*N$7</f>
        <v>456896.77678690234</v>
      </c>
      <c r="O34" s="28">
        <f>Option2!O$84*conv_2026*O$7</f>
        <v>461397.20670960681</v>
      </c>
      <c r="P34" s="28">
        <f>Option2!P$84*conv_2026*P$7</f>
        <v>467447.10239810433</v>
      </c>
      <c r="Q34" s="28">
        <f>Option2!Q$84*conv_2026*Q$7</f>
        <v>465791.71845115832</v>
      </c>
      <c r="R34" s="28">
        <f>Option2!R$84*conv_2026*R$7</f>
        <v>468263.90045313159</v>
      </c>
      <c r="S34" s="28">
        <f>Option2!S$84*conv_2026*S$7</f>
        <v>470794.6294668793</v>
      </c>
      <c r="T34" s="28">
        <f>Option2!T$84*conv_2026*T$7</f>
        <v>473372.88239503436</v>
      </c>
      <c r="U34" s="28">
        <f>Option2!U$84*conv_2026*U$7</f>
        <v>475990.27914136584</v>
      </c>
      <c r="V34" s="28">
        <f>Option2!V$84*conv_2026*V$7</f>
        <v>478640.24226779724</v>
      </c>
      <c r="W34" s="28">
        <f>Option2!W$84*conv_2026*W$7</f>
        <v>481317.53079287481</v>
      </c>
      <c r="X34" s="28">
        <f>Option2!X$84*conv_2026*X$7</f>
        <v>484017.90619822621</v>
      </c>
      <c r="Y34" s="28">
        <f>Option2!Y$84*conv_2026*Y$7</f>
        <v>486737.8943193701</v>
      </c>
      <c r="Z34" s="28">
        <f>Option2!Z$84*conv_2026*Z$7</f>
        <v>489474.59182751656</v>
      </c>
      <c r="AA34" s="28">
        <f>Option2!AA$84*conv_2026*AA$7</f>
        <v>492225.56652018212</v>
      </c>
      <c r="AB34" s="28">
        <f>Option2!AB$84*conv_2026*AB$7</f>
        <v>494988.77487717092</v>
      </c>
      <c r="AC34" s="28">
        <f>Option2!AC$84*conv_2026*AC$7</f>
        <v>0</v>
      </c>
      <c r="AD34" s="28">
        <f>Option2!AD$84*conv_2026*AD$7</f>
        <v>0</v>
      </c>
      <c r="AE34" s="28">
        <f>Option2!AE$84*conv_2026*AE$7</f>
        <v>0</v>
      </c>
      <c r="AF34" s="28">
        <f>Option2!AF$84*conv_2026*AF$7</f>
        <v>0</v>
      </c>
      <c r="AG34" s="28">
        <f>Option2!AG$84*conv_2026*AG$7</f>
        <v>0</v>
      </c>
    </row>
    <row r="35" spans="1:33" s="2" customFormat="1" ht="13" x14ac:dyDescent="0.3">
      <c r="A35" s="115" t="str">
        <f t="shared" si="7"/>
        <v>Option 2</v>
      </c>
      <c r="B35" s="115"/>
      <c r="C35" s="52" t="str">
        <f>Option2!C$85</f>
        <v>Other benefits value</v>
      </c>
      <c r="D35" s="34" t="str">
        <f t="shared" si="6"/>
        <v>Option 2Other benefits value</v>
      </c>
      <c r="E35" s="1"/>
      <c r="F35" s="85" cm="1">
        <f t="array" ref="F35">SUMPRODUCT(($H35:$AG35)*($H$5:$AG$5)*($H$7:$AG$7))</f>
        <v>0</v>
      </c>
      <c r="G35" s="199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ht="13" x14ac:dyDescent="0.3">
      <c r="A36" s="115" t="str">
        <f t="shared" si="7"/>
        <v>Option 2</v>
      </c>
      <c r="B36" s="115"/>
      <c r="C36" s="105" t="str">
        <f>Option2!C87</f>
        <v>Net benefits</v>
      </c>
      <c r="D36" s="97" t="str">
        <f t="shared" si="6"/>
        <v>Option 2Net benefits</v>
      </c>
      <c r="E36" s="98"/>
      <c r="F36" s="122"/>
      <c r="G36" s="201">
        <f t="shared" si="8"/>
        <v>46203</v>
      </c>
      <c r="H36" s="46"/>
      <c r="I36" s="46">
        <f>SUM(I32:I35)</f>
        <v>0</v>
      </c>
      <c r="J36" s="46">
        <f t="shared" ref="J36:AG36" si="9">SUM(J32:J35)</f>
        <v>-192005.74005206104</v>
      </c>
      <c r="K36" s="46">
        <f t="shared" si="9"/>
        <v>171522.59697802656</v>
      </c>
      <c r="L36" s="46">
        <f t="shared" si="9"/>
        <v>171801.02486627823</v>
      </c>
      <c r="M36" s="46">
        <f t="shared" si="9"/>
        <v>169533.44409278658</v>
      </c>
      <c r="N36" s="46">
        <f t="shared" si="9"/>
        <v>168888.16670881078</v>
      </c>
      <c r="O36" s="46">
        <f t="shared" si="9"/>
        <v>173388.59663151525</v>
      </c>
      <c r="P36" s="46">
        <f t="shared" si="9"/>
        <v>179438.49232001277</v>
      </c>
      <c r="Q36" s="46">
        <f t="shared" si="9"/>
        <v>177783.10837306676</v>
      </c>
      <c r="R36" s="46">
        <f t="shared" si="9"/>
        <v>180255.29037504003</v>
      </c>
      <c r="S36" s="46">
        <f t="shared" si="9"/>
        <v>182786.01938878774</v>
      </c>
      <c r="T36" s="46">
        <f t="shared" si="9"/>
        <v>185364.27231694281</v>
      </c>
      <c r="U36" s="46">
        <f t="shared" si="9"/>
        <v>187981.66906327428</v>
      </c>
      <c r="V36" s="46">
        <f t="shared" si="9"/>
        <v>190631.63218970568</v>
      </c>
      <c r="W36" s="46">
        <f t="shared" si="9"/>
        <v>193308.92071478325</v>
      </c>
      <c r="X36" s="46">
        <f t="shared" si="9"/>
        <v>196009.29612013465</v>
      </c>
      <c r="Y36" s="46">
        <f t="shared" si="9"/>
        <v>198729.28424127854</v>
      </c>
      <c r="Z36" s="46">
        <f t="shared" si="9"/>
        <v>201465.981749425</v>
      </c>
      <c r="AA36" s="46">
        <f t="shared" si="9"/>
        <v>204216.95644209057</v>
      </c>
      <c r="AB36" s="46">
        <f t="shared" si="9"/>
        <v>206980.16479907936</v>
      </c>
      <c r="AC36" s="46">
        <f t="shared" si="9"/>
        <v>0</v>
      </c>
      <c r="AD36" s="46">
        <f t="shared" si="9"/>
        <v>0</v>
      </c>
      <c r="AE36" s="46">
        <f t="shared" si="9"/>
        <v>0</v>
      </c>
      <c r="AF36" s="46">
        <f t="shared" si="9"/>
        <v>0</v>
      </c>
      <c r="AG36" s="46">
        <f t="shared" si="9"/>
        <v>0</v>
      </c>
    </row>
    <row r="37" spans="1:33" s="2" customFormat="1" ht="13" x14ac:dyDescent="0.3">
      <c r="A37" s="115" t="str">
        <f t="shared" si="7"/>
        <v>Option 2</v>
      </c>
      <c r="B37" s="115"/>
      <c r="C37" s="6" t="s">
        <v>22</v>
      </c>
      <c r="D37" s="34" t="str">
        <f t="shared" si="6"/>
        <v>Option 2NPV</v>
      </c>
      <c r="E37" s="1"/>
      <c r="F37" s="96" cm="1">
        <f t="array" ref="F37">SUMPRODUCT(($H36:$AG36)*($H$5:$AG$5)*($H$7:$AG$7))</f>
        <v>2115874.6996655837</v>
      </c>
      <c r="G37" s="199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ht="13" x14ac:dyDescent="0.3">
      <c r="A38" s="115" t="str">
        <f t="shared" si="7"/>
        <v>Option 2</v>
      </c>
      <c r="B38" s="115"/>
      <c r="C38" s="6" t="s">
        <v>25</v>
      </c>
      <c r="D38" s="34" t="str">
        <f t="shared" si="6"/>
        <v>Option 2PV of costs</v>
      </c>
      <c r="E38" s="1"/>
      <c r="F38" s="96">
        <f>SUM(F32:F33)</f>
        <v>-3790039.5414257324</v>
      </c>
      <c r="G38" s="199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ht="13" x14ac:dyDescent="0.3">
      <c r="A39" s="115" t="str">
        <f t="shared" si="7"/>
        <v>Option 2</v>
      </c>
      <c r="B39" s="115"/>
      <c r="C39" s="6" t="s">
        <v>26</v>
      </c>
      <c r="D39" s="34" t="str">
        <f t="shared" si="6"/>
        <v>Option 2PV of benefits</v>
      </c>
      <c r="E39" s="1"/>
      <c r="F39" s="96">
        <f>SUM(F34:F35)</f>
        <v>5905914.2410913175</v>
      </c>
      <c r="G39" s="199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ht="13" x14ac:dyDescent="0.3">
      <c r="A40" s="115"/>
      <c r="B40" s="115"/>
      <c r="C40" s="1"/>
      <c r="D40" s="34"/>
      <c r="E40" s="1"/>
      <c r="F40" s="96"/>
      <c r="G40" s="202"/>
      <c r="H40" s="1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</row>
    <row r="41" spans="1:33" s="2" customFormat="1" ht="13" x14ac:dyDescent="0.3">
      <c r="A41" s="52"/>
      <c r="B41" s="52"/>
      <c r="C41" s="52"/>
      <c r="D41" s="34" t="str">
        <f>A41&amp;C41</f>
        <v/>
      </c>
      <c r="F41" s="7"/>
      <c r="G41" s="195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ht="13" x14ac:dyDescent="0.3">
      <c r="A42" s="52" t="str">
        <f>A43</f>
        <v>Option 3</v>
      </c>
      <c r="B42" s="52"/>
      <c r="C42" s="52" t="s">
        <v>118</v>
      </c>
      <c r="D42" s="34" t="str">
        <f>A42&amp;C42</f>
        <v>Option 3Energy at risk value</v>
      </c>
      <c r="F42" s="85">
        <f>SUMPRODUCT($H42:$AG42, $H$5:$AG$5)</f>
        <v>6707451.389544704</v>
      </c>
      <c r="G42" s="199">
        <f>output_dollars</f>
        <v>46203</v>
      </c>
      <c r="H42" s="28"/>
      <c r="I42" s="28">
        <f>Option3!I$28*conv_2026</f>
        <v>315763.59635977156</v>
      </c>
      <c r="J42" s="28">
        <f>Option3!J$28*conv_2026</f>
        <v>320223.76135619573</v>
      </c>
      <c r="K42" s="28">
        <f>Option3!K$28*conv_2026</f>
        <v>329859.63173323782</v>
      </c>
      <c r="L42" s="28">
        <f>Option3!L$28*conv_2026</f>
        <v>337413.99340957054</v>
      </c>
      <c r="M42" s="28">
        <f>Option3!M$28*conv_2026</f>
        <v>341825.98155133578</v>
      </c>
      <c r="N42" s="28">
        <f>Option3!N$28*conv_2026</f>
        <v>347613.53845933109</v>
      </c>
      <c r="O42" s="28">
        <f>Option3!O$28*conv_2026</f>
        <v>358827.27079879586</v>
      </c>
      <c r="P42" s="28">
        <f>Option3!P$28*conv_2026</f>
        <v>371814.6978528598</v>
      </c>
      <c r="Q42" s="28">
        <f>Option3!Q$28*conv_2026</f>
        <v>376183.30064525385</v>
      </c>
      <c r="R42" s="28">
        <f>Option3!R$28*conv_2026</f>
        <v>385164.77781249839</v>
      </c>
      <c r="S42" s="28">
        <f>Option3!S$28*conv_2026</f>
        <v>394235.43979576399</v>
      </c>
      <c r="T42" s="28">
        <f>Option3!T$28*conv_2026</f>
        <v>403395.01211816364</v>
      </c>
      <c r="U42" s="28">
        <f>Option3!U$28*conv_2026</f>
        <v>412643.22061049473</v>
      </c>
      <c r="V42" s="28">
        <f>Option3!V$28*conv_2026</f>
        <v>421979.80236354697</v>
      </c>
      <c r="W42" s="28">
        <f>Option3!W$28*conv_2026</f>
        <v>431404.5057350517</v>
      </c>
      <c r="X42" s="28">
        <f>Option3!X$28*conv_2026</f>
        <v>440917.06841964769</v>
      </c>
      <c r="Y42" s="28">
        <f>Option3!Y$28*conv_2026</f>
        <v>450517.25033928925</v>
      </c>
      <c r="Z42" s="28">
        <f>Option3!Z$28*conv_2026</f>
        <v>460204.80622928828</v>
      </c>
      <c r="AA42" s="28">
        <f>Option3!AA$28*conv_2026</f>
        <v>469979.50757902878</v>
      </c>
      <c r="AB42" s="28">
        <f>Option3!AB$28*conv_2026</f>
        <v>479841.12617557292</v>
      </c>
      <c r="AC42" s="28">
        <f>Option3!AC$28*conv_2026</f>
        <v>489789.42860237259</v>
      </c>
      <c r="AD42" s="28">
        <f>Option3!AD$28*conv_2026</f>
        <v>499824.19270644319</v>
      </c>
      <c r="AE42" s="28">
        <f>Option3!AE$28*conv_2026</f>
        <v>509945.21860090707</v>
      </c>
      <c r="AF42" s="28">
        <f>Option3!AF$28*conv_2026</f>
        <v>520152.2847061535</v>
      </c>
      <c r="AG42" s="28">
        <f>Option3!AG$28*conv_2026</f>
        <v>530445.18620722601</v>
      </c>
    </row>
    <row r="43" spans="1:33" s="2" customFormat="1" ht="13" x14ac:dyDescent="0.3">
      <c r="A43" s="115" t="str">
        <f>Data!B11</f>
        <v>Option 3</v>
      </c>
      <c r="B43" s="115"/>
      <c r="C43" s="52" t="str">
        <f>Option3!C$66</f>
        <v>Capital expenditure</v>
      </c>
      <c r="D43" s="34" t="str">
        <f>A43&amp;C43</f>
        <v>Option 3Capital expenditure</v>
      </c>
      <c r="E43" s="1"/>
      <c r="F43" s="85">
        <f>SUMPRODUCT($H43:$AG43, $H$5:$AG$5)</f>
        <v>-695684.70834438328</v>
      </c>
      <c r="G43" s="199">
        <f>output_dollars</f>
        <v>46203</v>
      </c>
      <c r="H43" s="28"/>
      <c r="I43" s="28">
        <f>SUM(Option3!I$67:I$69)*conv_2026*I$7</f>
        <v>-707754.48843088024</v>
      </c>
      <c r="J43" s="28">
        <f>SUM(Option3!J$67:J$69)*conv_2026*J$7</f>
        <v>0</v>
      </c>
      <c r="K43" s="28">
        <f>SUM(Option3!K$67:K$69)*conv_2026*K$7</f>
        <v>0</v>
      </c>
      <c r="L43" s="28">
        <f>SUM(Option3!L$67:L$69)*conv_2026*L$7</f>
        <v>0</v>
      </c>
      <c r="M43" s="28">
        <f>SUM(Option3!M$67:M$69)*conv_2026*M$7</f>
        <v>0</v>
      </c>
      <c r="N43" s="28">
        <f>SUM(Option3!N$67:N$69)*conv_2026*N$7</f>
        <v>0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ht="13" x14ac:dyDescent="0.3">
      <c r="A44" s="115" t="str">
        <f t="shared" ref="A44:A53" si="10">A43</f>
        <v>Option 3</v>
      </c>
      <c r="B44" s="115"/>
      <c r="C44" s="52" t="str">
        <f>'Option1 (base case)'!C$36</f>
        <v>Total risk cost</v>
      </c>
      <c r="D44" s="34" t="str">
        <f>A44&amp;C44</f>
        <v>Option 3Total risk cost</v>
      </c>
      <c r="E44" s="1"/>
      <c r="F44" s="85">
        <f>SUMPRODUCT($H44:$AG44, $H$5:$AG$5)</f>
        <v>6706440.0128100533</v>
      </c>
      <c r="G44" s="199">
        <f>output_dollars</f>
        <v>46203</v>
      </c>
      <c r="H44" s="28"/>
      <c r="I44" s="28">
        <f>Option3!I$36*conv_2026*I$7</f>
        <v>501026.49596568319</v>
      </c>
      <c r="J44" s="28">
        <f>Option3!J$36*conv_2026*J$7</f>
        <v>387603.90390528517</v>
      </c>
      <c r="K44" s="28">
        <f>Option3!K$36*conv_2026*K$7</f>
        <v>397985.72411502519</v>
      </c>
      <c r="L44" s="28">
        <f>Option3!L$36*conv_2026*L$7</f>
        <v>406293.98976698553</v>
      </c>
      <c r="M44" s="28">
        <f>Option3!M$36*conv_2026*M$7</f>
        <v>411467.79990761122</v>
      </c>
      <c r="N44" s="28">
        <f>Option3!N$36*conv_2026*N$7</f>
        <v>418025.06169421138</v>
      </c>
      <c r="O44" s="28">
        <f>Option3!O$36*conv_2026*O$7</f>
        <v>430016.34762474481</v>
      </c>
      <c r="P44" s="28">
        <f>Option3!P$36*conv_2026*P$7</f>
        <v>443789.14281506039</v>
      </c>
      <c r="Q44" s="28">
        <f>Option3!Q$36*conv_2026*Q$7</f>
        <v>448950.8950978166</v>
      </c>
      <c r="R44" s="28">
        <f>Option3!R$36*conv_2026*R$7</f>
        <v>458733.27089466905</v>
      </c>
      <c r="S44" s="28">
        <f>Option3!S$36*conv_2026*S$7</f>
        <v>468612.54843192408</v>
      </c>
      <c r="T44" s="28">
        <f>Option3!T$36*conv_2026*T$7</f>
        <v>478588.42199403764</v>
      </c>
      <c r="U44" s="28">
        <f>Option3!U$36*conv_2026*U$7</f>
        <v>488660.58617315098</v>
      </c>
      <c r="V44" s="28">
        <f>Option3!V$36*conv_2026*V$7</f>
        <v>498828.74779760488</v>
      </c>
      <c r="W44" s="28">
        <f>Option3!W$36*conv_2026*W$7</f>
        <v>509092.62593889044</v>
      </c>
      <c r="X44" s="28">
        <f>Option3!X$36*conv_2026*X$7</f>
        <v>519451.92802919785</v>
      </c>
      <c r="Y44" s="28">
        <f>Option3!Y$36*conv_2026*Y$7</f>
        <v>529906.38568044873</v>
      </c>
      <c r="Z44" s="28">
        <f>Option3!Z$36*conv_2026*Z$7</f>
        <v>540455.72482981847</v>
      </c>
      <c r="AA44" s="28">
        <f>Option3!AA$36*conv_2026*AA$7</f>
        <v>551099.68963286665</v>
      </c>
      <c r="AB44" s="28">
        <f>Option3!AB$36*conv_2026*AB$7</f>
        <v>561838.024542831</v>
      </c>
      <c r="AC44" s="28">
        <f>Option3!AC$36*conv_2026*AC$7</f>
        <v>0</v>
      </c>
      <c r="AD44" s="28">
        <f>Option3!AD$36*conv_2026*AD$7</f>
        <v>0</v>
      </c>
      <c r="AE44" s="28">
        <f>Option3!AE$36*conv_2026*AE$7</f>
        <v>0</v>
      </c>
      <c r="AF44" s="28">
        <f>Option3!AF$36*conv_2026*AF$7</f>
        <v>0</v>
      </c>
      <c r="AG44" s="28">
        <f>Option3!AG$36*conv_2026*AG$7</f>
        <v>0</v>
      </c>
    </row>
    <row r="45" spans="1:33" s="2" customFormat="1" ht="13" x14ac:dyDescent="0.3">
      <c r="A45" s="115" t="str">
        <f t="shared" si="10"/>
        <v>Option 3</v>
      </c>
      <c r="B45" s="115"/>
      <c r="C45" s="52"/>
      <c r="D45" s="34"/>
      <c r="E45" s="1"/>
      <c r="F45" s="85"/>
      <c r="G45" s="199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ht="13" x14ac:dyDescent="0.3">
      <c r="A46" s="115" t="str">
        <f t="shared" si="10"/>
        <v>Option 3</v>
      </c>
      <c r="B46" s="115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5">
        <f>SUMPRODUCT($H46:$AG46, $H$5:$AG$5)</f>
        <v>-671084.54795584118</v>
      </c>
      <c r="G46" s="199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-49798.367904016595</v>
      </c>
      <c r="K46" s="28">
        <f>Option3!K$82*conv_2026*K$7</f>
        <v>-49798.367904016595</v>
      </c>
      <c r="L46" s="28">
        <f>Option3!L$82*conv_2026*L$7</f>
        <v>-49798.367904016595</v>
      </c>
      <c r="M46" s="28">
        <f>Option3!M$82*conv_2026*M$7</f>
        <v>-49798.367904016595</v>
      </c>
      <c r="N46" s="28">
        <f>Option3!N$82*conv_2026*N$7</f>
        <v>-49798.367904016595</v>
      </c>
      <c r="O46" s="28">
        <f>Option3!O$82*conv_2026*O$7</f>
        <v>-49798.367904016595</v>
      </c>
      <c r="P46" s="28">
        <f>Option3!P$82*conv_2026*P$7</f>
        <v>-49798.367904016595</v>
      </c>
      <c r="Q46" s="28">
        <f>Option3!Q$82*conv_2026*Q$7</f>
        <v>-49798.367904016595</v>
      </c>
      <c r="R46" s="28">
        <f>Option3!R$82*conv_2026*R$7</f>
        <v>-49798.367904016595</v>
      </c>
      <c r="S46" s="28">
        <f>Option3!S$82*conv_2026*S$7</f>
        <v>-49798.367904016595</v>
      </c>
      <c r="T46" s="28">
        <f>Option3!T$82*conv_2026*T$7</f>
        <v>-49798.367904016595</v>
      </c>
      <c r="U46" s="28">
        <f>Option3!U$82*conv_2026*U$7</f>
        <v>-49798.367904016595</v>
      </c>
      <c r="V46" s="28">
        <f>Option3!V$82*conv_2026*V$7</f>
        <v>-49798.367904016595</v>
      </c>
      <c r="W46" s="28">
        <f>Option3!W$82*conv_2026*W$7</f>
        <v>-49798.367904016595</v>
      </c>
      <c r="X46" s="28">
        <f>Option3!X$82*conv_2026*X$7</f>
        <v>-49798.367904016595</v>
      </c>
      <c r="Y46" s="28">
        <f>Option3!Y$82*conv_2026*Y$7</f>
        <v>-49798.367904016595</v>
      </c>
      <c r="Z46" s="28">
        <f>Option3!Z$82*conv_2026*Z$7</f>
        <v>-49798.367904016595</v>
      </c>
      <c r="AA46" s="28">
        <f>Option3!AA$82*conv_2026*AA$7</f>
        <v>-49798.367904016595</v>
      </c>
      <c r="AB46" s="28">
        <f>Option3!AB$82*conv_2026*AB$7</f>
        <v>-49798.367904016595</v>
      </c>
      <c r="AC46" s="28">
        <f>Option3!AC$82*conv_2026*AC$7</f>
        <v>0</v>
      </c>
      <c r="AD46" s="28">
        <f>Option3!AD$82*conv_2026*AD$7</f>
        <v>0</v>
      </c>
      <c r="AE46" s="28">
        <f>Option3!AE$82*conv_2026*AE$7</f>
        <v>0</v>
      </c>
      <c r="AF46" s="28">
        <f>Option3!AF$82*conv_2026*AF$7</f>
        <v>0</v>
      </c>
      <c r="AG46" s="28">
        <f>Option3!AG$82*conv_2026*AG$7</f>
        <v>0</v>
      </c>
    </row>
    <row r="47" spans="1:33" s="2" customFormat="1" ht="13" x14ac:dyDescent="0.3">
      <c r="A47" s="115" t="str">
        <f t="shared" si="10"/>
        <v>Option 3</v>
      </c>
      <c r="B47" s="115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5">
        <f>SUMPRODUCT($H47:$AG47, $H$5:$AG$5)</f>
        <v>0</v>
      </c>
      <c r="G47" s="199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ht="13" x14ac:dyDescent="0.3">
      <c r="A48" s="115" t="str">
        <f t="shared" si="10"/>
        <v>Option 3</v>
      </c>
      <c r="B48" s="115"/>
      <c r="C48" s="52" t="str">
        <f>Option3!C$84</f>
        <v>Risk mitigated</v>
      </c>
      <c r="D48" s="34" t="str">
        <f t="shared" si="11"/>
        <v>Option 3Risk mitigated</v>
      </c>
      <c r="E48" s="1"/>
      <c r="F48" s="85">
        <f>SUMPRODUCT($H48:$AG48, $H$5:$AG$5)</f>
        <v>1711226.591817528</v>
      </c>
      <c r="G48" s="199">
        <f t="shared" si="12"/>
        <v>46203</v>
      </c>
      <c r="H48" s="28"/>
      <c r="I48" s="28">
        <f>Option3!I$84*conv_2026*I$7</f>
        <v>0</v>
      </c>
      <c r="J48" s="28">
        <f>Option3!J$84*conv_2026*J$7</f>
        <v>125232.82741598718</v>
      </c>
      <c r="K48" s="28">
        <f>Option3!K$84*conv_2026*K$7</f>
        <v>125474.30858657832</v>
      </c>
      <c r="L48" s="28">
        <f>Option3!L$84*conv_2026*L$7</f>
        <v>125673.59494621442</v>
      </c>
      <c r="M48" s="28">
        <f>Option3!M$84*conv_2026*M$7</f>
        <v>125808.88786259813</v>
      </c>
      <c r="N48" s="28">
        <f>Option3!N$84*conv_2026*N$7</f>
        <v>125972.92045591096</v>
      </c>
      <c r="O48" s="28">
        <f>Option3!O$84*conv_2026*O$7</f>
        <v>126248.83193571537</v>
      </c>
      <c r="P48" s="28">
        <f>Option3!P$84*conv_2026*P$7</f>
        <v>126561.69169584222</v>
      </c>
      <c r="Q48" s="28">
        <f>Option3!Q$84*conv_2026*Q$7</f>
        <v>126698.10182292773</v>
      </c>
      <c r="R48" s="28">
        <f>Option3!R$84*conv_2026*R$7</f>
        <v>126929.72759288641</v>
      </c>
      <c r="S48" s="28">
        <f>Option3!S$84*conv_2026*S$7</f>
        <v>127163.69546499113</v>
      </c>
      <c r="T48" s="28">
        <f>Option3!T$84*conv_2026*T$7</f>
        <v>127399.99708999682</v>
      </c>
      <c r="U48" s="28">
        <f>Option3!U$84*conv_2026*U$7</f>
        <v>127638.63268106524</v>
      </c>
      <c r="V48" s="28">
        <f>Option3!V$84*conv_2026*V$7</f>
        <v>127879.59053224148</v>
      </c>
      <c r="W48" s="28">
        <f>Option3!W$84*conv_2026*W$7</f>
        <v>128122.85983744643</v>
      </c>
      <c r="X48" s="28">
        <f>Option3!X$84*conv_2026*X$7</f>
        <v>128368.44602168651</v>
      </c>
      <c r="Y48" s="28">
        <f>Option3!Y$84*conv_2026*Y$7</f>
        <v>128616.3434808383</v>
      </c>
      <c r="Z48" s="28">
        <f>Option3!Z$84*conv_2026*Z$7</f>
        <v>128866.54403375695</v>
      </c>
      <c r="AA48" s="28">
        <f>Option3!AA$84*conv_2026*AA$7</f>
        <v>129119.03870909614</v>
      </c>
      <c r="AB48" s="28">
        <f>Option3!AB$84*conv_2026*AB$7</f>
        <v>129373.81854272271</v>
      </c>
      <c r="AC48" s="28">
        <f>Option3!AC$84*conv_2026*AC$7</f>
        <v>0</v>
      </c>
      <c r="AD48" s="28">
        <f>Option3!AD$84*conv_2026*AD$7</f>
        <v>0</v>
      </c>
      <c r="AE48" s="28">
        <f>Option3!AE$84*conv_2026*AE$7</f>
        <v>0</v>
      </c>
      <c r="AF48" s="28">
        <f>Option3!AF$84*conv_2026*AF$7</f>
        <v>0</v>
      </c>
      <c r="AG48" s="28">
        <f>Option3!AG$84*conv_2026*AG$7</f>
        <v>0</v>
      </c>
    </row>
    <row r="49" spans="1:33" s="2" customFormat="1" ht="13" x14ac:dyDescent="0.3">
      <c r="A49" s="115" t="str">
        <f t="shared" si="10"/>
        <v>Option 3</v>
      </c>
      <c r="B49" s="115"/>
      <c r="C49" s="52" t="str">
        <f>Option3!C$85</f>
        <v>Other benefits value</v>
      </c>
      <c r="D49" s="34" t="str">
        <f t="shared" si="11"/>
        <v>Option 3Other benefits value</v>
      </c>
      <c r="E49" s="1"/>
      <c r="F49" s="85">
        <f>SUMPRODUCT($H49:$AG49, $H$5:$AG$5)</f>
        <v>0</v>
      </c>
      <c r="G49" s="199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ht="13" x14ac:dyDescent="0.3">
      <c r="A50" s="115" t="str">
        <f t="shared" si="10"/>
        <v>Option 3</v>
      </c>
      <c r="B50" s="115"/>
      <c r="C50" s="105" t="str">
        <f>Option3!C87</f>
        <v>Net benefits</v>
      </c>
      <c r="D50" s="97" t="str">
        <f t="shared" si="11"/>
        <v>Option 3Net benefits</v>
      </c>
      <c r="E50" s="98"/>
      <c r="F50" s="122"/>
      <c r="G50" s="201">
        <f t="shared" si="12"/>
        <v>46203</v>
      </c>
      <c r="H50" s="46"/>
      <c r="I50" s="46">
        <f t="shared" ref="I50:AB50" si="13">SUM(I46:I49)</f>
        <v>0</v>
      </c>
      <c r="J50" s="46">
        <f t="shared" si="13"/>
        <v>75434.459511970577</v>
      </c>
      <c r="K50" s="46">
        <f t="shared" si="13"/>
        <v>75675.940682561719</v>
      </c>
      <c r="L50" s="46">
        <f t="shared" si="13"/>
        <v>75875.227042197832</v>
      </c>
      <c r="M50" s="46">
        <f t="shared" si="13"/>
        <v>76010.519958581543</v>
      </c>
      <c r="N50" s="46">
        <f t="shared" si="13"/>
        <v>76174.552551894361</v>
      </c>
      <c r="O50" s="46">
        <f t="shared" si="13"/>
        <v>76450.464031698764</v>
      </c>
      <c r="P50" s="46">
        <f t="shared" si="13"/>
        <v>76763.32379182562</v>
      </c>
      <c r="Q50" s="46">
        <f t="shared" si="13"/>
        <v>76899.733918911137</v>
      </c>
      <c r="R50" s="46">
        <f t="shared" si="13"/>
        <v>77131.359688869823</v>
      </c>
      <c r="S50" s="46">
        <f t="shared" si="13"/>
        <v>77365.327560974547</v>
      </c>
      <c r="T50" s="46">
        <f t="shared" si="13"/>
        <v>77601.629185980215</v>
      </c>
      <c r="U50" s="46">
        <f t="shared" si="13"/>
        <v>77840.264777048636</v>
      </c>
      <c r="V50" s="46">
        <f t="shared" si="13"/>
        <v>78081.222628224874</v>
      </c>
      <c r="W50" s="46">
        <f t="shared" si="13"/>
        <v>78324.491933429847</v>
      </c>
      <c r="X50" s="46">
        <f t="shared" si="13"/>
        <v>78570.078117669909</v>
      </c>
      <c r="Y50" s="46">
        <f t="shared" si="13"/>
        <v>78817.975576821715</v>
      </c>
      <c r="Z50" s="46">
        <f t="shared" si="13"/>
        <v>79068.176129740343</v>
      </c>
      <c r="AA50" s="46">
        <f t="shared" si="13"/>
        <v>79320.670805079542</v>
      </c>
      <c r="AB50" s="46">
        <f t="shared" si="13"/>
        <v>79575.450638706126</v>
      </c>
      <c r="AC50" s="46">
        <f>SUM(AC46:AC49)</f>
        <v>0</v>
      </c>
      <c r="AD50" s="46">
        <f>SUM(AD46:AD49)</f>
        <v>0</v>
      </c>
      <c r="AE50" s="46">
        <f>SUM(AE46:AE49)</f>
        <v>0</v>
      </c>
      <c r="AF50" s="46">
        <f>SUM(AF46:AF49)</f>
        <v>0</v>
      </c>
      <c r="AG50" s="46">
        <f>SUM(AG46:AG49)</f>
        <v>0</v>
      </c>
    </row>
    <row r="51" spans="1:33" s="2" customFormat="1" ht="13" x14ac:dyDescent="0.3">
      <c r="A51" s="115" t="str">
        <f t="shared" si="10"/>
        <v>Option 3</v>
      </c>
      <c r="B51" s="115"/>
      <c r="C51" s="6" t="s">
        <v>22</v>
      </c>
      <c r="D51" s="34" t="str">
        <f t="shared" si="11"/>
        <v>Option 3NPV</v>
      </c>
      <c r="E51" s="1"/>
      <c r="F51" s="96" cm="1">
        <f t="array" ref="F51">SUMPRODUCT(($H50:$AG50)*($H$5:$AG$5)*($H$7:$AG$7))</f>
        <v>1040142.043861687</v>
      </c>
      <c r="G51" s="199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ht="13" x14ac:dyDescent="0.3">
      <c r="A52" s="115" t="str">
        <f t="shared" si="10"/>
        <v>Option 3</v>
      </c>
      <c r="B52" s="115"/>
      <c r="C52" s="6" t="s">
        <v>25</v>
      </c>
      <c r="D52" s="34" t="str">
        <f t="shared" si="11"/>
        <v>Option 3PV of costs</v>
      </c>
      <c r="E52" s="1"/>
      <c r="F52" s="96">
        <f>SUM(F46:F47)</f>
        <v>-671084.54795584118</v>
      </c>
      <c r="G52" s="199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ht="13" x14ac:dyDescent="0.3">
      <c r="A53" s="115" t="str">
        <f t="shared" si="10"/>
        <v>Option 3</v>
      </c>
      <c r="B53" s="115"/>
      <c r="C53" s="6" t="s">
        <v>26</v>
      </c>
      <c r="D53" s="34" t="str">
        <f t="shared" si="11"/>
        <v>Option 3PV of benefits</v>
      </c>
      <c r="E53" s="1"/>
      <c r="F53" s="96">
        <f>SUM(F48:F49)</f>
        <v>1711226.591817528</v>
      </c>
      <c r="G53" s="199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ht="13" x14ac:dyDescent="0.3">
      <c r="A54" s="115"/>
      <c r="B54" s="115"/>
      <c r="C54" s="1"/>
      <c r="D54" s="34"/>
      <c r="E54" s="1"/>
      <c r="F54" s="96"/>
      <c r="G54" s="202"/>
      <c r="H54" s="1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</row>
    <row r="55" spans="1:33" s="2" customFormat="1" ht="13" x14ac:dyDescent="0.3">
      <c r="A55" s="52"/>
      <c r="B55" s="52"/>
      <c r="C55" s="52"/>
      <c r="D55" s="34"/>
      <c r="F55" s="7"/>
      <c r="G55" s="195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ht="13" x14ac:dyDescent="0.3">
      <c r="A56" s="52" t="str">
        <f>A57</f>
        <v>Option 4</v>
      </c>
      <c r="B56" s="52"/>
      <c r="C56" s="52" t="s">
        <v>118</v>
      </c>
      <c r="D56" s="34" t="str">
        <f>A56&amp;C56</f>
        <v>Option 4Energy at risk value</v>
      </c>
      <c r="F56" s="85">
        <f>SUMPRODUCT($H56:$AG56, $H$5:$AG$5)</f>
        <v>1940867.0842749497</v>
      </c>
      <c r="G56" s="199">
        <f>output_dollars</f>
        <v>46203</v>
      </c>
      <c r="H56" s="28"/>
      <c r="I56" s="28">
        <f>Option4!I$28*conv_2026</f>
        <v>315763.59635977156</v>
      </c>
      <c r="J56" s="28">
        <f>Option4!J$28*conv_2026</f>
        <v>81614.373422543926</v>
      </c>
      <c r="K56" s="28">
        <f>Option4!K$28*conv_2026</f>
        <v>84070.504396838049</v>
      </c>
      <c r="L56" s="28">
        <f>Option4!L$28*conv_2026</f>
        <v>85996.077577126984</v>
      </c>
      <c r="M56" s="28">
        <f>Option4!M$28*conv_2026</f>
        <v>87120.674926780819</v>
      </c>
      <c r="N56" s="28">
        <f>Option4!N$28*conv_2026</f>
        <v>88601.318285298563</v>
      </c>
      <c r="O56" s="28">
        <f>Option4!O$28*conv_2026</f>
        <v>91456.784505456832</v>
      </c>
      <c r="P56" s="28">
        <f>Option4!P$28*conv_2026</f>
        <v>94764.789565215004</v>
      </c>
      <c r="Q56" s="28">
        <f>Option4!Q$28*conv_2026</f>
        <v>95880.991555206259</v>
      </c>
      <c r="R56" s="28">
        <f>Option4!R$28*conv_2026</f>
        <v>98170.467583729653</v>
      </c>
      <c r="S56" s="28">
        <f>Option4!S$28*conv_2026</f>
        <v>100482.69172172857</v>
      </c>
      <c r="T56" s="28">
        <f>Option4!T$28*conv_2026</f>
        <v>102817.59383506754</v>
      </c>
      <c r="U56" s="28">
        <f>Option4!U$28*conv_2026</f>
        <v>105175.1058244489</v>
      </c>
      <c r="V56" s="28">
        <f>Option4!V$28*conv_2026</f>
        <v>107555.15966977336</v>
      </c>
      <c r="W56" s="28">
        <f>Option4!W$28*conv_2026</f>
        <v>109957.69036270767</v>
      </c>
      <c r="X56" s="28">
        <f>Option4!X$28*conv_2026</f>
        <v>112382.6339514861</v>
      </c>
      <c r="Y56" s="28">
        <f>Option4!Y$28*conv_2026</f>
        <v>114829.92949800138</v>
      </c>
      <c r="Z56" s="28">
        <f>Option4!Z$28*conv_2026</f>
        <v>117299.5141837479</v>
      </c>
      <c r="AA56" s="28">
        <f>Option4!AA$28*conv_2026</f>
        <v>119791.32918196703</v>
      </c>
      <c r="AB56" s="28">
        <f>Option4!AB$28*conv_2026</f>
        <v>122305.31574205322</v>
      </c>
      <c r="AC56" s="28">
        <f>Option4!AC$28*conv_2026</f>
        <v>124841.41812804776</v>
      </c>
      <c r="AD56" s="28">
        <f>Option4!AD$28*conv_2026</f>
        <v>127399.58067964861</v>
      </c>
      <c r="AE56" s="28">
        <f>Option4!AE$28*conv_2026</f>
        <v>129979.74781012181</v>
      </c>
      <c r="AF56" s="28">
        <f>Option4!AF$28*conv_2026</f>
        <v>132581.86792902192</v>
      </c>
      <c r="AG56" s="28">
        <f>Option4!AG$28*conv_2026</f>
        <v>135205.88755753663</v>
      </c>
    </row>
    <row r="57" spans="1:33" s="2" customFormat="1" ht="13" x14ac:dyDescent="0.3">
      <c r="A57" s="115" t="str">
        <f>Data!B12</f>
        <v>Option 4</v>
      </c>
      <c r="B57" s="115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5">
        <f>SUMPRODUCT($H57:$AG57, $H$5:$AG$5)</f>
        <v>-2175646.4484125068</v>
      </c>
      <c r="G57" s="199">
        <f>output_dollars</f>
        <v>46203</v>
      </c>
      <c r="H57" s="28"/>
      <c r="I57" s="28">
        <f>SUM(Option4!I$67:I$69)*conv_2026*I$7</f>
        <v>-2213392.8209622223</v>
      </c>
      <c r="J57" s="28">
        <f>SUM(Option4!J$67:J$69)*conv_2026*J$7</f>
        <v>0</v>
      </c>
      <c r="K57" s="28">
        <f>SUM(Option4!K$67:K$69)*conv_2026*K$7</f>
        <v>0</v>
      </c>
      <c r="L57" s="28">
        <f>SUM(Option4!L$67:L$69)*conv_2026*L$7</f>
        <v>0</v>
      </c>
      <c r="M57" s="28">
        <f>SUM(Option4!M$67:M$69)*conv_2026*M$7</f>
        <v>0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ht="13" x14ac:dyDescent="0.3">
      <c r="A58" s="115" t="str">
        <f t="shared" ref="A58:A67" si="15">A57</f>
        <v>Option 4</v>
      </c>
      <c r="B58" s="115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5">
        <f>SUMPRODUCT($H58:$AG58, $H$5:$AG$5)</f>
        <v>4419916.0239430033</v>
      </c>
      <c r="G58" s="199">
        <f>output_dollars</f>
        <v>46203</v>
      </c>
      <c r="H58" s="28"/>
      <c r="I58" s="28">
        <f>Option4!I$36*conv_2026*I$7</f>
        <v>501026.49596568319</v>
      </c>
      <c r="J58" s="28">
        <f>Option4!J$36*conv_2026*J$7</f>
        <v>267657.6324072071</v>
      </c>
      <c r="K58" s="28">
        <f>Option4!K$36*conv_2026*K$7</f>
        <v>270902.57257500349</v>
      </c>
      <c r="L58" s="28">
        <f>Option4!L$36*conv_2026*L$7</f>
        <v>273625.36610402615</v>
      </c>
      <c r="M58" s="28">
        <f>Option4!M$36*conv_2026*M$7</f>
        <v>275555.55629812577</v>
      </c>
      <c r="N58" s="28">
        <f>Option4!N$36*conv_2026*N$7</f>
        <v>277850.12886640948</v>
      </c>
      <c r="O58" s="28">
        <f>Option4!O$36*conv_2026*O$7</f>
        <v>281527.82344735035</v>
      </c>
      <c r="P58" s="28">
        <f>Option4!P$36*conv_2026*P$7</f>
        <v>285666.32061112358</v>
      </c>
      <c r="Q58" s="28">
        <f>Option4!Q$36*conv_2026*Q$7</f>
        <v>287621.24376318621</v>
      </c>
      <c r="R58" s="28">
        <f>Option4!R$36*conv_2026*R$7</f>
        <v>290757.63460405328</v>
      </c>
      <c r="S58" s="28">
        <f>Option4!S$36*conv_2026*S$7</f>
        <v>293924.93396470754</v>
      </c>
      <c r="T58" s="28">
        <f>Option4!T$36*conv_2026*T$7</f>
        <v>297123.03847105301</v>
      </c>
      <c r="U58" s="28">
        <f>Option4!U$36*conv_2026*U$7</f>
        <v>300351.84750643943</v>
      </c>
      <c r="V58" s="28">
        <f>Option4!V$36*conv_2026*V$7</f>
        <v>303611.26053341466</v>
      </c>
      <c r="W58" s="28">
        <f>Option4!W$36*conv_2026*W$7</f>
        <v>306901.1811102046</v>
      </c>
      <c r="X58" s="28">
        <f>Option4!X$36*conv_2026*X$7</f>
        <v>310221.51421290654</v>
      </c>
      <c r="Y58" s="28">
        <f>Option4!Y$36*conv_2026*Y$7</f>
        <v>313572.16891518782</v>
      </c>
      <c r="Z58" s="28">
        <f>Option4!Z$36*conv_2026*Z$7</f>
        <v>316953.05168770981</v>
      </c>
      <c r="AA58" s="28">
        <f>Option4!AA$36*conv_2026*AA$7</f>
        <v>320364.07443809637</v>
      </c>
      <c r="AB58" s="28">
        <f>Option4!AB$36*conv_2026*AB$7</f>
        <v>323805.14915012463</v>
      </c>
      <c r="AC58" s="28">
        <f>Option4!AC$36*conv_2026*AC$7</f>
        <v>0</v>
      </c>
      <c r="AD58" s="28">
        <f>Option4!AD$36*conv_2026*AD$7</f>
        <v>0</v>
      </c>
      <c r="AE58" s="28">
        <f>Option4!AE$36*conv_2026*AE$7</f>
        <v>0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3">
      <c r="A59" s="115" t="str">
        <f t="shared" si="15"/>
        <v>Option 4</v>
      </c>
      <c r="B59" s="115"/>
      <c r="C59" s="12"/>
      <c r="D59" s="34" t="str">
        <f t="shared" si="14"/>
        <v>Option 4</v>
      </c>
      <c r="E59" s="1"/>
      <c r="F59"/>
      <c r="G59" s="200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ht="13" x14ac:dyDescent="0.3">
      <c r="A60" s="115" t="str">
        <f t="shared" si="15"/>
        <v>Option 4</v>
      </c>
      <c r="B60" s="115"/>
      <c r="C60" s="52" t="str">
        <f>Option4!C$82</f>
        <v>Annualised capex</v>
      </c>
      <c r="D60" s="34" t="str">
        <f t="shared" si="14"/>
        <v>Option 4Annualised capex</v>
      </c>
      <c r="E60" s="1"/>
      <c r="F60" s="85">
        <f>SUMPRODUCT($H60:$AG60, $H$5:$AG$5)</f>
        <v>-2098713.247297476</v>
      </c>
      <c r="G60" s="199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-155736.70222672189</v>
      </c>
      <c r="K60" s="28">
        <f>Option4!K$82*conv_2026*K$7</f>
        <v>-155736.70222672189</v>
      </c>
      <c r="L60" s="28">
        <f>Option4!L$82*conv_2026*L$7</f>
        <v>-155736.70222672189</v>
      </c>
      <c r="M60" s="28">
        <f>Option4!M$82*conv_2026*M$7</f>
        <v>-155736.70222672189</v>
      </c>
      <c r="N60" s="28">
        <f>Option4!N$82*conv_2026*N$7</f>
        <v>-155736.70222672189</v>
      </c>
      <c r="O60" s="28">
        <f>Option4!O$82*conv_2026*O$7</f>
        <v>-155736.70222672189</v>
      </c>
      <c r="P60" s="28">
        <f>Option4!P$82*conv_2026*P$7</f>
        <v>-155736.70222672189</v>
      </c>
      <c r="Q60" s="28">
        <f>Option4!Q$82*conv_2026*Q$7</f>
        <v>-155736.70222672189</v>
      </c>
      <c r="R60" s="28">
        <f>Option4!R$82*conv_2026*R$7</f>
        <v>-155736.70222672189</v>
      </c>
      <c r="S60" s="28">
        <f>Option4!S$82*conv_2026*S$7</f>
        <v>-155736.70222672189</v>
      </c>
      <c r="T60" s="28">
        <f>Option4!T$82*conv_2026*T$7</f>
        <v>-155736.70222672189</v>
      </c>
      <c r="U60" s="28">
        <f>Option4!U$82*conv_2026*U$7</f>
        <v>-155736.70222672189</v>
      </c>
      <c r="V60" s="28">
        <f>Option4!V$82*conv_2026*V$7</f>
        <v>-155736.70222672189</v>
      </c>
      <c r="W60" s="28">
        <f>Option4!W$82*conv_2026*W$7</f>
        <v>-155736.70222672189</v>
      </c>
      <c r="X60" s="28">
        <f>Option4!X$82*conv_2026*X$7</f>
        <v>-155736.70222672189</v>
      </c>
      <c r="Y60" s="28">
        <f>Option4!Y$82*conv_2026*Y$7</f>
        <v>-155736.70222672189</v>
      </c>
      <c r="Z60" s="28">
        <f>Option4!Z$82*conv_2026*Z$7</f>
        <v>-155736.70222672189</v>
      </c>
      <c r="AA60" s="28">
        <f>Option4!AA$82*conv_2026*AA$7</f>
        <v>-155736.70222672189</v>
      </c>
      <c r="AB60" s="28">
        <f>Option4!AB$82*conv_2026*AB$7</f>
        <v>-155736.70222672189</v>
      </c>
      <c r="AC60" s="28">
        <f>Option4!AC$82*conv_2026*AC$7</f>
        <v>0</v>
      </c>
      <c r="AD60" s="28">
        <f>Option4!AD$82*conv_2026*AD$7</f>
        <v>0</v>
      </c>
      <c r="AE60" s="28">
        <f>Option4!AE$82*conv_2026*AE$7</f>
        <v>0</v>
      </c>
      <c r="AF60" s="28">
        <f>Option4!AF$82*conv_2026*AF$7</f>
        <v>0</v>
      </c>
      <c r="AG60" s="28">
        <f>Option4!AG$82*conv_2026*AG$7</f>
        <v>0</v>
      </c>
    </row>
    <row r="61" spans="1:33" s="2" customFormat="1" ht="13" x14ac:dyDescent="0.3">
      <c r="A61" s="115" t="str">
        <f t="shared" si="15"/>
        <v>Option 4</v>
      </c>
      <c r="B61" s="115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5">
        <f>SUMPRODUCT($H61:$AG61, $H$5:$AG$5)</f>
        <v>0</v>
      </c>
      <c r="G61" s="199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ht="13" x14ac:dyDescent="0.3">
      <c r="A62" s="115" t="str">
        <f t="shared" si="15"/>
        <v>Option 4</v>
      </c>
      <c r="B62" s="115"/>
      <c r="C62" s="52" t="str">
        <f>Option4!C$84</f>
        <v>Risk mitigated</v>
      </c>
      <c r="D62" s="34" t="str">
        <f t="shared" si="14"/>
        <v>Option 4Risk mitigated</v>
      </c>
      <c r="E62" s="1"/>
      <c r="F62" s="85">
        <f>SUMPRODUCT($H62:$AG62, $H$5:$AG$5)</f>
        <v>3997750.5806845799</v>
      </c>
      <c r="G62" s="199">
        <f t="shared" si="16"/>
        <v>46203</v>
      </c>
      <c r="H62" s="28"/>
      <c r="I62" s="28">
        <f>Option4!I$84*conv_2026*I$7</f>
        <v>0</v>
      </c>
      <c r="J62" s="28">
        <f>Option4!J$84*conv_2026*J$7</f>
        <v>245179.09891406522</v>
      </c>
      <c r="K62" s="28">
        <f>Option4!K$84*conv_2026*K$7</f>
        <v>252557.46012660002</v>
      </c>
      <c r="L62" s="28">
        <f>Option4!L$84*conv_2026*L$7</f>
        <v>258342.21860917381</v>
      </c>
      <c r="M62" s="28">
        <f>Option4!M$84*conv_2026*M$7</f>
        <v>261721.13147208359</v>
      </c>
      <c r="N62" s="28">
        <f>Option4!N$84*conv_2026*N$7</f>
        <v>266147.85328371287</v>
      </c>
      <c r="O62" s="28">
        <f>Option4!O$84*conv_2026*O$7</f>
        <v>274737.3561131098</v>
      </c>
      <c r="P62" s="28">
        <f>Option4!P$84*conv_2026*P$7</f>
        <v>284684.51389977906</v>
      </c>
      <c r="Q62" s="28">
        <f>Option4!Q$84*conv_2026*Q$7</f>
        <v>288027.75315755809</v>
      </c>
      <c r="R62" s="28">
        <f>Option4!R$84*conv_2026*R$7</f>
        <v>294905.3638835022</v>
      </c>
      <c r="S62" s="28">
        <f>Option4!S$84*conv_2026*S$7</f>
        <v>301851.30993220769</v>
      </c>
      <c r="T62" s="28">
        <f>Option4!T$84*conv_2026*T$7</f>
        <v>308865.38061298145</v>
      </c>
      <c r="U62" s="28">
        <f>Option4!U$84*conv_2026*U$7</f>
        <v>315947.37134777685</v>
      </c>
      <c r="V62" s="28">
        <f>Option4!V$84*conv_2026*V$7</f>
        <v>323097.07779643172</v>
      </c>
      <c r="W62" s="28">
        <f>Option4!W$84*conv_2026*W$7</f>
        <v>330314.30466613232</v>
      </c>
      <c r="X62" s="28">
        <f>Option4!X$84*conv_2026*X$7</f>
        <v>337598.85983797786</v>
      </c>
      <c r="Y62" s="28">
        <f>Option4!Y$84*conv_2026*Y$7</f>
        <v>344950.56024609919</v>
      </c>
      <c r="Z62" s="28">
        <f>Option4!Z$84*conv_2026*Z$7</f>
        <v>352369.21717586555</v>
      </c>
      <c r="AA62" s="28">
        <f>Option4!AA$84*conv_2026*AA$7</f>
        <v>359854.65390386648</v>
      </c>
      <c r="AB62" s="28">
        <f>Option4!AB$84*conv_2026*AB$7</f>
        <v>367406.6939354291</v>
      </c>
      <c r="AC62" s="28">
        <f>Option4!AC$84*conv_2026*AC$7</f>
        <v>0</v>
      </c>
      <c r="AD62" s="28">
        <f>Option4!AD$84*conv_2026*AD$7</f>
        <v>0</v>
      </c>
      <c r="AE62" s="28">
        <f>Option4!AE$84*conv_2026*AE$7</f>
        <v>0</v>
      </c>
      <c r="AF62" s="28">
        <f>Option4!AF$84*conv_2026*AF$7</f>
        <v>0</v>
      </c>
      <c r="AG62" s="28">
        <f>Option4!AG$84*conv_2026*AG$7</f>
        <v>0</v>
      </c>
    </row>
    <row r="63" spans="1:33" s="2" customFormat="1" ht="13" x14ac:dyDescent="0.3">
      <c r="A63" s="115" t="str">
        <f t="shared" si="15"/>
        <v>Option 4</v>
      </c>
      <c r="B63" s="115"/>
      <c r="C63" s="52" t="str">
        <f>Option4!C$85</f>
        <v>Other benefits value</v>
      </c>
      <c r="D63" s="34" t="str">
        <f t="shared" si="14"/>
        <v>Option 4Other benefits value</v>
      </c>
      <c r="E63" s="1"/>
      <c r="F63" s="85">
        <f>SUMPRODUCT($H63:$AG63, $H$5:$AG$5)</f>
        <v>0</v>
      </c>
      <c r="G63" s="199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ht="13" x14ac:dyDescent="0.3">
      <c r="A64" s="115" t="str">
        <f t="shared" si="15"/>
        <v>Option 4</v>
      </c>
      <c r="B64" s="115"/>
      <c r="C64" s="105" t="str">
        <f>Option4!C87</f>
        <v>Net benefits</v>
      </c>
      <c r="D64" s="97" t="str">
        <f t="shared" si="14"/>
        <v>Option 4Net benefits</v>
      </c>
      <c r="E64" s="98"/>
      <c r="F64" s="122"/>
      <c r="G64" s="201">
        <f t="shared" si="16"/>
        <v>46203</v>
      </c>
      <c r="H64" s="46"/>
      <c r="I64" s="46">
        <f t="shared" ref="I64:AB64" si="17">SUM(I60:I63)</f>
        <v>0</v>
      </c>
      <c r="J64" s="46">
        <f t="shared" si="17"/>
        <v>89442.396687343338</v>
      </c>
      <c r="K64" s="46">
        <f t="shared" si="17"/>
        <v>96820.757899878139</v>
      </c>
      <c r="L64" s="46">
        <f t="shared" si="17"/>
        <v>102605.51638245193</v>
      </c>
      <c r="M64" s="46">
        <f t="shared" si="17"/>
        <v>105984.42924536171</v>
      </c>
      <c r="N64" s="46">
        <f t="shared" si="17"/>
        <v>110411.15105699099</v>
      </c>
      <c r="O64" s="46">
        <f t="shared" si="17"/>
        <v>119000.65388638791</v>
      </c>
      <c r="P64" s="46">
        <f t="shared" si="17"/>
        <v>128947.81167305718</v>
      </c>
      <c r="Q64" s="46">
        <f t="shared" si="17"/>
        <v>132291.05093083621</v>
      </c>
      <c r="R64" s="46">
        <f t="shared" si="17"/>
        <v>139168.66165678031</v>
      </c>
      <c r="S64" s="46">
        <f t="shared" si="17"/>
        <v>146114.6077054858</v>
      </c>
      <c r="T64" s="46">
        <f t="shared" si="17"/>
        <v>153128.67838625956</v>
      </c>
      <c r="U64" s="46">
        <f t="shared" si="17"/>
        <v>160210.66912105496</v>
      </c>
      <c r="V64" s="46">
        <f t="shared" si="17"/>
        <v>167360.37556970984</v>
      </c>
      <c r="W64" s="46">
        <f t="shared" si="17"/>
        <v>174577.60243941043</v>
      </c>
      <c r="X64" s="46">
        <f t="shared" si="17"/>
        <v>181862.15761125597</v>
      </c>
      <c r="Y64" s="46">
        <f t="shared" si="17"/>
        <v>189213.85801937731</v>
      </c>
      <c r="Z64" s="46">
        <f t="shared" si="17"/>
        <v>196632.51494914366</v>
      </c>
      <c r="AA64" s="46">
        <f t="shared" si="17"/>
        <v>204117.95167714459</v>
      </c>
      <c r="AB64" s="46">
        <f t="shared" si="17"/>
        <v>211669.99170870721</v>
      </c>
      <c r="AC64" s="46">
        <f>SUM(AC60:AC63)</f>
        <v>0</v>
      </c>
      <c r="AD64" s="46">
        <f>SUM(AD60:AD63)</f>
        <v>0</v>
      </c>
      <c r="AE64" s="46">
        <f>SUM(AE60:AE63)</f>
        <v>0</v>
      </c>
      <c r="AF64" s="46">
        <f>SUM(AF60:AF63)</f>
        <v>0</v>
      </c>
      <c r="AG64" s="46">
        <f>SUM(AG60:AG63)</f>
        <v>0</v>
      </c>
    </row>
    <row r="65" spans="1:33" s="2" customFormat="1" ht="13" x14ac:dyDescent="0.3">
      <c r="A65" s="115" t="str">
        <f t="shared" si="15"/>
        <v>Option 4</v>
      </c>
      <c r="B65" s="115"/>
      <c r="C65" s="6" t="s">
        <v>22</v>
      </c>
      <c r="D65" s="34" t="str">
        <f t="shared" si="14"/>
        <v>Option 4NPV</v>
      </c>
      <c r="E65" s="1"/>
      <c r="F65" s="96" cm="1">
        <f t="array" ref="F65">SUMPRODUCT(($H64:$AG64)*($H$5:$AG$5)*($H$7:$AG$7))</f>
        <v>1899037.3333871036</v>
      </c>
      <c r="G65" s="199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ht="13" x14ac:dyDescent="0.3">
      <c r="A66" s="115" t="str">
        <f t="shared" si="15"/>
        <v>Option 4</v>
      </c>
      <c r="B66" s="115"/>
      <c r="C66" s="6" t="s">
        <v>25</v>
      </c>
      <c r="D66" s="34" t="str">
        <f t="shared" si="14"/>
        <v>Option 4PV of costs</v>
      </c>
      <c r="E66" s="1"/>
      <c r="F66" s="96">
        <f>SUM(F60:F61)</f>
        <v>-2098713.247297476</v>
      </c>
      <c r="G66" s="199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ht="13" x14ac:dyDescent="0.3">
      <c r="A67" s="115" t="str">
        <f t="shared" si="15"/>
        <v>Option 4</v>
      </c>
      <c r="B67" s="115"/>
      <c r="C67" s="6" t="s">
        <v>26</v>
      </c>
      <c r="D67" s="34" t="str">
        <f t="shared" si="14"/>
        <v>Option 4PV of benefits</v>
      </c>
      <c r="E67" s="1"/>
      <c r="F67" s="96">
        <f>SUM(F62:F63)</f>
        <v>3997750.5806845799</v>
      </c>
      <c r="G67" s="199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ht="13" x14ac:dyDescent="0.3">
      <c r="A68" s="115"/>
      <c r="B68" s="115"/>
      <c r="C68" s="1"/>
      <c r="D68" s="34"/>
      <c r="E68" s="1"/>
      <c r="F68" s="96"/>
      <c r="G68" s="202"/>
      <c r="H68" s="1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</row>
    <row r="69" spans="1:33" s="2" customFormat="1" ht="13" x14ac:dyDescent="0.3">
      <c r="A69" s="52"/>
      <c r="B69" s="52"/>
      <c r="C69" s="52"/>
      <c r="D69" s="34" t="str">
        <f t="shared" ref="D69:D81" si="18">A69&amp;C69</f>
        <v/>
      </c>
      <c r="F69" s="7"/>
      <c r="G69" s="195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ht="13" x14ac:dyDescent="0.3">
      <c r="A70" s="52" t="str">
        <f>A71</f>
        <v>Option 5</v>
      </c>
      <c r="B70" s="52"/>
      <c r="C70" s="52" t="s">
        <v>118</v>
      </c>
      <c r="D70" s="34" t="str">
        <f t="shared" si="18"/>
        <v>Option 5Energy at risk value</v>
      </c>
      <c r="F70" s="85">
        <f>SUMPRODUCT($H70:$AG70, $H$5:$AG$5)</f>
        <v>0</v>
      </c>
      <c r="G70" s="199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ht="13" x14ac:dyDescent="0.3">
      <c r="A71" s="115" t="str">
        <f>Data!B13</f>
        <v>Option 5</v>
      </c>
      <c r="B71" s="115"/>
      <c r="C71" s="52" t="str">
        <f>Option5!C$66</f>
        <v>Capital expenditure</v>
      </c>
      <c r="D71" s="34" t="str">
        <f t="shared" si="18"/>
        <v>Option 5Capital expenditure</v>
      </c>
      <c r="E71" s="1"/>
      <c r="F71" s="85">
        <f>SUMPRODUCT($H71:$AG71, $H$5:$AG$5)</f>
        <v>0</v>
      </c>
      <c r="G71" s="199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ht="13" x14ac:dyDescent="0.3">
      <c r="A72" s="115" t="str">
        <f t="shared" ref="A72:A81" si="19">A71</f>
        <v>Option 5</v>
      </c>
      <c r="B72" s="115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5">
        <f>SUMPRODUCT($H72:$AG72, $H$5:$AG$5)</f>
        <v>0</v>
      </c>
      <c r="G72" s="199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3">
      <c r="A73" s="115" t="str">
        <f t="shared" si="19"/>
        <v>Option 5</v>
      </c>
      <c r="B73" s="115"/>
      <c r="C73" s="12"/>
      <c r="D73" s="34" t="str">
        <f t="shared" si="18"/>
        <v>Option 5</v>
      </c>
      <c r="E73" s="1"/>
      <c r="F73"/>
      <c r="G73" s="200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ht="13" x14ac:dyDescent="0.3">
      <c r="A74" s="115" t="str">
        <f t="shared" si="19"/>
        <v>Option 5</v>
      </c>
      <c r="B74" s="115"/>
      <c r="C74" s="52" t="str">
        <f>Option5!C$82</f>
        <v>Annualised capex</v>
      </c>
      <c r="D74" s="34" t="str">
        <f t="shared" si="18"/>
        <v>Option 5Annualised capex</v>
      </c>
      <c r="E74" s="1"/>
      <c r="F74" s="96" cm="1">
        <f t="array" ref="F74">SUMPRODUCT(($H74:$AG74)*($H$5:$AG$5)*($H$7:$AG$7))</f>
        <v>0</v>
      </c>
      <c r="G74" s="199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ht="13" x14ac:dyDescent="0.3">
      <c r="A75" s="115" t="str">
        <f t="shared" si="19"/>
        <v>Option 5</v>
      </c>
      <c r="B75" s="115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6" cm="1">
        <f t="array" ref="F75">SUMPRODUCT(($H75:$AG75)*($H$5:$AG$5)*($H$7:$AG$7))</f>
        <v>0</v>
      </c>
      <c r="G75" s="199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ht="13" x14ac:dyDescent="0.3">
      <c r="A76" s="115" t="str">
        <f t="shared" si="19"/>
        <v>Option 5</v>
      </c>
      <c r="B76" s="115"/>
      <c r="C76" s="52" t="str">
        <f>Option5!C$84</f>
        <v>Risk mitigated</v>
      </c>
      <c r="D76" s="34" t="str">
        <f t="shared" si="18"/>
        <v>Option 5Risk mitigated</v>
      </c>
      <c r="E76" s="1"/>
      <c r="F76" s="85">
        <f>SUMPRODUCT($H76:$AG76, $H$5:$AG$5)</f>
        <v>0</v>
      </c>
      <c r="G76" s="199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ht="13" x14ac:dyDescent="0.3">
      <c r="A77" s="115" t="str">
        <f t="shared" si="19"/>
        <v>Option 5</v>
      </c>
      <c r="B77" s="115"/>
      <c r="C77" s="52" t="str">
        <f>Option5!C$85</f>
        <v>Other benefits value</v>
      </c>
      <c r="D77" s="34" t="str">
        <f t="shared" si="18"/>
        <v>Option 5Other benefits value</v>
      </c>
      <c r="E77" s="1"/>
      <c r="F77" s="85">
        <f>SUMPRODUCT($H77:$AG77, $H$5:$AG$5)</f>
        <v>0</v>
      </c>
      <c r="G77" s="199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ht="13" x14ac:dyDescent="0.3">
      <c r="A78" s="115" t="str">
        <f t="shared" si="19"/>
        <v>Option 5</v>
      </c>
      <c r="B78" s="115"/>
      <c r="C78" s="105" t="str">
        <f>Option5!C87</f>
        <v>Net benefits</v>
      </c>
      <c r="D78" s="97" t="str">
        <f t="shared" si="18"/>
        <v>Option 5Net benefits</v>
      </c>
      <c r="E78" s="98"/>
      <c r="F78" s="122"/>
      <c r="G78" s="201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ht="13" x14ac:dyDescent="0.3">
      <c r="A79" s="115" t="str">
        <f t="shared" si="19"/>
        <v>Option 5</v>
      </c>
      <c r="B79" s="115"/>
      <c r="C79" s="6" t="s">
        <v>22</v>
      </c>
      <c r="D79" s="34" t="str">
        <f t="shared" si="18"/>
        <v>Option 5NPV</v>
      </c>
      <c r="E79" s="1"/>
      <c r="F79" s="96" cm="1">
        <f t="array" ref="F79">SUMPRODUCT(($H78:$AG78)*($H$5:$AG$5)*($H$7:$AG$7))</f>
        <v>0</v>
      </c>
      <c r="G79" s="199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ht="13" x14ac:dyDescent="0.3">
      <c r="A80" s="115" t="str">
        <f t="shared" si="19"/>
        <v>Option 5</v>
      </c>
      <c r="B80" s="115"/>
      <c r="C80" s="6" t="s">
        <v>25</v>
      </c>
      <c r="D80" s="34" t="str">
        <f t="shared" si="18"/>
        <v>Option 5PV of costs</v>
      </c>
      <c r="E80" s="1"/>
      <c r="F80" s="96">
        <f>SUM(F74:F75)</f>
        <v>0</v>
      </c>
      <c r="G80" s="199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ht="13" x14ac:dyDescent="0.3">
      <c r="A81" s="115" t="str">
        <f t="shared" si="19"/>
        <v>Option 5</v>
      </c>
      <c r="B81" s="115"/>
      <c r="C81" s="6" t="s">
        <v>26</v>
      </c>
      <c r="D81" s="34" t="str">
        <f t="shared" si="18"/>
        <v>Option 5PV of benefits</v>
      </c>
      <c r="E81" s="1"/>
      <c r="F81" s="96">
        <f>SUM(F76:F77)</f>
        <v>0</v>
      </c>
      <c r="G81" s="199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ht="13" x14ac:dyDescent="0.3">
      <c r="A82" s="104"/>
      <c r="B82" s="104"/>
      <c r="C82" s="104"/>
      <c r="D82" s="34" t="str">
        <f>A82&amp;C82</f>
        <v/>
      </c>
      <c r="F82" s="7"/>
      <c r="G82" s="195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3">
      <c r="E83" s="74"/>
      <c r="G83" s="203"/>
    </row>
    <row r="84" spans="1:33" ht="12" x14ac:dyDescent="0.3">
      <c r="E84" s="74"/>
      <c r="G84" s="203"/>
    </row>
    <row r="85" spans="1:33" ht="12" x14ac:dyDescent="0.3">
      <c r="E85" s="74"/>
      <c r="G85" s="203"/>
    </row>
    <row r="86" spans="1:33" ht="12" x14ac:dyDescent="0.3">
      <c r="E86" s="74"/>
      <c r="G86" s="203"/>
    </row>
    <row r="87" spans="1:33" ht="12" x14ac:dyDescent="0.3">
      <c r="E87" s="8"/>
      <c r="G87" s="203"/>
    </row>
    <row r="88" spans="1:33" ht="14.5" x14ac:dyDescent="0.35">
      <c r="A88" s="177" t="s">
        <v>165</v>
      </c>
      <c r="B88" s="48"/>
      <c r="C88" s="17"/>
      <c r="D88" s="17"/>
      <c r="E88" s="73"/>
      <c r="F88" s="17"/>
      <c r="G88" s="197"/>
      <c r="H88" s="197"/>
      <c r="I88" s="175" t="str">
        <f>"FY"&amp;RIGHT(I$9,2)</f>
        <v>FY27</v>
      </c>
      <c r="J88" s="175" t="str">
        <f t="shared" ref="J88:AG88" si="22">"FY"&amp;RIGHT(J$9,2)</f>
        <v>FY28</v>
      </c>
      <c r="K88" s="175" t="str">
        <f t="shared" si="22"/>
        <v>FY29</v>
      </c>
      <c r="L88" s="175" t="str">
        <f t="shared" si="22"/>
        <v>FY30</v>
      </c>
      <c r="M88" s="175" t="str">
        <f t="shared" si="22"/>
        <v>FY31</v>
      </c>
      <c r="N88" s="175" t="str">
        <f t="shared" si="22"/>
        <v>FY32</v>
      </c>
      <c r="O88" s="175" t="str">
        <f t="shared" si="22"/>
        <v>FY33</v>
      </c>
      <c r="P88" s="175" t="str">
        <f t="shared" si="22"/>
        <v>FY34</v>
      </c>
      <c r="Q88" s="175" t="str">
        <f t="shared" si="22"/>
        <v>FY35</v>
      </c>
      <c r="R88" s="175" t="str">
        <f t="shared" si="22"/>
        <v>FY36</v>
      </c>
      <c r="S88" s="175" t="str">
        <f t="shared" si="22"/>
        <v>FY37</v>
      </c>
      <c r="T88" s="175" t="str">
        <f t="shared" si="22"/>
        <v>FY38</v>
      </c>
      <c r="U88" s="175" t="str">
        <f t="shared" si="22"/>
        <v>FY39</v>
      </c>
      <c r="V88" s="175" t="str">
        <f t="shared" si="22"/>
        <v>FY40</v>
      </c>
      <c r="W88" s="175" t="str">
        <f t="shared" si="22"/>
        <v>FY41</v>
      </c>
      <c r="X88" s="175" t="str">
        <f t="shared" si="22"/>
        <v>FY42</v>
      </c>
      <c r="Y88" s="175" t="str">
        <f t="shared" si="22"/>
        <v>FY43</v>
      </c>
      <c r="Z88" s="175" t="str">
        <f t="shared" si="22"/>
        <v>FY44</v>
      </c>
      <c r="AA88" s="175" t="str">
        <f t="shared" si="22"/>
        <v>FY45</v>
      </c>
      <c r="AB88" s="175" t="str">
        <f t="shared" si="22"/>
        <v>FY46</v>
      </c>
      <c r="AC88" s="175" t="str">
        <f t="shared" si="22"/>
        <v>FY47</v>
      </c>
      <c r="AD88" s="175" t="str">
        <f t="shared" si="22"/>
        <v>FY48</v>
      </c>
      <c r="AE88" s="175" t="str">
        <f t="shared" si="22"/>
        <v>FY49</v>
      </c>
      <c r="AF88" s="175" t="str">
        <f t="shared" si="22"/>
        <v>FY50</v>
      </c>
      <c r="AG88" s="175" t="str">
        <f t="shared" si="22"/>
        <v>FY51</v>
      </c>
    </row>
    <row r="89" spans="1:33" ht="12" x14ac:dyDescent="0.3">
      <c r="E89" s="74"/>
      <c r="G89" s="203"/>
    </row>
    <row r="90" spans="1:33" ht="12" x14ac:dyDescent="0.3">
      <c r="E90" s="74"/>
    </row>
    <row r="91" spans="1:33" ht="13" x14ac:dyDescent="0.3">
      <c r="A91" s="174" t="str">
        <f>Summary!$C$26</f>
        <v>Option 2</v>
      </c>
      <c r="B91" s="118"/>
      <c r="C91" s="172" t="s">
        <v>143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2 annualised capex</v>
      </c>
      <c r="I91" s="93" cm="1">
        <f t="array" ref="I91">MAX($D91*INDEX(I$15:W$81, MATCH($A91&amp;$C91, $D$15:$D$81,0),))/mill_conv</f>
        <v>0.28800861007809153</v>
      </c>
      <c r="J91" s="93" cm="1">
        <f t="array" ref="J91">MAX($D91*INDEX(J$15:X$81, MATCH($A91&amp;$C91, $D$15:$D$81,0),))/mill_conv</f>
        <v>0.28800861007809153</v>
      </c>
      <c r="K91" s="93" cm="1">
        <f t="array" ref="K91">MAX($D91*INDEX(K$15:Y$81, MATCH($A91&amp;$C91, $D$15:$D$81,0),))/mill_conv</f>
        <v>0.28800861007809153</v>
      </c>
      <c r="L91" s="93" cm="1">
        <f t="array" ref="L91">MAX($D91*INDEX(L$15:Z$81, MATCH($A91&amp;$C91, $D$15:$D$81,0),))/mill_conv</f>
        <v>0.28800861007809153</v>
      </c>
      <c r="M91" s="93" cm="1">
        <f t="array" ref="M91">MAX($D91*INDEX(M$15:AA$81, MATCH($A91&amp;$C91, $D$15:$D$81,0),))/mill_conv</f>
        <v>0.28800861007809153</v>
      </c>
      <c r="N91" s="93" cm="1">
        <f t="array" ref="N91">MAX($D91*INDEX(N$15:AB$81, MATCH($A91&amp;$C91, $D$15:$D$81,0),))/mill_conv</f>
        <v>0.28800861007809153</v>
      </c>
      <c r="O91" s="93" cm="1">
        <f t="array" ref="O91">MAX($D91*INDEX(O$15:AC$81, MATCH($A91&amp;$C91, $D$15:$D$81,0),))/mill_conv</f>
        <v>0.28800861007809153</v>
      </c>
      <c r="P91" s="93" cm="1">
        <f t="array" ref="P91">MAX($D91*INDEX(P$15:AD$81, MATCH($A91&amp;$C91, $D$15:$D$81,0),))/mill_conv</f>
        <v>0.28800861007809153</v>
      </c>
      <c r="Q91" s="93" cm="1">
        <f t="array" ref="Q91">MAX($D91*INDEX(Q$15:AE$81, MATCH($A91&amp;$C91, $D$15:$D$81,0),))/mill_conv</f>
        <v>0.28800861007809153</v>
      </c>
      <c r="R91" s="93" cm="1">
        <f t="array" ref="R91">MAX($D91*INDEX(R$15:AF$81, MATCH($A91&amp;$C91, $D$15:$D$81,0),))/mill_conv</f>
        <v>0.28800861007809153</v>
      </c>
      <c r="S91" s="93" cm="1">
        <f t="array" ref="S91">MAX($D91*INDEX(S$15:AG$81, MATCH($A91&amp;$C91, $D$15:$D$81,0),))/mill_conv</f>
        <v>0.28800861007809153</v>
      </c>
      <c r="T91" s="93" cm="1">
        <f t="array" ref="T91">MAX($D91*INDEX(T$15:AH$81, MATCH($A91&amp;$C91, $D$15:$D$81,0),))/mill_conv</f>
        <v>0.28800861007809153</v>
      </c>
      <c r="U91" s="93" cm="1">
        <f t="array" ref="U91">MAX($D91*INDEX(U$15:AI$81, MATCH($A91&amp;$C91, $D$15:$D$81,0),))/mill_conv</f>
        <v>0.28800861007809153</v>
      </c>
      <c r="V91" s="93" cm="1">
        <f t="array" ref="V91">MAX($D91*INDEX(V$15:AJ$81, MATCH($A91&amp;$C91, $D$15:$D$81,0),))/mill_conv</f>
        <v>0.28800861007809153</v>
      </c>
      <c r="W91" s="93" cm="1">
        <f t="array" ref="W91">MAX($D91*INDEX(W$15:AK$81, MATCH($A91&amp;$C91, $D$15:$D$81,0),))/mill_conv</f>
        <v>0.28800861007809153</v>
      </c>
      <c r="X91" s="93" cm="1">
        <f t="array" ref="X91">MAX($D91*INDEX(X$15:AL$81, MATCH($A91&amp;$C91, $D$15:$D$81,0),))/mill_conv</f>
        <v>0.28800861007809153</v>
      </c>
      <c r="Y91" s="93" cm="1">
        <f t="array" ref="Y91">MAX($D91*INDEX(Y$15:AM$81, MATCH($A91&amp;$C91, $D$15:$D$81,0),))/mill_conv</f>
        <v>0.28800861007809153</v>
      </c>
      <c r="Z91" s="93" cm="1">
        <f t="array" ref="Z91">MAX($D91*INDEX(Z$15:AN$81, MATCH($A91&amp;$C91, $D$15:$D$81,0),))/mill_conv</f>
        <v>0.28800861007809153</v>
      </c>
      <c r="AA91" s="93" cm="1">
        <f t="array" ref="AA91">MAX($D91*INDEX(AA$15:AO$81, MATCH($A91&amp;$C91, $D$15:$D$81,0),))/mill_conv</f>
        <v>0.28800861007809153</v>
      </c>
      <c r="AB91" s="93" cm="1">
        <f t="array" ref="AB91">MAX($D91*INDEX(AB$15:AP$81, MATCH($A91&amp;$C91, $D$15:$D$81,0),))/mill_conv</f>
        <v>0.28800861007809153</v>
      </c>
      <c r="AC91" s="93" cm="1">
        <f t="array" ref="AC91">MAX($D91*INDEX(AC$15:AQ$81, MATCH($A91&amp;$C91, $D$15:$D$81,0),))/mill_conv</f>
        <v>0</v>
      </c>
      <c r="AD91" s="93" cm="1">
        <f t="array" ref="AD91">MAX($D91*INDEX(AD$15:AR$81, MATCH($A91&amp;$C91, $D$15:$D$81,0),))/mill_conv</f>
        <v>0</v>
      </c>
      <c r="AE91" s="93" cm="1">
        <f t="array" ref="AE91">MAX($D91*INDEX(AE$15:AS$81, MATCH($A91&amp;$C91, $D$15:$D$81,0),))/mill_conv</f>
        <v>0</v>
      </c>
      <c r="AF91" s="93" cm="1">
        <f t="array" ref="AF91">MAX($D91*INDEX(AF$15:AT$81, MATCH($A91&amp;$C91, $D$15:$D$81,0),))/mill_conv</f>
        <v>0</v>
      </c>
      <c r="AG91" s="93" cm="1">
        <f t="array" ref="AG91">MAX($D91*INDEX(AG$15:AU$81, MATCH($A91&amp;$C91, $D$15:$D$81,0),))/mill_conv</f>
        <v>0</v>
      </c>
    </row>
    <row r="92" spans="1:33" ht="13" x14ac:dyDescent="0.3">
      <c r="A92" s="173" t="str">
        <f>A16</f>
        <v>Option 1 (base case)</v>
      </c>
      <c r="B92" s="118"/>
      <c r="C92" s="173" t="s">
        <v>121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3">
        <f t="shared" ref="I92:R92" si="23">$D92*INDEX(I$15:I$81, MATCH($A92&amp;$C92, $D$15:$D$81,0))/mill_conv</f>
        <v>0.50102649596568316</v>
      </c>
      <c r="J92" s="93">
        <f t="shared" si="23"/>
        <v>0.51283673132127239</v>
      </c>
      <c r="K92" s="93">
        <f t="shared" si="23"/>
        <v>0.52346003270160357</v>
      </c>
      <c r="L92" s="93">
        <f t="shared" si="23"/>
        <v>0.53196758471319994</v>
      </c>
      <c r="M92" s="93">
        <f t="shared" si="23"/>
        <v>0.53727668777020943</v>
      </c>
      <c r="N92" s="93">
        <f t="shared" si="23"/>
        <v>0.54399798215012241</v>
      </c>
      <c r="O92" s="93">
        <f t="shared" si="23"/>
        <v>0.55626517956046018</v>
      </c>
      <c r="P92" s="93">
        <f t="shared" si="23"/>
        <v>0.57035083451090263</v>
      </c>
      <c r="Q92" s="93">
        <f t="shared" si="23"/>
        <v>0.57564899692074434</v>
      </c>
      <c r="R92" s="93">
        <f t="shared" si="23"/>
        <v>0.58566299848755543</v>
      </c>
      <c r="S92" s="93">
        <f t="shared" ref="S92:AG92" si="24">$D92*INDEX(S$15:S$81, MATCH($A92&amp;$C92, $D$15:$D$81,0))/mill_conv</f>
        <v>0.59577624389691519</v>
      </c>
      <c r="T92" s="93">
        <f t="shared" si="24"/>
        <v>0.60598841908403456</v>
      </c>
      <c r="U92" s="93">
        <f t="shared" si="24"/>
        <v>0.61629921885421624</v>
      </c>
      <c r="V92" s="93">
        <f t="shared" si="24"/>
        <v>0.6267083383298464</v>
      </c>
      <c r="W92" s="93">
        <f t="shared" si="24"/>
        <v>0.63721548577633691</v>
      </c>
      <c r="X92" s="93">
        <f t="shared" si="24"/>
        <v>0.64782037405088444</v>
      </c>
      <c r="Y92" s="93">
        <f t="shared" si="24"/>
        <v>0.65852272916128696</v>
      </c>
      <c r="Z92" s="93">
        <f t="shared" si="24"/>
        <v>0.66932226886357538</v>
      </c>
      <c r="AA92" s="93">
        <f t="shared" si="24"/>
        <v>0.68021872834196284</v>
      </c>
      <c r="AB92" s="93">
        <f t="shared" si="24"/>
        <v>0.69121184308555372</v>
      </c>
      <c r="AC92" s="93">
        <f t="shared" si="24"/>
        <v>0.70230136173801272</v>
      </c>
      <c r="AD92" s="93">
        <f t="shared" si="24"/>
        <v>0.71348703324590801</v>
      </c>
      <c r="AE92" s="93">
        <f t="shared" si="24"/>
        <v>0.72381804658931725</v>
      </c>
      <c r="AF92" s="93">
        <f t="shared" si="24"/>
        <v>0.7342369595985796</v>
      </c>
      <c r="AG92" s="93">
        <f t="shared" si="24"/>
        <v>0.74474355813659743</v>
      </c>
    </row>
    <row r="93" spans="1:33" ht="12" x14ac:dyDescent="0.3">
      <c r="E93" s="74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129"/>
    </row>
    <row r="94" spans="1:33" ht="12" x14ac:dyDescent="0.3">
      <c r="E94" s="74"/>
    </row>
    <row r="95" spans="1:33" ht="12" x14ac:dyDescent="0.3">
      <c r="E95" s="74"/>
    </row>
    <row r="96" spans="1:33" ht="12" x14ac:dyDescent="0.3">
      <c r="E96" s="74"/>
    </row>
    <row r="97" spans="1:33" ht="12" x14ac:dyDescent="0.3">
      <c r="E97" s="74"/>
      <c r="I97" s="249" t="str">
        <f>I88</f>
        <v>FY27</v>
      </c>
      <c r="J97" s="249" t="str">
        <f t="shared" ref="J97:AG97" si="25">J88</f>
        <v>FY28</v>
      </c>
      <c r="K97" s="249" t="str">
        <f t="shared" si="25"/>
        <v>FY29</v>
      </c>
      <c r="L97" s="249" t="str">
        <f t="shared" si="25"/>
        <v>FY30</v>
      </c>
      <c r="M97" s="249" t="str">
        <f t="shared" si="25"/>
        <v>FY31</v>
      </c>
      <c r="N97" s="249" t="str">
        <f t="shared" si="25"/>
        <v>FY32</v>
      </c>
      <c r="O97" s="249" t="str">
        <f t="shared" si="25"/>
        <v>FY33</v>
      </c>
      <c r="P97" s="249" t="str">
        <f t="shared" si="25"/>
        <v>FY34</v>
      </c>
      <c r="Q97" s="249" t="str">
        <f t="shared" si="25"/>
        <v>FY35</v>
      </c>
      <c r="R97" s="249" t="str">
        <f t="shared" si="25"/>
        <v>FY36</v>
      </c>
      <c r="S97" s="249" t="str">
        <f t="shared" si="25"/>
        <v>FY37</v>
      </c>
      <c r="T97" s="249" t="str">
        <f t="shared" si="25"/>
        <v>FY38</v>
      </c>
      <c r="U97" s="249" t="str">
        <f t="shared" si="25"/>
        <v>FY39</v>
      </c>
      <c r="V97" s="249" t="str">
        <f t="shared" si="25"/>
        <v>FY40</v>
      </c>
      <c r="W97" s="249" t="str">
        <f t="shared" si="25"/>
        <v>FY41</v>
      </c>
      <c r="X97" s="249" t="str">
        <f t="shared" si="25"/>
        <v>FY42</v>
      </c>
      <c r="Y97" s="249" t="str">
        <f t="shared" si="25"/>
        <v>FY43</v>
      </c>
      <c r="Z97" s="249" t="str">
        <f t="shared" si="25"/>
        <v>FY44</v>
      </c>
      <c r="AA97" s="249" t="str">
        <f t="shared" si="25"/>
        <v>FY45</v>
      </c>
      <c r="AB97" s="249" t="str">
        <f t="shared" si="25"/>
        <v>FY46</v>
      </c>
      <c r="AC97" s="249" t="str">
        <f t="shared" si="25"/>
        <v>FY47</v>
      </c>
      <c r="AD97" s="249" t="str">
        <f t="shared" si="25"/>
        <v>FY48</v>
      </c>
      <c r="AE97" s="249" t="str">
        <f t="shared" si="25"/>
        <v>FY49</v>
      </c>
      <c r="AF97" s="249" t="str">
        <f t="shared" si="25"/>
        <v>FY50</v>
      </c>
      <c r="AG97" s="249" t="str">
        <f t="shared" si="25"/>
        <v>FY51</v>
      </c>
    </row>
    <row r="98" spans="1:33" ht="13" x14ac:dyDescent="0.3">
      <c r="A98" s="174" t="s">
        <v>8</v>
      </c>
      <c r="B98" s="118"/>
      <c r="C98" s="172" t="s">
        <v>116</v>
      </c>
      <c r="D98" s="166">
        <f>MAX(H98:AG98)</f>
        <v>0</v>
      </c>
      <c r="E98" s="248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ht="13" x14ac:dyDescent="0.3">
      <c r="A99" s="173" t="str">
        <f>A23</f>
        <v>Option 1 (base case)</v>
      </c>
      <c r="B99" s="118"/>
      <c r="C99" s="173" t="s">
        <v>118</v>
      </c>
      <c r="D99" s="166">
        <f>MAX(H99:AG99)</f>
        <v>0.48917301513320532</v>
      </c>
      <c r="E99" s="248"/>
      <c r="H99" s="28" t="str">
        <f>A99&amp;" risk cost"</f>
        <v>Option 1 (base case) risk cost</v>
      </c>
      <c r="I99" s="28">
        <f>INDEX('Option1 (base case)'!I$14:I$87, MATCH($C99, 'Option1 (base case)'!$C$14:$C$87,0))/10^6</f>
        <v>0.28532088237505032</v>
      </c>
      <c r="J99" s="28">
        <f>INDEX('Option1 (base case)'!J$14:J$87, MATCH($C99, 'Option1 (base case)'!$C$14:$C$87,0))/10^6</f>
        <v>0.29528736990711218</v>
      </c>
      <c r="K99" s="28">
        <f>INDEX('Option1 (base case)'!K$14:K$87, MATCH($C99, 'Option1 (base case)'!$C$14:$C$87,0))/10^6</f>
        <v>0.3041737203946443</v>
      </c>
      <c r="L99" s="28">
        <f>INDEX('Option1 (base case)'!L$14:L$87, MATCH($C99, 'Option1 (base case)'!$C$14:$C$87,0))/10^6</f>
        <v>0.31114070030877528</v>
      </c>
      <c r="M99" s="28">
        <f>INDEX('Option1 (base case)'!M$14:M$87, MATCH($C99, 'Option1 (base case)'!$C$14:$C$87,0))/10^6</f>
        <v>0.31521002787676283</v>
      </c>
      <c r="N99" s="28">
        <f>INDEX('Option1 (base case)'!N$14:N$87, MATCH($C99, 'Option1 (base case)'!$C$14:$C$87,0))/10^6</f>
        <v>0.32054786498746501</v>
      </c>
      <c r="O99" s="28">
        <f>INDEX('Option1 (base case)'!O$14:O$87, MATCH($C99, 'Option1 (base case)'!$C$14:$C$87,0))/10^6</f>
        <v>0.33088942654053799</v>
      </c>
      <c r="P99" s="28">
        <f>INDEX('Option1 (base case)'!P$14:P$87, MATCH($C99, 'Option1 (base case)'!$C$14:$C$87,0))/10^6</f>
        <v>0.342866661418046</v>
      </c>
      <c r="Q99" s="28">
        <f>INDEX('Option1 (base case)'!Q$14:Q$87, MATCH($C99, 'Option1 (base case)'!$C$14:$C$87,0))/10^6</f>
        <v>0.34689616870255208</v>
      </c>
      <c r="R99" s="28">
        <f>INDEX('Option1 (base case)'!R$14:R$87, MATCH($C99, 'Option1 (base case)'!$C$14:$C$87,0))/10^6</f>
        <v>0.35517945820060187</v>
      </c>
      <c r="S99" s="28">
        <f>INDEX('Option1 (base case)'!S$14:S$87, MATCH($C99, 'Option1 (base case)'!$C$14:$C$87,0))/10^6</f>
        <v>0.36354504979286112</v>
      </c>
      <c r="T99" s="28">
        <f>INDEX('Option1 (base case)'!T$14:T$87, MATCH($C99, 'Option1 (base case)'!$C$14:$C$87,0))/10^6</f>
        <v>0.37199268972877497</v>
      </c>
      <c r="U99" s="28">
        <f>INDEX('Option1 (base case)'!U$14:U$87, MATCH($C99, 'Option1 (base case)'!$C$14:$C$87,0))/10^6</f>
        <v>0.38052213161977477</v>
      </c>
      <c r="V99" s="28">
        <f>INDEX('Option1 (base case)'!V$14:V$87, MATCH($C99, 'Option1 (base case)'!$C$14:$C$87,0))/10^6</f>
        <v>0.38913312936380506</v>
      </c>
      <c r="W99" s="28">
        <f>INDEX('Option1 (base case)'!W$14:W$87, MATCH($C99, 'Option1 (base case)'!$C$14:$C$87,0))/10^6</f>
        <v>0.39782544775530782</v>
      </c>
      <c r="X99" s="28">
        <f>INDEX('Option1 (base case)'!X$14:X$87, MATCH($C99, 'Option1 (base case)'!$C$14:$C$87,0))/10^6</f>
        <v>0.40659885541134505</v>
      </c>
      <c r="Y99" s="28">
        <f>INDEX('Option1 (base case)'!Y$14:Y$87, MATCH($C99, 'Option1 (base case)'!$C$14:$C$87,0))/10^6</f>
        <v>0.41545313185232208</v>
      </c>
      <c r="Z99" s="28">
        <f>INDEX('Option1 (base case)'!Z$14:Z$87, MATCH($C99, 'Option1 (base case)'!$C$14:$C$87,0))/10^6</f>
        <v>0.42438804979536859</v>
      </c>
      <c r="AA99" s="28">
        <f>INDEX('Option1 (base case)'!AA$14:AA$87, MATCH($C99, 'Option1 (base case)'!$C$14:$C$87,0))/10^6</f>
        <v>0.43340339639966691</v>
      </c>
      <c r="AB99" s="28">
        <f>INDEX('Option1 (base case)'!AB$14:AB$87, MATCH($C99, 'Option1 (base case)'!$C$14:$C$87,0))/10^6</f>
        <v>0.44249895909989539</v>
      </c>
      <c r="AC99" s="28">
        <f>INDEX('Option1 (base case)'!AC$14:AC$87, MATCH($C99, 'Option1 (base case)'!$C$14:$C$87,0))/10^6</f>
        <v>0.4516745362376523</v>
      </c>
      <c r="AD99" s="28">
        <f>INDEX('Option1 (base case)'!AD$14:AD$87, MATCH($C99, 'Option1 (base case)'!$C$14:$C$87,0))/10^6</f>
        <v>0.46092992642823588</v>
      </c>
      <c r="AE99" s="28">
        <f>INDEX('Option1 (base case)'!AE$14:AE$87, MATCH($C99, 'Option1 (base case)'!$C$14:$C$87,0))/10^6</f>
        <v>0.4702649285530896</v>
      </c>
      <c r="AF99" s="28">
        <f>INDEX('Option1 (base case)'!AF$14:AF$87, MATCH($C99, 'Option1 (base case)'!$C$14:$C$87,0))/10^6</f>
        <v>0.47967935595213845</v>
      </c>
      <c r="AG99" s="28">
        <f>INDEX('Option1 (base case)'!AG$14:AG$87, MATCH($C99, 'Option1 (base case)'!$C$14:$C$87,0))/10^6</f>
        <v>0.48917301513320532</v>
      </c>
    </row>
    <row r="100" spans="1:33" ht="12" x14ac:dyDescent="0.3">
      <c r="E100" s="8"/>
    </row>
    <row r="101" spans="1:33" s="250" customFormat="1" ht="12" x14ac:dyDescent="0.3"/>
    <row r="102" spans="1:33" ht="12" x14ac:dyDescent="0.3">
      <c r="E102" s="8"/>
    </row>
    <row r="103" spans="1:33" ht="12" x14ac:dyDescent="0.3">
      <c r="E103" s="8"/>
      <c r="I103" s="250"/>
    </row>
    <row r="104" spans="1:33" ht="12" x14ac:dyDescent="0.3">
      <c r="E104" s="8"/>
      <c r="H104" s="129"/>
    </row>
    <row r="105" spans="1:33" ht="12" x14ac:dyDescent="0.3">
      <c r="E105" s="8"/>
      <c r="H105" s="129"/>
    </row>
    <row r="106" spans="1:33" ht="12" x14ac:dyDescent="0.3">
      <c r="D106" s="166"/>
      <c r="E106" s="8"/>
    </row>
    <row r="107" spans="1:33" ht="12" x14ac:dyDescent="0.3">
      <c r="D107" s="166"/>
      <c r="E107" s="8"/>
    </row>
    <row r="108" spans="1:33" ht="12" x14ac:dyDescent="0.3">
      <c r="D108" s="166"/>
      <c r="E108" s="74"/>
    </row>
    <row r="109" spans="1:33" ht="12" x14ac:dyDescent="0.3">
      <c r="C109" s="104"/>
      <c r="D109" s="166"/>
      <c r="E109" s="166"/>
    </row>
    <row r="110" spans="1:33" ht="12" x14ac:dyDescent="0.3">
      <c r="D110" s="166"/>
      <c r="E110" s="74"/>
    </row>
    <row r="111" spans="1:33" ht="12" x14ac:dyDescent="0.3">
      <c r="D111" s="166"/>
      <c r="E111" s="74"/>
    </row>
    <row r="112" spans="1:33" ht="12" x14ac:dyDescent="0.3">
      <c r="D112" s="166"/>
      <c r="E112" s="74"/>
    </row>
    <row r="113" spans="4:5" ht="12" x14ac:dyDescent="0.3">
      <c r="D113" s="166"/>
      <c r="E113" s="74"/>
    </row>
    <row r="114" spans="4:5" ht="12" x14ac:dyDescent="0.3">
      <c r="D114" s="166"/>
      <c r="E114" s="74"/>
    </row>
    <row r="115" spans="4:5" ht="12" x14ac:dyDescent="0.3">
      <c r="D115" s="166"/>
      <c r="E115" s="74"/>
    </row>
    <row r="116" spans="4:5" ht="12" x14ac:dyDescent="0.3">
      <c r="D116" s="166"/>
      <c r="E116" s="74"/>
    </row>
    <row r="117" spans="4:5" ht="12" x14ac:dyDescent="0.3">
      <c r="D117" s="166"/>
      <c r="E117" s="74"/>
    </row>
    <row r="118" spans="4:5" ht="12" x14ac:dyDescent="0.3">
      <c r="D118" s="166"/>
      <c r="E118" s="74"/>
    </row>
    <row r="119" spans="4:5" ht="12" x14ac:dyDescent="0.3">
      <c r="D119" s="166"/>
      <c r="E119" s="74"/>
    </row>
    <row r="120" spans="4:5" ht="12" x14ac:dyDescent="0.3">
      <c r="D120" s="166"/>
      <c r="E120" s="74"/>
    </row>
    <row r="121" spans="4:5" ht="12" x14ac:dyDescent="0.3">
      <c r="D121" s="166"/>
      <c r="E121" s="74"/>
    </row>
    <row r="122" spans="4:5" ht="12" x14ac:dyDescent="0.3">
      <c r="D122" s="166"/>
      <c r="E122" s="74"/>
    </row>
    <row r="123" spans="4:5" ht="12" x14ac:dyDescent="0.3">
      <c r="D123" s="166"/>
      <c r="E123" s="74"/>
    </row>
    <row r="124" spans="4:5" ht="12" x14ac:dyDescent="0.3">
      <c r="D124" s="166"/>
      <c r="E124" s="74"/>
    </row>
    <row r="125" spans="4:5" ht="12" x14ac:dyDescent="0.3">
      <c r="D125" s="166"/>
      <c r="E125" s="74"/>
    </row>
    <row r="126" spans="4:5" ht="12" x14ac:dyDescent="0.3">
      <c r="D126" s="166"/>
      <c r="E126" s="74"/>
    </row>
    <row r="127" spans="4:5" ht="12" x14ac:dyDescent="0.3">
      <c r="D127" s="166"/>
      <c r="E127" s="74"/>
    </row>
    <row r="128" spans="4:5" ht="12" x14ac:dyDescent="0.3">
      <c r="D128" s="166"/>
      <c r="E128" s="74"/>
    </row>
    <row r="129" spans="4:5" ht="12" x14ac:dyDescent="0.3">
      <c r="D129" s="166"/>
      <c r="E129" s="74"/>
    </row>
    <row r="130" spans="4:5" ht="12" x14ac:dyDescent="0.3">
      <c r="D130" s="166"/>
      <c r="E130" s="74"/>
    </row>
    <row r="131" spans="4:5" ht="12" x14ac:dyDescent="0.3">
      <c r="D131" s="166"/>
      <c r="E131" s="74"/>
    </row>
    <row r="132" spans="4:5" ht="12" x14ac:dyDescent="0.3">
      <c r="D132" s="166"/>
      <c r="E132" s="74"/>
    </row>
    <row r="133" spans="4:5" ht="12" x14ac:dyDescent="0.3">
      <c r="D133" s="166"/>
      <c r="E133" s="74"/>
    </row>
    <row r="134" spans="4:5" ht="12" x14ac:dyDescent="0.3">
      <c r="D134" s="166"/>
      <c r="E134" s="74"/>
    </row>
    <row r="135" spans="4:5" ht="12" x14ac:dyDescent="0.3">
      <c r="D135" s="166"/>
      <c r="E135" s="74"/>
    </row>
    <row r="136" spans="4:5" ht="12" x14ac:dyDescent="0.3">
      <c r="D136" s="166"/>
      <c r="E136" s="74"/>
    </row>
    <row r="137" spans="4:5" ht="12" x14ac:dyDescent="0.3">
      <c r="D137" s="166"/>
      <c r="E137" s="74"/>
    </row>
    <row r="138" spans="4:5" ht="12" x14ac:dyDescent="0.3">
      <c r="E138" s="74"/>
    </row>
    <row r="139" spans="4:5" ht="12" x14ac:dyDescent="0.3">
      <c r="E139" s="74"/>
    </row>
    <row r="140" spans="4:5" ht="12" x14ac:dyDescent="0.3">
      <c r="E140" s="74"/>
    </row>
    <row r="141" spans="4:5" ht="12" x14ac:dyDescent="0.3">
      <c r="E141" s="74"/>
    </row>
    <row r="142" spans="4:5" ht="12" x14ac:dyDescent="0.3">
      <c r="E142" s="74"/>
    </row>
    <row r="143" spans="4:5" ht="12" x14ac:dyDescent="0.3">
      <c r="E143" s="74"/>
    </row>
    <row r="144" spans="4:5" ht="12" x14ac:dyDescent="0.3">
      <c r="E144" s="74"/>
    </row>
    <row r="145" spans="5:5" ht="12" x14ac:dyDescent="0.3">
      <c r="E145" s="74"/>
    </row>
    <row r="146" spans="5:5" ht="12" x14ac:dyDescent="0.3">
      <c r="E146" s="74"/>
    </row>
    <row r="147" spans="5:5" ht="12" x14ac:dyDescent="0.3">
      <c r="E147" s="74"/>
    </row>
    <row r="148" spans="5:5" ht="12" x14ac:dyDescent="0.3">
      <c r="E148" s="74"/>
    </row>
    <row r="149" spans="5:5" ht="12" x14ac:dyDescent="0.3">
      <c r="E149" s="74"/>
    </row>
    <row r="150" spans="5:5" ht="12" x14ac:dyDescent="0.3">
      <c r="E150" s="74"/>
    </row>
    <row r="151" spans="5:5" ht="12" x14ac:dyDescent="0.3">
      <c r="E151" s="74"/>
    </row>
    <row r="152" spans="5:5" ht="12" x14ac:dyDescent="0.3">
      <c r="E152" s="74"/>
    </row>
    <row r="153" spans="5:5" ht="12" x14ac:dyDescent="0.3">
      <c r="E153" s="74"/>
    </row>
    <row r="154" spans="5:5" ht="12" x14ac:dyDescent="0.3">
      <c r="E154" s="74"/>
    </row>
    <row r="155" spans="5:5" ht="12" x14ac:dyDescent="0.3">
      <c r="E155" s="74"/>
    </row>
    <row r="156" spans="5:5" ht="12" x14ac:dyDescent="0.3">
      <c r="E156" s="74"/>
    </row>
    <row r="157" spans="5:5" ht="12" x14ac:dyDescent="0.3">
      <c r="E157" s="74"/>
    </row>
    <row r="158" spans="5:5" ht="12" x14ac:dyDescent="0.3">
      <c r="E158" s="74"/>
    </row>
    <row r="159" spans="5:5" ht="12" x14ac:dyDescent="0.3">
      <c r="E159" s="74"/>
    </row>
    <row r="160" spans="5:5" ht="12" x14ac:dyDescent="0.3">
      <c r="E160" s="74"/>
    </row>
    <row r="161" spans="5:5" ht="12" x14ac:dyDescent="0.3">
      <c r="E161" s="74"/>
    </row>
    <row r="162" spans="5:5" ht="12" x14ac:dyDescent="0.3">
      <c r="E162" s="74"/>
    </row>
    <row r="163" spans="5:5" ht="12" x14ac:dyDescent="0.3">
      <c r="E163" s="74"/>
    </row>
    <row r="164" spans="5:5" ht="12" x14ac:dyDescent="0.3">
      <c r="E164" s="74"/>
    </row>
    <row r="165" spans="5:5" ht="12" x14ac:dyDescent="0.3">
      <c r="E165" s="74"/>
    </row>
    <row r="166" spans="5:5" ht="12" x14ac:dyDescent="0.3">
      <c r="E166" s="74"/>
    </row>
    <row r="167" spans="5:5" ht="12" x14ac:dyDescent="0.3">
      <c r="E167" s="74"/>
    </row>
    <row r="168" spans="5:5" ht="12" x14ac:dyDescent="0.3">
      <c r="E168" s="74"/>
    </row>
    <row r="169" spans="5:5" ht="12" x14ac:dyDescent="0.3">
      <c r="E169" s="74"/>
    </row>
    <row r="170" spans="5:5" ht="12" x14ac:dyDescent="0.3">
      <c r="E170" s="74"/>
    </row>
    <row r="171" spans="5:5" ht="12" x14ac:dyDescent="0.3">
      <c r="E171" s="74"/>
    </row>
    <row r="172" spans="5:5" ht="12" x14ac:dyDescent="0.3">
      <c r="E172" s="74"/>
    </row>
    <row r="173" spans="5:5" ht="12" x14ac:dyDescent="0.3">
      <c r="E173" s="74"/>
    </row>
    <row r="174" spans="5:5" ht="12" x14ac:dyDescent="0.3">
      <c r="E174" s="74"/>
    </row>
    <row r="175" spans="5:5" ht="12" x14ac:dyDescent="0.3">
      <c r="E175" s="74"/>
    </row>
    <row r="176" spans="5:5" ht="12" x14ac:dyDescent="0.3">
      <c r="E176" s="74"/>
    </row>
    <row r="177" spans="5:5" ht="12" x14ac:dyDescent="0.3">
      <c r="E177" s="74"/>
    </row>
    <row r="178" spans="5:5" ht="12" x14ac:dyDescent="0.3">
      <c r="E178" s="74"/>
    </row>
    <row r="179" spans="5:5" ht="12" x14ac:dyDescent="0.3">
      <c r="E179" s="74"/>
    </row>
    <row r="180" spans="5:5" ht="12" x14ac:dyDescent="0.3">
      <c r="E180" s="74"/>
    </row>
    <row r="181" spans="5:5" ht="12" x14ac:dyDescent="0.3">
      <c r="E181" s="74"/>
    </row>
    <row r="182" spans="5:5" ht="12" x14ac:dyDescent="0.3">
      <c r="E182" s="74"/>
    </row>
    <row r="183" spans="5:5" ht="12" x14ac:dyDescent="0.3">
      <c r="E183" s="74"/>
    </row>
    <row r="184" spans="5:5" ht="12" x14ac:dyDescent="0.3">
      <c r="E184" s="74"/>
    </row>
    <row r="185" spans="5:5" ht="12" x14ac:dyDescent="0.3">
      <c r="E185" s="74"/>
    </row>
    <row r="186" spans="5:5" ht="12" x14ac:dyDescent="0.3">
      <c r="E186" s="74"/>
    </row>
    <row r="187" spans="5:5" ht="12" x14ac:dyDescent="0.3">
      <c r="E187" s="74"/>
    </row>
    <row r="188" spans="5:5" ht="12" x14ac:dyDescent="0.3">
      <c r="E188" s="74"/>
    </row>
    <row r="189" spans="5:5" ht="12" x14ac:dyDescent="0.3">
      <c r="E189" s="74"/>
    </row>
    <row r="190" spans="5:5" ht="12" x14ac:dyDescent="0.3">
      <c r="E190" s="74"/>
    </row>
    <row r="191" spans="5:5" ht="12" x14ac:dyDescent="0.3">
      <c r="E191" s="74"/>
    </row>
    <row r="192" spans="5:5" ht="12" x14ac:dyDescent="0.3">
      <c r="E192" s="74"/>
    </row>
    <row r="193" spans="5:5" ht="12" x14ac:dyDescent="0.3">
      <c r="E193" s="74"/>
    </row>
    <row r="194" spans="5:5" ht="12" x14ac:dyDescent="0.3">
      <c r="E194" s="74"/>
    </row>
    <row r="195" spans="5:5" ht="12" x14ac:dyDescent="0.3">
      <c r="E195" s="74"/>
    </row>
    <row r="196" spans="5:5" ht="12" x14ac:dyDescent="0.3">
      <c r="E196" s="74"/>
    </row>
    <row r="197" spans="5:5" ht="12" x14ac:dyDescent="0.3">
      <c r="E197" s="74"/>
    </row>
    <row r="198" spans="5:5" ht="12" x14ac:dyDescent="0.3">
      <c r="E198" s="74"/>
    </row>
    <row r="199" spans="5:5" ht="12" x14ac:dyDescent="0.3">
      <c r="E199" s="74"/>
    </row>
    <row r="200" spans="5:5" ht="12" x14ac:dyDescent="0.3">
      <c r="E200" s="74"/>
    </row>
    <row r="201" spans="5:5" ht="12" x14ac:dyDescent="0.3">
      <c r="E201" s="74"/>
    </row>
    <row r="202" spans="5:5" ht="12" x14ac:dyDescent="0.3">
      <c r="E202" s="74"/>
    </row>
    <row r="203" spans="5:5" ht="12" x14ac:dyDescent="0.3">
      <c r="E203" s="74"/>
    </row>
    <row r="204" spans="5:5" ht="12" x14ac:dyDescent="0.3">
      <c r="E204" s="74"/>
    </row>
    <row r="205" spans="5:5" ht="12" x14ac:dyDescent="0.3">
      <c r="E205" s="74"/>
    </row>
    <row r="206" spans="5:5" ht="12" x14ac:dyDescent="0.3">
      <c r="E206" s="74"/>
    </row>
    <row r="207" spans="5:5" ht="12" x14ac:dyDescent="0.3">
      <c r="E207" s="74"/>
    </row>
    <row r="208" spans="5:5" ht="12" x14ac:dyDescent="0.3">
      <c r="E208" s="74"/>
    </row>
    <row r="209" spans="5:5" ht="12" x14ac:dyDescent="0.3">
      <c r="E209" s="74"/>
    </row>
    <row r="210" spans="5:5" ht="12" x14ac:dyDescent="0.3">
      <c r="E210" s="74"/>
    </row>
    <row r="211" spans="5:5" ht="12" x14ac:dyDescent="0.3">
      <c r="E211" s="74"/>
    </row>
    <row r="212" spans="5:5" ht="12" x14ac:dyDescent="0.3">
      <c r="E212" s="74"/>
    </row>
    <row r="213" spans="5:5" ht="12" x14ac:dyDescent="0.3">
      <c r="E213" s="74"/>
    </row>
    <row r="214" spans="5:5" ht="12" x14ac:dyDescent="0.3">
      <c r="E214" s="74"/>
    </row>
    <row r="215" spans="5:5" ht="12" x14ac:dyDescent="0.3">
      <c r="E215" s="74"/>
    </row>
    <row r="216" spans="5:5" ht="12" x14ac:dyDescent="0.3">
      <c r="E216" s="74"/>
    </row>
    <row r="217" spans="5:5" ht="12" x14ac:dyDescent="0.3">
      <c r="E217" s="74"/>
    </row>
    <row r="218" spans="5:5" ht="12" x14ac:dyDescent="0.3">
      <c r="E218" s="74"/>
    </row>
    <row r="219" spans="5:5" ht="12" x14ac:dyDescent="0.3">
      <c r="E219" s="74"/>
    </row>
    <row r="220" spans="5:5" ht="12" x14ac:dyDescent="0.3">
      <c r="E220" s="74"/>
    </row>
    <row r="221" spans="5:5" ht="12" x14ac:dyDescent="0.3">
      <c r="E221" s="74"/>
    </row>
    <row r="222" spans="5:5" ht="12" x14ac:dyDescent="0.3">
      <c r="E222" s="74"/>
    </row>
    <row r="223" spans="5:5" ht="12" x14ac:dyDescent="0.3">
      <c r="E223" s="74"/>
    </row>
    <row r="224" spans="5:5" ht="12" x14ac:dyDescent="0.3">
      <c r="E224" s="74"/>
    </row>
    <row r="225" spans="5:5" ht="12" x14ac:dyDescent="0.3">
      <c r="E225" s="74"/>
    </row>
    <row r="226" spans="5:5" ht="12" x14ac:dyDescent="0.3">
      <c r="E226" s="74"/>
    </row>
    <row r="227" spans="5:5" ht="12" x14ac:dyDescent="0.3">
      <c r="E227" s="74"/>
    </row>
    <row r="228" spans="5:5" ht="12" x14ac:dyDescent="0.3">
      <c r="E228" s="74"/>
    </row>
    <row r="229" spans="5:5" ht="12" x14ac:dyDescent="0.3">
      <c r="E229" s="74"/>
    </row>
    <row r="230" spans="5:5" ht="12" x14ac:dyDescent="0.3">
      <c r="E230" s="74"/>
    </row>
    <row r="231" spans="5:5" ht="12" x14ac:dyDescent="0.3">
      <c r="E231" s="74"/>
    </row>
    <row r="232" spans="5:5" ht="12" x14ac:dyDescent="0.3">
      <c r="E232" s="74"/>
    </row>
    <row r="233" spans="5:5" ht="12" x14ac:dyDescent="0.3">
      <c r="E233" s="74"/>
    </row>
    <row r="234" spans="5:5" ht="12" x14ac:dyDescent="0.3">
      <c r="E234" s="74"/>
    </row>
    <row r="235" spans="5:5" ht="12" x14ac:dyDescent="0.3">
      <c r="E235" s="74"/>
    </row>
    <row r="236" spans="5:5" ht="12" x14ac:dyDescent="0.3">
      <c r="E236" s="74"/>
    </row>
    <row r="237" spans="5:5" ht="12" x14ac:dyDescent="0.3">
      <c r="E237" s="74"/>
    </row>
    <row r="238" spans="5:5" ht="12" x14ac:dyDescent="0.3">
      <c r="E238" s="74"/>
    </row>
    <row r="239" spans="5:5" ht="12" x14ac:dyDescent="0.3">
      <c r="E239" s="74"/>
    </row>
    <row r="240" spans="5:5" ht="12" x14ac:dyDescent="0.3">
      <c r="E240" s="74"/>
    </row>
    <row r="241" spans="5:5" ht="12" x14ac:dyDescent="0.3">
      <c r="E241" s="74"/>
    </row>
    <row r="242" spans="5:5" ht="12" x14ac:dyDescent="0.3">
      <c r="E242" s="74"/>
    </row>
    <row r="243" spans="5:5" ht="12" x14ac:dyDescent="0.3">
      <c r="E243" s="74"/>
    </row>
    <row r="244" spans="5:5" ht="12" x14ac:dyDescent="0.3">
      <c r="E244" s="74"/>
    </row>
    <row r="245" spans="5:5" ht="12" x14ac:dyDescent="0.3">
      <c r="E245" s="74"/>
    </row>
    <row r="246" spans="5:5" ht="12" x14ac:dyDescent="0.3">
      <c r="E246" s="74"/>
    </row>
    <row r="247" spans="5:5" ht="12" x14ac:dyDescent="0.3">
      <c r="E247" s="74"/>
    </row>
    <row r="248" spans="5:5" ht="12" x14ac:dyDescent="0.3">
      <c r="E248" s="74"/>
    </row>
    <row r="249" spans="5:5" ht="12" x14ac:dyDescent="0.3">
      <c r="E249" s="74"/>
    </row>
    <row r="250" spans="5:5" ht="12" x14ac:dyDescent="0.3">
      <c r="E250" s="74"/>
    </row>
    <row r="251" spans="5:5" ht="12" x14ac:dyDescent="0.3">
      <c r="E251" s="74"/>
    </row>
    <row r="252" spans="5:5" x14ac:dyDescent="0.3"/>
    <row r="253" spans="5:5" x14ac:dyDescent="0.3"/>
    <row r="254" spans="5:5" x14ac:dyDescent="0.3"/>
    <row r="255" spans="5:5" x14ac:dyDescent="0.3"/>
    <row r="256" spans="5:5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23</vt:i4>
      </vt:variant>
    </vt:vector>
  </HeadingPairs>
  <TitlesOfParts>
    <vt:vector size="39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Workings_costs</vt:lpstr>
      <vt:lpstr>Workings_risks</vt:lpstr>
      <vt:lpstr>Tx risks</vt:lpstr>
      <vt:lpstr>Misc_calcs</vt:lpstr>
      <vt:lpstr>Data</vt:lpstr>
      <vt:lpstr>EMCa summary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NN_LOAD_TRANSFER</vt:lpstr>
      <vt:lpstr>options</vt:lpstr>
      <vt:lpstr>output_dollars</vt:lpstr>
      <vt:lpstr>preferred</vt:lpstr>
      <vt:lpstr>proj</vt:lpstr>
      <vt:lpstr>real_disc</vt:lpstr>
      <vt:lpstr>sheets</vt:lpstr>
      <vt:lpstr>start</vt:lpstr>
      <vt:lpstr>start_year</vt:lpstr>
      <vt:lpstr>thous_conv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2025-11-27T02:41:06Z</dcterms:created>
  <dcterms:modified xsi:type="dcterms:W3CDTF">2025-11-27T05:08:50Z</dcterms:modified>
  <cp:category/>
  <cp:contentStatus/>
</cp:coreProperties>
</file>