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13_ncr:1_{136D1D0D-5ACE-4BBB-AEAB-61E11EBC4435}" xr6:coauthVersionLast="47" xr6:coauthVersionMax="47" xr10:uidLastSave="{00000000-0000-0000-0000-000000000000}"/>
  <bookViews>
    <workbookView xWindow="-120" yWindow="-120" windowWidth="29040" windowHeight="15720" tabRatio="782" xr2:uid="{00000000-000D-0000-FFFF-FFFF00000000}"/>
  </bookViews>
  <sheets>
    <sheet name="Cover" sheetId="108" r:id="rId1"/>
    <sheet name="Summary" sheetId="33" r:id="rId2"/>
    <sheet name="Assumptions" sheetId="43" r:id="rId3"/>
    <sheet name="Climate esc" sheetId="113" r:id="rId4"/>
    <sheet name="Calcs" sheetId="112" r:id="rId5"/>
    <sheet name="Sensitivities" sheetId="109" r:id="rId6"/>
    <sheet name="Misc_calcs" sheetId="62" r:id="rId7"/>
    <sheet name="Data" sheetId="47" r:id="rId8"/>
    <sheet name="VCR_data" sheetId="105" r:id="rId9"/>
    <sheet name="Residential VCR by postcode" sheetId="110" r:id="rId10"/>
  </sheets>
  <definedNames>
    <definedName name="_xlnm._FilterDatabase" localSheetId="4">Calcs!$A$7:$EX$27</definedName>
    <definedName name="_xlnm._FilterDatabase" localSheetId="3">'Climate esc'!$B$6:$D$6</definedName>
    <definedName name="_xlnm._FilterDatabase" localSheetId="9">'Residential VCR by postcode'!$A$5:$G$5</definedName>
    <definedName name="bus">Assumptions!$E$6</definedName>
    <definedName name="conv_2026">Misc_calcs!$D$19</definedName>
    <definedName name="custval_date">Assumptions!$G$29</definedName>
    <definedName name="CY_years">Misc_calcs!$H$6:$M$6</definedName>
    <definedName name="hy_dates">Misc_calcs!$H$11:$R$11</definedName>
    <definedName name="hy_escalation">Misc_calcs!$H$15:$R$15</definedName>
    <definedName name="input_dollars">Assumptions!$G$20</definedName>
    <definedName name="list">list_start:OFFSET(list_start, 0,0,count, 1)</definedName>
    <definedName name="mill_conv">Data!$C$33</definedName>
    <definedName name="output_dollars">Assumptions!$G$28</definedName>
    <definedName name="proj">Assumptions!$E$8</definedName>
    <definedName name="real_disc">Assumptions!$G$21</definedName>
    <definedName name="SAPBEXhrIndnt">"Wide"</definedName>
    <definedName name="SAPsysID">"708C5W7SBKP804JT78WJ0JNKI"</definedName>
    <definedName name="SAPwbID">"ARS"</definedName>
    <definedName name="sheets">Cover!$A$40</definedName>
    <definedName name="start">Assumptions!$G$24</definedName>
    <definedName name="SubT">Data!$S$62:$S$72</definedName>
    <definedName name="thous_conv">Data!$C$32</definedName>
    <definedName name="update">Cover!$A$41</definedName>
    <definedName name="value_otherben">Assumptions!$G$93:$G$99</definedName>
    <definedName name="vcr_date">Assumptions!$G$22</definedName>
    <definedName name="vcr_esc">Misc_calcs!$D$23</definedName>
    <definedName name="years">Assumptions!$G$26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12" l="1"/>
  <c r="S12" i="112"/>
  <c r="D25" i="33"/>
  <c r="A2" i="110" l="1"/>
  <c r="A1" i="110"/>
  <c r="Q11" i="105" s="1"/>
  <c r="AA13" i="113"/>
  <c r="A1" i="113"/>
  <c r="M8" i="112"/>
  <c r="N8" i="112" s="1" a="1"/>
  <c r="N8" i="112" s="1"/>
  <c r="M24" i="112"/>
  <c r="N24" i="112" s="1" a="1"/>
  <c r="N24" i="112" s="1"/>
  <c r="M23" i="112"/>
  <c r="O23" i="112" s="1" a="1"/>
  <c r="O23" i="112" s="1"/>
  <c r="M22" i="112"/>
  <c r="O22" i="112" s="1" a="1"/>
  <c r="O22" i="112" s="1"/>
  <c r="M21" i="112"/>
  <c r="N21" i="112" s="1" a="1"/>
  <c r="N21" i="112" s="1"/>
  <c r="M20" i="112"/>
  <c r="N20" i="112" s="1" a="1"/>
  <c r="N20" i="112" s="1"/>
  <c r="M19" i="112"/>
  <c r="O19" i="112" s="1" a="1"/>
  <c r="O19" i="112" s="1"/>
  <c r="M18" i="112"/>
  <c r="M17" i="112"/>
  <c r="N17" i="112" s="1" a="1"/>
  <c r="N17" i="112" s="1"/>
  <c r="M16" i="112"/>
  <c r="O16" i="112" s="1" a="1"/>
  <c r="O16" i="112" s="1"/>
  <c r="M15" i="112"/>
  <c r="N15" i="112" s="1" a="1"/>
  <c r="N15" i="112" s="1"/>
  <c r="M14" i="112"/>
  <c r="N14" i="112" s="1" a="1"/>
  <c r="N14" i="112" s="1"/>
  <c r="M13" i="112"/>
  <c r="M12" i="112"/>
  <c r="M11" i="112"/>
  <c r="O11" i="112" s="1" a="1"/>
  <c r="O11" i="112" s="1"/>
  <c r="M10" i="112"/>
  <c r="O10" i="112" s="1" a="1"/>
  <c r="O10" i="112" s="1"/>
  <c r="M9" i="112"/>
  <c r="N9" i="112" s="1" a="1"/>
  <c r="N9" i="112" s="1"/>
  <c r="O14" i="112" a="1"/>
  <c r="O14" i="112" s="1"/>
  <c r="T86" i="105"/>
  <c r="T85" i="105"/>
  <c r="T84" i="105"/>
  <c r="T83" i="105"/>
  <c r="T82" i="105"/>
  <c r="T81" i="105"/>
  <c r="T80" i="105"/>
  <c r="T79" i="105"/>
  <c r="T78" i="105"/>
  <c r="T77" i="105"/>
  <c r="T76" i="105"/>
  <c r="T75" i="105"/>
  <c r="T74" i="105"/>
  <c r="T73" i="105"/>
  <c r="T72" i="105"/>
  <c r="T71" i="105"/>
  <c r="T70" i="105"/>
  <c r="T69" i="105"/>
  <c r="T68" i="105"/>
  <c r="T67" i="105"/>
  <c r="T66" i="105"/>
  <c r="T65" i="105"/>
  <c r="T64" i="105"/>
  <c r="T63" i="105"/>
  <c r="T62" i="105"/>
  <c r="T61" i="105"/>
  <c r="T60" i="105"/>
  <c r="T59" i="105"/>
  <c r="T58" i="105"/>
  <c r="T57" i="105"/>
  <c r="T56" i="105"/>
  <c r="T55" i="105"/>
  <c r="T54" i="105"/>
  <c r="T53" i="105"/>
  <c r="T52" i="105"/>
  <c r="T51" i="105"/>
  <c r="T50" i="105"/>
  <c r="T49" i="105"/>
  <c r="T48" i="105"/>
  <c r="T47" i="105"/>
  <c r="T46" i="105"/>
  <c r="T45" i="105"/>
  <c r="T44" i="105"/>
  <c r="T43" i="105"/>
  <c r="T42" i="105"/>
  <c r="T41" i="105"/>
  <c r="T40" i="105"/>
  <c r="T39" i="105"/>
  <c r="T38" i="105"/>
  <c r="T37" i="105"/>
  <c r="T36" i="105"/>
  <c r="T35" i="105"/>
  <c r="T34" i="105"/>
  <c r="T33" i="105"/>
  <c r="T32" i="105"/>
  <c r="T31" i="105"/>
  <c r="T30" i="105"/>
  <c r="T29" i="105"/>
  <c r="T28" i="105"/>
  <c r="T27" i="105"/>
  <c r="T26" i="105"/>
  <c r="T25" i="105"/>
  <c r="T24" i="105"/>
  <c r="T23" i="105"/>
  <c r="T22" i="105"/>
  <c r="T21" i="105"/>
  <c r="T20" i="105"/>
  <c r="T19" i="105"/>
  <c r="T18" i="105"/>
  <c r="T17" i="105"/>
  <c r="T16" i="105"/>
  <c r="T15" i="105"/>
  <c r="T14" i="105"/>
  <c r="T13" i="105"/>
  <c r="T12" i="105"/>
  <c r="T11" i="105"/>
  <c r="T10" i="105"/>
  <c r="T9" i="105"/>
  <c r="S86" i="105"/>
  <c r="S85" i="105"/>
  <c r="S84" i="105"/>
  <c r="S83" i="105"/>
  <c r="S82" i="105"/>
  <c r="S81" i="105"/>
  <c r="S80" i="105"/>
  <c r="S79" i="105"/>
  <c r="S78" i="105"/>
  <c r="S77" i="105"/>
  <c r="S76" i="105"/>
  <c r="S75" i="105"/>
  <c r="S74" i="105"/>
  <c r="S73" i="105"/>
  <c r="S72" i="105"/>
  <c r="S71" i="105"/>
  <c r="S70" i="105"/>
  <c r="S69" i="105"/>
  <c r="S68" i="105"/>
  <c r="S67" i="105"/>
  <c r="S66" i="105"/>
  <c r="S65" i="105"/>
  <c r="S64" i="105"/>
  <c r="S63" i="105"/>
  <c r="S62" i="105"/>
  <c r="S61" i="105"/>
  <c r="S60" i="105"/>
  <c r="S59" i="105"/>
  <c r="S58" i="105"/>
  <c r="S57" i="105"/>
  <c r="S56" i="105"/>
  <c r="S55" i="105"/>
  <c r="S54" i="105"/>
  <c r="S53" i="105"/>
  <c r="S52" i="105"/>
  <c r="S51" i="105"/>
  <c r="S50" i="105"/>
  <c r="S49" i="105"/>
  <c r="S48" i="105"/>
  <c r="S47" i="105"/>
  <c r="S46" i="105"/>
  <c r="S45" i="105"/>
  <c r="S44" i="105"/>
  <c r="S43" i="105"/>
  <c r="S42" i="105"/>
  <c r="S41" i="105"/>
  <c r="S40" i="105"/>
  <c r="S39" i="105"/>
  <c r="S38" i="105"/>
  <c r="S37" i="105"/>
  <c r="S36" i="105"/>
  <c r="S35" i="105"/>
  <c r="S34" i="105"/>
  <c r="S33" i="105"/>
  <c r="S32" i="105"/>
  <c r="S31" i="105"/>
  <c r="S30" i="105"/>
  <c r="S29" i="105"/>
  <c r="S28" i="105"/>
  <c r="S27" i="105"/>
  <c r="S26" i="105"/>
  <c r="S25" i="105"/>
  <c r="S24" i="105"/>
  <c r="S23" i="105"/>
  <c r="S22" i="105"/>
  <c r="S21" i="105"/>
  <c r="S20" i="105"/>
  <c r="S19" i="105"/>
  <c r="S18" i="105"/>
  <c r="S17" i="105"/>
  <c r="S16" i="105"/>
  <c r="S15" i="105"/>
  <c r="S14" i="105"/>
  <c r="S13" i="105"/>
  <c r="S12" i="105"/>
  <c r="S11" i="105"/>
  <c r="S10" i="105"/>
  <c r="S9" i="105"/>
  <c r="R86" i="105"/>
  <c r="R85" i="105"/>
  <c r="R84" i="105"/>
  <c r="R83" i="105"/>
  <c r="R82" i="105"/>
  <c r="R81" i="105"/>
  <c r="R80" i="105"/>
  <c r="R79" i="105"/>
  <c r="R78" i="105"/>
  <c r="R77" i="105"/>
  <c r="R76" i="105"/>
  <c r="R75" i="105"/>
  <c r="R74" i="105"/>
  <c r="R73" i="105"/>
  <c r="R72" i="105"/>
  <c r="R71" i="105"/>
  <c r="R70" i="105"/>
  <c r="R69" i="105"/>
  <c r="R68" i="105"/>
  <c r="R67" i="105"/>
  <c r="R66" i="105"/>
  <c r="R65" i="105"/>
  <c r="R64" i="105"/>
  <c r="R63" i="105"/>
  <c r="R62" i="105"/>
  <c r="R61" i="105"/>
  <c r="R60" i="105"/>
  <c r="R59" i="105"/>
  <c r="R58" i="105"/>
  <c r="R57" i="105"/>
  <c r="R56" i="105"/>
  <c r="R55" i="105"/>
  <c r="R54" i="105"/>
  <c r="R53" i="105"/>
  <c r="R52" i="105"/>
  <c r="R51" i="105"/>
  <c r="R50" i="105"/>
  <c r="R49" i="105"/>
  <c r="R48" i="105"/>
  <c r="R47" i="105"/>
  <c r="R46" i="105"/>
  <c r="R45" i="105"/>
  <c r="R44" i="105"/>
  <c r="R43" i="105"/>
  <c r="R42" i="105"/>
  <c r="R41" i="105"/>
  <c r="R40" i="105"/>
  <c r="R39" i="105"/>
  <c r="R38" i="105"/>
  <c r="R37" i="105"/>
  <c r="R36" i="105"/>
  <c r="R35" i="105"/>
  <c r="R34" i="105"/>
  <c r="R33" i="105"/>
  <c r="R32" i="105"/>
  <c r="R31" i="105"/>
  <c r="R30" i="105"/>
  <c r="R29" i="105"/>
  <c r="R28" i="105"/>
  <c r="R27" i="105"/>
  <c r="R26" i="105"/>
  <c r="R25" i="105"/>
  <c r="R24" i="105"/>
  <c r="R23" i="105"/>
  <c r="R22" i="105"/>
  <c r="R21" i="105"/>
  <c r="R20" i="105"/>
  <c r="R19" i="105"/>
  <c r="R18" i="105"/>
  <c r="R17" i="105"/>
  <c r="R16" i="105"/>
  <c r="R15" i="105"/>
  <c r="R14" i="105"/>
  <c r="R13" i="105"/>
  <c r="R12" i="105"/>
  <c r="R11" i="105"/>
  <c r="R10" i="105"/>
  <c r="R9" i="105"/>
  <c r="S8" i="105"/>
  <c r="T8" i="105"/>
  <c r="R8" i="105"/>
  <c r="Q47" i="105"/>
  <c r="Q35" i="105"/>
  <c r="E49" i="43"/>
  <c r="H9" i="112"/>
  <c r="B25" i="109"/>
  <c r="B22" i="109"/>
  <c r="C22" i="109" s="1"/>
  <c r="B23" i="109"/>
  <c r="C23" i="109" s="1"/>
  <c r="B24" i="109"/>
  <c r="L24" i="112"/>
  <c r="K24" i="112" a="1"/>
  <c r="K24" i="112"/>
  <c r="J24" i="112" a="1"/>
  <c r="J24" i="112"/>
  <c r="J23" i="112" a="1"/>
  <c r="J23" i="112"/>
  <c r="K23" i="112" a="1"/>
  <c r="K23" i="112" s="1"/>
  <c r="L23" i="112"/>
  <c r="H23" i="112"/>
  <c r="J22" i="112" a="1"/>
  <c r="J22" i="112"/>
  <c r="K22" i="112" a="1"/>
  <c r="K22" i="112"/>
  <c r="L22" i="112"/>
  <c r="H22" i="112"/>
  <c r="J21" i="112" a="1"/>
  <c r="J21" i="112" s="1"/>
  <c r="K21" i="112" a="1"/>
  <c r="K21" i="112"/>
  <c r="L21" i="112"/>
  <c r="H21" i="112"/>
  <c r="H24" i="112"/>
  <c r="D24" i="112"/>
  <c r="D23" i="112"/>
  <c r="D22" i="112"/>
  <c r="D21" i="112"/>
  <c r="B10" i="109"/>
  <c r="B11" i="109"/>
  <c r="C11" i="109" s="1"/>
  <c r="B12" i="109"/>
  <c r="C12" i="109" s="1"/>
  <c r="B13" i="109"/>
  <c r="C13" i="109" s="1"/>
  <c r="B14" i="109"/>
  <c r="B15" i="109"/>
  <c r="B16" i="109"/>
  <c r="B17" i="109"/>
  <c r="B18" i="109"/>
  <c r="B19" i="109"/>
  <c r="B20" i="109"/>
  <c r="B21" i="109"/>
  <c r="B9" i="109"/>
  <c r="AT27" i="113"/>
  <c r="CJ27" i="113" s="1"/>
  <c r="AP16" i="112" s="1"/>
  <c r="DA16" i="112" s="1"/>
  <c r="AS27" i="113"/>
  <c r="CI27" i="113" s="1"/>
  <c r="AO16" i="112" s="1"/>
  <c r="CZ16" i="112" s="1"/>
  <c r="AR27" i="113"/>
  <c r="CH27" i="113" s="1"/>
  <c r="AN16" i="112" s="1"/>
  <c r="CY16" i="112" s="1"/>
  <c r="AQ27" i="113"/>
  <c r="CG27" i="113" s="1"/>
  <c r="AP27" i="113"/>
  <c r="CF27" i="113" s="1"/>
  <c r="AL16" i="112" s="1"/>
  <c r="CW16" i="112" s="1"/>
  <c r="AO27" i="113"/>
  <c r="AN27" i="113"/>
  <c r="CD27" i="113" s="1"/>
  <c r="AJ16" i="112" s="1"/>
  <c r="AM27" i="113"/>
  <c r="CC27" i="113" s="1"/>
  <c r="AI16" i="112" s="1"/>
  <c r="CT16" i="112" s="1"/>
  <c r="AL27" i="113"/>
  <c r="AK27" i="113"/>
  <c r="CA27" i="113" s="1"/>
  <c r="AG16" i="112" s="1"/>
  <c r="CR16" i="112" s="1"/>
  <c r="AJ27" i="113"/>
  <c r="BZ27" i="113" s="1"/>
  <c r="AF16" i="112" s="1"/>
  <c r="CQ16" i="112" s="1"/>
  <c r="AI27" i="113"/>
  <c r="BY27" i="113" s="1"/>
  <c r="AE16" i="112" s="1"/>
  <c r="CP16" i="112" s="1"/>
  <c r="AH27" i="113"/>
  <c r="BX27" i="113" s="1"/>
  <c r="AG27" i="113"/>
  <c r="BW27" i="113" s="1"/>
  <c r="AC16" i="112" s="1"/>
  <c r="CN16" i="112" s="1"/>
  <c r="AF27" i="113"/>
  <c r="BV27" i="113" s="1"/>
  <c r="AB16" i="112" s="1"/>
  <c r="CM16" i="112" s="1"/>
  <c r="AE27" i="113"/>
  <c r="BU27" i="113" s="1"/>
  <c r="AA16" i="112" s="1"/>
  <c r="CL16" i="112" s="1"/>
  <c r="AD27" i="113"/>
  <c r="BT27" i="113" s="1"/>
  <c r="Z16" i="112" s="1"/>
  <c r="CK16" i="112" s="1"/>
  <c r="AC27" i="113"/>
  <c r="AB27" i="113"/>
  <c r="AA27" i="113"/>
  <c r="BQ27" i="113" s="1"/>
  <c r="W16" i="112" s="1"/>
  <c r="CH16" i="112" s="1"/>
  <c r="AT26" i="113"/>
  <c r="CJ26" i="113" s="1"/>
  <c r="AS26" i="113"/>
  <c r="CI26" i="113" s="1"/>
  <c r="AR26" i="113"/>
  <c r="CH26" i="113" s="1"/>
  <c r="AQ26" i="113"/>
  <c r="CG26" i="113" s="1"/>
  <c r="AP26" i="113"/>
  <c r="CF26" i="113" s="1"/>
  <c r="AO26" i="113"/>
  <c r="CE26" i="113" s="1"/>
  <c r="AN26" i="113"/>
  <c r="CD26" i="113" s="1"/>
  <c r="AM26" i="113"/>
  <c r="CC26" i="113" s="1"/>
  <c r="AL26" i="113"/>
  <c r="CB26" i="113" s="1"/>
  <c r="AK26" i="113"/>
  <c r="AJ26" i="113"/>
  <c r="AI26" i="113"/>
  <c r="AH26" i="113"/>
  <c r="AG26" i="113"/>
  <c r="BW26" i="113" s="1"/>
  <c r="AF26" i="113"/>
  <c r="BV26" i="113" s="1"/>
  <c r="AE26" i="113"/>
  <c r="BU26" i="113" s="1"/>
  <c r="AD26" i="113"/>
  <c r="BT26" i="113" s="1"/>
  <c r="AC26" i="113"/>
  <c r="BS26" i="113" s="1"/>
  <c r="AB26" i="113"/>
  <c r="BR26" i="113" s="1"/>
  <c r="AA26" i="113"/>
  <c r="BQ26" i="113" s="1"/>
  <c r="CI32" i="113"/>
  <c r="BX29" i="113"/>
  <c r="CI13" i="113"/>
  <c r="AO21" i="112" s="1"/>
  <c r="CZ21" i="112" s="1"/>
  <c r="CH13" i="113"/>
  <c r="AT33" i="113"/>
  <c r="CJ33" i="113" s="1"/>
  <c r="AS33" i="113"/>
  <c r="CI33" i="113" s="1"/>
  <c r="AR33" i="113"/>
  <c r="CH33" i="113" s="1"/>
  <c r="AQ33" i="113"/>
  <c r="CG33" i="113" s="1"/>
  <c r="AP33" i="113"/>
  <c r="CF33" i="113" s="1"/>
  <c r="AO33" i="113"/>
  <c r="CE33" i="113" s="1"/>
  <c r="AN33" i="113"/>
  <c r="CD33" i="113" s="1"/>
  <c r="AM33" i="113"/>
  <c r="CC33" i="113" s="1"/>
  <c r="AL33" i="113"/>
  <c r="CB33" i="113" s="1"/>
  <c r="AK33" i="113"/>
  <c r="CA33" i="113" s="1"/>
  <c r="AJ33" i="113"/>
  <c r="BZ33" i="113" s="1"/>
  <c r="AI33" i="113"/>
  <c r="BY33" i="113" s="1"/>
  <c r="AH33" i="113"/>
  <c r="BX33" i="113" s="1"/>
  <c r="AG33" i="113"/>
  <c r="BW33" i="113" s="1"/>
  <c r="AF33" i="113"/>
  <c r="BV33" i="113" s="1"/>
  <c r="AE33" i="113"/>
  <c r="BU33" i="113" s="1"/>
  <c r="AA24" i="112" s="1"/>
  <c r="CL24" i="112" s="1"/>
  <c r="AD33" i="113"/>
  <c r="BT33" i="113" s="1"/>
  <c r="AC33" i="113"/>
  <c r="BS33" i="113" s="1"/>
  <c r="AB33" i="113"/>
  <c r="BR33" i="113" s="1"/>
  <c r="AA33" i="113"/>
  <c r="BQ33" i="113" s="1"/>
  <c r="AT32" i="113"/>
  <c r="CJ32" i="113" s="1"/>
  <c r="AS32" i="113"/>
  <c r="AR32" i="113"/>
  <c r="CH32" i="113" s="1"/>
  <c r="AQ32" i="113"/>
  <c r="CG32" i="113" s="1"/>
  <c r="AP32" i="113"/>
  <c r="CF32" i="113" s="1"/>
  <c r="AO32" i="113"/>
  <c r="CE32" i="113" s="1"/>
  <c r="AN32" i="113"/>
  <c r="CD32" i="113" s="1"/>
  <c r="AM32" i="113"/>
  <c r="CC32" i="113" s="1"/>
  <c r="AL32" i="113"/>
  <c r="CB32" i="113" s="1"/>
  <c r="AK32" i="113"/>
  <c r="CA32" i="113" s="1"/>
  <c r="AJ32" i="113"/>
  <c r="BZ32" i="113" s="1"/>
  <c r="AI32" i="113"/>
  <c r="BY32" i="113" s="1"/>
  <c r="AH32" i="113"/>
  <c r="BX32" i="113" s="1"/>
  <c r="AG32" i="113"/>
  <c r="BW32" i="113" s="1"/>
  <c r="AF32" i="113"/>
  <c r="BV32" i="113" s="1"/>
  <c r="AE32" i="113"/>
  <c r="BU32" i="113" s="1"/>
  <c r="AD32" i="113"/>
  <c r="BT32" i="113" s="1"/>
  <c r="AC32" i="113"/>
  <c r="BS32" i="113" s="1"/>
  <c r="AB32" i="113"/>
  <c r="BR32" i="113" s="1"/>
  <c r="AA32" i="113"/>
  <c r="BQ32" i="113" s="1"/>
  <c r="AT30" i="113"/>
  <c r="CJ30" i="113" s="1"/>
  <c r="AS30" i="113"/>
  <c r="CI30" i="113" s="1"/>
  <c r="AR30" i="113"/>
  <c r="CH30" i="113" s="1"/>
  <c r="AQ30" i="113"/>
  <c r="CG30" i="113" s="1"/>
  <c r="AP30" i="113"/>
  <c r="CF30" i="113" s="1"/>
  <c r="AO30" i="113"/>
  <c r="CE30" i="113" s="1"/>
  <c r="AN30" i="113"/>
  <c r="CD30" i="113" s="1"/>
  <c r="AM30" i="113"/>
  <c r="CC30" i="113" s="1"/>
  <c r="AL30" i="113"/>
  <c r="CB30" i="113" s="1"/>
  <c r="AK30" i="113"/>
  <c r="CA30" i="113" s="1"/>
  <c r="AJ30" i="113"/>
  <c r="BZ30" i="113" s="1"/>
  <c r="AI30" i="113"/>
  <c r="BY30" i="113" s="1"/>
  <c r="AH30" i="113"/>
  <c r="BX30" i="113" s="1"/>
  <c r="AG30" i="113"/>
  <c r="BW30" i="113" s="1"/>
  <c r="AF30" i="113"/>
  <c r="BV30" i="113" s="1"/>
  <c r="AE30" i="113"/>
  <c r="BU30" i="113" s="1"/>
  <c r="AD30" i="113"/>
  <c r="BT30" i="113" s="1"/>
  <c r="AC30" i="113"/>
  <c r="BS30" i="113" s="1"/>
  <c r="AB30" i="113"/>
  <c r="BR30" i="113" s="1"/>
  <c r="AA30" i="113"/>
  <c r="BQ30" i="113" s="1"/>
  <c r="AT29" i="113"/>
  <c r="CJ29" i="113" s="1"/>
  <c r="AS29" i="113"/>
  <c r="CI29" i="113" s="1"/>
  <c r="AR29" i="113"/>
  <c r="CH29" i="113" s="1"/>
  <c r="AQ29" i="113"/>
  <c r="CG29" i="113" s="1"/>
  <c r="AP29" i="113"/>
  <c r="CF29" i="113" s="1"/>
  <c r="AO29" i="113"/>
  <c r="CE29" i="113" s="1"/>
  <c r="AN29" i="113"/>
  <c r="CD29" i="113" s="1"/>
  <c r="AM29" i="113"/>
  <c r="CC29" i="113" s="1"/>
  <c r="AL29" i="113"/>
  <c r="CB29" i="113" s="1"/>
  <c r="AK29" i="113"/>
  <c r="CA29" i="113" s="1"/>
  <c r="AJ29" i="113"/>
  <c r="BZ29" i="113" s="1"/>
  <c r="AI29" i="113"/>
  <c r="BY29" i="113" s="1"/>
  <c r="AH29" i="113"/>
  <c r="AG29" i="113"/>
  <c r="BW29" i="113" s="1"/>
  <c r="AF29" i="113"/>
  <c r="BV29" i="113" s="1"/>
  <c r="AE29" i="113"/>
  <c r="BU29" i="113" s="1"/>
  <c r="AD29" i="113"/>
  <c r="BT29" i="113" s="1"/>
  <c r="AC29" i="113"/>
  <c r="BS29" i="113" s="1"/>
  <c r="AB29" i="113"/>
  <c r="BR29" i="113" s="1"/>
  <c r="AA29" i="113"/>
  <c r="BQ29" i="113" s="1"/>
  <c r="AT28" i="113"/>
  <c r="CJ28" i="113" s="1"/>
  <c r="AS28" i="113"/>
  <c r="CI28" i="113" s="1"/>
  <c r="AO22" i="112" s="1"/>
  <c r="CZ22" i="112" s="1"/>
  <c r="AR28" i="113"/>
  <c r="CH28" i="113" s="1"/>
  <c r="AQ28" i="113"/>
  <c r="CG28" i="113" s="1"/>
  <c r="AP28" i="113"/>
  <c r="CF28" i="113" s="1"/>
  <c r="AO28" i="113"/>
  <c r="CE28" i="113" s="1"/>
  <c r="AN28" i="113"/>
  <c r="CD28" i="113" s="1"/>
  <c r="AM28" i="113"/>
  <c r="CC28" i="113" s="1"/>
  <c r="AL28" i="113"/>
  <c r="CB28" i="113" s="1"/>
  <c r="AK28" i="113"/>
  <c r="CA28" i="113" s="1"/>
  <c r="AJ28" i="113"/>
  <c r="BZ28" i="113" s="1"/>
  <c r="AF22" i="112" s="1"/>
  <c r="CQ22" i="112" s="1"/>
  <c r="AI28" i="113"/>
  <c r="BY28" i="113" s="1"/>
  <c r="AH28" i="113"/>
  <c r="BX28" i="113" s="1"/>
  <c r="AG28" i="113"/>
  <c r="BW28" i="113" s="1"/>
  <c r="AF28" i="113"/>
  <c r="BV28" i="113" s="1"/>
  <c r="AE28" i="113"/>
  <c r="BU28" i="113" s="1"/>
  <c r="AD28" i="113"/>
  <c r="BT28" i="113" s="1"/>
  <c r="AC28" i="113"/>
  <c r="BS28" i="113" s="1"/>
  <c r="Y22" i="112" s="1"/>
  <c r="CJ22" i="112" s="1"/>
  <c r="AB28" i="113"/>
  <c r="BR28" i="113" s="1"/>
  <c r="X22" i="112" s="1"/>
  <c r="CI22" i="112" s="1"/>
  <c r="AA28" i="113"/>
  <c r="BQ28" i="113" s="1"/>
  <c r="AT23" i="113"/>
  <c r="CJ23" i="113" s="1"/>
  <c r="AS23" i="113"/>
  <c r="CI23" i="113" s="1"/>
  <c r="AR23" i="113"/>
  <c r="CH23" i="113" s="1"/>
  <c r="AQ23" i="113"/>
  <c r="CG23" i="113" s="1"/>
  <c r="AP23" i="113"/>
  <c r="CF23" i="113" s="1"/>
  <c r="AO23" i="113"/>
  <c r="CE23" i="113" s="1"/>
  <c r="AN23" i="113"/>
  <c r="CD23" i="113" s="1"/>
  <c r="AM23" i="113"/>
  <c r="CC23" i="113" s="1"/>
  <c r="AL23" i="113"/>
  <c r="CB23" i="113" s="1"/>
  <c r="AK23" i="113"/>
  <c r="CA23" i="113" s="1"/>
  <c r="AJ23" i="113"/>
  <c r="BZ23" i="113" s="1"/>
  <c r="AI23" i="113"/>
  <c r="BY23" i="113" s="1"/>
  <c r="AH23" i="113"/>
  <c r="BX23" i="113" s="1"/>
  <c r="AG23" i="113"/>
  <c r="BW23" i="113" s="1"/>
  <c r="AF23" i="113"/>
  <c r="BV23" i="113" s="1"/>
  <c r="AE23" i="113"/>
  <c r="BU23" i="113" s="1"/>
  <c r="AD23" i="113"/>
  <c r="BT23" i="113" s="1"/>
  <c r="AC23" i="113"/>
  <c r="BS23" i="113" s="1"/>
  <c r="AB23" i="113"/>
  <c r="BR23" i="113" s="1"/>
  <c r="AA23" i="113"/>
  <c r="BQ23" i="113" s="1"/>
  <c r="AT14" i="113"/>
  <c r="CJ14" i="113" s="1"/>
  <c r="AS14" i="113"/>
  <c r="CI14" i="113" s="1"/>
  <c r="AR14" i="113"/>
  <c r="CH14" i="113" s="1"/>
  <c r="AQ14" i="113"/>
  <c r="CG14" i="113" s="1"/>
  <c r="AP14" i="113"/>
  <c r="CF14" i="113" s="1"/>
  <c r="AO14" i="113"/>
  <c r="CE14" i="113" s="1"/>
  <c r="AN14" i="113"/>
  <c r="CD14" i="113" s="1"/>
  <c r="AM14" i="113"/>
  <c r="CC14" i="113" s="1"/>
  <c r="AL14" i="113"/>
  <c r="CB14" i="113" s="1"/>
  <c r="AK14" i="113"/>
  <c r="CA14" i="113" s="1"/>
  <c r="AJ14" i="113"/>
  <c r="BZ14" i="113" s="1"/>
  <c r="AI14" i="113"/>
  <c r="BY14" i="113" s="1"/>
  <c r="AH14" i="113"/>
  <c r="BX14" i="113" s="1"/>
  <c r="AG14" i="113"/>
  <c r="BW14" i="113" s="1"/>
  <c r="AF14" i="113"/>
  <c r="BV14" i="113" s="1"/>
  <c r="AE14" i="113"/>
  <c r="BU14" i="113" s="1"/>
  <c r="AD14" i="113"/>
  <c r="BT14" i="113" s="1"/>
  <c r="AC14" i="113"/>
  <c r="BS14" i="113" s="1"/>
  <c r="AB14" i="113"/>
  <c r="BR14" i="113" s="1"/>
  <c r="AA14" i="113"/>
  <c r="BQ14" i="113" s="1"/>
  <c r="AT13" i="113"/>
  <c r="CJ13" i="113" s="1"/>
  <c r="AS13" i="113"/>
  <c r="AR13" i="113"/>
  <c r="AQ13" i="113"/>
  <c r="CG13" i="113" s="1"/>
  <c r="AP13" i="113"/>
  <c r="CF13" i="113" s="1"/>
  <c r="AO13" i="113"/>
  <c r="CE13" i="113" s="1"/>
  <c r="AN13" i="113"/>
  <c r="CD13" i="113" s="1"/>
  <c r="AJ21" i="112" s="1"/>
  <c r="CU21" i="112" s="1"/>
  <c r="AM13" i="113"/>
  <c r="CC13" i="113" s="1"/>
  <c r="AI21" i="112" s="1"/>
  <c r="CT21" i="112" s="1"/>
  <c r="AL13" i="113"/>
  <c r="CB13" i="113" s="1"/>
  <c r="AK13" i="113"/>
  <c r="CA13" i="113" s="1"/>
  <c r="AJ13" i="113"/>
  <c r="BZ13" i="113" s="1"/>
  <c r="AF21" i="112" s="1"/>
  <c r="CQ21" i="112" s="1"/>
  <c r="AI13" i="113"/>
  <c r="BY13" i="113" s="1"/>
  <c r="AH13" i="113"/>
  <c r="BX13" i="113" s="1"/>
  <c r="AG13" i="113"/>
  <c r="BW13" i="113" s="1"/>
  <c r="AF13" i="113"/>
  <c r="BV13" i="113" s="1"/>
  <c r="AE13" i="113"/>
  <c r="BU13" i="113" s="1"/>
  <c r="AD13" i="113"/>
  <c r="BT13" i="113" s="1"/>
  <c r="Z21" i="112" s="1"/>
  <c r="CK21" i="112" s="1"/>
  <c r="AC13" i="113"/>
  <c r="BS13" i="113" s="1"/>
  <c r="AB13" i="113"/>
  <c r="BR13" i="113" s="1"/>
  <c r="BQ13" i="113"/>
  <c r="W21" i="112" s="1"/>
  <c r="CH21" i="112" s="1"/>
  <c r="AT8" i="113"/>
  <c r="CJ8" i="113" s="1"/>
  <c r="AS8" i="113"/>
  <c r="CI8" i="113" s="1"/>
  <c r="AR8" i="113"/>
  <c r="CH8" i="113" s="1"/>
  <c r="AQ8" i="113"/>
  <c r="CG8" i="113" s="1"/>
  <c r="AP8" i="113"/>
  <c r="CF8" i="113" s="1"/>
  <c r="AO8" i="113"/>
  <c r="CE8" i="113" s="1"/>
  <c r="AN8" i="113"/>
  <c r="CD8" i="113" s="1"/>
  <c r="AM8" i="113"/>
  <c r="CC8" i="113" s="1"/>
  <c r="AL8" i="113"/>
  <c r="CB8" i="113" s="1"/>
  <c r="AK8" i="113"/>
  <c r="CA8" i="113" s="1"/>
  <c r="AJ8" i="113"/>
  <c r="BZ8" i="113" s="1"/>
  <c r="AI8" i="113"/>
  <c r="BY8" i="113" s="1"/>
  <c r="AH8" i="113"/>
  <c r="BX8" i="113" s="1"/>
  <c r="AG8" i="113"/>
  <c r="BW8" i="113" s="1"/>
  <c r="AF8" i="113"/>
  <c r="BV8" i="113" s="1"/>
  <c r="AE8" i="113"/>
  <c r="BU8" i="113" s="1"/>
  <c r="AD8" i="113"/>
  <c r="BT8" i="113" s="1"/>
  <c r="AC8" i="113"/>
  <c r="BS8" i="113" s="1"/>
  <c r="AB8" i="113"/>
  <c r="BR8" i="113" s="1"/>
  <c r="AA8" i="113"/>
  <c r="BQ8" i="113" s="1"/>
  <c r="H12" i="112"/>
  <c r="H11" i="112"/>
  <c r="H10" i="112"/>
  <c r="H8" i="112"/>
  <c r="J19" i="112" a="1"/>
  <c r="J19" i="112"/>
  <c r="K19" i="112" a="1"/>
  <c r="K19" i="112" s="1"/>
  <c r="L19" i="112"/>
  <c r="H19" i="112"/>
  <c r="D19" i="112"/>
  <c r="J18" i="112" a="1"/>
  <c r="J18" i="112" s="1"/>
  <c r="K18" i="112" a="1"/>
  <c r="K18" i="112" s="1"/>
  <c r="L18" i="112"/>
  <c r="D18" i="112"/>
  <c r="J17" i="112" a="1"/>
  <c r="J17" i="112" s="1"/>
  <c r="K17" i="112" a="1"/>
  <c r="K17" i="112" s="1"/>
  <c r="L17" i="112"/>
  <c r="H17" i="112"/>
  <c r="D17" i="112"/>
  <c r="H20" i="112"/>
  <c r="H16" i="112"/>
  <c r="H15" i="112"/>
  <c r="H14" i="112"/>
  <c r="H13" i="112"/>
  <c r="L13" i="112"/>
  <c r="L14" i="112"/>
  <c r="L15" i="112"/>
  <c r="L16" i="112"/>
  <c r="L20" i="112"/>
  <c r="K13" i="112" a="1"/>
  <c r="K13" i="112"/>
  <c r="K14" i="112" a="1"/>
  <c r="K14" i="112" s="1"/>
  <c r="K15" i="112" a="1"/>
  <c r="K15" i="112"/>
  <c r="K16" i="112" a="1"/>
  <c r="K16" i="112" s="1"/>
  <c r="K20" i="112" a="1"/>
  <c r="K20" i="112" s="1"/>
  <c r="J13" i="112" a="1"/>
  <c r="J13" i="112" s="1"/>
  <c r="J14" i="112" a="1"/>
  <c r="J14" i="112" s="1"/>
  <c r="J15" i="112" a="1"/>
  <c r="J15" i="112"/>
  <c r="J16" i="112" a="1"/>
  <c r="J16" i="112" s="1"/>
  <c r="J20" i="112" a="1"/>
  <c r="J20" i="112" s="1"/>
  <c r="D20" i="112"/>
  <c r="D16" i="112"/>
  <c r="D15" i="112"/>
  <c r="D14" i="112"/>
  <c r="D13" i="112"/>
  <c r="C14" i="109" s="1"/>
  <c r="J12" i="112" a="1"/>
  <c r="J12" i="112"/>
  <c r="K12" i="112" a="1"/>
  <c r="K12" i="112" s="1"/>
  <c r="L12" i="112"/>
  <c r="D12" i="112"/>
  <c r="CE35" i="113"/>
  <c r="CA35" i="113"/>
  <c r="BS35" i="113"/>
  <c r="CA34" i="113"/>
  <c r="CE27" i="113"/>
  <c r="AK16" i="112" s="1"/>
  <c r="CV16" i="112" s="1"/>
  <c r="CU16" i="112"/>
  <c r="CB27" i="113"/>
  <c r="AH16" i="112" s="1"/>
  <c r="CS16" i="112" s="1"/>
  <c r="BS27" i="113"/>
  <c r="BR27" i="113"/>
  <c r="X16" i="112" s="1"/>
  <c r="CI16" i="112" s="1"/>
  <c r="CA26" i="113"/>
  <c r="BZ26" i="113"/>
  <c r="BY26" i="113"/>
  <c r="BX26" i="113"/>
  <c r="CA25" i="113"/>
  <c r="CJ24" i="113"/>
  <c r="BS22" i="113"/>
  <c r="BW18" i="113"/>
  <c r="BX11" i="113"/>
  <c r="BW11" i="113"/>
  <c r="BV11" i="113"/>
  <c r="CF7" i="113"/>
  <c r="BS7" i="113"/>
  <c r="AT18" i="113"/>
  <c r="CJ18" i="113" s="1"/>
  <c r="AS18" i="113"/>
  <c r="CI18" i="113" s="1"/>
  <c r="AR18" i="113"/>
  <c r="CH18" i="113" s="1"/>
  <c r="AQ18" i="113"/>
  <c r="CG18" i="113" s="1"/>
  <c r="AP18" i="113"/>
  <c r="CF18" i="113" s="1"/>
  <c r="AO18" i="113"/>
  <c r="CE18" i="113" s="1"/>
  <c r="AN18" i="113"/>
  <c r="CD18" i="113" s="1"/>
  <c r="AM18" i="113"/>
  <c r="CC18" i="113" s="1"/>
  <c r="AL18" i="113"/>
  <c r="CB18" i="113" s="1"/>
  <c r="AK18" i="113"/>
  <c r="CA18" i="113" s="1"/>
  <c r="AJ18" i="113"/>
  <c r="BZ18" i="113" s="1"/>
  <c r="AI18" i="113"/>
  <c r="BY18" i="113" s="1"/>
  <c r="AH18" i="113"/>
  <c r="BX18" i="113" s="1"/>
  <c r="AG18" i="113"/>
  <c r="AF18" i="113"/>
  <c r="BV18" i="113" s="1"/>
  <c r="AE18" i="113"/>
  <c r="BU18" i="113" s="1"/>
  <c r="AD18" i="113"/>
  <c r="BT18" i="113" s="1"/>
  <c r="AC18" i="113"/>
  <c r="BS18" i="113" s="1"/>
  <c r="AB18" i="113"/>
  <c r="BR18" i="113" s="1"/>
  <c r="AA18" i="113"/>
  <c r="BQ18" i="113" s="1"/>
  <c r="AT35" i="113"/>
  <c r="CJ35" i="113" s="1"/>
  <c r="AS35" i="113"/>
  <c r="CI35" i="113" s="1"/>
  <c r="AR35" i="113"/>
  <c r="CH35" i="113" s="1"/>
  <c r="AQ35" i="113"/>
  <c r="CG35" i="113" s="1"/>
  <c r="AP35" i="113"/>
  <c r="CF35" i="113" s="1"/>
  <c r="AO35" i="113"/>
  <c r="AN35" i="113"/>
  <c r="CD35" i="113" s="1"/>
  <c r="AM35" i="113"/>
  <c r="CC35" i="113" s="1"/>
  <c r="AL35" i="113"/>
  <c r="CB35" i="113" s="1"/>
  <c r="AK35" i="113"/>
  <c r="AJ35" i="113"/>
  <c r="BZ35" i="113" s="1"/>
  <c r="AI35" i="113"/>
  <c r="BY35" i="113" s="1"/>
  <c r="AH35" i="113"/>
  <c r="BX35" i="113" s="1"/>
  <c r="AG35" i="113"/>
  <c r="BW35" i="113" s="1"/>
  <c r="AF35" i="113"/>
  <c r="BV35" i="113" s="1"/>
  <c r="AE35" i="113"/>
  <c r="BU35" i="113" s="1"/>
  <c r="AD35" i="113"/>
  <c r="BT35" i="113" s="1"/>
  <c r="AC35" i="113"/>
  <c r="AB35" i="113"/>
  <c r="BR35" i="113" s="1"/>
  <c r="AA35" i="113"/>
  <c r="BQ35" i="113" s="1"/>
  <c r="AT25" i="113"/>
  <c r="CJ25" i="113" s="1"/>
  <c r="AS25" i="113"/>
  <c r="CI25" i="113" s="1"/>
  <c r="AR25" i="113"/>
  <c r="CH25" i="113" s="1"/>
  <c r="AQ25" i="113"/>
  <c r="CG25" i="113" s="1"/>
  <c r="AP25" i="113"/>
  <c r="CF25" i="113" s="1"/>
  <c r="AO25" i="113"/>
  <c r="CE25" i="113" s="1"/>
  <c r="AN25" i="113"/>
  <c r="CD25" i="113" s="1"/>
  <c r="AM25" i="113"/>
  <c r="CC25" i="113" s="1"/>
  <c r="AL25" i="113"/>
  <c r="CB25" i="113" s="1"/>
  <c r="AK25" i="113"/>
  <c r="AJ25" i="113"/>
  <c r="BZ25" i="113" s="1"/>
  <c r="AI25" i="113"/>
  <c r="BY25" i="113" s="1"/>
  <c r="AH25" i="113"/>
  <c r="BX25" i="113" s="1"/>
  <c r="AG25" i="113"/>
  <c r="BW25" i="113" s="1"/>
  <c r="AF25" i="113"/>
  <c r="BV25" i="113" s="1"/>
  <c r="AE25" i="113"/>
  <c r="BU25" i="113" s="1"/>
  <c r="AD25" i="113"/>
  <c r="BT25" i="113" s="1"/>
  <c r="AC25" i="113"/>
  <c r="BS25" i="113" s="1"/>
  <c r="AB25" i="113"/>
  <c r="BR25" i="113" s="1"/>
  <c r="AA25" i="113"/>
  <c r="BQ25" i="113" s="1"/>
  <c r="AT12" i="113"/>
  <c r="CJ12" i="113" s="1"/>
  <c r="AS12" i="113"/>
  <c r="CI12" i="113" s="1"/>
  <c r="AR12" i="113"/>
  <c r="CH12" i="113" s="1"/>
  <c r="AQ12" i="113"/>
  <c r="CG12" i="113" s="1"/>
  <c r="AP12" i="113"/>
  <c r="CF12" i="113" s="1"/>
  <c r="AO12" i="113"/>
  <c r="CE12" i="113" s="1"/>
  <c r="AN12" i="113"/>
  <c r="CD12" i="113" s="1"/>
  <c r="AM12" i="113"/>
  <c r="CC12" i="113" s="1"/>
  <c r="AL12" i="113"/>
  <c r="CB12" i="113" s="1"/>
  <c r="AK12" i="113"/>
  <c r="CA12" i="113" s="1"/>
  <c r="AJ12" i="113"/>
  <c r="BZ12" i="113" s="1"/>
  <c r="AI12" i="113"/>
  <c r="BY12" i="113" s="1"/>
  <c r="AH12" i="113"/>
  <c r="BX12" i="113" s="1"/>
  <c r="AG12" i="113"/>
  <c r="BW12" i="113" s="1"/>
  <c r="AF12" i="113"/>
  <c r="BV12" i="113" s="1"/>
  <c r="AE12" i="113"/>
  <c r="BU12" i="113" s="1"/>
  <c r="AD12" i="113"/>
  <c r="BT12" i="113" s="1"/>
  <c r="AC12" i="113"/>
  <c r="BS12" i="113" s="1"/>
  <c r="AB12" i="113"/>
  <c r="BR12" i="113" s="1"/>
  <c r="AA12" i="113"/>
  <c r="BQ12" i="113" s="1"/>
  <c r="AT36" i="113"/>
  <c r="CJ36" i="113" s="1"/>
  <c r="AS36" i="113"/>
  <c r="CI36" i="113" s="1"/>
  <c r="AR36" i="113"/>
  <c r="CH36" i="113" s="1"/>
  <c r="AQ36" i="113"/>
  <c r="CG36" i="113" s="1"/>
  <c r="AM20" i="112" s="1"/>
  <c r="CX20" i="112" s="1"/>
  <c r="AP36" i="113"/>
  <c r="CF36" i="113" s="1"/>
  <c r="AL20" i="112" s="1"/>
  <c r="CW20" i="112" s="1"/>
  <c r="AO36" i="113"/>
  <c r="CE36" i="113" s="1"/>
  <c r="AN36" i="113"/>
  <c r="CD36" i="113" s="1"/>
  <c r="AJ20" i="112" s="1"/>
  <c r="CU20" i="112" s="1"/>
  <c r="AM36" i="113"/>
  <c r="CC36" i="113" s="1"/>
  <c r="AL36" i="113"/>
  <c r="CB36" i="113" s="1"/>
  <c r="AK36" i="113"/>
  <c r="CA36" i="113" s="1"/>
  <c r="AJ36" i="113"/>
  <c r="BZ36" i="113" s="1"/>
  <c r="AI36" i="113"/>
  <c r="BY36" i="113" s="1"/>
  <c r="AH36" i="113"/>
  <c r="BX36" i="113" s="1"/>
  <c r="AG36" i="113"/>
  <c r="BW36" i="113" s="1"/>
  <c r="AF36" i="113"/>
  <c r="BV36" i="113" s="1"/>
  <c r="AE36" i="113"/>
  <c r="BU36" i="113" s="1"/>
  <c r="AA20" i="112" s="1"/>
  <c r="CL20" i="112" s="1"/>
  <c r="AD36" i="113"/>
  <c r="BT36" i="113" s="1"/>
  <c r="AC36" i="113"/>
  <c r="BS36" i="113" s="1"/>
  <c r="AB36" i="113"/>
  <c r="BR36" i="113" s="1"/>
  <c r="AA36" i="113"/>
  <c r="BQ36" i="113" s="1"/>
  <c r="AT34" i="113"/>
  <c r="CJ34" i="113" s="1"/>
  <c r="AS34" i="113"/>
  <c r="CI34" i="113" s="1"/>
  <c r="AR34" i="113"/>
  <c r="CH34" i="113" s="1"/>
  <c r="AQ34" i="113"/>
  <c r="CG34" i="113" s="1"/>
  <c r="AP34" i="113"/>
  <c r="CF34" i="113" s="1"/>
  <c r="AL15" i="112" s="1"/>
  <c r="CW15" i="112" s="1"/>
  <c r="AO34" i="113"/>
  <c r="CE34" i="113" s="1"/>
  <c r="AK15" i="112" s="1"/>
  <c r="CV15" i="112" s="1"/>
  <c r="AN34" i="113"/>
  <c r="CD34" i="113" s="1"/>
  <c r="AM34" i="113"/>
  <c r="CC34" i="113" s="1"/>
  <c r="AL34" i="113"/>
  <c r="CB34" i="113" s="1"/>
  <c r="AH15" i="112" s="1"/>
  <c r="CS15" i="112" s="1"/>
  <c r="AK34" i="113"/>
  <c r="AJ34" i="113"/>
  <c r="BZ34" i="113" s="1"/>
  <c r="AF15" i="112" s="1"/>
  <c r="CQ15" i="112" s="1"/>
  <c r="AI34" i="113"/>
  <c r="BY34" i="113" s="1"/>
  <c r="AH34" i="113"/>
  <c r="BX34" i="113" s="1"/>
  <c r="AG34" i="113"/>
  <c r="BW34" i="113" s="1"/>
  <c r="AC15" i="112" s="1"/>
  <c r="CN15" i="112" s="1"/>
  <c r="AF34" i="113"/>
  <c r="BV34" i="113" s="1"/>
  <c r="AE34" i="113"/>
  <c r="BU34" i="113" s="1"/>
  <c r="AA15" i="112" s="1"/>
  <c r="CL15" i="112" s="1"/>
  <c r="AD34" i="113"/>
  <c r="BT34" i="113" s="1"/>
  <c r="Z15" i="112" s="1"/>
  <c r="CK15" i="112" s="1"/>
  <c r="AC34" i="113"/>
  <c r="BS34" i="113" s="1"/>
  <c r="AB34" i="113"/>
  <c r="BR34" i="113" s="1"/>
  <c r="AA34" i="113"/>
  <c r="BQ34" i="113" s="1"/>
  <c r="AT24" i="113"/>
  <c r="AS24" i="113"/>
  <c r="CI24" i="113" s="1"/>
  <c r="AR24" i="113"/>
  <c r="CH24" i="113" s="1"/>
  <c r="AQ24" i="113"/>
  <c r="CG24" i="113" s="1"/>
  <c r="AP24" i="113"/>
  <c r="CF24" i="113" s="1"/>
  <c r="AO24" i="113"/>
  <c r="CE24" i="113" s="1"/>
  <c r="AN24" i="113"/>
  <c r="CD24" i="113" s="1"/>
  <c r="AM24" i="113"/>
  <c r="CC24" i="113" s="1"/>
  <c r="AL24" i="113"/>
  <c r="CB24" i="113" s="1"/>
  <c r="AK24" i="113"/>
  <c r="CA24" i="113" s="1"/>
  <c r="AJ24" i="113"/>
  <c r="BZ24" i="113" s="1"/>
  <c r="AI24" i="113"/>
  <c r="BY24" i="113" s="1"/>
  <c r="AH24" i="113"/>
  <c r="BX24" i="113" s="1"/>
  <c r="AG24" i="113"/>
  <c r="BW24" i="113" s="1"/>
  <c r="AF24" i="113"/>
  <c r="BV24" i="113" s="1"/>
  <c r="AE24" i="113"/>
  <c r="BU24" i="113" s="1"/>
  <c r="AD24" i="113"/>
  <c r="BT24" i="113" s="1"/>
  <c r="AC24" i="113"/>
  <c r="BS24" i="113" s="1"/>
  <c r="AB24" i="113"/>
  <c r="BR24" i="113" s="1"/>
  <c r="AA24" i="113"/>
  <c r="BQ24" i="113" s="1"/>
  <c r="AT22" i="113"/>
  <c r="CJ22" i="113" s="1"/>
  <c r="AS22" i="113"/>
  <c r="CI22" i="113" s="1"/>
  <c r="AR22" i="113"/>
  <c r="CH22" i="113" s="1"/>
  <c r="AQ22" i="113"/>
  <c r="CG22" i="113" s="1"/>
  <c r="AP22" i="113"/>
  <c r="CF22" i="113" s="1"/>
  <c r="AO22" i="113"/>
  <c r="CE22" i="113" s="1"/>
  <c r="AN22" i="113"/>
  <c r="CD22" i="113" s="1"/>
  <c r="AM22" i="113"/>
  <c r="CC22" i="113" s="1"/>
  <c r="AL22" i="113"/>
  <c r="CB22" i="113" s="1"/>
  <c r="AK22" i="113"/>
  <c r="CA22" i="113" s="1"/>
  <c r="AJ22" i="113"/>
  <c r="BZ22" i="113" s="1"/>
  <c r="AI22" i="113"/>
  <c r="BY22" i="113" s="1"/>
  <c r="AH22" i="113"/>
  <c r="BX22" i="113" s="1"/>
  <c r="AG22" i="113"/>
  <c r="BW22" i="113" s="1"/>
  <c r="AF22" i="113"/>
  <c r="BV22" i="113" s="1"/>
  <c r="AE22" i="113"/>
  <c r="BU22" i="113" s="1"/>
  <c r="AD22" i="113"/>
  <c r="BT22" i="113" s="1"/>
  <c r="AC22" i="113"/>
  <c r="AB22" i="113"/>
  <c r="BR22" i="113" s="1"/>
  <c r="AA22" i="113"/>
  <c r="BQ22" i="113" s="1"/>
  <c r="AT17" i="113"/>
  <c r="CJ17" i="113" s="1"/>
  <c r="AS17" i="113"/>
  <c r="CI17" i="113" s="1"/>
  <c r="AR17" i="113"/>
  <c r="CH17" i="113" s="1"/>
  <c r="AN13" i="112" s="1"/>
  <c r="CY13" i="112" s="1"/>
  <c r="AQ17" i="113"/>
  <c r="CG17" i="113" s="1"/>
  <c r="AP17" i="113"/>
  <c r="CF17" i="113" s="1"/>
  <c r="AO17" i="113"/>
  <c r="CE17" i="113" s="1"/>
  <c r="AK13" i="112" s="1"/>
  <c r="CV13" i="112" s="1"/>
  <c r="AN17" i="113"/>
  <c r="CD17" i="113" s="1"/>
  <c r="AM17" i="113"/>
  <c r="CC17" i="113" s="1"/>
  <c r="AL17" i="113"/>
  <c r="CB17" i="113" s="1"/>
  <c r="AK17" i="113"/>
  <c r="CA17" i="113" s="1"/>
  <c r="AJ17" i="113"/>
  <c r="BZ17" i="113" s="1"/>
  <c r="AI17" i="113"/>
  <c r="BY17" i="113" s="1"/>
  <c r="AH17" i="113"/>
  <c r="BX17" i="113" s="1"/>
  <c r="AG17" i="113"/>
  <c r="BW17" i="113" s="1"/>
  <c r="AF17" i="113"/>
  <c r="BV17" i="113" s="1"/>
  <c r="AB13" i="112" s="1"/>
  <c r="CM13" i="112" s="1"/>
  <c r="AE17" i="113"/>
  <c r="BU17" i="113" s="1"/>
  <c r="AD17" i="113"/>
  <c r="BT17" i="113" s="1"/>
  <c r="AC17" i="113"/>
  <c r="BS17" i="113" s="1"/>
  <c r="AB17" i="113"/>
  <c r="BR17" i="113" s="1"/>
  <c r="X13" i="112" s="1"/>
  <c r="CI13" i="112" s="1"/>
  <c r="AA17" i="113"/>
  <c r="BQ17" i="113" s="1"/>
  <c r="AT11" i="113"/>
  <c r="CJ11" i="113" s="1"/>
  <c r="AS11" i="113"/>
  <c r="CI11" i="113" s="1"/>
  <c r="AR11" i="113"/>
  <c r="CH11" i="113" s="1"/>
  <c r="AQ11" i="113"/>
  <c r="CG11" i="113" s="1"/>
  <c r="AP11" i="113"/>
  <c r="CF11" i="113" s="1"/>
  <c r="AL17" i="112" s="1"/>
  <c r="CW17" i="112" s="1"/>
  <c r="AO11" i="113"/>
  <c r="CE11" i="113" s="1"/>
  <c r="AN11" i="113"/>
  <c r="CD11" i="113" s="1"/>
  <c r="AM11" i="113"/>
  <c r="CC11" i="113" s="1"/>
  <c r="AL11" i="113"/>
  <c r="CB11" i="113" s="1"/>
  <c r="AK11" i="113"/>
  <c r="CA11" i="113" s="1"/>
  <c r="AJ11" i="113"/>
  <c r="BZ11" i="113" s="1"/>
  <c r="AI11" i="113"/>
  <c r="BY11" i="113" s="1"/>
  <c r="AH11" i="113"/>
  <c r="AG11" i="113"/>
  <c r="AF11" i="113"/>
  <c r="AE11" i="113"/>
  <c r="BU11" i="113" s="1"/>
  <c r="AD11" i="113"/>
  <c r="BT11" i="113" s="1"/>
  <c r="AC11" i="113"/>
  <c r="BS11" i="113" s="1"/>
  <c r="AB11" i="113"/>
  <c r="BR11" i="113" s="1"/>
  <c r="AA11" i="113"/>
  <c r="BQ11" i="113" s="1"/>
  <c r="AT7" i="113"/>
  <c r="CJ7" i="113" s="1"/>
  <c r="AS7" i="113"/>
  <c r="CI7" i="113" s="1"/>
  <c r="AR7" i="113"/>
  <c r="CH7" i="113" s="1"/>
  <c r="AN14" i="112" s="1"/>
  <c r="CY14" i="112" s="1"/>
  <c r="AQ7" i="113"/>
  <c r="CG7" i="113" s="1"/>
  <c r="AP7" i="113"/>
  <c r="AO7" i="113"/>
  <c r="CE7" i="113" s="1"/>
  <c r="AN7" i="113"/>
  <c r="CD7" i="113" s="1"/>
  <c r="AM7" i="113"/>
  <c r="CC7" i="113" s="1"/>
  <c r="AI14" i="112" s="1"/>
  <c r="CT14" i="112" s="1"/>
  <c r="AL7" i="113"/>
  <c r="CB7" i="113" s="1"/>
  <c r="AK7" i="113"/>
  <c r="CA7" i="113" s="1"/>
  <c r="AJ7" i="113"/>
  <c r="BZ7" i="113" s="1"/>
  <c r="AI7" i="113"/>
  <c r="BY7" i="113" s="1"/>
  <c r="AH7" i="113"/>
  <c r="BX7" i="113" s="1"/>
  <c r="AG7" i="113"/>
  <c r="BW7" i="113" s="1"/>
  <c r="AC14" i="112" s="1"/>
  <c r="CN14" i="112" s="1"/>
  <c r="AF7" i="113"/>
  <c r="BV7" i="113" s="1"/>
  <c r="AE7" i="113"/>
  <c r="BU7" i="113" s="1"/>
  <c r="AD7" i="113"/>
  <c r="BT7" i="113" s="1"/>
  <c r="AC7" i="113"/>
  <c r="AB7" i="113"/>
  <c r="BR7" i="113" s="1"/>
  <c r="AA7" i="113"/>
  <c r="BQ7" i="113" s="1"/>
  <c r="L11" i="112"/>
  <c r="K11" i="112" a="1"/>
  <c r="K11" i="112" s="1"/>
  <c r="J11" i="112" a="1"/>
  <c r="J11" i="112" s="1"/>
  <c r="D11" i="112"/>
  <c r="L10" i="112"/>
  <c r="K10" i="112" a="1"/>
  <c r="K10" i="112"/>
  <c r="J10" i="112" a="1"/>
  <c r="J10" i="112" s="1"/>
  <c r="D10" i="112"/>
  <c r="L9" i="112"/>
  <c r="K9" i="112" a="1"/>
  <c r="K9" i="112" s="1"/>
  <c r="J9" i="112" a="1"/>
  <c r="J9" i="112" s="1"/>
  <c r="D9" i="112"/>
  <c r="D8" i="112"/>
  <c r="C9" i="109" s="1"/>
  <c r="CI31" i="113"/>
  <c r="CH31" i="113"/>
  <c r="CG31" i="113"/>
  <c r="CA20" i="113"/>
  <c r="BX20" i="113"/>
  <c r="BW20" i="113"/>
  <c r="BS16" i="113"/>
  <c r="Y18" i="112"/>
  <c r="CJ18" i="112" s="1"/>
  <c r="CJ15" i="113"/>
  <c r="CI10" i="113"/>
  <c r="CJ10" i="113"/>
  <c r="BR6" i="113"/>
  <c r="BS6" i="113" s="1"/>
  <c r="BT6" i="113" s="1"/>
  <c r="BU6" i="113" s="1"/>
  <c r="BV6" i="113"/>
  <c r="BW6" i="113"/>
  <c r="BX6" i="113" s="1"/>
  <c r="BY6" i="113" s="1"/>
  <c r="BZ6" i="113" s="1"/>
  <c r="CA6" i="113" s="1"/>
  <c r="CB6" i="113" s="1"/>
  <c r="CC6" i="113" s="1"/>
  <c r="CD6" i="113" s="1"/>
  <c r="CE6" i="113" s="1"/>
  <c r="CF6" i="113" s="1"/>
  <c r="CG6" i="113" s="1"/>
  <c r="CH6" i="113" s="1"/>
  <c r="CI6" i="113" s="1"/>
  <c r="CJ6" i="113" s="1"/>
  <c r="AW6" i="113"/>
  <c r="AX6" i="113" s="1"/>
  <c r="AY6" i="113" s="1"/>
  <c r="AZ6" i="113" s="1"/>
  <c r="BA6" i="113" s="1"/>
  <c r="BB6" i="113" s="1"/>
  <c r="BC6" i="113" s="1"/>
  <c r="BD6" i="113" s="1"/>
  <c r="BE6" i="113" s="1"/>
  <c r="BF6" i="113" s="1"/>
  <c r="BG6" i="113" s="1"/>
  <c r="BH6" i="113" s="1"/>
  <c r="BI6" i="113" s="1"/>
  <c r="BJ6" i="113" s="1"/>
  <c r="BK6" i="113" s="1"/>
  <c r="BL6" i="113" s="1"/>
  <c r="BM6" i="113" s="1"/>
  <c r="BN6" i="113" s="1"/>
  <c r="BO6" i="113" s="1"/>
  <c r="AT31" i="113"/>
  <c r="CJ31" i="113" s="1"/>
  <c r="AS31" i="113"/>
  <c r="AR31" i="113"/>
  <c r="AQ31" i="113"/>
  <c r="AP31" i="113"/>
  <c r="CF31" i="113" s="1"/>
  <c r="AO31" i="113"/>
  <c r="CE31" i="113" s="1"/>
  <c r="AN31" i="113"/>
  <c r="CD31" i="113" s="1"/>
  <c r="AM31" i="113"/>
  <c r="CC31" i="113" s="1"/>
  <c r="AL31" i="113"/>
  <c r="CB31" i="113" s="1"/>
  <c r="AK31" i="113"/>
  <c r="CA31" i="113" s="1"/>
  <c r="AJ31" i="113"/>
  <c r="BZ31" i="113" s="1"/>
  <c r="AI31" i="113"/>
  <c r="BY31" i="113" s="1"/>
  <c r="AE11" i="112" s="1"/>
  <c r="CP11" i="112" s="1"/>
  <c r="AH31" i="113"/>
  <c r="BX31" i="113" s="1"/>
  <c r="AG31" i="113"/>
  <c r="BW31" i="113" s="1"/>
  <c r="AF31" i="113"/>
  <c r="BV31" i="113" s="1"/>
  <c r="AE31" i="113"/>
  <c r="BU31" i="113" s="1"/>
  <c r="AA11" i="112" s="1"/>
  <c r="CL11" i="112" s="1"/>
  <c r="AD31" i="113"/>
  <c r="BT31" i="113" s="1"/>
  <c r="AC31" i="113"/>
  <c r="BS31" i="113" s="1"/>
  <c r="AB31" i="113"/>
  <c r="BR31" i="113" s="1"/>
  <c r="AA31" i="113"/>
  <c r="BQ31" i="113" s="1"/>
  <c r="AT21" i="113"/>
  <c r="CJ21" i="113" s="1"/>
  <c r="AS21" i="113"/>
  <c r="CI21" i="113" s="1"/>
  <c r="AO10" i="112" s="1"/>
  <c r="CZ10" i="112" s="1"/>
  <c r="AR21" i="113"/>
  <c r="CH21" i="113" s="1"/>
  <c r="AN10" i="112" s="1"/>
  <c r="CY10" i="112" s="1"/>
  <c r="AQ21" i="113"/>
  <c r="CG21" i="113" s="1"/>
  <c r="AP21" i="113"/>
  <c r="CF21" i="113" s="1"/>
  <c r="AO21" i="113"/>
  <c r="CE21" i="113" s="1"/>
  <c r="AN21" i="113"/>
  <c r="CD21" i="113" s="1"/>
  <c r="AM21" i="113"/>
  <c r="CC21" i="113" s="1"/>
  <c r="AI10" i="112" s="1"/>
  <c r="CT10" i="112" s="1"/>
  <c r="AL21" i="113"/>
  <c r="CB21" i="113" s="1"/>
  <c r="AH10" i="112" s="1"/>
  <c r="CS10" i="112" s="1"/>
  <c r="AK21" i="113"/>
  <c r="CA21" i="113" s="1"/>
  <c r="AJ21" i="113"/>
  <c r="BZ21" i="113" s="1"/>
  <c r="AI21" i="113"/>
  <c r="BY21" i="113" s="1"/>
  <c r="AE10" i="112" s="1"/>
  <c r="CP10" i="112" s="1"/>
  <c r="AH21" i="113"/>
  <c r="BX21" i="113" s="1"/>
  <c r="AG21" i="113"/>
  <c r="BW21" i="113" s="1"/>
  <c r="AF21" i="113"/>
  <c r="BV21" i="113" s="1"/>
  <c r="AB10" i="112" s="1"/>
  <c r="CM10" i="112" s="1"/>
  <c r="AE21" i="113"/>
  <c r="BU21" i="113" s="1"/>
  <c r="AD21" i="113"/>
  <c r="BT21" i="113" s="1"/>
  <c r="Z10" i="112" s="1"/>
  <c r="CK10" i="112" s="1"/>
  <c r="AC21" i="113"/>
  <c r="BS21" i="113" s="1"/>
  <c r="AB21" i="113"/>
  <c r="BR21" i="113" s="1"/>
  <c r="AA21" i="113"/>
  <c r="BQ21" i="113" s="1"/>
  <c r="AT20" i="113"/>
  <c r="CJ20" i="113" s="1"/>
  <c r="AP8" i="112" s="1"/>
  <c r="DA8" i="112" s="1"/>
  <c r="AS20" i="113"/>
  <c r="CI20" i="113" s="1"/>
  <c r="AR20" i="113"/>
  <c r="CH20" i="113" s="1"/>
  <c r="AQ20" i="113"/>
  <c r="CG20" i="113" s="1"/>
  <c r="AP20" i="113"/>
  <c r="CF20" i="113" s="1"/>
  <c r="AO20" i="113"/>
  <c r="CE20" i="113" s="1"/>
  <c r="AN20" i="113"/>
  <c r="CD20" i="113" s="1"/>
  <c r="AJ8" i="112" s="1"/>
  <c r="CU8" i="112" s="1"/>
  <c r="AM20" i="113"/>
  <c r="CC20" i="113" s="1"/>
  <c r="AL20" i="113"/>
  <c r="CB20" i="113" s="1"/>
  <c r="AK20" i="113"/>
  <c r="AJ20" i="113"/>
  <c r="BZ20" i="113" s="1"/>
  <c r="AI20" i="113"/>
  <c r="BY20" i="113" s="1"/>
  <c r="AH20" i="113"/>
  <c r="AG20" i="113"/>
  <c r="AF20" i="113"/>
  <c r="BV20" i="113" s="1"/>
  <c r="AE20" i="113"/>
  <c r="BU20" i="113" s="1"/>
  <c r="AD20" i="113"/>
  <c r="BT20" i="113" s="1"/>
  <c r="AC20" i="113"/>
  <c r="BS20" i="113" s="1"/>
  <c r="AB20" i="113"/>
  <c r="BR20" i="113" s="1"/>
  <c r="X8" i="112" s="1"/>
  <c r="CI8" i="112" s="1"/>
  <c r="AA20" i="113"/>
  <c r="BQ20" i="113" s="1"/>
  <c r="AT19" i="113"/>
  <c r="CJ19" i="113" s="1"/>
  <c r="AS19" i="113"/>
  <c r="CI19" i="113" s="1"/>
  <c r="AO9" i="112" s="1"/>
  <c r="CZ9" i="112" s="1"/>
  <c r="AR19" i="113"/>
  <c r="CH19" i="113" s="1"/>
  <c r="AQ19" i="113"/>
  <c r="CG19" i="113" s="1"/>
  <c r="AM9" i="112" s="1"/>
  <c r="CX9" i="112" s="1"/>
  <c r="AP19" i="113"/>
  <c r="CF19" i="113" s="1"/>
  <c r="AO19" i="113"/>
  <c r="CE19" i="113" s="1"/>
  <c r="AK9" i="112" s="1"/>
  <c r="CV9" i="112" s="1"/>
  <c r="AN19" i="113"/>
  <c r="CD19" i="113" s="1"/>
  <c r="AJ9" i="112" s="1"/>
  <c r="CU9" i="112" s="1"/>
  <c r="AM19" i="113"/>
  <c r="CC19" i="113" s="1"/>
  <c r="AI9" i="112" s="1"/>
  <c r="CT9" i="112" s="1"/>
  <c r="AL19" i="113"/>
  <c r="CB19" i="113" s="1"/>
  <c r="AK19" i="113"/>
  <c r="CA19" i="113" s="1"/>
  <c r="AG9" i="112" s="1"/>
  <c r="CR9" i="112" s="1"/>
  <c r="AJ19" i="113"/>
  <c r="BZ19" i="113" s="1"/>
  <c r="AF9" i="112" s="1"/>
  <c r="CQ9" i="112" s="1"/>
  <c r="AI19" i="113"/>
  <c r="BY19" i="113" s="1"/>
  <c r="AH19" i="113"/>
  <c r="BX19" i="113" s="1"/>
  <c r="AG19" i="113"/>
  <c r="BW19" i="113" s="1"/>
  <c r="AF19" i="113"/>
  <c r="BV19" i="113" s="1"/>
  <c r="AB9" i="112" s="1"/>
  <c r="CM9" i="112" s="1"/>
  <c r="AE19" i="113"/>
  <c r="BU19" i="113" s="1"/>
  <c r="AD19" i="113"/>
  <c r="BT19" i="113" s="1"/>
  <c r="Z9" i="112" s="1"/>
  <c r="CK9" i="112" s="1"/>
  <c r="AC19" i="113"/>
  <c r="BS19" i="113" s="1"/>
  <c r="AB19" i="113"/>
  <c r="BR19" i="113" s="1"/>
  <c r="X9" i="112" s="1"/>
  <c r="CI9" i="112" s="1"/>
  <c r="AA19" i="113"/>
  <c r="BQ19" i="113" s="1"/>
  <c r="AT16" i="113"/>
  <c r="CJ16" i="113" s="1"/>
  <c r="AP18" i="112" s="1"/>
  <c r="DA18" i="112" s="1"/>
  <c r="AS16" i="113"/>
  <c r="CI16" i="113" s="1"/>
  <c r="AO18" i="112" s="1"/>
  <c r="CZ18" i="112" s="1"/>
  <c r="AR16" i="113"/>
  <c r="CH16" i="113" s="1"/>
  <c r="AN18" i="112" s="1"/>
  <c r="CY18" i="112" s="1"/>
  <c r="AQ16" i="113"/>
  <c r="CG16" i="113" s="1"/>
  <c r="AM18" i="112" s="1"/>
  <c r="CX18" i="112" s="1"/>
  <c r="AP16" i="113"/>
  <c r="CF16" i="113" s="1"/>
  <c r="AL18" i="112" s="1"/>
  <c r="CW18" i="112" s="1"/>
  <c r="AO16" i="113"/>
  <c r="CE16" i="113" s="1"/>
  <c r="AK18" i="112" s="1"/>
  <c r="CV18" i="112" s="1"/>
  <c r="AN16" i="113"/>
  <c r="CD16" i="113" s="1"/>
  <c r="AJ18" i="112" s="1"/>
  <c r="CU18" i="112" s="1"/>
  <c r="AM16" i="113"/>
  <c r="CC16" i="113" s="1"/>
  <c r="AI18" i="112" s="1"/>
  <c r="CT18" i="112" s="1"/>
  <c r="AL16" i="113"/>
  <c r="CB16" i="113" s="1"/>
  <c r="AH18" i="112" s="1"/>
  <c r="CS18" i="112" s="1"/>
  <c r="AK16" i="113"/>
  <c r="CA16" i="113" s="1"/>
  <c r="AG18" i="112" s="1"/>
  <c r="CR18" i="112" s="1"/>
  <c r="AJ16" i="113"/>
  <c r="BZ16" i="113" s="1"/>
  <c r="AF18" i="112" s="1"/>
  <c r="CQ18" i="112" s="1"/>
  <c r="AI16" i="113"/>
  <c r="BY16" i="113" s="1"/>
  <c r="AE18" i="112" s="1"/>
  <c r="CP18" i="112" s="1"/>
  <c r="AH16" i="113"/>
  <c r="BX16" i="113" s="1"/>
  <c r="AD18" i="112" s="1"/>
  <c r="CO18" i="112" s="1"/>
  <c r="AG16" i="113"/>
  <c r="BW16" i="113" s="1"/>
  <c r="AC18" i="112" s="1"/>
  <c r="CN18" i="112" s="1"/>
  <c r="AF16" i="113"/>
  <c r="BV16" i="113" s="1"/>
  <c r="AB18" i="112" s="1"/>
  <c r="CM18" i="112" s="1"/>
  <c r="AE16" i="113"/>
  <c r="BU16" i="113" s="1"/>
  <c r="AA18" i="112" s="1"/>
  <c r="CL18" i="112" s="1"/>
  <c r="AD16" i="113"/>
  <c r="BT16" i="113" s="1"/>
  <c r="Z18" i="112" s="1"/>
  <c r="CK18" i="112" s="1"/>
  <c r="AC16" i="113"/>
  <c r="AB16" i="113"/>
  <c r="BR16" i="113" s="1"/>
  <c r="X18" i="112" s="1"/>
  <c r="CI18" i="112" s="1"/>
  <c r="AA16" i="113"/>
  <c r="BQ16" i="113" s="1"/>
  <c r="W18" i="112" s="1"/>
  <c r="CH18" i="112" s="1"/>
  <c r="AT15" i="113"/>
  <c r="AS15" i="113"/>
  <c r="CI15" i="113" s="1"/>
  <c r="AR15" i="113"/>
  <c r="CH15" i="113" s="1"/>
  <c r="AQ15" i="113"/>
  <c r="CG15" i="113" s="1"/>
  <c r="AP15" i="113"/>
  <c r="CF15" i="113" s="1"/>
  <c r="AO15" i="113"/>
  <c r="CE15" i="113" s="1"/>
  <c r="AN15" i="113"/>
  <c r="CD15" i="113" s="1"/>
  <c r="AM15" i="113"/>
  <c r="CC15" i="113" s="1"/>
  <c r="AL15" i="113"/>
  <c r="CB15" i="113" s="1"/>
  <c r="AK15" i="113"/>
  <c r="CA15" i="113" s="1"/>
  <c r="AJ15" i="113"/>
  <c r="BZ15" i="113" s="1"/>
  <c r="AI15" i="113"/>
  <c r="BY15" i="113" s="1"/>
  <c r="AH15" i="113"/>
  <c r="BX15" i="113" s="1"/>
  <c r="AG15" i="113"/>
  <c r="BW15" i="113" s="1"/>
  <c r="AF15" i="113"/>
  <c r="BV15" i="113" s="1"/>
  <c r="AE15" i="113"/>
  <c r="BU15" i="113" s="1"/>
  <c r="AD15" i="113"/>
  <c r="BT15" i="113" s="1"/>
  <c r="AC15" i="113"/>
  <c r="BS15" i="113" s="1"/>
  <c r="AB15" i="113"/>
  <c r="BR15" i="113" s="1"/>
  <c r="AA15" i="113"/>
  <c r="BQ15" i="113" s="1"/>
  <c r="AT10" i="113"/>
  <c r="AS10" i="113"/>
  <c r="AR10" i="113"/>
  <c r="CH10" i="113" s="1"/>
  <c r="AQ10" i="113"/>
  <c r="CG10" i="113" s="1"/>
  <c r="AP10" i="113"/>
  <c r="CF10" i="113" s="1"/>
  <c r="AO10" i="113"/>
  <c r="CE10" i="113" s="1"/>
  <c r="AN10" i="113"/>
  <c r="CD10" i="113" s="1"/>
  <c r="AM10" i="113"/>
  <c r="CC10" i="113" s="1"/>
  <c r="AI12" i="112" s="1"/>
  <c r="CT12" i="112" s="1"/>
  <c r="AL10" i="113"/>
  <c r="CB10" i="113" s="1"/>
  <c r="AK10" i="113"/>
  <c r="CA10" i="113" s="1"/>
  <c r="AJ10" i="113"/>
  <c r="BZ10" i="113" s="1"/>
  <c r="AI10" i="113"/>
  <c r="BY10" i="113" s="1"/>
  <c r="AH10" i="113"/>
  <c r="BX10" i="113" s="1"/>
  <c r="AD12" i="112" s="1"/>
  <c r="CO12" i="112" s="1"/>
  <c r="AG10" i="113"/>
  <c r="BW10" i="113" s="1"/>
  <c r="AF10" i="113"/>
  <c r="BV10" i="113" s="1"/>
  <c r="AE10" i="113"/>
  <c r="BU10" i="113" s="1"/>
  <c r="AD10" i="113"/>
  <c r="BT10" i="113" s="1"/>
  <c r="AC10" i="113"/>
  <c r="BS10" i="113" s="1"/>
  <c r="Y12" i="112" s="1"/>
  <c r="CJ12" i="112" s="1"/>
  <c r="AB10" i="113"/>
  <c r="BR10" i="113" s="1"/>
  <c r="AA10" i="113"/>
  <c r="BQ10" i="113" s="1"/>
  <c r="AT9" i="113"/>
  <c r="CJ9" i="113"/>
  <c r="AC9" i="113"/>
  <c r="BS9" i="113" s="1"/>
  <c r="AD9" i="113"/>
  <c r="BT9" i="113" s="1"/>
  <c r="AE9" i="113"/>
  <c r="BU9" i="113" s="1"/>
  <c r="AF9" i="113"/>
  <c r="BV9" i="113" s="1"/>
  <c r="AG9" i="113"/>
  <c r="BW9" i="113"/>
  <c r="AH9" i="113"/>
  <c r="BX9" i="113"/>
  <c r="AI9" i="113"/>
  <c r="BY9" i="113" s="1"/>
  <c r="AJ9" i="113"/>
  <c r="BZ9" i="113" s="1"/>
  <c r="AK9" i="113"/>
  <c r="CA9" i="113"/>
  <c r="AL9" i="113"/>
  <c r="CB9" i="113" s="1"/>
  <c r="AM9" i="113"/>
  <c r="CC9" i="113" s="1"/>
  <c r="AN9" i="113"/>
  <c r="CD9" i="113" s="1"/>
  <c r="AO9" i="113"/>
  <c r="CE9" i="113" s="1"/>
  <c r="AP9" i="113"/>
  <c r="CF9" i="113" s="1"/>
  <c r="AQ9" i="113"/>
  <c r="CG9" i="113"/>
  <c r="AR9" i="113"/>
  <c r="CH9" i="113" s="1"/>
  <c r="AS9" i="113"/>
  <c r="CI9" i="113" s="1"/>
  <c r="AB9" i="113"/>
  <c r="BR9" i="113" s="1"/>
  <c r="AA9" i="113"/>
  <c r="BQ9" i="113" s="1"/>
  <c r="AB6" i="113"/>
  <c r="AC6" i="113"/>
  <c r="AD6" i="113" s="1"/>
  <c r="AE6" i="113" s="1"/>
  <c r="AF6" i="113" s="1"/>
  <c r="AG6" i="113" s="1"/>
  <c r="AH6" i="113" s="1"/>
  <c r="AI6" i="113" s="1"/>
  <c r="AJ6" i="113" s="1"/>
  <c r="AK6" i="113" s="1"/>
  <c r="AL6" i="113" s="1"/>
  <c r="AM6" i="113" s="1"/>
  <c r="AN6" i="113" s="1"/>
  <c r="AO6" i="113" s="1"/>
  <c r="AP6" i="113" s="1"/>
  <c r="AQ6" i="113" s="1"/>
  <c r="AR6" i="113" s="1"/>
  <c r="AS6" i="113" s="1"/>
  <c r="AT6" i="113" s="1"/>
  <c r="G6" i="113"/>
  <c r="H6" i="113" s="1"/>
  <c r="I6" i="113" s="1"/>
  <c r="J6" i="113"/>
  <c r="K6" i="113" s="1"/>
  <c r="L6" i="113"/>
  <c r="M6" i="113" s="1"/>
  <c r="N6" i="113" s="1"/>
  <c r="O6" i="113" s="1"/>
  <c r="P6" i="113" s="1"/>
  <c r="Q6" i="113" s="1"/>
  <c r="R6" i="113" s="1"/>
  <c r="S6" i="113" s="1"/>
  <c r="T6" i="113" s="1"/>
  <c r="U6" i="113" s="1"/>
  <c r="V6" i="113" s="1"/>
  <c r="W6" i="113" s="1"/>
  <c r="X6" i="113" s="1"/>
  <c r="Y6" i="113" s="1"/>
  <c r="L8" i="112"/>
  <c r="K8" i="112" a="1"/>
  <c r="K8" i="112" s="1"/>
  <c r="J8" i="112" a="1"/>
  <c r="J8" i="112" s="1"/>
  <c r="DV7" i="112"/>
  <c r="DU7" i="112"/>
  <c r="DT7" i="112"/>
  <c r="DS7" i="112"/>
  <c r="DR7" i="112"/>
  <c r="DQ7" i="112"/>
  <c r="DP7" i="112"/>
  <c r="DO7" i="112"/>
  <c r="DN7" i="112"/>
  <c r="DM7" i="112"/>
  <c r="DL7" i="112"/>
  <c r="DK7" i="112"/>
  <c r="DJ7" i="112"/>
  <c r="DI7" i="112"/>
  <c r="DH7" i="112"/>
  <c r="DG7" i="112"/>
  <c r="DF7" i="112"/>
  <c r="DE7" i="112"/>
  <c r="DD7" i="112"/>
  <c r="DC7" i="112"/>
  <c r="DA7" i="112"/>
  <c r="CZ7" i="112"/>
  <c r="CY7" i="112"/>
  <c r="CX7" i="112"/>
  <c r="CW7" i="112"/>
  <c r="CV7" i="112"/>
  <c r="CU7" i="112"/>
  <c r="CT7" i="112"/>
  <c r="CS7" i="112"/>
  <c r="CR7" i="112"/>
  <c r="CQ7" i="112"/>
  <c r="CP7" i="112"/>
  <c r="CO7" i="112"/>
  <c r="CN7" i="112"/>
  <c r="CM7" i="112"/>
  <c r="CL7" i="112"/>
  <c r="CK7" i="112"/>
  <c r="CJ7" i="112"/>
  <c r="CI7" i="112"/>
  <c r="CH7" i="112"/>
  <c r="CF7" i="112"/>
  <c r="CE7" i="112"/>
  <c r="CD7" i="112"/>
  <c r="CC7" i="112"/>
  <c r="CB7" i="112"/>
  <c r="CA7" i="112"/>
  <c r="BZ7" i="112"/>
  <c r="BY7" i="112"/>
  <c r="BX7" i="112"/>
  <c r="BW7" i="112"/>
  <c r="BV7" i="112"/>
  <c r="BU7" i="112"/>
  <c r="BT7" i="112"/>
  <c r="BS7" i="112"/>
  <c r="BR7" i="112"/>
  <c r="BQ7" i="112"/>
  <c r="BP7" i="112"/>
  <c r="BO7" i="112"/>
  <c r="BN7" i="112"/>
  <c r="BM7" i="112"/>
  <c r="BK7" i="112"/>
  <c r="BJ7" i="112"/>
  <c r="BI7" i="112"/>
  <c r="BH7" i="112"/>
  <c r="BG7" i="112"/>
  <c r="BF7" i="112"/>
  <c r="BE7" i="112"/>
  <c r="BD7" i="112"/>
  <c r="BC7" i="112"/>
  <c r="BB7" i="112"/>
  <c r="BA7" i="112"/>
  <c r="AZ7" i="112"/>
  <c r="AY7" i="112"/>
  <c r="AX7" i="112"/>
  <c r="AW7" i="112"/>
  <c r="AV7" i="112"/>
  <c r="AU7" i="112"/>
  <c r="AT7" i="112"/>
  <c r="AS7" i="112"/>
  <c r="AR7" i="112"/>
  <c r="A1" i="112"/>
  <c r="J9" i="105"/>
  <c r="J10" i="105"/>
  <c r="J11" i="105"/>
  <c r="J12" i="105"/>
  <c r="J13" i="105"/>
  <c r="J14" i="105"/>
  <c r="J15" i="105"/>
  <c r="J16" i="105"/>
  <c r="J17" i="105"/>
  <c r="J18" i="105"/>
  <c r="J19" i="105"/>
  <c r="J20" i="105"/>
  <c r="J21" i="105"/>
  <c r="J22" i="105"/>
  <c r="J23" i="105"/>
  <c r="J24" i="105"/>
  <c r="J25" i="105"/>
  <c r="J26" i="105"/>
  <c r="J27" i="105"/>
  <c r="J28" i="105"/>
  <c r="O28" i="105" s="1" a="1"/>
  <c r="O28" i="105" s="1"/>
  <c r="J29" i="105"/>
  <c r="J30" i="105"/>
  <c r="J31" i="105"/>
  <c r="J32" i="105"/>
  <c r="J33" i="105"/>
  <c r="J34" i="105"/>
  <c r="J35" i="105"/>
  <c r="J36" i="105"/>
  <c r="J37" i="105"/>
  <c r="J38" i="105"/>
  <c r="J39" i="105"/>
  <c r="J40" i="105"/>
  <c r="J41" i="105"/>
  <c r="J42" i="105"/>
  <c r="J43" i="105"/>
  <c r="J44" i="105"/>
  <c r="J45" i="105"/>
  <c r="J46" i="105"/>
  <c r="J47" i="105"/>
  <c r="J48" i="105"/>
  <c r="J49" i="105"/>
  <c r="J50" i="105"/>
  <c r="J51" i="105"/>
  <c r="J52" i="105"/>
  <c r="J53" i="105"/>
  <c r="J54" i="105"/>
  <c r="J55" i="105"/>
  <c r="J56" i="105"/>
  <c r="J57" i="105"/>
  <c r="J58" i="105"/>
  <c r="J59" i="105"/>
  <c r="J60" i="105"/>
  <c r="J61" i="105"/>
  <c r="J62" i="105"/>
  <c r="J63" i="105"/>
  <c r="J64" i="105"/>
  <c r="J65" i="105"/>
  <c r="J66" i="105"/>
  <c r="J67" i="105"/>
  <c r="J68" i="105"/>
  <c r="J69" i="105"/>
  <c r="J70" i="105"/>
  <c r="J71" i="105"/>
  <c r="J72" i="105"/>
  <c r="J73" i="105"/>
  <c r="J74" i="105"/>
  <c r="J75" i="105"/>
  <c r="J76" i="105"/>
  <c r="J77" i="105"/>
  <c r="J78" i="105"/>
  <c r="J79" i="105"/>
  <c r="J80" i="105"/>
  <c r="J81" i="105"/>
  <c r="J82" i="105"/>
  <c r="J83" i="105"/>
  <c r="J84" i="105"/>
  <c r="J85" i="105"/>
  <c r="J86" i="105"/>
  <c r="J8" i="105"/>
  <c r="E48" i="43"/>
  <c r="K9" i="105"/>
  <c r="L9" i="105"/>
  <c r="M9" i="105"/>
  <c r="K10" i="105"/>
  <c r="L10" i="105"/>
  <c r="M10" i="105"/>
  <c r="K11" i="105"/>
  <c r="L11" i="105"/>
  <c r="M11" i="105"/>
  <c r="K12" i="105"/>
  <c r="L12" i="105"/>
  <c r="M12" i="105"/>
  <c r="K13" i="105"/>
  <c r="L13" i="105"/>
  <c r="M13" i="105"/>
  <c r="K14" i="105"/>
  <c r="L14" i="105"/>
  <c r="M14" i="105"/>
  <c r="K15" i="105"/>
  <c r="L15" i="105"/>
  <c r="M15" i="105"/>
  <c r="K16" i="105"/>
  <c r="L16" i="105"/>
  <c r="M16" i="105"/>
  <c r="K17" i="105"/>
  <c r="L17" i="105"/>
  <c r="M17" i="105"/>
  <c r="K18" i="105"/>
  <c r="L18" i="105"/>
  <c r="M18" i="105"/>
  <c r="K19" i="105"/>
  <c r="L19" i="105"/>
  <c r="M19" i="105"/>
  <c r="K20" i="105"/>
  <c r="L20" i="105"/>
  <c r="M20" i="105"/>
  <c r="K21" i="105"/>
  <c r="L21" i="105"/>
  <c r="M21" i="105"/>
  <c r="K22" i="105"/>
  <c r="L22" i="105"/>
  <c r="M22" i="105"/>
  <c r="K23" i="105"/>
  <c r="L23" i="105"/>
  <c r="M23" i="105"/>
  <c r="K24" i="105"/>
  <c r="L24" i="105"/>
  <c r="M24" i="105"/>
  <c r="K25" i="105"/>
  <c r="L25" i="105"/>
  <c r="M25" i="105"/>
  <c r="K26" i="105"/>
  <c r="L26" i="105"/>
  <c r="M26" i="105"/>
  <c r="K27" i="105"/>
  <c r="L27" i="105"/>
  <c r="M27" i="105"/>
  <c r="K28" i="105"/>
  <c r="L28" i="105"/>
  <c r="M28" i="105"/>
  <c r="K29" i="105"/>
  <c r="O29" i="105" s="1" a="1"/>
  <c r="O29" i="105" s="1"/>
  <c r="L29" i="105"/>
  <c r="M29" i="105"/>
  <c r="K30" i="105"/>
  <c r="O30" i="105" s="1" a="1"/>
  <c r="O30" i="105" s="1"/>
  <c r="L30" i="105"/>
  <c r="M30" i="105"/>
  <c r="K31" i="105"/>
  <c r="L31" i="105"/>
  <c r="M31" i="105"/>
  <c r="K32" i="105"/>
  <c r="L32" i="105"/>
  <c r="M32" i="105"/>
  <c r="K33" i="105"/>
  <c r="L33" i="105"/>
  <c r="M33" i="105"/>
  <c r="K34" i="105"/>
  <c r="L34" i="105"/>
  <c r="M34" i="105"/>
  <c r="K35" i="105"/>
  <c r="L35" i="105"/>
  <c r="M35" i="105"/>
  <c r="K36" i="105"/>
  <c r="L36" i="105"/>
  <c r="M36" i="105"/>
  <c r="K37" i="105"/>
  <c r="L37" i="105"/>
  <c r="M37" i="105"/>
  <c r="K38" i="105"/>
  <c r="O38" i="105" s="1" a="1"/>
  <c r="O38" i="105" s="1"/>
  <c r="L38" i="105"/>
  <c r="M38" i="105"/>
  <c r="K39" i="105"/>
  <c r="L39" i="105"/>
  <c r="M39" i="105"/>
  <c r="K40" i="105"/>
  <c r="L40" i="105"/>
  <c r="M40" i="105"/>
  <c r="O40" i="105" s="1" a="1"/>
  <c r="O40" i="105" s="1"/>
  <c r="K41" i="105"/>
  <c r="L41" i="105"/>
  <c r="M41" i="105"/>
  <c r="K42" i="105"/>
  <c r="L42" i="105"/>
  <c r="M42" i="105"/>
  <c r="K43" i="105"/>
  <c r="L43" i="105"/>
  <c r="M43" i="105"/>
  <c r="K44" i="105"/>
  <c r="L44" i="105"/>
  <c r="M44" i="105"/>
  <c r="K45" i="105"/>
  <c r="L45" i="105"/>
  <c r="M45" i="105"/>
  <c r="K46" i="105"/>
  <c r="L46" i="105"/>
  <c r="M46" i="105"/>
  <c r="K47" i="105"/>
  <c r="L47" i="105"/>
  <c r="M47" i="105"/>
  <c r="K48" i="105"/>
  <c r="L48" i="105"/>
  <c r="M48" i="105"/>
  <c r="K49" i="105"/>
  <c r="L49" i="105"/>
  <c r="M49" i="105"/>
  <c r="K50" i="105"/>
  <c r="L50" i="105"/>
  <c r="M50" i="105"/>
  <c r="K51" i="105"/>
  <c r="L51" i="105"/>
  <c r="M51" i="105"/>
  <c r="K52" i="105"/>
  <c r="L52" i="105"/>
  <c r="M52" i="105"/>
  <c r="K53" i="105"/>
  <c r="O53" i="105" s="1" a="1"/>
  <c r="O53" i="105" s="1"/>
  <c r="L53" i="105"/>
  <c r="M53" i="105"/>
  <c r="K54" i="105"/>
  <c r="L54" i="105"/>
  <c r="M54" i="105"/>
  <c r="K55" i="105"/>
  <c r="L55" i="105"/>
  <c r="M55" i="105"/>
  <c r="K56" i="105"/>
  <c r="L56" i="105"/>
  <c r="M56" i="105"/>
  <c r="K57" i="105"/>
  <c r="L57" i="105"/>
  <c r="M57" i="105"/>
  <c r="K58" i="105"/>
  <c r="L58" i="105"/>
  <c r="M58" i="105"/>
  <c r="K59" i="105"/>
  <c r="L59" i="105"/>
  <c r="M59" i="105"/>
  <c r="K60" i="105"/>
  <c r="L60" i="105"/>
  <c r="M60" i="105"/>
  <c r="K61" i="105"/>
  <c r="L61" i="105"/>
  <c r="M61" i="105"/>
  <c r="K62" i="105"/>
  <c r="L62" i="105"/>
  <c r="M62" i="105"/>
  <c r="K63" i="105"/>
  <c r="L63" i="105"/>
  <c r="M63" i="105"/>
  <c r="K64" i="105"/>
  <c r="L64" i="105"/>
  <c r="M64" i="105"/>
  <c r="O64" i="105" s="1" a="1"/>
  <c r="O64" i="105" s="1"/>
  <c r="K65" i="105"/>
  <c r="L65" i="105"/>
  <c r="M65" i="105"/>
  <c r="K66" i="105"/>
  <c r="L66" i="105"/>
  <c r="M66" i="105"/>
  <c r="K67" i="105"/>
  <c r="L67" i="105"/>
  <c r="M67" i="105"/>
  <c r="K68" i="105"/>
  <c r="L68" i="105"/>
  <c r="M68" i="105"/>
  <c r="K69" i="105"/>
  <c r="L69" i="105"/>
  <c r="M69" i="105"/>
  <c r="K70" i="105"/>
  <c r="L70" i="105"/>
  <c r="M70" i="105"/>
  <c r="K71" i="105"/>
  <c r="L71" i="105"/>
  <c r="M71" i="105"/>
  <c r="K72" i="105"/>
  <c r="L72" i="105"/>
  <c r="M72" i="105"/>
  <c r="K73" i="105"/>
  <c r="L73" i="105"/>
  <c r="M73" i="105"/>
  <c r="K74" i="105"/>
  <c r="L74" i="105"/>
  <c r="M74" i="105"/>
  <c r="K75" i="105"/>
  <c r="L75" i="105"/>
  <c r="M75" i="105"/>
  <c r="K76" i="105"/>
  <c r="L76" i="105"/>
  <c r="M76" i="105"/>
  <c r="K77" i="105"/>
  <c r="L77" i="105"/>
  <c r="M77" i="105"/>
  <c r="K78" i="105"/>
  <c r="L78" i="105"/>
  <c r="M78" i="105"/>
  <c r="K79" i="105"/>
  <c r="L79" i="105"/>
  <c r="M79" i="105"/>
  <c r="K80" i="105"/>
  <c r="L80" i="105"/>
  <c r="M80" i="105"/>
  <c r="K81" i="105"/>
  <c r="L81" i="105"/>
  <c r="M81" i="105"/>
  <c r="K82" i="105"/>
  <c r="L82" i="105"/>
  <c r="M82" i="105"/>
  <c r="K83" i="105"/>
  <c r="L83" i="105"/>
  <c r="M83" i="105"/>
  <c r="K84" i="105"/>
  <c r="L84" i="105"/>
  <c r="M84" i="105"/>
  <c r="K85" i="105"/>
  <c r="L85" i="105"/>
  <c r="M85" i="105"/>
  <c r="K86" i="105"/>
  <c r="L86" i="105"/>
  <c r="M86" i="105"/>
  <c r="M8" i="105"/>
  <c r="L8" i="105"/>
  <c r="K8" i="105"/>
  <c r="T7" i="105"/>
  <c r="S7" i="105"/>
  <c r="R7" i="105"/>
  <c r="Q7" i="105"/>
  <c r="M7" i="105"/>
  <c r="L7" i="105"/>
  <c r="K7" i="105"/>
  <c r="J7" i="105"/>
  <c r="A40" i="108"/>
  <c r="A2" i="105"/>
  <c r="A1" i="105"/>
  <c r="O63" i="105" a="1"/>
  <c r="O63" i="105" s="1"/>
  <c r="E35" i="33"/>
  <c r="C39" i="33"/>
  <c r="C40" i="33"/>
  <c r="C41" i="33"/>
  <c r="C42" i="33"/>
  <c r="C38" i="33"/>
  <c r="M8" i="109" a="1"/>
  <c r="M8" i="109" s="1"/>
  <c r="M6" i="109" a="1"/>
  <c r="P6" i="109" s="1"/>
  <c r="A2" i="109"/>
  <c r="A1" i="109"/>
  <c r="F25" i="33"/>
  <c r="G25" i="33"/>
  <c r="H25" i="33"/>
  <c r="I25" i="33"/>
  <c r="E25" i="33"/>
  <c r="F27" i="62"/>
  <c r="G29" i="62"/>
  <c r="H29" i="62" s="1"/>
  <c r="I29" i="62" s="1"/>
  <c r="J29" i="62" s="1"/>
  <c r="K29" i="62" s="1"/>
  <c r="L29" i="62" s="1"/>
  <c r="M29" i="62" s="1"/>
  <c r="N29" i="62" s="1"/>
  <c r="O29" i="62" s="1"/>
  <c r="P29" i="62" s="1"/>
  <c r="Q29" i="62" s="1"/>
  <c r="R29" i="62" s="1"/>
  <c r="S29" i="62" s="1"/>
  <c r="T29" i="62" s="1"/>
  <c r="U29" i="62" s="1"/>
  <c r="V29" i="62" s="1"/>
  <c r="W29" i="62" s="1"/>
  <c r="X29" i="62" s="1"/>
  <c r="Y29" i="62" s="1"/>
  <c r="Z29" i="62" s="1"/>
  <c r="F26" i="62"/>
  <c r="G26" i="62" s="1"/>
  <c r="H26" i="62" s="1"/>
  <c r="I26" i="62" s="1"/>
  <c r="J26" i="62" s="1"/>
  <c r="K26" i="62" s="1"/>
  <c r="L26" i="62" s="1"/>
  <c r="M26" i="62" s="1"/>
  <c r="N26" i="62" s="1"/>
  <c r="O26" i="62" s="1"/>
  <c r="P26" i="62" s="1"/>
  <c r="Q26" i="62" s="1"/>
  <c r="R26" i="62" s="1"/>
  <c r="S26" i="62" s="1"/>
  <c r="T26" i="62" s="1"/>
  <c r="U26" i="62" s="1"/>
  <c r="V26" i="62" s="1"/>
  <c r="W26" i="62" s="1"/>
  <c r="X26" i="62" s="1"/>
  <c r="Y26" i="62" s="1"/>
  <c r="Z26" i="62" s="1"/>
  <c r="F29" i="62"/>
  <c r="K8" i="33"/>
  <c r="D10" i="33"/>
  <c r="C26" i="33" s="1"/>
  <c r="D9" i="33"/>
  <c r="H30" i="62"/>
  <c r="C21" i="62"/>
  <c r="E15" i="33"/>
  <c r="I8" i="33"/>
  <c r="H8" i="33"/>
  <c r="C64" i="43"/>
  <c r="G73" i="43"/>
  <c r="G72" i="43"/>
  <c r="G71" i="43"/>
  <c r="G70" i="43"/>
  <c r="G69" i="43"/>
  <c r="G68" i="43"/>
  <c r="G67" i="43"/>
  <c r="G66" i="43"/>
  <c r="G65" i="43"/>
  <c r="C66" i="43"/>
  <c r="C67" i="43"/>
  <c r="C68" i="43"/>
  <c r="C69" i="43"/>
  <c r="C70" i="43"/>
  <c r="C71" i="43"/>
  <c r="C72" i="43"/>
  <c r="C73" i="43"/>
  <c r="C65" i="43"/>
  <c r="A17" i="47"/>
  <c r="A18" i="47"/>
  <c r="A19" i="47"/>
  <c r="A20" i="47"/>
  <c r="A21" i="47"/>
  <c r="A22" i="47"/>
  <c r="A23" i="47"/>
  <c r="A24" i="47"/>
  <c r="A25" i="47"/>
  <c r="A26" i="47"/>
  <c r="A27" i="47"/>
  <c r="A28" i="47"/>
  <c r="G8" i="33"/>
  <c r="G20" i="43"/>
  <c r="H62" i="43" s="1"/>
  <c r="F22" i="62"/>
  <c r="H89" i="43"/>
  <c r="C17" i="62"/>
  <c r="H11" i="62"/>
  <c r="I11" i="62"/>
  <c r="I12" i="62"/>
  <c r="H12" i="62"/>
  <c r="H13" i="62"/>
  <c r="H94" i="43"/>
  <c r="H95" i="43"/>
  <c r="H96" i="43"/>
  <c r="H97" i="43"/>
  <c r="H98" i="43"/>
  <c r="H99" i="43"/>
  <c r="H93" i="43"/>
  <c r="A1" i="43"/>
  <c r="A1" i="33"/>
  <c r="A2" i="47"/>
  <c r="A1" i="47"/>
  <c r="A2" i="62"/>
  <c r="A1" i="62"/>
  <c r="I6" i="62"/>
  <c r="J6" i="62" s="1"/>
  <c r="J11" i="62"/>
  <c r="J12" i="62"/>
  <c r="K11" i="62"/>
  <c r="K12" i="62"/>
  <c r="L11" i="62"/>
  <c r="L12" i="62"/>
  <c r="M11" i="62"/>
  <c r="M12" i="62"/>
  <c r="N11" i="62"/>
  <c r="N12" i="62"/>
  <c r="O11" i="62"/>
  <c r="O12" i="62"/>
  <c r="P11" i="62"/>
  <c r="P12" i="62"/>
  <c r="Q11" i="62"/>
  <c r="Q12" i="62"/>
  <c r="R11" i="62"/>
  <c r="R12" i="62"/>
  <c r="Q63" i="47"/>
  <c r="Q64" i="47"/>
  <c r="Q65" i="47"/>
  <c r="A2" i="33"/>
  <c r="A2" i="113" s="1"/>
  <c r="A2" i="43" l="1"/>
  <c r="Q23" i="105"/>
  <c r="Q82" i="105"/>
  <c r="O76" i="105" a="1"/>
  <c r="O76" i="105" s="1"/>
  <c r="O52" i="105" a="1"/>
  <c r="O52" i="105" s="1"/>
  <c r="O82" i="105" a="1"/>
  <c r="O82" i="105" s="1"/>
  <c r="O70" i="105" a="1"/>
  <c r="O70" i="105" s="1"/>
  <c r="O58" i="105" a="1"/>
  <c r="O58" i="105" s="1"/>
  <c r="O34" i="105" a="1"/>
  <c r="O34" i="105" s="1"/>
  <c r="O22" i="105" a="1"/>
  <c r="O22" i="105" s="1"/>
  <c r="O57" i="105" a="1"/>
  <c r="O57" i="105" s="1"/>
  <c r="O49" i="105" a="1"/>
  <c r="O49" i="105" s="1"/>
  <c r="O41" i="105" a="1"/>
  <c r="O41" i="105" s="1"/>
  <c r="O84" i="105" a="1"/>
  <c r="O84" i="105" s="1"/>
  <c r="O80" i="105" a="1"/>
  <c r="O80" i="105" s="1"/>
  <c r="O72" i="105" a="1"/>
  <c r="O72" i="105" s="1"/>
  <c r="O48" i="105" a="1"/>
  <c r="O48" i="105" s="1"/>
  <c r="O36" i="105" a="1"/>
  <c r="O36" i="105" s="1"/>
  <c r="O32" i="105" a="1"/>
  <c r="O32" i="105" s="1"/>
  <c r="O24" i="105" a="1"/>
  <c r="O24" i="105" s="1"/>
  <c r="O12" i="105" a="1"/>
  <c r="O12" i="105" s="1"/>
  <c r="O56" i="105" a="1"/>
  <c r="O56" i="105" s="1"/>
  <c r="O68" i="105" a="1"/>
  <c r="O68" i="105" s="1"/>
  <c r="O60" i="105" a="1"/>
  <c r="O60" i="105" s="1"/>
  <c r="O20" i="105" a="1"/>
  <c r="O20" i="105" s="1"/>
  <c r="Q12" i="105"/>
  <c r="V12" i="105" s="1"/>
  <c r="Q36" i="105"/>
  <c r="V36" i="105" s="1"/>
  <c r="Q60" i="105"/>
  <c r="V60" i="105" s="1"/>
  <c r="Q84" i="105"/>
  <c r="V84" i="105" s="1"/>
  <c r="Q13" i="105"/>
  <c r="V13" i="105" s="1"/>
  <c r="Q37" i="105"/>
  <c r="V37" i="105" s="1"/>
  <c r="Q61" i="105"/>
  <c r="V61" i="105" s="1"/>
  <c r="Q85" i="105"/>
  <c r="V85" i="105" s="1"/>
  <c r="Q14" i="105"/>
  <c r="V14" i="105" s="1"/>
  <c r="Q38" i="105"/>
  <c r="V38" i="105" s="1"/>
  <c r="Q62" i="105"/>
  <c r="V62" i="105" s="1"/>
  <c r="Q86" i="105"/>
  <c r="Q27" i="105"/>
  <c r="V27" i="105" s="1"/>
  <c r="Q51" i="105"/>
  <c r="V51" i="105" s="1"/>
  <c r="Q63" i="105"/>
  <c r="V63" i="105" s="1"/>
  <c r="Q16" i="105"/>
  <c r="V16" i="105" s="1"/>
  <c r="Q40" i="105"/>
  <c r="V40" i="105" s="1"/>
  <c r="Q17" i="105"/>
  <c r="V17" i="105" s="1"/>
  <c r="Q41" i="105"/>
  <c r="V41" i="105" s="1"/>
  <c r="Q77" i="105"/>
  <c r="V77" i="105" s="1"/>
  <c r="Q30" i="105"/>
  <c r="V30" i="105" s="1"/>
  <c r="Q66" i="105"/>
  <c r="V66" i="105" s="1"/>
  <c r="Q19" i="105"/>
  <c r="V19" i="105" s="1"/>
  <c r="Q43" i="105"/>
  <c r="V43" i="105" s="1"/>
  <c r="Q79" i="105"/>
  <c r="V79" i="105" s="1"/>
  <c r="Q20" i="105"/>
  <c r="V20" i="105" s="1"/>
  <c r="Q44" i="105"/>
  <c r="V44" i="105" s="1"/>
  <c r="Q56" i="105"/>
  <c r="V56" i="105" s="1"/>
  <c r="Q80" i="105"/>
  <c r="V80" i="105" s="1"/>
  <c r="Q9" i="105"/>
  <c r="V9" i="105" s="1"/>
  <c r="Q21" i="105"/>
  <c r="Q33" i="105"/>
  <c r="V33" i="105" s="1"/>
  <c r="Q45" i="105"/>
  <c r="V45" i="105" s="1"/>
  <c r="Q57" i="105"/>
  <c r="V57" i="105" s="1"/>
  <c r="Q69" i="105"/>
  <c r="V69" i="105" s="1"/>
  <c r="Q81" i="105"/>
  <c r="V81" i="105" s="1"/>
  <c r="Q59" i="105"/>
  <c r="V59" i="105" s="1"/>
  <c r="Q71" i="105"/>
  <c r="V71" i="105" s="1"/>
  <c r="Q83" i="105"/>
  <c r="V83" i="105" s="1"/>
  <c r="Q24" i="105"/>
  <c r="Q48" i="105"/>
  <c r="Q72" i="105"/>
  <c r="V72" i="105" s="1"/>
  <c r="Q25" i="105"/>
  <c r="V25" i="105" s="1"/>
  <c r="Q49" i="105"/>
  <c r="V49" i="105" s="1"/>
  <c r="Q73" i="105"/>
  <c r="V73" i="105" s="1"/>
  <c r="Q26" i="105"/>
  <c r="V26" i="105" s="1"/>
  <c r="Q50" i="105"/>
  <c r="V50" i="105" s="1"/>
  <c r="Q74" i="105"/>
  <c r="V74" i="105" s="1"/>
  <c r="Q15" i="105"/>
  <c r="V15" i="105" s="1"/>
  <c r="Q39" i="105"/>
  <c r="V39" i="105" s="1"/>
  <c r="Q75" i="105"/>
  <c r="Q28" i="105"/>
  <c r="Q52" i="105"/>
  <c r="V52" i="105" s="1"/>
  <c r="Q64" i="105"/>
  <c r="V64" i="105" s="1"/>
  <c r="Q76" i="105"/>
  <c r="V76" i="105" s="1"/>
  <c r="Q29" i="105"/>
  <c r="V29" i="105" s="1"/>
  <c r="Q53" i="105"/>
  <c r="V53" i="105" s="1"/>
  <c r="Q65" i="105"/>
  <c r="V65" i="105" s="1"/>
  <c r="Q18" i="105"/>
  <c r="V18" i="105" s="1"/>
  <c r="Q42" i="105"/>
  <c r="V42" i="105" s="1"/>
  <c r="Q54" i="105"/>
  <c r="V54" i="105" s="1"/>
  <c r="Q78" i="105"/>
  <c r="V78" i="105" s="1"/>
  <c r="Q8" i="105"/>
  <c r="V8" i="105" s="1"/>
  <c r="Q31" i="105"/>
  <c r="V31" i="105" s="1"/>
  <c r="Q55" i="105"/>
  <c r="V55" i="105" s="1"/>
  <c r="Q67" i="105"/>
  <c r="V67" i="105" s="1"/>
  <c r="Q32" i="105"/>
  <c r="V32" i="105" s="1"/>
  <c r="Q68" i="105"/>
  <c r="V68" i="105" s="1"/>
  <c r="Q10" i="105"/>
  <c r="V10" i="105" s="1"/>
  <c r="Q22" i="105"/>
  <c r="V22" i="105" s="1"/>
  <c r="Q34" i="105"/>
  <c r="V34" i="105" s="1"/>
  <c r="Q46" i="105"/>
  <c r="V46" i="105" s="1"/>
  <c r="Q58" i="105"/>
  <c r="V58" i="105" s="1"/>
  <c r="Q70" i="105"/>
  <c r="V70" i="105" s="1"/>
  <c r="V82" i="105"/>
  <c r="V35" i="105"/>
  <c r="V24" i="105"/>
  <c r="V48" i="105"/>
  <c r="AE14" i="112"/>
  <c r="CP14" i="112" s="1"/>
  <c r="Z12" i="112"/>
  <c r="CK12" i="112" s="1"/>
  <c r="AE20" i="112"/>
  <c r="CP20" i="112" s="1"/>
  <c r="AL10" i="112"/>
  <c r="CW10" i="112" s="1"/>
  <c r="W9" i="112"/>
  <c r="CH9" i="112" s="1"/>
  <c r="AF11" i="112"/>
  <c r="CQ11" i="112" s="1"/>
  <c r="AF13" i="112"/>
  <c r="CQ13" i="112" s="1"/>
  <c r="W22" i="112"/>
  <c r="CH22" i="112" s="1"/>
  <c r="AM16" i="112"/>
  <c r="CX16" i="112" s="1"/>
  <c r="AO15" i="112"/>
  <c r="CZ15" i="112" s="1"/>
  <c r="AJ19" i="112"/>
  <c r="CU19" i="112" s="1"/>
  <c r="Z23" i="112"/>
  <c r="CK23" i="112" s="1"/>
  <c r="AL21" i="112"/>
  <c r="CW21" i="112" s="1"/>
  <c r="W8" i="112"/>
  <c r="CH8" i="112" s="1"/>
  <c r="AN17" i="112"/>
  <c r="CY17" i="112" s="1"/>
  <c r="AM24" i="112"/>
  <c r="CX24" i="112" s="1"/>
  <c r="Y8" i="112"/>
  <c r="CJ8" i="112" s="1"/>
  <c r="AK8" i="112"/>
  <c r="CV8" i="112" s="1"/>
  <c r="AG13" i="112"/>
  <c r="CR13" i="112" s="1"/>
  <c r="AI15" i="112"/>
  <c r="CT15" i="112" s="1"/>
  <c r="AD22" i="112"/>
  <c r="CO22" i="112" s="1"/>
  <c r="AB24" i="112"/>
  <c r="CM24" i="112" s="1"/>
  <c r="N23" i="112" a="1"/>
  <c r="N23" i="112" s="1"/>
  <c r="AE24" i="112"/>
  <c r="CP24" i="112" s="1"/>
  <c r="AE8" i="112"/>
  <c r="CP8" i="112" s="1"/>
  <c r="AI20" i="112"/>
  <c r="CT20" i="112" s="1"/>
  <c r="C20" i="109"/>
  <c r="AN22" i="112"/>
  <c r="CY22" i="112" s="1"/>
  <c r="AO24" i="112"/>
  <c r="CZ24" i="112" s="1"/>
  <c r="W20" i="112"/>
  <c r="CH20" i="112" s="1"/>
  <c r="AF20" i="112"/>
  <c r="CQ20" i="112" s="1"/>
  <c r="AJ24" i="112"/>
  <c r="CU24" i="112" s="1"/>
  <c r="AB19" i="112"/>
  <c r="CM19" i="112" s="1"/>
  <c r="Z8" i="112"/>
  <c r="CK8" i="112" s="1"/>
  <c r="AF8" i="112"/>
  <c r="CQ8" i="112" s="1"/>
  <c r="AD10" i="112"/>
  <c r="CO10" i="112" s="1"/>
  <c r="AK10" i="112"/>
  <c r="CV10" i="112" s="1"/>
  <c r="AF17" i="112"/>
  <c r="CQ17" i="112" s="1"/>
  <c r="AM8" i="112"/>
  <c r="CX8" i="112" s="1"/>
  <c r="AG15" i="112"/>
  <c r="CR15" i="112" s="1"/>
  <c r="Z20" i="112"/>
  <c r="CK20" i="112" s="1"/>
  <c r="AG22" i="112"/>
  <c r="CR22" i="112" s="1"/>
  <c r="AA8" i="112"/>
  <c r="CL8" i="112" s="1"/>
  <c r="AP20" i="112"/>
  <c r="DA20" i="112" s="1"/>
  <c r="C16" i="109"/>
  <c r="Z22" i="112"/>
  <c r="CK22" i="112" s="1"/>
  <c r="AF19" i="112"/>
  <c r="CQ19" i="112" s="1"/>
  <c r="AC9" i="112"/>
  <c r="CN9" i="112" s="1"/>
  <c r="AP9" i="112"/>
  <c r="DA9" i="112" s="1"/>
  <c r="AO8" i="112"/>
  <c r="CZ8" i="112" s="1"/>
  <c r="AA10" i="112"/>
  <c r="CL10" i="112" s="1"/>
  <c r="AB20" i="112"/>
  <c r="CM20" i="112" s="1"/>
  <c r="AP15" i="112"/>
  <c r="DA15" i="112" s="1"/>
  <c r="AC22" i="112"/>
  <c r="CN22" i="112" s="1"/>
  <c r="AB22" i="112"/>
  <c r="CM22" i="112" s="1"/>
  <c r="AN8" i="112"/>
  <c r="CY8" i="112" s="1"/>
  <c r="W24" i="112"/>
  <c r="CH24" i="112" s="1"/>
  <c r="AH8" i="112"/>
  <c r="CS8" i="112" s="1"/>
  <c r="AF10" i="112"/>
  <c r="CQ10" i="112" s="1"/>
  <c r="AM10" i="112"/>
  <c r="CX10" i="112" s="1"/>
  <c r="W19" i="112"/>
  <c r="CH19" i="112" s="1"/>
  <c r="AC8" i="112"/>
  <c r="CN8" i="112" s="1"/>
  <c r="AI8" i="112"/>
  <c r="CT8" i="112" s="1"/>
  <c r="AA17" i="112"/>
  <c r="CL17" i="112" s="1"/>
  <c r="AN15" i="112"/>
  <c r="CY15" i="112" s="1"/>
  <c r="AM15" i="112"/>
  <c r="CX15" i="112" s="1"/>
  <c r="AF24" i="112"/>
  <c r="CQ24" i="112" s="1"/>
  <c r="AA22" i="112"/>
  <c r="CL22" i="112" s="1"/>
  <c r="AE21" i="112"/>
  <c r="CP21" i="112" s="1"/>
  <c r="O20" i="112" a="1"/>
  <c r="O20" i="112" s="1"/>
  <c r="P19" i="112"/>
  <c r="C10" i="109"/>
  <c r="C21" i="109"/>
  <c r="AM12" i="112"/>
  <c r="CX12" i="112" s="1"/>
  <c r="AL11" i="112"/>
  <c r="CW11" i="112" s="1"/>
  <c r="AH12" i="112"/>
  <c r="CS12" i="112" s="1"/>
  <c r="AC12" i="112"/>
  <c r="CN12" i="112" s="1"/>
  <c r="AH20" i="112"/>
  <c r="CS20" i="112" s="1"/>
  <c r="AO23" i="112"/>
  <c r="CZ23" i="112" s="1"/>
  <c r="X23" i="112"/>
  <c r="CI23" i="112" s="1"/>
  <c r="Y24" i="112"/>
  <c r="CJ24" i="112" s="1"/>
  <c r="X12" i="112"/>
  <c r="CI12" i="112" s="1"/>
  <c r="AN24" i="112"/>
  <c r="CY24" i="112" s="1"/>
  <c r="AL12" i="112"/>
  <c r="CW12" i="112" s="1"/>
  <c r="AG12" i="112"/>
  <c r="CR12" i="112" s="1"/>
  <c r="AB12" i="112"/>
  <c r="CM12" i="112" s="1"/>
  <c r="Y9" i="112"/>
  <c r="CJ9" i="112" s="1"/>
  <c r="AE23" i="112"/>
  <c r="CP23" i="112" s="1"/>
  <c r="AM22" i="112"/>
  <c r="CX22" i="112" s="1"/>
  <c r="AP12" i="112"/>
  <c r="DA12" i="112" s="1"/>
  <c r="AH9" i="112"/>
  <c r="CS9" i="112" s="1"/>
  <c r="AB8" i="112"/>
  <c r="CM8" i="112" s="1"/>
  <c r="AG8" i="112"/>
  <c r="CR8" i="112" s="1"/>
  <c r="AI11" i="112"/>
  <c r="CT11" i="112" s="1"/>
  <c r="AC13" i="112"/>
  <c r="CN13" i="112" s="1"/>
  <c r="AJ15" i="112"/>
  <c r="CU15" i="112" s="1"/>
  <c r="AO20" i="112"/>
  <c r="CZ20" i="112" s="1"/>
  <c r="AD15" i="112"/>
  <c r="CO15" i="112" s="1"/>
  <c r="AO14" i="112"/>
  <c r="CZ14" i="112" s="1"/>
  <c r="AL23" i="112"/>
  <c r="CW23" i="112" s="1"/>
  <c r="AJ22" i="112"/>
  <c r="CU22" i="112" s="1"/>
  <c r="AB23" i="112"/>
  <c r="CM23" i="112" s="1"/>
  <c r="AK22" i="112"/>
  <c r="CV22" i="112" s="1"/>
  <c r="AC11" i="112"/>
  <c r="CN11" i="112" s="1"/>
  <c r="AK23" i="112"/>
  <c r="CV23" i="112" s="1"/>
  <c r="AN23" i="112"/>
  <c r="CY23" i="112" s="1"/>
  <c r="Z11" i="112"/>
  <c r="CK11" i="112" s="1"/>
  <c r="X11" i="112"/>
  <c r="CI11" i="112" s="1"/>
  <c r="X20" i="112"/>
  <c r="CI20" i="112" s="1"/>
  <c r="AA23" i="112"/>
  <c r="CL23" i="112" s="1"/>
  <c r="AD24" i="112"/>
  <c r="CO24" i="112" s="1"/>
  <c r="AL9" i="112"/>
  <c r="CW9" i="112" s="1"/>
  <c r="W11" i="112"/>
  <c r="CH11" i="112" s="1"/>
  <c r="AO13" i="112"/>
  <c r="CZ13" i="112" s="1"/>
  <c r="AG20" i="112"/>
  <c r="CR20" i="112" s="1"/>
  <c r="Y15" i="112"/>
  <c r="CJ15" i="112" s="1"/>
  <c r="AB15" i="112"/>
  <c r="CM15" i="112" s="1"/>
  <c r="Z24" i="112"/>
  <c r="CK24" i="112" s="1"/>
  <c r="AE22" i="112"/>
  <c r="CP22" i="112" s="1"/>
  <c r="AK12" i="112"/>
  <c r="CV12" i="112" s="1"/>
  <c r="W12" i="112"/>
  <c r="CH12" i="112" s="1"/>
  <c r="AO19" i="112"/>
  <c r="CZ19" i="112" s="1"/>
  <c r="AD9" i="112"/>
  <c r="CO9" i="112" s="1"/>
  <c r="AL8" i="112"/>
  <c r="CW8" i="112" s="1"/>
  <c r="AN11" i="112"/>
  <c r="CY11" i="112" s="1"/>
  <c r="AJ13" i="112"/>
  <c r="CU13" i="112" s="1"/>
  <c r="Y16" i="112"/>
  <c r="CJ16" i="112" s="1"/>
  <c r="AD16" i="112"/>
  <c r="CO16" i="112" s="1"/>
  <c r="AK20" i="112"/>
  <c r="CV20" i="112" s="1"/>
  <c r="AE15" i="112"/>
  <c r="CP15" i="112" s="1"/>
  <c r="X15" i="112"/>
  <c r="CI15" i="112" s="1"/>
  <c r="AB21" i="112"/>
  <c r="CM21" i="112" s="1"/>
  <c r="X24" i="112"/>
  <c r="CI24" i="112" s="1"/>
  <c r="AI24" i="112"/>
  <c r="CT24" i="112" s="1"/>
  <c r="AG24" i="112"/>
  <c r="CR24" i="112" s="1"/>
  <c r="P23" i="112"/>
  <c r="Y11" i="112"/>
  <c r="CJ11" i="112" s="1"/>
  <c r="AO12" i="112"/>
  <c r="CZ12" i="112" s="1"/>
  <c r="AF12" i="112"/>
  <c r="CQ12" i="112" s="1"/>
  <c r="AA12" i="112"/>
  <c r="CL12" i="112" s="1"/>
  <c r="Y23" i="112"/>
  <c r="CJ23" i="112" s="1"/>
  <c r="AK11" i="112"/>
  <c r="CV11" i="112" s="1"/>
  <c r="AD20" i="112"/>
  <c r="CO20" i="112" s="1"/>
  <c r="AN20" i="112"/>
  <c r="CY20" i="112" s="1"/>
  <c r="C24" i="109"/>
  <c r="AL24" i="112"/>
  <c r="CW24" i="112" s="1"/>
  <c r="AG23" i="112"/>
  <c r="CR23" i="112" s="1"/>
  <c r="AJ12" i="112"/>
  <c r="CU12" i="112" s="1"/>
  <c r="AE12" i="112"/>
  <c r="CP12" i="112" s="1"/>
  <c r="AE9" i="112"/>
  <c r="CP9" i="112" s="1"/>
  <c r="AO11" i="112"/>
  <c r="CZ11" i="112" s="1"/>
  <c r="Y20" i="112"/>
  <c r="CJ20" i="112" s="1"/>
  <c r="C25" i="109"/>
  <c r="AP24" i="112"/>
  <c r="DA24" i="112" s="1"/>
  <c r="AL22" i="112"/>
  <c r="CW22" i="112" s="1"/>
  <c r="P24" i="112"/>
  <c r="AN12" i="112"/>
  <c r="CY12" i="112" s="1"/>
  <c r="AA9" i="112"/>
  <c r="CL9" i="112" s="1"/>
  <c r="AN9" i="112"/>
  <c r="CY9" i="112" s="1"/>
  <c r="AD8" i="112"/>
  <c r="CO8" i="112" s="1"/>
  <c r="Y13" i="112"/>
  <c r="CJ13" i="112" s="1"/>
  <c r="W15" i="112"/>
  <c r="CH15" i="112" s="1"/>
  <c r="AC20" i="112"/>
  <c r="CN20" i="112" s="1"/>
  <c r="C17" i="109"/>
  <c r="AP23" i="112"/>
  <c r="DA23" i="112" s="1"/>
  <c r="AK24" i="112"/>
  <c r="CV24" i="112" s="1"/>
  <c r="AC24" i="112"/>
  <c r="CN24" i="112" s="1"/>
  <c r="AI22" i="112"/>
  <c r="CT22" i="112" s="1"/>
  <c r="AH22" i="112"/>
  <c r="CS22" i="112" s="1"/>
  <c r="AH24" i="112"/>
  <c r="CS24" i="112" s="1"/>
  <c r="AJ23" i="112"/>
  <c r="CU23" i="112" s="1"/>
  <c r="O24" i="112" a="1"/>
  <c r="O24" i="112" s="1"/>
  <c r="P17" i="112"/>
  <c r="C15" i="109"/>
  <c r="C18" i="109"/>
  <c r="W17" i="112"/>
  <c r="CH17" i="112" s="1"/>
  <c r="Y19" i="112"/>
  <c r="CJ19" i="112" s="1"/>
  <c r="AL19" i="112"/>
  <c r="CW19" i="112" s="1"/>
  <c r="X14" i="112"/>
  <c r="CI14" i="112" s="1"/>
  <c r="AH19" i="112"/>
  <c r="CS19" i="112" s="1"/>
  <c r="W10" i="112"/>
  <c r="CH10" i="112" s="1"/>
  <c r="AJ10" i="112"/>
  <c r="CU10" i="112" s="1"/>
  <c r="X17" i="112"/>
  <c r="CI17" i="112" s="1"/>
  <c r="AD17" i="112"/>
  <c r="CO17" i="112" s="1"/>
  <c r="AI17" i="112"/>
  <c r="CT17" i="112" s="1"/>
  <c r="C19" i="109"/>
  <c r="AO17" i="112"/>
  <c r="CZ17" i="112" s="1"/>
  <c r="AK17" i="112"/>
  <c r="CV17" i="112" s="1"/>
  <c r="AG17" i="112"/>
  <c r="CR17" i="112" s="1"/>
  <c r="AC17" i="112"/>
  <c r="CN17" i="112" s="1"/>
  <c r="Y17" i="112"/>
  <c r="CJ17" i="112" s="1"/>
  <c r="X19" i="112"/>
  <c r="CI19" i="112" s="1"/>
  <c r="AK19" i="112"/>
  <c r="CV19" i="112" s="1"/>
  <c r="AJ14" i="112"/>
  <c r="CU14" i="112" s="1"/>
  <c r="AP14" i="112"/>
  <c r="DA14" i="112" s="1"/>
  <c r="Z14" i="112"/>
  <c r="CK14" i="112" s="1"/>
  <c r="W14" i="112"/>
  <c r="CH14" i="112" s="1"/>
  <c r="AG19" i="112"/>
  <c r="CR19" i="112" s="1"/>
  <c r="AB17" i="112"/>
  <c r="CM17" i="112" s="1"/>
  <c r="AH17" i="112"/>
  <c r="CS17" i="112" s="1"/>
  <c r="AM17" i="112"/>
  <c r="CX17" i="112" s="1"/>
  <c r="AA14" i="112"/>
  <c r="CL14" i="112" s="1"/>
  <c r="AC19" i="112"/>
  <c r="CN19" i="112" s="1"/>
  <c r="AP19" i="112"/>
  <c r="DA19" i="112" s="1"/>
  <c r="N12" i="112" a="1"/>
  <c r="N12" i="112" s="1"/>
  <c r="P12" i="112"/>
  <c r="O12" i="112" a="1"/>
  <c r="O12" i="112" s="1"/>
  <c r="AD19" i="112"/>
  <c r="CO19" i="112" s="1"/>
  <c r="AL14" i="112"/>
  <c r="CW14" i="112" s="1"/>
  <c r="AG14" i="112"/>
  <c r="CR14" i="112" s="1"/>
  <c r="Z19" i="112"/>
  <c r="CK19" i="112" s="1"/>
  <c r="AM19" i="112"/>
  <c r="CX19" i="112" s="1"/>
  <c r="AH14" i="112"/>
  <c r="CS14" i="112" s="1"/>
  <c r="AI19" i="112"/>
  <c r="CT19" i="112" s="1"/>
  <c r="X10" i="112"/>
  <c r="CI10" i="112" s="1"/>
  <c r="AG10" i="112"/>
  <c r="CR10" i="112" s="1"/>
  <c r="Z17" i="112"/>
  <c r="CK17" i="112" s="1"/>
  <c r="AE17" i="112"/>
  <c r="CP17" i="112" s="1"/>
  <c r="AJ17" i="112"/>
  <c r="CU17" i="112" s="1"/>
  <c r="AP17" i="112"/>
  <c r="DA17" i="112" s="1"/>
  <c r="Y14" i="112"/>
  <c r="CJ14" i="112" s="1"/>
  <c r="AB14" i="112"/>
  <c r="CM14" i="112" s="1"/>
  <c r="AP11" i="112"/>
  <c r="DA11" i="112" s="1"/>
  <c r="AG11" i="112"/>
  <c r="CR11" i="112" s="1"/>
  <c r="AH11" i="112"/>
  <c r="CS11" i="112" s="1"/>
  <c r="AM11" i="112"/>
  <c r="CX11" i="112" s="1"/>
  <c r="AE19" i="112"/>
  <c r="CP19" i="112" s="1"/>
  <c r="AN19" i="112"/>
  <c r="CY19" i="112" s="1"/>
  <c r="AC10" i="112"/>
  <c r="CN10" i="112" s="1"/>
  <c r="AP10" i="112"/>
  <c r="DA10" i="112" s="1"/>
  <c r="AD14" i="112"/>
  <c r="CO14" i="112" s="1"/>
  <c r="AK14" i="112"/>
  <c r="CV14" i="112" s="1"/>
  <c r="AA19" i="112"/>
  <c r="CL19" i="112" s="1"/>
  <c r="Y10" i="112"/>
  <c r="CJ10" i="112" s="1"/>
  <c r="AB11" i="112"/>
  <c r="CM11" i="112" s="1"/>
  <c r="AJ11" i="112"/>
  <c r="CU11" i="112" s="1"/>
  <c r="AD11" i="112"/>
  <c r="CO11" i="112" s="1"/>
  <c r="AM14" i="112"/>
  <c r="CX14" i="112" s="1"/>
  <c r="AF14" i="112"/>
  <c r="CQ14" i="112" s="1"/>
  <c r="AM13" i="112"/>
  <c r="CX13" i="112" s="1"/>
  <c r="AI13" i="112"/>
  <c r="CT13" i="112" s="1"/>
  <c r="AE13" i="112"/>
  <c r="CP13" i="112" s="1"/>
  <c r="AA13" i="112"/>
  <c r="CL13" i="112" s="1"/>
  <c r="W13" i="112"/>
  <c r="CH13" i="112" s="1"/>
  <c r="AP13" i="112"/>
  <c r="DA13" i="112" s="1"/>
  <c r="AL13" i="112"/>
  <c r="CW13" i="112" s="1"/>
  <c r="AH13" i="112"/>
  <c r="CS13" i="112" s="1"/>
  <c r="AD13" i="112"/>
  <c r="CO13" i="112" s="1"/>
  <c r="Z13" i="112"/>
  <c r="CK13" i="112" s="1"/>
  <c r="X21" i="112"/>
  <c r="CI21" i="112" s="1"/>
  <c r="AM21" i="112"/>
  <c r="CX21" i="112" s="1"/>
  <c r="AP21" i="112"/>
  <c r="DA21" i="112" s="1"/>
  <c r="AG21" i="112"/>
  <c r="CR21" i="112" s="1"/>
  <c r="AC21" i="112"/>
  <c r="CN21" i="112" s="1"/>
  <c r="AK21" i="112"/>
  <c r="CV21" i="112" s="1"/>
  <c r="AA21" i="112"/>
  <c r="CL21" i="112" s="1"/>
  <c r="AI23" i="112"/>
  <c r="CT23" i="112" s="1"/>
  <c r="AF23" i="112"/>
  <c r="CQ23" i="112" s="1"/>
  <c r="AH23" i="112"/>
  <c r="CS23" i="112" s="1"/>
  <c r="Y21" i="112"/>
  <c r="CJ21" i="112" s="1"/>
  <c r="AC23" i="112"/>
  <c r="CN23" i="112" s="1"/>
  <c r="W23" i="112"/>
  <c r="CH23" i="112" s="1"/>
  <c r="AP22" i="112"/>
  <c r="DA22" i="112" s="1"/>
  <c r="P11" i="112"/>
  <c r="N19" i="112" a="1"/>
  <c r="N19" i="112" s="1"/>
  <c r="AH21" i="112"/>
  <c r="CS21" i="112" s="1"/>
  <c r="AD23" i="112"/>
  <c r="CO23" i="112" s="1"/>
  <c r="AM23" i="112"/>
  <c r="CX23" i="112" s="1"/>
  <c r="AN21" i="112"/>
  <c r="CY21" i="112" s="1"/>
  <c r="AD21" i="112"/>
  <c r="CO21" i="112" s="1"/>
  <c r="O16" i="105" a="1"/>
  <c r="O16" i="105" s="1"/>
  <c r="O83" i="105" a="1"/>
  <c r="O83" i="105" s="1"/>
  <c r="O79" i="105" a="1"/>
  <c r="O79" i="105" s="1"/>
  <c r="O6" i="109"/>
  <c r="O86" i="105" a="1"/>
  <c r="O86" i="105" s="1"/>
  <c r="O78" i="105" a="1"/>
  <c r="O78" i="105" s="1"/>
  <c r="O54" i="105" a="1"/>
  <c r="O54" i="105" s="1"/>
  <c r="O42" i="105" a="1"/>
  <c r="O42" i="105" s="1"/>
  <c r="V28" i="105"/>
  <c r="N11" i="112" a="1"/>
  <c r="N11" i="112" s="1"/>
  <c r="O81" i="105" a="1"/>
  <c r="O81" i="105" s="1"/>
  <c r="O17" i="105" a="1"/>
  <c r="O17" i="105" s="1"/>
  <c r="P7" i="109"/>
  <c r="P14" i="112"/>
  <c r="O85" i="105" a="1"/>
  <c r="O85" i="105" s="1"/>
  <c r="O37" i="105" a="1"/>
  <c r="O37" i="105" s="1"/>
  <c r="N7" i="109"/>
  <c r="Q7" i="109"/>
  <c r="O44" i="105" a="1"/>
  <c r="O44" i="105" s="1"/>
  <c r="V21" i="105"/>
  <c r="M7" i="109"/>
  <c r="O69" i="105" a="1"/>
  <c r="O69" i="105" s="1"/>
  <c r="O9" i="105" a="1"/>
  <c r="O9" i="105" s="1"/>
  <c r="O7" i="109"/>
  <c r="M6" i="109"/>
  <c r="Q6" i="109"/>
  <c r="O77" i="105" a="1"/>
  <c r="O77" i="105" s="1"/>
  <c r="O33" i="105" a="1"/>
  <c r="O33" i="105" s="1"/>
  <c r="N6" i="109"/>
  <c r="O8" i="105" a="1"/>
  <c r="O8" i="105" s="1"/>
  <c r="O35" i="105" a="1"/>
  <c r="O35" i="105" s="1"/>
  <c r="O31" i="105" a="1"/>
  <c r="O31" i="105" s="1"/>
  <c r="V11" i="105"/>
  <c r="V23" i="105"/>
  <c r="V47" i="105"/>
  <c r="O17" i="112" a="1"/>
  <c r="O17" i="112" s="1"/>
  <c r="K6" i="62"/>
  <c r="L6" i="62" s="1"/>
  <c r="M6" i="62" s="1"/>
  <c r="P18" i="112"/>
  <c r="O18" i="112" a="1"/>
  <c r="O18" i="112" s="1"/>
  <c r="N18" i="112" a="1"/>
  <c r="N18" i="112" s="1"/>
  <c r="O13" i="112" a="1"/>
  <c r="O13" i="112" s="1"/>
  <c r="P13" i="112"/>
  <c r="N13" i="112" a="1"/>
  <c r="N13" i="112" s="1"/>
  <c r="O75" i="105" a="1"/>
  <c r="O75" i="105" s="1"/>
  <c r="O71" i="105" a="1"/>
  <c r="O71" i="105" s="1"/>
  <c r="O47" i="105" a="1"/>
  <c r="O47" i="105" s="1"/>
  <c r="O23" i="105" a="1"/>
  <c r="O23" i="105" s="1"/>
  <c r="O15" i="105" a="1"/>
  <c r="O15" i="105" s="1"/>
  <c r="O9" i="112" a="1"/>
  <c r="O9" i="112" s="1"/>
  <c r="P9" i="112"/>
  <c r="O25" i="105" a="1"/>
  <c r="O25" i="105" s="1"/>
  <c r="O13" i="105" a="1"/>
  <c r="O13" i="105" s="1"/>
  <c r="N10" i="112" a="1"/>
  <c r="N10" i="112" s="1"/>
  <c r="P10" i="112"/>
  <c r="L13" i="62"/>
  <c r="J13" i="62"/>
  <c r="N13" i="62"/>
  <c r="K13" i="62"/>
  <c r="I13" i="62"/>
  <c r="I15" i="62" s="1"/>
  <c r="P16" i="112"/>
  <c r="N16" i="112" a="1"/>
  <c r="N16" i="112" s="1"/>
  <c r="P15" i="112"/>
  <c r="O67" i="105" a="1"/>
  <c r="O67" i="105" s="1"/>
  <c r="O59" i="105" a="1"/>
  <c r="O59" i="105" s="1"/>
  <c r="O55" i="105" a="1"/>
  <c r="O55" i="105" s="1"/>
  <c r="O51" i="105" a="1"/>
  <c r="O51" i="105" s="1"/>
  <c r="O43" i="105" a="1"/>
  <c r="O43" i="105" s="1"/>
  <c r="O39" i="105" a="1"/>
  <c r="O39" i="105" s="1"/>
  <c r="O27" i="105" a="1"/>
  <c r="O27" i="105" s="1"/>
  <c r="O19" i="105" a="1"/>
  <c r="O19" i="105" s="1"/>
  <c r="O11" i="105" a="1"/>
  <c r="O11" i="105" s="1"/>
  <c r="O15" i="112" a="1"/>
  <c r="O15" i="112" s="1"/>
  <c r="O21" i="112" a="1"/>
  <c r="O21" i="112" s="1"/>
  <c r="P21" i="112"/>
  <c r="C16" i="62"/>
  <c r="C22" i="62"/>
  <c r="V75" i="105"/>
  <c r="N22" i="112" a="1"/>
  <c r="N22" i="112" s="1"/>
  <c r="P22" i="112"/>
  <c r="O74" i="105" a="1"/>
  <c r="O74" i="105" s="1"/>
  <c r="O66" i="105" a="1"/>
  <c r="O66" i="105" s="1"/>
  <c r="O62" i="105" a="1"/>
  <c r="O62" i="105" s="1"/>
  <c r="O50" i="105" a="1"/>
  <c r="O50" i="105" s="1"/>
  <c r="O46" i="105" a="1"/>
  <c r="O46" i="105" s="1"/>
  <c r="O26" i="105" a="1"/>
  <c r="O26" i="105" s="1"/>
  <c r="O18" i="105" a="1"/>
  <c r="O18" i="105" s="1"/>
  <c r="O14" i="105" a="1"/>
  <c r="O14" i="105" s="1"/>
  <c r="O10" i="105" a="1"/>
  <c r="O10" i="105" s="1"/>
  <c r="O73" i="105" a="1"/>
  <c r="O73" i="105" s="1"/>
  <c r="O65" i="105" a="1"/>
  <c r="O65" i="105" s="1"/>
  <c r="O61" i="105" a="1"/>
  <c r="O61" i="105" s="1"/>
  <c r="O45" i="105" a="1"/>
  <c r="O45" i="105" s="1"/>
  <c r="O21" i="105" a="1"/>
  <c r="O21" i="105" s="1"/>
  <c r="P8" i="112"/>
  <c r="O8" i="112" a="1"/>
  <c r="O8" i="112" s="1"/>
  <c r="P20" i="112"/>
  <c r="O13" i="62" l="1"/>
  <c r="M13" i="62"/>
  <c r="Q13" i="62"/>
  <c r="P13" i="62"/>
  <c r="R13" i="62"/>
  <c r="J15" i="62"/>
  <c r="K15" i="62" s="1"/>
  <c r="L15" i="62" s="1"/>
  <c r="M15" i="62" l="1"/>
  <c r="G80" i="43" s="1"/>
  <c r="G22" i="62" l="1"/>
  <c r="D22" i="62"/>
  <c r="D16" i="62"/>
  <c r="G81" i="43"/>
  <c r="N15" i="62"/>
  <c r="O15" i="62" s="1"/>
  <c r="P15" i="62" s="1"/>
  <c r="D21" i="62"/>
  <c r="D23" i="62" l="1"/>
  <c r="Q15" i="62"/>
  <c r="R15" i="62" s="1"/>
  <c r="D17" i="62" s="1"/>
  <c r="D19" i="62" s="1"/>
  <c r="G21" i="62"/>
  <c r="G23" i="62" s="1"/>
  <c r="G39" i="43" s="1"/>
  <c r="S16" i="112"/>
  <c r="S23" i="112"/>
  <c r="S9" i="112"/>
  <c r="S8" i="112"/>
  <c r="S10" i="112"/>
  <c r="S17" i="112"/>
  <c r="S22" i="112"/>
  <c r="S18" i="112"/>
  <c r="S15" i="112"/>
  <c r="U17" i="112"/>
  <c r="S20" i="112"/>
  <c r="S24" i="112"/>
  <c r="S14" i="112"/>
  <c r="S19" i="112"/>
  <c r="S13" i="112"/>
  <c r="S21" i="112"/>
  <c r="S11" i="112"/>
  <c r="T17" i="112"/>
  <c r="T11" i="112"/>
  <c r="U12" i="112"/>
  <c r="T24" i="112"/>
  <c r="U14" i="112"/>
  <c r="U24" i="112"/>
  <c r="U8" i="112"/>
  <c r="T19" i="112"/>
  <c r="U15" i="112"/>
  <c r="T9" i="112"/>
  <c r="T14" i="112"/>
  <c r="U11" i="112"/>
  <c r="T23" i="112"/>
  <c r="U23" i="112"/>
  <c r="U19" i="112"/>
  <c r="T15" i="112"/>
  <c r="U21" i="112"/>
  <c r="T12" i="112"/>
  <c r="T20" i="112"/>
  <c r="U20" i="112"/>
  <c r="T22" i="112"/>
  <c r="T8" i="112"/>
  <c r="T16" i="112"/>
  <c r="T21" i="112"/>
  <c r="U16" i="112"/>
  <c r="U9" i="112"/>
  <c r="U13" i="112"/>
  <c r="T10" i="112"/>
  <c r="T13" i="112"/>
  <c r="U22" i="112"/>
  <c r="U10" i="112"/>
  <c r="U18" i="112"/>
  <c r="T18" i="112"/>
  <c r="BX18" i="112" l="1"/>
  <c r="BV18" i="112"/>
  <c r="BY18" i="112"/>
  <c r="BT18" i="112"/>
  <c r="BS18" i="112"/>
  <c r="BP18" i="112"/>
  <c r="BU18" i="112"/>
  <c r="BN18" i="112"/>
  <c r="CD18" i="112"/>
  <c r="CF18" i="112"/>
  <c r="BW18" i="112"/>
  <c r="BZ18" i="112"/>
  <c r="CB18" i="112"/>
  <c r="BR18" i="112"/>
  <c r="BQ18" i="112"/>
  <c r="CE18" i="112"/>
  <c r="BO18" i="112"/>
  <c r="CC18" i="112"/>
  <c r="BM18" i="112"/>
  <c r="CA18" i="112"/>
  <c r="AS19" i="112"/>
  <c r="BA19" i="112"/>
  <c r="BD19" i="112"/>
  <c r="AY19" i="112"/>
  <c r="AX19" i="112"/>
  <c r="BH19" i="112"/>
  <c r="BC19" i="112"/>
  <c r="BJ19" i="112"/>
  <c r="AW19" i="112"/>
  <c r="BK19" i="112"/>
  <c r="AV19" i="112"/>
  <c r="BE19" i="112"/>
  <c r="AU19" i="112"/>
  <c r="AR19" i="112"/>
  <c r="BI19" i="112"/>
  <c r="AZ19" i="112"/>
  <c r="BG19" i="112"/>
  <c r="BF19" i="112"/>
  <c r="AT19" i="112"/>
  <c r="BB19" i="112"/>
  <c r="AW14" i="112"/>
  <c r="BK14" i="112"/>
  <c r="AZ14" i="112"/>
  <c r="BG14" i="112"/>
  <c r="BE14" i="112"/>
  <c r="BB14" i="112"/>
  <c r="AY14" i="112"/>
  <c r="AU14" i="112"/>
  <c r="AT14" i="112"/>
  <c r="BJ14" i="112"/>
  <c r="BF14" i="112"/>
  <c r="BH14" i="112"/>
  <c r="BC14" i="112"/>
  <c r="AS14" i="112"/>
  <c r="AX14" i="112"/>
  <c r="AV14" i="112"/>
  <c r="AR14" i="112"/>
  <c r="BI14" i="112"/>
  <c r="BA14" i="112"/>
  <c r="BD14" i="112"/>
  <c r="BP20" i="112"/>
  <c r="BM20" i="112"/>
  <c r="BU20" i="112"/>
  <c r="CF20" i="112"/>
  <c r="BX20" i="112"/>
  <c r="BQ20" i="112"/>
  <c r="CC20" i="112"/>
  <c r="BO20" i="112"/>
  <c r="BV20" i="112"/>
  <c r="BR20" i="112"/>
  <c r="BN20" i="112"/>
  <c r="CE20" i="112"/>
  <c r="BZ20" i="112"/>
  <c r="BT20" i="112"/>
  <c r="CD20" i="112"/>
  <c r="CB20" i="112"/>
  <c r="CA20" i="112"/>
  <c r="BY20" i="112"/>
  <c r="BS20" i="112"/>
  <c r="BW20" i="112"/>
  <c r="BP15" i="112"/>
  <c r="BO15" i="112"/>
  <c r="BW15" i="112"/>
  <c r="BN15" i="112"/>
  <c r="BR15" i="112"/>
  <c r="BU15" i="112"/>
  <c r="BX15" i="112"/>
  <c r="CD15" i="112"/>
  <c r="CA15" i="112"/>
  <c r="BZ15" i="112"/>
  <c r="CE15" i="112"/>
  <c r="CB15" i="112"/>
  <c r="BQ15" i="112"/>
  <c r="CC15" i="112"/>
  <c r="BS15" i="112"/>
  <c r="BV15" i="112"/>
  <c r="BM15" i="112"/>
  <c r="CF15" i="112"/>
  <c r="BY15" i="112"/>
  <c r="BT15" i="112"/>
  <c r="BH18" i="112"/>
  <c r="AV18" i="112"/>
  <c r="BF18" i="112"/>
  <c r="BB18" i="112"/>
  <c r="BE18" i="112"/>
  <c r="BJ18" i="112"/>
  <c r="BI18" i="112"/>
  <c r="BD18" i="112"/>
  <c r="AY18" i="112"/>
  <c r="BA18" i="112"/>
  <c r="DL18" i="112" s="1"/>
  <c r="AT18" i="112"/>
  <c r="BG18" i="112"/>
  <c r="AS18" i="112"/>
  <c r="AZ18" i="112"/>
  <c r="BK18" i="112"/>
  <c r="AW18" i="112"/>
  <c r="BC18" i="112"/>
  <c r="AU18" i="112"/>
  <c r="AR18" i="112"/>
  <c r="AX18" i="112"/>
  <c r="BT23" i="112"/>
  <c r="BP23" i="112"/>
  <c r="BX23" i="112"/>
  <c r="CC23" i="112"/>
  <c r="BU23" i="112"/>
  <c r="CF23" i="112"/>
  <c r="BR23" i="112"/>
  <c r="CA23" i="112"/>
  <c r="CB23" i="112"/>
  <c r="BW23" i="112"/>
  <c r="BN23" i="112"/>
  <c r="BM23" i="112"/>
  <c r="BY23" i="112"/>
  <c r="BO23" i="112"/>
  <c r="BS23" i="112"/>
  <c r="BV23" i="112"/>
  <c r="CE23" i="112"/>
  <c r="BZ23" i="112"/>
  <c r="BQ23" i="112"/>
  <c r="CD23" i="112"/>
  <c r="CB21" i="112"/>
  <c r="CC21" i="112"/>
  <c r="BU21" i="112"/>
  <c r="BQ21" i="112"/>
  <c r="CD21" i="112"/>
  <c r="BS21" i="112"/>
  <c r="BP21" i="112"/>
  <c r="BM21" i="112"/>
  <c r="BY21" i="112"/>
  <c r="BT21" i="112"/>
  <c r="CF21" i="112"/>
  <c r="BO21" i="112"/>
  <c r="CE21" i="112"/>
  <c r="BN21" i="112"/>
  <c r="BV21" i="112"/>
  <c r="BX21" i="112"/>
  <c r="BR21" i="112"/>
  <c r="CA21" i="112"/>
  <c r="BW21" i="112"/>
  <c r="BZ21" i="112"/>
  <c r="AX11" i="112"/>
  <c r="AR11" i="112"/>
  <c r="BE11" i="112"/>
  <c r="BH11" i="112"/>
  <c r="AU11" i="112"/>
  <c r="BB11" i="112"/>
  <c r="BG11" i="112"/>
  <c r="BK11" i="112"/>
  <c r="AY11" i="112"/>
  <c r="AT11" i="112"/>
  <c r="BI11" i="112"/>
  <c r="AW11" i="112"/>
  <c r="BJ11" i="112"/>
  <c r="BA11" i="112"/>
  <c r="BC11" i="112"/>
  <c r="AS11" i="112"/>
  <c r="BF11" i="112"/>
  <c r="AZ11" i="112"/>
  <c r="AV11" i="112"/>
  <c r="BD11" i="112"/>
  <c r="CB16" i="112"/>
  <c r="CF16" i="112"/>
  <c r="CD16" i="112"/>
  <c r="BQ16" i="112"/>
  <c r="BN16" i="112"/>
  <c r="BS16" i="112"/>
  <c r="BV16" i="112"/>
  <c r="BR16" i="112"/>
  <c r="BT16" i="112"/>
  <c r="BP16" i="112"/>
  <c r="BU16" i="112"/>
  <c r="BW16" i="112"/>
  <c r="CE16" i="112"/>
  <c r="BO16" i="112"/>
  <c r="BX16" i="112"/>
  <c r="BY16" i="112"/>
  <c r="BM16" i="112"/>
  <c r="BZ16" i="112"/>
  <c r="CC16" i="112"/>
  <c r="CA16" i="112"/>
  <c r="BU14" i="112"/>
  <c r="CD14" i="112"/>
  <c r="BO14" i="112"/>
  <c r="BZ14" i="112"/>
  <c r="BN14" i="112"/>
  <c r="BW14" i="112"/>
  <c r="BR14" i="112"/>
  <c r="BX14" i="112"/>
  <c r="BM14" i="112"/>
  <c r="BY14" i="112"/>
  <c r="CC14" i="112"/>
  <c r="BP14" i="112"/>
  <c r="BV14" i="112"/>
  <c r="CB14" i="112"/>
  <c r="BQ14" i="112"/>
  <c r="CF14" i="112"/>
  <c r="BS14" i="112"/>
  <c r="CA14" i="112"/>
  <c r="CE14" i="112"/>
  <c r="BT14" i="112"/>
  <c r="BI21" i="112"/>
  <c r="BG21" i="112"/>
  <c r="BA21" i="112"/>
  <c r="BB21" i="112"/>
  <c r="AX21" i="112"/>
  <c r="BE21" i="112"/>
  <c r="AS21" i="112"/>
  <c r="AZ21" i="112"/>
  <c r="AR21" i="112"/>
  <c r="AU21" i="112"/>
  <c r="AT21" i="112"/>
  <c r="BF21" i="112"/>
  <c r="BC21" i="112"/>
  <c r="BD21" i="112"/>
  <c r="BJ21" i="112"/>
  <c r="BK21" i="112"/>
  <c r="DV21" i="112" s="1"/>
  <c r="BH21" i="112"/>
  <c r="AY21" i="112"/>
  <c r="AV21" i="112"/>
  <c r="AW21" i="112"/>
  <c r="DH21" i="112" s="1"/>
  <c r="BI10" i="112"/>
  <c r="AX10" i="112"/>
  <c r="AW10" i="112"/>
  <c r="BC10" i="112"/>
  <c r="AZ10" i="112"/>
  <c r="BG10" i="112"/>
  <c r="AV10" i="112"/>
  <c r="BA10" i="112"/>
  <c r="BH10" i="112"/>
  <c r="BJ10" i="112"/>
  <c r="BD10" i="112"/>
  <c r="AR10" i="112"/>
  <c r="BF10" i="112"/>
  <c r="AT10" i="112"/>
  <c r="BB10" i="112"/>
  <c r="AS10" i="112"/>
  <c r="AU10" i="112"/>
  <c r="BE10" i="112"/>
  <c r="AY10" i="112"/>
  <c r="BK10" i="112"/>
  <c r="BD23" i="112"/>
  <c r="AY23" i="112"/>
  <c r="BJ23" i="112"/>
  <c r="AR23" i="112"/>
  <c r="DC23" i="112" s="1"/>
  <c r="BH23" i="112"/>
  <c r="BI23" i="112"/>
  <c r="AZ23" i="112"/>
  <c r="AS23" i="112"/>
  <c r="BE23" i="112"/>
  <c r="BC23" i="112"/>
  <c r="BB23" i="112"/>
  <c r="AV23" i="112"/>
  <c r="DG23" i="112" s="1"/>
  <c r="AT23" i="112"/>
  <c r="AX23" i="112"/>
  <c r="BG23" i="112"/>
  <c r="BF23" i="112"/>
  <c r="BA23" i="112"/>
  <c r="BK23" i="112"/>
  <c r="AW23" i="112"/>
  <c r="AU23" i="112"/>
  <c r="BP10" i="112"/>
  <c r="BS10" i="112"/>
  <c r="BW10" i="112"/>
  <c r="CA10" i="112"/>
  <c r="BV10" i="112"/>
  <c r="BN10" i="112"/>
  <c r="BM10" i="112"/>
  <c r="BO10" i="112"/>
  <c r="BQ10" i="112"/>
  <c r="CD10" i="112"/>
  <c r="BZ10" i="112"/>
  <c r="BY10" i="112"/>
  <c r="BT10" i="112"/>
  <c r="CB10" i="112"/>
  <c r="BU10" i="112"/>
  <c r="CE10" i="112"/>
  <c r="BX10" i="112"/>
  <c r="CF10" i="112"/>
  <c r="BR10" i="112"/>
  <c r="CC10" i="112"/>
  <c r="BY24" i="112"/>
  <c r="BV24" i="112"/>
  <c r="BS24" i="112"/>
  <c r="BQ24" i="112"/>
  <c r="BP24" i="112"/>
  <c r="BO24" i="112"/>
  <c r="CF24" i="112"/>
  <c r="BW24" i="112"/>
  <c r="CA24" i="112"/>
  <c r="BR24" i="112"/>
  <c r="CE24" i="112"/>
  <c r="BM24" i="112"/>
  <c r="CB24" i="112"/>
  <c r="BN24" i="112"/>
  <c r="BU24" i="112"/>
  <c r="CC24" i="112"/>
  <c r="BX24" i="112"/>
  <c r="BZ24" i="112"/>
  <c r="BT24" i="112"/>
  <c r="CD24" i="112"/>
  <c r="BH12" i="112"/>
  <c r="BA12" i="112"/>
  <c r="AU12" i="112"/>
  <c r="BD12" i="112"/>
  <c r="AT12" i="112"/>
  <c r="BJ12" i="112"/>
  <c r="AZ12" i="112"/>
  <c r="BI12" i="112"/>
  <c r="BC12" i="112"/>
  <c r="AW12" i="112"/>
  <c r="BE12" i="112"/>
  <c r="AS12" i="112"/>
  <c r="AX12" i="112"/>
  <c r="DI12" i="112" s="1"/>
  <c r="AR12" i="112"/>
  <c r="BF12" i="112"/>
  <c r="AV12" i="112"/>
  <c r="BG12" i="112"/>
  <c r="BK12" i="112"/>
  <c r="BB12" i="112"/>
  <c r="AY12" i="112"/>
  <c r="AS15" i="112"/>
  <c r="BB15" i="112"/>
  <c r="BF15" i="112"/>
  <c r="AX15" i="112"/>
  <c r="BK15" i="112"/>
  <c r="DV15" i="112" s="1"/>
  <c r="BJ15" i="112"/>
  <c r="BC15" i="112"/>
  <c r="BD15" i="112"/>
  <c r="AY15" i="112"/>
  <c r="BH15" i="112"/>
  <c r="AR15" i="112"/>
  <c r="AW15" i="112"/>
  <c r="AV15" i="112"/>
  <c r="AZ15" i="112"/>
  <c r="AT15" i="112"/>
  <c r="BA15" i="112"/>
  <c r="AU15" i="112"/>
  <c r="DF15" i="112" s="1"/>
  <c r="BE15" i="112"/>
  <c r="BI15" i="112"/>
  <c r="BG15" i="112"/>
  <c r="BT11" i="112"/>
  <c r="BS11" i="112"/>
  <c r="CD11" i="112"/>
  <c r="BY11" i="112"/>
  <c r="BZ11" i="112"/>
  <c r="BX11" i="112"/>
  <c r="BN11" i="112"/>
  <c r="BV11" i="112"/>
  <c r="BO11" i="112"/>
  <c r="CB11" i="112"/>
  <c r="BR11" i="112"/>
  <c r="BU11" i="112"/>
  <c r="BM11" i="112"/>
  <c r="BP11" i="112"/>
  <c r="CA11" i="112"/>
  <c r="BW11" i="112"/>
  <c r="CC11" i="112"/>
  <c r="CF11" i="112"/>
  <c r="BQ11" i="112"/>
  <c r="CE11" i="112"/>
  <c r="BW17" i="112"/>
  <c r="BZ17" i="112"/>
  <c r="BX17" i="112"/>
  <c r="BQ17" i="112"/>
  <c r="CA17" i="112"/>
  <c r="BM17" i="112"/>
  <c r="CD17" i="112"/>
  <c r="BS17" i="112"/>
  <c r="BV17" i="112"/>
  <c r="BN17" i="112"/>
  <c r="CB17" i="112"/>
  <c r="BP17" i="112"/>
  <c r="CF17" i="112"/>
  <c r="BO17" i="112"/>
  <c r="CC17" i="112"/>
  <c r="BR17" i="112"/>
  <c r="BU17" i="112"/>
  <c r="BT17" i="112"/>
  <c r="BY17" i="112"/>
  <c r="CE17" i="112"/>
  <c r="AR22" i="112"/>
  <c r="AY22" i="112"/>
  <c r="AS22" i="112"/>
  <c r="BE22" i="112"/>
  <c r="BF22" i="112"/>
  <c r="DQ22" i="112" s="1"/>
  <c r="BG22" i="112"/>
  <c r="BA22" i="112"/>
  <c r="AT22" i="112"/>
  <c r="BI22" i="112"/>
  <c r="AZ22" i="112"/>
  <c r="AW22" i="112"/>
  <c r="AV22" i="112"/>
  <c r="AU22" i="112"/>
  <c r="BJ22" i="112"/>
  <c r="BK22" i="112"/>
  <c r="BD22" i="112"/>
  <c r="BC22" i="112"/>
  <c r="BB22" i="112"/>
  <c r="BH22" i="112"/>
  <c r="AX22" i="112"/>
  <c r="AX17" i="112"/>
  <c r="BA17" i="112"/>
  <c r="BD17" i="112"/>
  <c r="DO17" i="112" s="1"/>
  <c r="AV17" i="112"/>
  <c r="BE17" i="112"/>
  <c r="AY17" i="112"/>
  <c r="AZ17" i="112"/>
  <c r="AT17" i="112"/>
  <c r="AR17" i="112"/>
  <c r="AU17" i="112"/>
  <c r="BB17" i="112"/>
  <c r="BH17" i="112"/>
  <c r="BJ17" i="112"/>
  <c r="BC17" i="112"/>
  <c r="BF17" i="112"/>
  <c r="BI17" i="112"/>
  <c r="AW17" i="112"/>
  <c r="BG17" i="112"/>
  <c r="AS17" i="112"/>
  <c r="DD17" i="112" s="1"/>
  <c r="BK17" i="112"/>
  <c r="BQ8" i="112"/>
  <c r="BR8" i="112"/>
  <c r="BW8" i="112"/>
  <c r="BM8" i="112"/>
  <c r="BO8" i="112"/>
  <c r="BZ8" i="112"/>
  <c r="CC8" i="112"/>
  <c r="CE8" i="112"/>
  <c r="BT8" i="112"/>
  <c r="BU8" i="112"/>
  <c r="BN8" i="112"/>
  <c r="BX8" i="112"/>
  <c r="CD8" i="112"/>
  <c r="CB8" i="112"/>
  <c r="BV8" i="112"/>
  <c r="BS8" i="112"/>
  <c r="CF8" i="112"/>
  <c r="BY8" i="112"/>
  <c r="BP8" i="112"/>
  <c r="CA8" i="112"/>
  <c r="CD9" i="112"/>
  <c r="CB9" i="112"/>
  <c r="CF9" i="112"/>
  <c r="BP9" i="112"/>
  <c r="BY9" i="112"/>
  <c r="CE9" i="112"/>
  <c r="CC9" i="112"/>
  <c r="BQ9" i="112"/>
  <c r="BX9" i="112"/>
  <c r="BR9" i="112"/>
  <c r="CA9" i="112"/>
  <c r="BU9" i="112"/>
  <c r="BW9" i="112"/>
  <c r="BN9" i="112"/>
  <c r="BM9" i="112"/>
  <c r="BS9" i="112"/>
  <c r="BZ9" i="112"/>
  <c r="BT9" i="112"/>
  <c r="BO9" i="112"/>
  <c r="BV9" i="112"/>
  <c r="BK13" i="112"/>
  <c r="AX13" i="112"/>
  <c r="AZ13" i="112"/>
  <c r="BE13" i="112"/>
  <c r="AT13" i="112"/>
  <c r="BH13" i="112"/>
  <c r="BB13" i="112"/>
  <c r="AV13" i="112"/>
  <c r="BI13" i="112"/>
  <c r="DT13" i="112" s="1"/>
  <c r="BJ13" i="112"/>
  <c r="BA13" i="112"/>
  <c r="AR13" i="112"/>
  <c r="AS13" i="112"/>
  <c r="AY13" i="112"/>
  <c r="BC13" i="112"/>
  <c r="BF13" i="112"/>
  <c r="AU13" i="112"/>
  <c r="BG13" i="112"/>
  <c r="BD13" i="112"/>
  <c r="AW13" i="112"/>
  <c r="AW8" i="112"/>
  <c r="AU8" i="112"/>
  <c r="BB8" i="112"/>
  <c r="AR8" i="112"/>
  <c r="AV8" i="112"/>
  <c r="AY8" i="112"/>
  <c r="BJ8" i="112"/>
  <c r="BA8" i="112"/>
  <c r="BC8" i="112"/>
  <c r="BI8" i="112"/>
  <c r="BH8" i="112"/>
  <c r="BF8" i="112"/>
  <c r="BK8" i="112"/>
  <c r="AZ8" i="112"/>
  <c r="AX8" i="112"/>
  <c r="BE8" i="112"/>
  <c r="BD8" i="112"/>
  <c r="AS8" i="112"/>
  <c r="BG8" i="112"/>
  <c r="AT8" i="112"/>
  <c r="BU22" i="112"/>
  <c r="CD22" i="112"/>
  <c r="BR22" i="112"/>
  <c r="BN22" i="112"/>
  <c r="CB22" i="112"/>
  <c r="CF22" i="112"/>
  <c r="CE22" i="112"/>
  <c r="BV22" i="112"/>
  <c r="BZ22" i="112"/>
  <c r="BO22" i="112"/>
  <c r="BS22" i="112"/>
  <c r="BT22" i="112"/>
  <c r="BY22" i="112"/>
  <c r="BW22" i="112"/>
  <c r="BQ22" i="112"/>
  <c r="CA22" i="112"/>
  <c r="BX22" i="112"/>
  <c r="BM22" i="112"/>
  <c r="BP22" i="112"/>
  <c r="CC22" i="112"/>
  <c r="BJ9" i="112"/>
  <c r="AV9" i="112"/>
  <c r="AU9" i="112"/>
  <c r="BK9" i="112"/>
  <c r="AW9" i="112"/>
  <c r="AZ9" i="112"/>
  <c r="AX9" i="112"/>
  <c r="AT9" i="112"/>
  <c r="BE9" i="112"/>
  <c r="DP9" i="112" s="1"/>
  <c r="BH9" i="112"/>
  <c r="AY9" i="112"/>
  <c r="BG9" i="112"/>
  <c r="BI9" i="112"/>
  <c r="BF9" i="112"/>
  <c r="BC9" i="112"/>
  <c r="AS9" i="112"/>
  <c r="BD9" i="112"/>
  <c r="BB9" i="112"/>
  <c r="BA9" i="112"/>
  <c r="AR9" i="112"/>
  <c r="BM19" i="112"/>
  <c r="BT19" i="112"/>
  <c r="BN19" i="112"/>
  <c r="BX19" i="112"/>
  <c r="CD19" i="112"/>
  <c r="BP19" i="112"/>
  <c r="BY19" i="112"/>
  <c r="BS19" i="112"/>
  <c r="BU19" i="112"/>
  <c r="BR19" i="112"/>
  <c r="CB19" i="112"/>
  <c r="BV19" i="112"/>
  <c r="BZ19" i="112"/>
  <c r="BQ19" i="112"/>
  <c r="CA19" i="112"/>
  <c r="CF19" i="112"/>
  <c r="CE19" i="112"/>
  <c r="BW19" i="112"/>
  <c r="CC19" i="112"/>
  <c r="BO19" i="112"/>
  <c r="BJ24" i="112"/>
  <c r="AS24" i="112"/>
  <c r="BB24" i="112"/>
  <c r="AY24" i="112"/>
  <c r="AU24" i="112"/>
  <c r="AR24" i="112"/>
  <c r="BF24" i="112"/>
  <c r="BH24" i="112"/>
  <c r="BD24" i="112"/>
  <c r="DO24" i="112" s="1"/>
  <c r="BK24" i="112"/>
  <c r="BE24" i="112"/>
  <c r="AT24" i="112"/>
  <c r="BA24" i="112"/>
  <c r="BC24" i="112"/>
  <c r="BI24" i="112"/>
  <c r="AV24" i="112"/>
  <c r="AX24" i="112"/>
  <c r="AW24" i="112"/>
  <c r="DH24" i="112" s="1"/>
  <c r="AZ24" i="112"/>
  <c r="BG24" i="112"/>
  <c r="DR24" i="112" s="1"/>
  <c r="BG16" i="112"/>
  <c r="DR16" i="112" s="1"/>
  <c r="BI16" i="112"/>
  <c r="AV16" i="112"/>
  <c r="BF16" i="112"/>
  <c r="BH16" i="112"/>
  <c r="BK16" i="112"/>
  <c r="BA16" i="112"/>
  <c r="DL16" i="112" s="1"/>
  <c r="BB16" i="112"/>
  <c r="AT16" i="112"/>
  <c r="AS16" i="112"/>
  <c r="AR16" i="112"/>
  <c r="BC16" i="112"/>
  <c r="DN16" i="112" s="1"/>
  <c r="AY16" i="112"/>
  <c r="BJ16" i="112"/>
  <c r="AX16" i="112"/>
  <c r="AW16" i="112"/>
  <c r="BE16" i="112"/>
  <c r="AZ16" i="112"/>
  <c r="BD16" i="112"/>
  <c r="AU16" i="112"/>
  <c r="BM12" i="112"/>
  <c r="BT12" i="112"/>
  <c r="CF12" i="112"/>
  <c r="BY12" i="112"/>
  <c r="BU12" i="112"/>
  <c r="CC12" i="112"/>
  <c r="BV12" i="112"/>
  <c r="CD12" i="112"/>
  <c r="BR12" i="112"/>
  <c r="CE12" i="112"/>
  <c r="BX12" i="112"/>
  <c r="BS12" i="112"/>
  <c r="BW12" i="112"/>
  <c r="BN12" i="112"/>
  <c r="BP12" i="112"/>
  <c r="CB12" i="112"/>
  <c r="CA12" i="112"/>
  <c r="BO12" i="112"/>
  <c r="BZ12" i="112"/>
  <c r="BQ12" i="112"/>
  <c r="BF20" i="112"/>
  <c r="DQ20" i="112" s="1"/>
  <c r="AR20" i="112"/>
  <c r="BK20" i="112"/>
  <c r="BC20" i="112"/>
  <c r="BI20" i="112"/>
  <c r="AU20" i="112"/>
  <c r="BA20" i="112"/>
  <c r="AX20" i="112"/>
  <c r="AS20" i="112"/>
  <c r="BH20" i="112"/>
  <c r="AY20" i="112"/>
  <c r="BJ20" i="112"/>
  <c r="BB20" i="112"/>
  <c r="AZ20" i="112"/>
  <c r="AT20" i="112"/>
  <c r="AW20" i="112"/>
  <c r="BD20" i="112"/>
  <c r="DO20" i="112" s="1"/>
  <c r="AV20" i="112"/>
  <c r="BG20" i="112"/>
  <c r="DR20" i="112" s="1"/>
  <c r="BE20" i="112"/>
  <c r="DP20" i="112" s="1"/>
  <c r="Q13" i="112"/>
  <c r="DZ13" i="112" s="1"/>
  <c r="Q15" i="112"/>
  <c r="DZ15" i="112" s="1"/>
  <c r="Q14" i="112"/>
  <c r="DZ14" i="112" s="1"/>
  <c r="Q12" i="112"/>
  <c r="DZ12" i="112" s="1"/>
  <c r="Q19" i="112"/>
  <c r="DZ19" i="112" s="1"/>
  <c r="Q8" i="112"/>
  <c r="Q23" i="112"/>
  <c r="DZ23" i="112" s="1"/>
  <c r="Q10" i="112"/>
  <c r="DZ10" i="112" s="1"/>
  <c r="Q17" i="112"/>
  <c r="DZ17" i="112" s="1"/>
  <c r="Q18" i="112"/>
  <c r="DZ18" i="112" s="1"/>
  <c r="Q22" i="112"/>
  <c r="DZ22" i="112" s="1"/>
  <c r="Q9" i="112"/>
  <c r="DZ9" i="112" s="1"/>
  <c r="Q21" i="112"/>
  <c r="DZ21" i="112" s="1"/>
  <c r="Q16" i="112"/>
  <c r="DZ16" i="112" s="1"/>
  <c r="Q11" i="112"/>
  <c r="DZ11" i="112" s="1"/>
  <c r="Q20" i="112"/>
  <c r="DZ20" i="112" s="1"/>
  <c r="Q24" i="112"/>
  <c r="DZ24" i="112" s="1"/>
  <c r="BU13" i="112"/>
  <c r="BO13" i="112"/>
  <c r="BY13" i="112"/>
  <c r="BS13" i="112"/>
  <c r="CE13" i="112"/>
  <c r="CB13" i="112"/>
  <c r="CF13" i="112"/>
  <c r="BV13" i="112"/>
  <c r="BQ13" i="112"/>
  <c r="BT13" i="112"/>
  <c r="BN13" i="112"/>
  <c r="BW13" i="112"/>
  <c r="CD13" i="112"/>
  <c r="BR13" i="112"/>
  <c r="CA13" i="112"/>
  <c r="BX13" i="112"/>
  <c r="BM13" i="112"/>
  <c r="CC13" i="112"/>
  <c r="BZ13" i="112"/>
  <c r="BP13" i="112"/>
  <c r="DP8" i="112" l="1"/>
  <c r="DM8" i="112"/>
  <c r="DJ9" i="112"/>
  <c r="DD21" i="112"/>
  <c r="DR11" i="112"/>
  <c r="DS24" i="112"/>
  <c r="DC13" i="112"/>
  <c r="DS17" i="112"/>
  <c r="DO15" i="112"/>
  <c r="DC10" i="112"/>
  <c r="DK21" i="112"/>
  <c r="DO11" i="112"/>
  <c r="DO18" i="112"/>
  <c r="DJ19" i="112"/>
  <c r="DC17" i="112"/>
  <c r="DE23" i="112"/>
  <c r="DI21" i="112"/>
  <c r="DE16" i="112"/>
  <c r="DF11" i="112"/>
  <c r="DK17" i="112"/>
  <c r="DF20" i="112"/>
  <c r="DV8" i="112"/>
  <c r="DO23" i="112"/>
  <c r="DN18" i="112"/>
  <c r="DP22" i="112"/>
  <c r="DC15" i="112"/>
  <c r="DU16" i="112"/>
  <c r="DT21" i="112"/>
  <c r="DI22" i="112"/>
  <c r="DE22" i="112"/>
  <c r="DK24" i="112"/>
  <c r="DL13" i="112"/>
  <c r="DN15" i="112"/>
  <c r="DQ12" i="112"/>
  <c r="DT19" i="112"/>
  <c r="DO19" i="112"/>
  <c r="DJ23" i="112"/>
  <c r="DE8" i="112"/>
  <c r="DH15" i="112"/>
  <c r="DR18" i="112"/>
  <c r="DF23" i="112"/>
  <c r="DQ21" i="112"/>
  <c r="DL24" i="112"/>
  <c r="DH9" i="112"/>
  <c r="DJ20" i="112"/>
  <c r="DI24" i="112"/>
  <c r="DQ11" i="112"/>
  <c r="DG24" i="112"/>
  <c r="DJ24" i="112"/>
  <c r="DC9" i="112"/>
  <c r="DH13" i="112"/>
  <c r="DG13" i="112"/>
  <c r="DM21" i="112"/>
  <c r="DD11" i="112"/>
  <c r="DH18" i="112"/>
  <c r="DT20" i="112"/>
  <c r="DS12" i="112"/>
  <c r="DF24" i="112"/>
  <c r="DF19" i="112"/>
  <c r="DC20" i="112"/>
  <c r="DV16" i="112"/>
  <c r="DD24" i="112"/>
  <c r="DN20" i="112"/>
  <c r="DV20" i="112"/>
  <c r="DO16" i="112"/>
  <c r="DG10" i="112"/>
  <c r="DN11" i="112"/>
  <c r="DI14" i="112"/>
  <c r="DC14" i="112"/>
  <c r="DO22" i="112"/>
  <c r="DK15" i="112"/>
  <c r="DN9" i="112"/>
  <c r="DQ17" i="112"/>
  <c r="DC8" i="112"/>
  <c r="DQ8" i="112"/>
  <c r="DS8" i="112"/>
  <c r="DI20" i="112"/>
  <c r="DR9" i="112"/>
  <c r="DR15" i="112"/>
  <c r="DG12" i="112"/>
  <c r="DQ23" i="112"/>
  <c r="DV11" i="112"/>
  <c r="DI18" i="112"/>
  <c r="DO14" i="112"/>
  <c r="DF14" i="112"/>
  <c r="DK19" i="112"/>
  <c r="DL20" i="112"/>
  <c r="DC16" i="112"/>
  <c r="DQ24" i="112"/>
  <c r="DM17" i="112"/>
  <c r="DT15" i="112"/>
  <c r="DR23" i="112"/>
  <c r="DU23" i="112"/>
  <c r="DO10" i="112"/>
  <c r="DG11" i="112"/>
  <c r="DC18" i="112"/>
  <c r="DT18" i="112"/>
  <c r="DL14" i="112"/>
  <c r="DJ14" i="112"/>
  <c r="DG20" i="112"/>
  <c r="DD16" i="112"/>
  <c r="DK8" i="112"/>
  <c r="DF8" i="112"/>
  <c r="DF17" i="112"/>
  <c r="DM22" i="112"/>
  <c r="DR22" i="112"/>
  <c r="DP15" i="112"/>
  <c r="DU15" i="112"/>
  <c r="DC12" i="112"/>
  <c r="DL12" i="112"/>
  <c r="DI23" i="112"/>
  <c r="DU10" i="112"/>
  <c r="DJ21" i="112"/>
  <c r="DP21" i="112"/>
  <c r="DM11" i="112"/>
  <c r="DF18" i="112"/>
  <c r="DU18" i="112"/>
  <c r="DM14" i="112"/>
  <c r="DC19" i="112"/>
  <c r="DL19" i="112"/>
  <c r="DP23" i="112"/>
  <c r="DE24" i="112"/>
  <c r="DD9" i="112"/>
  <c r="DI16" i="112"/>
  <c r="DP24" i="112"/>
  <c r="DK13" i="112"/>
  <c r="DK12" i="112"/>
  <c r="DH23" i="112"/>
  <c r="DQ14" i="112"/>
  <c r="DS18" i="112"/>
  <c r="DV23" i="112"/>
  <c r="DP16" i="112"/>
  <c r="DM20" i="112"/>
  <c r="DS16" i="112"/>
  <c r="DF13" i="112"/>
  <c r="DE13" i="112"/>
  <c r="DN12" i="112"/>
  <c r="DK10" i="112"/>
  <c r="DI11" i="112"/>
  <c r="DD18" i="112"/>
  <c r="DN14" i="112"/>
  <c r="DH14" i="112"/>
  <c r="DH19" i="112"/>
  <c r="DV9" i="112"/>
  <c r="DT17" i="112"/>
  <c r="DG22" i="112"/>
  <c r="DS14" i="112"/>
  <c r="DM19" i="112"/>
  <c r="DU19" i="112"/>
  <c r="DI10" i="112"/>
  <c r="EF9" i="112"/>
  <c r="EA9" i="112" a="1"/>
  <c r="EA9" i="112" s="1"/>
  <c r="EA22" i="112" a="1"/>
  <c r="EA22" i="112" s="1"/>
  <c r="EF22" i="112"/>
  <c r="DS22" i="112"/>
  <c r="DF12" i="112"/>
  <c r="DG21" i="112"/>
  <c r="DC24" i="112"/>
  <c r="DK11" i="112"/>
  <c r="DT14" i="112"/>
  <c r="EA17" i="112" a="1"/>
  <c r="EA17" i="112" s="1"/>
  <c r="EF17" i="112"/>
  <c r="DS21" i="112"/>
  <c r="DH20" i="112"/>
  <c r="DM16" i="112"/>
  <c r="DV17" i="112"/>
  <c r="DE17" i="112"/>
  <c r="DL15" i="112"/>
  <c r="DI15" i="112"/>
  <c r="DD12" i="112"/>
  <c r="DV10" i="112"/>
  <c r="DL10" i="112"/>
  <c r="DS11" i="112"/>
  <c r="DM18" i="112"/>
  <c r="DG14" i="112"/>
  <c r="DR14" i="112"/>
  <c r="DP19" i="112"/>
  <c r="EF23" i="112"/>
  <c r="EH23" i="112" s="1"/>
  <c r="EA23" i="112" a="1"/>
  <c r="EA23" i="112" s="1"/>
  <c r="DE20" i="112"/>
  <c r="DT24" i="112"/>
  <c r="DM24" i="112"/>
  <c r="DL9" i="112"/>
  <c r="DI9" i="112"/>
  <c r="DO13" i="112"/>
  <c r="DM13" i="112"/>
  <c r="DV22" i="112"/>
  <c r="DD22" i="112"/>
  <c r="DE15" i="112"/>
  <c r="DQ15" i="112"/>
  <c r="DP12" i="112"/>
  <c r="DM23" i="112"/>
  <c r="DJ10" i="112"/>
  <c r="DU21" i="112"/>
  <c r="DL21" i="112"/>
  <c r="DP11" i="112"/>
  <c r="DV18" i="112"/>
  <c r="DQ18" i="112"/>
  <c r="DK14" i="112"/>
  <c r="DG19" i="112"/>
  <c r="DZ8" i="112"/>
  <c r="DK20" i="112"/>
  <c r="DK16" i="112"/>
  <c r="DN24" i="112"/>
  <c r="DM9" i="112"/>
  <c r="DK9" i="112"/>
  <c r="DT8" i="112"/>
  <c r="DR13" i="112"/>
  <c r="DS13" i="112"/>
  <c r="DR17" i="112"/>
  <c r="DJ17" i="112"/>
  <c r="DU22" i="112"/>
  <c r="DJ22" i="112"/>
  <c r="DM15" i="112"/>
  <c r="DH12" i="112"/>
  <c r="DN23" i="112"/>
  <c r="DP10" i="112"/>
  <c r="DR10" i="112"/>
  <c r="DO21" i="112"/>
  <c r="DR21" i="112"/>
  <c r="DL11" i="112"/>
  <c r="DC11" i="112"/>
  <c r="DK18" i="112"/>
  <c r="DG18" i="112"/>
  <c r="DD14" i="112"/>
  <c r="DV14" i="112"/>
  <c r="DV19" i="112"/>
  <c r="DL22" i="112"/>
  <c r="EA18" i="112" a="1"/>
  <c r="EA18" i="112" s="1"/>
  <c r="EF18" i="112"/>
  <c r="DS9" i="112"/>
  <c r="DU13" i="112"/>
  <c r="DN22" i="112"/>
  <c r="EA19" i="112" a="1"/>
  <c r="EA19" i="112" s="1"/>
  <c r="EF19" i="112"/>
  <c r="DO9" i="112"/>
  <c r="DP17" i="112"/>
  <c r="DC22" i="112"/>
  <c r="DD15" i="112"/>
  <c r="DU11" i="112"/>
  <c r="DU20" i="112"/>
  <c r="DH16" i="112"/>
  <c r="DL8" i="112"/>
  <c r="DP13" i="112"/>
  <c r="DT12" i="112"/>
  <c r="DD23" i="112"/>
  <c r="DN10" i="112"/>
  <c r="DF9" i="112"/>
  <c r="DR8" i="112"/>
  <c r="DU8" i="112"/>
  <c r="DH22" i="112"/>
  <c r="DM10" i="112"/>
  <c r="DE21" i="112"/>
  <c r="DE19" i="112"/>
  <c r="DN19" i="112"/>
  <c r="EA15" i="112" a="1"/>
  <c r="EA15" i="112" s="1"/>
  <c r="EF15" i="112"/>
  <c r="DT16" i="112"/>
  <c r="DV24" i="112"/>
  <c r="DQ9" i="112"/>
  <c r="DG9" i="112"/>
  <c r="DD8" i="112"/>
  <c r="DJ8" i="112"/>
  <c r="DJ13" i="112"/>
  <c r="DI13" i="112"/>
  <c r="DN17" i="112"/>
  <c r="DL17" i="112"/>
  <c r="DK22" i="112"/>
  <c r="DS15" i="112"/>
  <c r="DV12" i="112"/>
  <c r="DU12" i="112"/>
  <c r="DT23" i="112"/>
  <c r="DE10" i="112"/>
  <c r="DF21" i="112"/>
  <c r="DE11" i="112"/>
  <c r="DU14" i="112"/>
  <c r="DQ19" i="112"/>
  <c r="DS19" i="112"/>
  <c r="DO12" i="112"/>
  <c r="DI8" i="112"/>
  <c r="DH8" i="112"/>
  <c r="DS10" i="112"/>
  <c r="DP18" i="112"/>
  <c r="DP14" i="112"/>
  <c r="DD19" i="112"/>
  <c r="EA10" i="112" a="1"/>
  <c r="EA10" i="112" s="1"/>
  <c r="EF10" i="112"/>
  <c r="DF16" i="112"/>
  <c r="DE9" i="112"/>
  <c r="EF24" i="112"/>
  <c r="EA24" i="112" a="1"/>
  <c r="EA24" i="112" s="1"/>
  <c r="DU24" i="112"/>
  <c r="DN8" i="112"/>
  <c r="DH17" i="112"/>
  <c r="DF22" i="112"/>
  <c r="DG15" i="112"/>
  <c r="DF10" i="112"/>
  <c r="DN21" i="112"/>
  <c r="EF20" i="112"/>
  <c r="EA20" i="112" a="1"/>
  <c r="EA20" i="112" s="1"/>
  <c r="EF12" i="112"/>
  <c r="EA12" i="112" a="1"/>
  <c r="EA12" i="112" s="1"/>
  <c r="DQ16" i="112"/>
  <c r="DQ13" i="112"/>
  <c r="DG17" i="112"/>
  <c r="DJ12" i="112"/>
  <c r="DD10" i="112"/>
  <c r="DH11" i="112"/>
  <c r="EF11" i="112"/>
  <c r="EA11" i="112" a="1"/>
  <c r="EA11" i="112" s="1"/>
  <c r="EF14" i="112"/>
  <c r="EA14" i="112" a="1"/>
  <c r="EA14" i="112" s="1"/>
  <c r="DG16" i="112"/>
  <c r="DN13" i="112"/>
  <c r="DM12" i="112"/>
  <c r="DK23" i="112"/>
  <c r="DH10" i="112"/>
  <c r="DT11" i="112"/>
  <c r="DE18" i="112"/>
  <c r="EA16" i="112" a="1"/>
  <c r="EA16" i="112" s="1"/>
  <c r="EF16" i="112"/>
  <c r="DS20" i="112"/>
  <c r="EF21" i="112"/>
  <c r="EA21" i="112" a="1"/>
  <c r="EA21" i="112" s="1"/>
  <c r="EF13" i="112"/>
  <c r="EA13" i="112" a="1"/>
  <c r="EA13" i="112" s="1"/>
  <c r="DD20" i="112"/>
  <c r="DJ16" i="112"/>
  <c r="DT9" i="112"/>
  <c r="DU9" i="112"/>
  <c r="DO8" i="112"/>
  <c r="DG8" i="112"/>
  <c r="DD13" i="112"/>
  <c r="DV13" i="112"/>
  <c r="DU17" i="112"/>
  <c r="DI17" i="112"/>
  <c r="DT22" i="112"/>
  <c r="DJ15" i="112"/>
  <c r="DR12" i="112"/>
  <c r="DE12" i="112"/>
  <c r="DL23" i="112"/>
  <c r="DS23" i="112"/>
  <c r="DQ10" i="112"/>
  <c r="DT10" i="112"/>
  <c r="DC21" i="112"/>
  <c r="DJ11" i="112"/>
  <c r="DJ18" i="112"/>
  <c r="DE14" i="112"/>
  <c r="DR19" i="112"/>
  <c r="DI19" i="112"/>
  <c r="EH24" i="112" l="1"/>
  <c r="EH10" i="112"/>
  <c r="EH13" i="112"/>
  <c r="EF8" i="112"/>
  <c r="EA8" i="112" a="1"/>
  <c r="EA8" i="112" s="1"/>
  <c r="EH12" i="112"/>
  <c r="DX17" i="112" a="1"/>
  <c r="DX17" i="112" s="1"/>
  <c r="E18" i="109" s="1"/>
  <c r="EH22" i="112"/>
  <c r="DX19" i="112" a="1"/>
  <c r="DX19" i="112" s="1"/>
  <c r="E20" i="109" s="1"/>
  <c r="DX18" i="112" a="1"/>
  <c r="DX18" i="112" s="1"/>
  <c r="E19" i="109" s="1"/>
  <c r="EH20" i="112"/>
  <c r="EH11" i="112"/>
  <c r="DX9" i="112" a="1"/>
  <c r="DX9" i="112" s="1"/>
  <c r="E10" i="109" s="1"/>
  <c r="EH16" i="112"/>
  <c r="DX10" i="112" a="1"/>
  <c r="DX10" i="112" s="1"/>
  <c r="E11" i="109" s="1"/>
  <c r="DX14" i="112" a="1"/>
  <c r="DX14" i="112" s="1"/>
  <c r="E15" i="109" s="1"/>
  <c r="EH17" i="112"/>
  <c r="DX20" i="112" a="1"/>
  <c r="DX20" i="112" s="1"/>
  <c r="E21" i="109" s="1"/>
  <c r="DX12" i="112" a="1"/>
  <c r="DX12" i="112" s="1"/>
  <c r="E13" i="109" s="1"/>
  <c r="DX16" i="112" a="1"/>
  <c r="DX16" i="112" s="1"/>
  <c r="E17" i="109" s="1"/>
  <c r="DX15" i="112" a="1"/>
  <c r="DX15" i="112" s="1"/>
  <c r="E16" i="109" s="1"/>
  <c r="EH15" i="112"/>
  <c r="DX21" i="112" a="1"/>
  <c r="DX21" i="112" s="1"/>
  <c r="E22" i="109" s="1"/>
  <c r="DX23" i="112" a="1"/>
  <c r="DX23" i="112" s="1"/>
  <c r="E24" i="109" s="1"/>
  <c r="DX13" i="112" a="1"/>
  <c r="DX13" i="112" s="1"/>
  <c r="E14" i="109" s="1"/>
  <c r="DX8" i="112" a="1"/>
  <c r="DX8" i="112" s="1"/>
  <c r="EH14" i="112"/>
  <c r="G12" i="109"/>
  <c r="G11" i="109"/>
  <c r="G19" i="109"/>
  <c r="G23" i="109"/>
  <c r="G17" i="109"/>
  <c r="DX22" i="112" a="1"/>
  <c r="DX22" i="112" s="1"/>
  <c r="E23" i="109" s="1"/>
  <c r="G18" i="109"/>
  <c r="G10" i="109"/>
  <c r="EH19" i="112"/>
  <c r="EH9" i="112"/>
  <c r="G20" i="109"/>
  <c r="G25" i="109"/>
  <c r="G14" i="109"/>
  <c r="G16" i="109"/>
  <c r="G24" i="109"/>
  <c r="DX24" i="112" a="1"/>
  <c r="DX24" i="112" s="1"/>
  <c r="E25" i="109" s="1"/>
  <c r="G13" i="109"/>
  <c r="G22" i="109"/>
  <c r="EH8" i="112"/>
  <c r="EH21" i="112"/>
  <c r="G15" i="109"/>
  <c r="G21" i="109"/>
  <c r="DX11" i="112" a="1"/>
  <c r="DX11" i="112" s="1"/>
  <c r="E12" i="109" s="1"/>
  <c r="EH18" i="112"/>
  <c r="EC9" i="112" l="1"/>
  <c r="I10" i="109" s="1"/>
  <c r="EC17" i="112"/>
  <c r="ED17" i="112" s="1"/>
  <c r="J18" i="109" s="1"/>
  <c r="EC12" i="112"/>
  <c r="ED12" i="112" s="1"/>
  <c r="J13" i="109" s="1"/>
  <c r="EC8" i="112"/>
  <c r="EC16" i="112"/>
  <c r="ED16" i="112" s="1"/>
  <c r="J17" i="109" s="1"/>
  <c r="E9" i="109"/>
  <c r="EC15" i="112"/>
  <c r="EC10" i="112"/>
  <c r="ED10" i="112" s="1"/>
  <c r="J11" i="109" s="1"/>
  <c r="EC19" i="112"/>
  <c r="ED19" i="112" s="1"/>
  <c r="J20" i="109" s="1"/>
  <c r="EC18" i="112"/>
  <c r="ED18" i="112" s="1"/>
  <c r="J19" i="109" s="1"/>
  <c r="EC24" i="112"/>
  <c r="ED24" i="112" s="1"/>
  <c r="J25" i="109" s="1"/>
  <c r="EC20" i="112"/>
  <c r="I21" i="109" s="1"/>
  <c r="EC14" i="112"/>
  <c r="I15" i="109" s="1"/>
  <c r="EC13" i="112"/>
  <c r="I14" i="109" s="1"/>
  <c r="EC21" i="112"/>
  <c r="ED21" i="112" s="1"/>
  <c r="J22" i="109" s="1"/>
  <c r="EC23" i="112"/>
  <c r="I24" i="109" s="1"/>
  <c r="EC11" i="112"/>
  <c r="I12" i="109" s="1"/>
  <c r="P21" i="109"/>
  <c r="M21" i="109"/>
  <c r="Q21" i="109"/>
  <c r="N21" i="109"/>
  <c r="O21" i="109"/>
  <c r="M10" i="109"/>
  <c r="Q10" i="109"/>
  <c r="N10" i="109"/>
  <c r="P10" i="109"/>
  <c r="O10" i="109"/>
  <c r="N24" i="109"/>
  <c r="P24" i="109"/>
  <c r="M24" i="109"/>
  <c r="Q24" i="109"/>
  <c r="O24" i="109"/>
  <c r="ED15" i="112"/>
  <c r="J16" i="109" s="1"/>
  <c r="I16" i="109"/>
  <c r="Q12" i="109"/>
  <c r="P12" i="109"/>
  <c r="M12" i="109"/>
  <c r="N12" i="109"/>
  <c r="O12" i="109"/>
  <c r="P16" i="109"/>
  <c r="M16" i="109"/>
  <c r="Q16" i="109"/>
  <c r="O16" i="109"/>
  <c r="N16" i="109"/>
  <c r="M18" i="109"/>
  <c r="P18" i="109"/>
  <c r="Q18" i="109"/>
  <c r="O18" i="109"/>
  <c r="N18" i="109"/>
  <c r="G9" i="109"/>
  <c r="P25" i="109"/>
  <c r="M25" i="109"/>
  <c r="Q25" i="109"/>
  <c r="N25" i="109"/>
  <c r="O25" i="109"/>
  <c r="EC22" i="112"/>
  <c r="Q22" i="109"/>
  <c r="M22" i="109"/>
  <c r="P22" i="109"/>
  <c r="O22" i="109"/>
  <c r="N22" i="109"/>
  <c r="P23" i="109"/>
  <c r="M23" i="109"/>
  <c r="Q23" i="109"/>
  <c r="N23" i="109"/>
  <c r="O23" i="109"/>
  <c r="Q13" i="109"/>
  <c r="P13" i="109"/>
  <c r="N13" i="109"/>
  <c r="M13" i="109"/>
  <c r="O13" i="109"/>
  <c r="O20" i="109"/>
  <c r="M20" i="109"/>
  <c r="Q20" i="109"/>
  <c r="P20" i="109"/>
  <c r="N20" i="109"/>
  <c r="Q11" i="109"/>
  <c r="P11" i="109"/>
  <c r="O11" i="109"/>
  <c r="N11" i="109"/>
  <c r="M11" i="109"/>
  <c r="P17" i="109"/>
  <c r="Q17" i="109"/>
  <c r="M17" i="109"/>
  <c r="O17" i="109"/>
  <c r="N17" i="109"/>
  <c r="M19" i="109"/>
  <c r="Q19" i="109"/>
  <c r="P19" i="109"/>
  <c r="N19" i="109"/>
  <c r="O19" i="109"/>
  <c r="Q15" i="109"/>
  <c r="O15" i="109"/>
  <c r="P15" i="109"/>
  <c r="M15" i="109"/>
  <c r="N15" i="109"/>
  <c r="P14" i="109"/>
  <c r="Q14" i="109"/>
  <c r="M14" i="109"/>
  <c r="O14" i="109"/>
  <c r="N14" i="109"/>
  <c r="I19" i="109" l="1"/>
  <c r="I13" i="109"/>
  <c r="I17" i="109"/>
  <c r="I20" i="109"/>
  <c r="I18" i="109"/>
  <c r="I25" i="109"/>
  <c r="ED9" i="112"/>
  <c r="J10" i="109" s="1"/>
  <c r="S10" i="109" s="1" a="1"/>
  <c r="S10" i="109" s="1"/>
  <c r="ED23" i="112"/>
  <c r="J24" i="109" s="1"/>
  <c r="S24" i="109" s="1" a="1"/>
  <c r="S24" i="109" s="1"/>
  <c r="I11" i="109"/>
  <c r="I22" i="109"/>
  <c r="ED20" i="112"/>
  <c r="J21" i="109" s="1"/>
  <c r="S21" i="109" s="1" a="1"/>
  <c r="S21" i="109" s="1"/>
  <c r="ED13" i="112"/>
  <c r="J14" i="109" s="1"/>
  <c r="S14" i="109" s="1" a="1"/>
  <c r="S14" i="109" s="1"/>
  <c r="ED14" i="112"/>
  <c r="J15" i="109" s="1"/>
  <c r="S15" i="109" s="1" a="1"/>
  <c r="S15" i="109" s="1"/>
  <c r="ED11" i="112"/>
  <c r="J12" i="109" s="1"/>
  <c r="S12" i="109" s="1" a="1"/>
  <c r="S12" i="109" s="1"/>
  <c r="S13" i="109" a="1"/>
  <c r="S13" i="109" s="1"/>
  <c r="S25" i="109" a="1"/>
  <c r="S25" i="109" s="1"/>
  <c r="S19" i="109" a="1"/>
  <c r="S19" i="109" s="1"/>
  <c r="I9" i="109"/>
  <c r="ED8" i="112"/>
  <c r="S17" i="109" a="1"/>
  <c r="S17" i="109" s="1"/>
  <c r="S16" i="109" a="1"/>
  <c r="S16" i="109" s="1"/>
  <c r="I23" i="109"/>
  <c r="ED22" i="112"/>
  <c r="J23" i="109" s="1"/>
  <c r="S23" i="109" s="1" a="1"/>
  <c r="S23" i="109" s="1"/>
  <c r="S20" i="109" a="1"/>
  <c r="S20" i="109" s="1"/>
  <c r="S11" i="109" a="1"/>
  <c r="S11" i="109" s="1"/>
  <c r="S22" i="109" a="1"/>
  <c r="S22" i="109" s="1"/>
  <c r="S18" i="109" a="1"/>
  <c r="S18" i="109" s="1"/>
  <c r="M9" i="109"/>
  <c r="Q9" i="109"/>
  <c r="P9" i="109"/>
  <c r="N9" i="109"/>
  <c r="O9" i="109"/>
  <c r="EC27" i="112" l="1" a="1"/>
  <c r="EC27" i="112" s="1"/>
  <c r="EF27" i="112" a="1"/>
  <c r="EF27" i="112" s="1"/>
  <c r="DZ27" i="112" a="1"/>
  <c r="DZ27" i="112" s="1"/>
  <c r="DX27" i="112" a="1"/>
  <c r="DX27" i="112" s="1"/>
  <c r="EA27" i="112" a="1"/>
  <c r="EA27" i="112" s="1"/>
  <c r="G10" i="33" s="1"/>
  <c r="J9" i="109"/>
  <c r="M27" i="109" s="1" a="1"/>
  <c r="M27" i="109" s="1"/>
  <c r="Q27" i="112" a="1"/>
  <c r="Q27" i="112" s="1"/>
  <c r="E38" i="33" a="1"/>
  <c r="E38" i="33" s="1"/>
  <c r="E40" i="33" a="1"/>
  <c r="E40" i="33" s="1"/>
  <c r="E39" i="33" a="1"/>
  <c r="E39" i="33" s="1"/>
  <c r="E41" i="33" a="1"/>
  <c r="E41" i="33" s="1"/>
  <c r="E42" i="33" a="1"/>
  <c r="E42" i="33" s="1"/>
  <c r="O27" i="109" l="1" a="1"/>
  <c r="O27" i="109" s="1"/>
  <c r="Q27" i="109" a="1"/>
  <c r="Q27" i="109" s="1"/>
  <c r="I27" i="109" a="1"/>
  <c r="I27" i="109" s="1"/>
  <c r="K10" i="33"/>
  <c r="F26" i="33"/>
  <c r="G26" i="33"/>
  <c r="H26" i="33"/>
  <c r="I26" i="33"/>
  <c r="E26" i="33"/>
  <c r="P27" i="109" a="1"/>
  <c r="P27" i="109" s="1"/>
  <c r="S9" i="109" a="1"/>
  <c r="S9" i="109" s="1"/>
  <c r="E27" i="109" a="1"/>
  <c r="E27" i="109" s="1"/>
  <c r="G27" i="109" a="1"/>
  <c r="G27" i="109" s="1"/>
  <c r="N27" i="109" a="1"/>
  <c r="N27" i="109" s="1"/>
  <c r="K26" i="33" l="1"/>
  <c r="H10" i="33"/>
  <c r="E36" i="33"/>
  <c r="I10" i="33"/>
  <c r="E16" i="33" s="1"/>
  <c r="C16" i="33" s="1"/>
  <c r="D16" i="3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<sst xmlns="http://schemas.openxmlformats.org/spreadsheetml/2006/main" count="1255" uniqueCount="474">
  <si>
    <t>Costs</t>
  </si>
  <si>
    <t>SUMMARY</t>
  </si>
  <si>
    <t>RESULTS</t>
  </si>
  <si>
    <t>PV of costs</t>
  </si>
  <si>
    <t>PV of benefits</t>
  </si>
  <si>
    <t>NPV</t>
  </si>
  <si>
    <t>Option</t>
  </si>
  <si>
    <t>Preferred option:</t>
  </si>
  <si>
    <t>Total</t>
  </si>
  <si>
    <t>End</t>
  </si>
  <si>
    <t>.</t>
  </si>
  <si>
    <t>Project</t>
  </si>
  <si>
    <t>Business:</t>
  </si>
  <si>
    <t>Powercor</t>
  </si>
  <si>
    <t xml:space="preserve">Descripton: </t>
  </si>
  <si>
    <t xml:space="preserve">Date of cost inputs: </t>
  </si>
  <si>
    <t>June</t>
  </si>
  <si>
    <t>Description</t>
  </si>
  <si>
    <t>No change to existing practices</t>
  </si>
  <si>
    <t>Timing &amp; WACC</t>
  </si>
  <si>
    <t>Input dollars</t>
  </si>
  <si>
    <t>[input_dollars]</t>
  </si>
  <si>
    <t>Pre-tax real WACC</t>
  </si>
  <si>
    <t>[real_disc]</t>
  </si>
  <si>
    <t>VCR date</t>
  </si>
  <si>
    <t>[vcr_date]</t>
  </si>
  <si>
    <t>Model start year</t>
  </si>
  <si>
    <t>[start]</t>
  </si>
  <si>
    <t>Analysis period (years)</t>
  </si>
  <si>
    <t>[years]\</t>
  </si>
  <si>
    <t>Output dollars</t>
  </si>
  <si>
    <t>[output_dollars]</t>
  </si>
  <si>
    <t>Other benefits date</t>
  </si>
  <si>
    <t>[custval_date]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</si>
  <si>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 value date</t>
    </r>
  </si>
  <si>
    <t>SAFETY</t>
  </si>
  <si>
    <t>Value of statistical life</t>
  </si>
  <si>
    <t>Value of injury</t>
  </si>
  <si>
    <t>^ Public or employee</t>
  </si>
  <si>
    <t>Incident type</t>
  </si>
  <si>
    <t>Value</t>
  </si>
  <si>
    <t>Probability</t>
  </si>
  <si>
    <t>DF selected</t>
  </si>
  <si>
    <t>Description/comment</t>
  </si>
  <si>
    <t>Safety (fatality)</t>
  </si>
  <si>
    <t>Safety (injury)</t>
  </si>
  <si>
    <t>Other benefits</t>
  </si>
  <si>
    <t>ENVIRONMENTAL</t>
  </si>
  <si>
    <t>2026-27</t>
  </si>
  <si>
    <t>2027-28</t>
  </si>
  <si>
    <t>2028-29</t>
  </si>
  <si>
    <t>2029-30</t>
  </si>
  <si>
    <t>2030-31</t>
  </si>
  <si>
    <t>2031-32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</si>
  <si>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</t>
    </r>
  </si>
  <si>
    <t>$/kWh</t>
  </si>
  <si>
    <t>CUSTOMER VALUE</t>
  </si>
  <si>
    <t>per MWh</t>
  </si>
  <si>
    <t>per customer</t>
  </si>
  <si>
    <t>per customer minute</t>
  </si>
  <si>
    <t>Units</t>
  </si>
  <si>
    <t>Capex</t>
  </si>
  <si>
    <t>MWh</t>
  </si>
  <si>
    <r>
      <t>Reduction in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emissions</t>
    </r>
  </si>
  <si>
    <t>$</t>
  </si>
  <si>
    <t>Reliability in worst-served areas</t>
  </si>
  <si>
    <t>Network resilience</t>
  </si>
  <si>
    <t>Enabling solar exports</t>
  </si>
  <si>
    <t>Aesthetics</t>
  </si>
  <si>
    <t>Communication</t>
  </si>
  <si>
    <t>Information accessibility</t>
  </si>
  <si>
    <t>Discount factor</t>
  </si>
  <si>
    <t>ZSS</t>
  </si>
  <si>
    <t>ESCALATION &amp; OTHER</t>
  </si>
  <si>
    <t>Year end</t>
  </si>
  <si>
    <t>Actual/forecast CPI (June to June)</t>
  </si>
  <si>
    <t>HY ending</t>
  </si>
  <si>
    <t>FY ending</t>
  </si>
  <si>
    <t>Actual cumulative HY escalation</t>
  </si>
  <si>
    <t>Convert from input dollars</t>
  </si>
  <si>
    <t>To output dollars</t>
  </si>
  <si>
    <t>Conversion from input dollars to output dollars</t>
  </si>
  <si>
    <t>Convert from VCR date</t>
  </si>
  <si>
    <t>To input dollars</t>
  </si>
  <si>
    <t>VCR escalation</t>
  </si>
  <si>
    <t>Option 2</t>
  </si>
  <si>
    <t>Option 1 (base case)</t>
  </si>
  <si>
    <t>Message</t>
  </si>
  <si>
    <t>DATA</t>
  </si>
  <si>
    <t>Not used</t>
  </si>
  <si>
    <t>Not applicable (compliance)</t>
  </si>
  <si>
    <t xml:space="preserve"> </t>
  </si>
  <si>
    <t>Short categ</t>
  </si>
  <si>
    <t>Benefits</t>
  </si>
  <si>
    <t>Flag to include</t>
  </si>
  <si>
    <t>Defined value</t>
  </si>
  <si>
    <t>Unserved energy</t>
  </si>
  <si>
    <t>Energy</t>
  </si>
  <si>
    <t>Safety</t>
  </si>
  <si>
    <t>Unplanned replacement</t>
  </si>
  <si>
    <t>UnRepl</t>
  </si>
  <si>
    <t>Bushfire</t>
  </si>
  <si>
    <t>Fire</t>
  </si>
  <si>
    <t>Carbon</t>
  </si>
  <si>
    <t>Other</t>
  </si>
  <si>
    <t>Customers impacted</t>
  </si>
  <si>
    <t>Customer value of time - residential</t>
  </si>
  <si>
    <t>Customer minutes</t>
  </si>
  <si>
    <t>Customer value of time - business</t>
  </si>
  <si>
    <t>CitiPower</t>
  </si>
  <si>
    <t>United Energy</t>
  </si>
  <si>
    <t>Conversions</t>
  </si>
  <si>
    <t>thous_conv</t>
  </si>
  <si>
    <t>mill_conv</t>
  </si>
  <si>
    <t>Enter asset life</t>
  </si>
  <si>
    <t>Error message</t>
  </si>
  <si>
    <t>Remove inputs prior to start year</t>
  </si>
  <si>
    <t>Disproportionate factors applied to various bushfire and other risk valuations</t>
  </si>
  <si>
    <t>- Select -</t>
  </si>
  <si>
    <t>Harm to property from network</t>
  </si>
  <si>
    <t>Harm to property from bushfire</t>
  </si>
  <si>
    <t>Harm to environment</t>
  </si>
  <si>
    <t>Safety - Public trespass</t>
  </si>
  <si>
    <t>Safety - Single fatality or serious injury ^</t>
  </si>
  <si>
    <r>
      <t xml:space="preserve">Safety from bushfire in </t>
    </r>
    <r>
      <rPr>
        <sz val="8"/>
        <color theme="1"/>
        <rFont val="Calibri"/>
        <family val="2"/>
      </rPr>
      <t>HBRA</t>
    </r>
  </si>
  <si>
    <t>Safety - Multiple fatality or serious injury ^</t>
  </si>
  <si>
    <t>Safety from bushfire (REFCL declared areas)</t>
  </si>
  <si>
    <t>Safety from bushfire (electric line construction areas)</t>
  </si>
  <si>
    <t>DROPDOWN LISTS</t>
  </si>
  <si>
    <t>Business</t>
  </si>
  <si>
    <t>Type</t>
  </si>
  <si>
    <t>Include</t>
  </si>
  <si>
    <t>Dollar inputs - month</t>
  </si>
  <si>
    <t>Not used options</t>
  </si>
  <si>
    <t>Dollar inputs - year</t>
  </si>
  <si>
    <t>CP</t>
  </si>
  <si>
    <t>CY</t>
  </si>
  <si>
    <t>PA</t>
  </si>
  <si>
    <t>December</t>
  </si>
  <si>
    <t>FY</t>
  </si>
  <si>
    <t>UE</t>
  </si>
  <si>
    <t>Opex</t>
  </si>
  <si>
    <t>Zone Sub Station</t>
  </si>
  <si>
    <t>Hoppers Crossing Pump</t>
  </si>
  <si>
    <t>Werribee</t>
  </si>
  <si>
    <t>Laverton</t>
  </si>
  <si>
    <t>Toyota</t>
  </si>
  <si>
    <t>Altona Chemical</t>
  </si>
  <si>
    <t>Compol</t>
  </si>
  <si>
    <t>Laverton North</t>
  </si>
  <si>
    <t>Ballarat North</t>
  </si>
  <si>
    <t>Challicum Hills Wind Farm</t>
  </si>
  <si>
    <t>Ballarat South</t>
  </si>
  <si>
    <t>Ballarat Gold Fields</t>
  </si>
  <si>
    <t>Bungal Dam</t>
  </si>
  <si>
    <t>Bendigo</t>
  </si>
  <si>
    <t>Eaglehawk</t>
  </si>
  <si>
    <t>Castlemaine</t>
  </si>
  <si>
    <t>Maryborough</t>
  </si>
  <si>
    <t>Charlton</t>
  </si>
  <si>
    <t>Brooklyn</t>
  </si>
  <si>
    <t>Altona</t>
  </si>
  <si>
    <t>Bacchus Marsh</t>
  </si>
  <si>
    <t>Blue Circle Geelong</t>
  </si>
  <si>
    <t>Waurn Ponds</t>
  </si>
  <si>
    <t>Corio</t>
  </si>
  <si>
    <t>Ford Norlane</t>
  </si>
  <si>
    <t>Ford North Shore</t>
  </si>
  <si>
    <t>Shell Refining Corio</t>
  </si>
  <si>
    <t>Geelong B</t>
  </si>
  <si>
    <t>Geelong City</t>
  </si>
  <si>
    <t>Geelong</t>
  </si>
  <si>
    <t>Geelong East</t>
  </si>
  <si>
    <t>Drysdale</t>
  </si>
  <si>
    <t>Winchelsea</t>
  </si>
  <si>
    <t>Torquay</t>
  </si>
  <si>
    <t>Charam</t>
  </si>
  <si>
    <t>Horsham</t>
  </si>
  <si>
    <t>Nhill</t>
  </si>
  <si>
    <t>Stawell</t>
  </si>
  <si>
    <t>Ararat</t>
  </si>
  <si>
    <t>Heywood</t>
  </si>
  <si>
    <t>Kerang</t>
  </si>
  <si>
    <t>Cohuna</t>
  </si>
  <si>
    <t>Swan Hill</t>
  </si>
  <si>
    <t>Woodend</t>
  </si>
  <si>
    <t>Gisborne</t>
  </si>
  <si>
    <t>St Albans</t>
  </si>
  <si>
    <t>Sunshine East</t>
  </si>
  <si>
    <t>Red Cliffs</t>
  </si>
  <si>
    <t>Merbein</t>
  </si>
  <si>
    <t>Dareton</t>
  </si>
  <si>
    <t>Buronga</t>
  </si>
  <si>
    <t>Mildura</t>
  </si>
  <si>
    <t>Kyabram</t>
  </si>
  <si>
    <t>Stanhope</t>
  </si>
  <si>
    <t>Echuca</t>
  </si>
  <si>
    <t>Mooroopna</t>
  </si>
  <si>
    <t>Shepparton</t>
  </si>
  <si>
    <t>Numurkah</t>
  </si>
  <si>
    <t>Cobram East</t>
  </si>
  <si>
    <t>Shepparton North</t>
  </si>
  <si>
    <t>Camperdown</t>
  </si>
  <si>
    <t>Cobden</t>
  </si>
  <si>
    <t>Colac</t>
  </si>
  <si>
    <t>Hamilton</t>
  </si>
  <si>
    <t>Oakland's Hill Wind Farm</t>
  </si>
  <si>
    <t>Koroit</t>
  </si>
  <si>
    <t>Terang</t>
  </si>
  <si>
    <t>Warrnambool</t>
  </si>
  <si>
    <t>Portland</t>
  </si>
  <si>
    <t>Codrington Wind Farm</t>
  </si>
  <si>
    <t>Yambuk Wind Farm</t>
  </si>
  <si>
    <t>Wemen</t>
  </si>
  <si>
    <t>Robinvale</t>
  </si>
  <si>
    <t>Boundary Bend</t>
  </si>
  <si>
    <t>Ouyen</t>
  </si>
  <si>
    <t>Melton</t>
  </si>
  <si>
    <t>Sunshine</t>
  </si>
  <si>
    <t>Truganina</t>
  </si>
  <si>
    <t>Asset life (years)</t>
  </si>
  <si>
    <t>Other risks</t>
  </si>
  <si>
    <t>HCP</t>
  </si>
  <si>
    <t>WBE</t>
  </si>
  <si>
    <t>LV</t>
  </si>
  <si>
    <t>TYA</t>
  </si>
  <si>
    <t>AC</t>
  </si>
  <si>
    <t>CPL</t>
  </si>
  <si>
    <t>LVN</t>
  </si>
  <si>
    <t>BAN</t>
  </si>
  <si>
    <t>CHW</t>
  </si>
  <si>
    <t>BAS</t>
  </si>
  <si>
    <t>BGF</t>
  </si>
  <si>
    <t>BGL</t>
  </si>
  <si>
    <t>BETS</t>
  </si>
  <si>
    <t>BGO</t>
  </si>
  <si>
    <t>EHK</t>
  </si>
  <si>
    <t>CMN</t>
  </si>
  <si>
    <t>MRO</t>
  </si>
  <si>
    <t>CTN</t>
  </si>
  <si>
    <t>BLTS</t>
  </si>
  <si>
    <t>AL</t>
  </si>
  <si>
    <t>BMH</t>
  </si>
  <si>
    <t>BCG</t>
  </si>
  <si>
    <t>WPD</t>
  </si>
  <si>
    <t>CRO</t>
  </si>
  <si>
    <t>FDN</t>
  </si>
  <si>
    <t>FNS</t>
  </si>
  <si>
    <t>SRC</t>
  </si>
  <si>
    <t>GB</t>
  </si>
  <si>
    <t>GCY</t>
  </si>
  <si>
    <t>GL</t>
  </si>
  <si>
    <t>GLE</t>
  </si>
  <si>
    <t>DDL</t>
  </si>
  <si>
    <t>WIN</t>
  </si>
  <si>
    <t>TQY</t>
  </si>
  <si>
    <t>CHM</t>
  </si>
  <si>
    <t>HSM</t>
  </si>
  <si>
    <t>NHL</t>
  </si>
  <si>
    <t>STL</t>
  </si>
  <si>
    <t>ART</t>
  </si>
  <si>
    <t>HYTS</t>
  </si>
  <si>
    <t>KGTS</t>
  </si>
  <si>
    <t>CHA</t>
  </si>
  <si>
    <t>SHL</t>
  </si>
  <si>
    <t>WND</t>
  </si>
  <si>
    <t>GSB</t>
  </si>
  <si>
    <t>SA</t>
  </si>
  <si>
    <t>SSE</t>
  </si>
  <si>
    <t>RCTS</t>
  </si>
  <si>
    <t>MBN</t>
  </si>
  <si>
    <t>DTN</t>
  </si>
  <si>
    <t>BNG</t>
  </si>
  <si>
    <t>MDA</t>
  </si>
  <si>
    <t>KYM</t>
  </si>
  <si>
    <t>SHP</t>
  </si>
  <si>
    <t>ECA</t>
  </si>
  <si>
    <t>MNA</t>
  </si>
  <si>
    <t>STN</t>
  </si>
  <si>
    <t>NKA</t>
  </si>
  <si>
    <t>CME</t>
  </si>
  <si>
    <t>SHN</t>
  </si>
  <si>
    <t>CDN</t>
  </si>
  <si>
    <t>COB</t>
  </si>
  <si>
    <t>CLC</t>
  </si>
  <si>
    <t>HTN</t>
  </si>
  <si>
    <t>OWF</t>
  </si>
  <si>
    <t>KRT</t>
  </si>
  <si>
    <t>TRG</t>
  </si>
  <si>
    <t>WBL</t>
  </si>
  <si>
    <t>PLD</t>
  </si>
  <si>
    <t>CWF</t>
  </si>
  <si>
    <t>YWF</t>
  </si>
  <si>
    <t>WMN</t>
  </si>
  <si>
    <t>RVL</t>
  </si>
  <si>
    <t>BBD</t>
  </si>
  <si>
    <t>OYN</t>
  </si>
  <si>
    <t>MLN</t>
  </si>
  <si>
    <t>SU</t>
  </si>
  <si>
    <t>TNA</t>
  </si>
  <si>
    <t xml:space="preserve">Gheringhap </t>
  </si>
  <si>
    <t>GHP</t>
  </si>
  <si>
    <t>Feeder</t>
  </si>
  <si>
    <t>Total capital cost</t>
  </si>
  <si>
    <t>BAN006</t>
  </si>
  <si>
    <t>BAN008</t>
  </si>
  <si>
    <t>BAS011</t>
  </si>
  <si>
    <t>CDN001</t>
  </si>
  <si>
    <t>CTN001</t>
  </si>
  <si>
    <t>CTN002</t>
  </si>
  <si>
    <t>CTN003</t>
  </si>
  <si>
    <t>CTN004</t>
  </si>
  <si>
    <t>ETSA001</t>
  </si>
  <si>
    <t>MNA021</t>
  </si>
  <si>
    <t>MRO008</t>
  </si>
  <si>
    <t>NKA002</t>
  </si>
  <si>
    <t>OYN001</t>
  </si>
  <si>
    <t>SHL007</t>
  </si>
  <si>
    <t>STL005</t>
  </si>
  <si>
    <t>TQY031</t>
  </si>
  <si>
    <t>DISCOUNT FACTOR</t>
  </si>
  <si>
    <t>VCR</t>
  </si>
  <si>
    <t>2032-33</t>
  </si>
  <si>
    <t>2033-34</t>
  </si>
  <si>
    <t>2034-35</t>
  </si>
  <si>
    <t>2035-36</t>
  </si>
  <si>
    <t>2036-37</t>
  </si>
  <si>
    <t>2037-38</t>
  </si>
  <si>
    <t>2038-39</t>
  </si>
  <si>
    <t>2039-40</t>
  </si>
  <si>
    <t>2040-41</t>
  </si>
  <si>
    <t>2041-42</t>
  </si>
  <si>
    <t>2042-43</t>
  </si>
  <si>
    <t>2043-44</t>
  </si>
  <si>
    <t>2044-45</t>
  </si>
  <si>
    <t>Feeders</t>
  </si>
  <si>
    <t>BATSBAS1</t>
  </si>
  <si>
    <t>BETSMRO</t>
  </si>
  <si>
    <t>KGTSGSF</t>
  </si>
  <si>
    <t>MNASTN</t>
  </si>
  <si>
    <t>SHTSKYM1</t>
  </si>
  <si>
    <t>SHTSMNA</t>
  </si>
  <si>
    <t>SHTSNKA</t>
  </si>
  <si>
    <t>SHTSSHP</t>
  </si>
  <si>
    <t>Latitude</t>
  </si>
  <si>
    <t>BATS</t>
  </si>
  <si>
    <t>KGTSHL</t>
  </si>
  <si>
    <t>SHTS</t>
  </si>
  <si>
    <t>Subtransmission</t>
  </si>
  <si>
    <t>2045-46</t>
  </si>
  <si>
    <t>2046-47</t>
  </si>
  <si>
    <t>2047-48</t>
  </si>
  <si>
    <t>2048-49</t>
  </si>
  <si>
    <t>2049-50</t>
  </si>
  <si>
    <t>2050-51</t>
  </si>
  <si>
    <t>Capex first year</t>
  </si>
  <si>
    <t>2025-26</t>
  </si>
  <si>
    <t>2024-25</t>
  </si>
  <si>
    <t>EXPENDITURE</t>
  </si>
  <si>
    <t>Sensitivities</t>
  </si>
  <si>
    <t>Total benefits</t>
  </si>
  <si>
    <t>Capex 10% higher</t>
  </si>
  <si>
    <t>Capex 10% lower</t>
  </si>
  <si>
    <t>Total benefits 10% higher</t>
  </si>
  <si>
    <t>Total benefits 10% lower</t>
  </si>
  <si>
    <t>Capex 10% higher &amp; Total benefits 10% lower</t>
  </si>
  <si>
    <t>preferred</t>
  </si>
  <si>
    <t>Total where option 2 is preferred option</t>
  </si>
  <si>
    <t>SENSITIVITIES</t>
  </si>
  <si>
    <t>Capex sensitivity</t>
  </si>
  <si>
    <t>Benefits sensitivity</t>
  </si>
  <si>
    <t>PV ($2023)</t>
  </si>
  <si>
    <t>Annualised capex</t>
  </si>
  <si>
    <t xml:space="preserve">Option 2 </t>
  </si>
  <si>
    <t>NPV ($2023)</t>
  </si>
  <si>
    <t>unchanged</t>
  </si>
  <si>
    <t>PV ($ 2023)</t>
  </si>
  <si>
    <t>Total capex</t>
  </si>
  <si>
    <t>($ 2023)</t>
  </si>
  <si>
    <t>option</t>
  </si>
  <si>
    <t>Preferred</t>
  </si>
  <si>
    <t>`</t>
  </si>
  <si>
    <t>Postcode</t>
  </si>
  <si>
    <t>Remoteness</t>
  </si>
  <si>
    <t>Load proportion</t>
  </si>
  <si>
    <t>$/MWh</t>
  </si>
  <si>
    <t>Residential</t>
  </si>
  <si>
    <t>Commercial</t>
  </si>
  <si>
    <t>Industrial</t>
  </si>
  <si>
    <t>Agricultural</t>
  </si>
  <si>
    <t>VCR $/MWh</t>
  </si>
  <si>
    <t>VCR weighted ave</t>
  </si>
  <si>
    <t>($2024 /MWh)</t>
  </si>
  <si>
    <t>2024 VCR ($2024)</t>
  </si>
  <si>
    <t>Climate zone</t>
  </si>
  <si>
    <t>Residential VCR segment</t>
  </si>
  <si>
    <t>VCR 2024 ($/kWh)</t>
  </si>
  <si>
    <t>Regional</t>
  </si>
  <si>
    <t>CBD&amp;Sub</t>
  </si>
  <si>
    <t>CZ6-CBD&amp;Sub</t>
  </si>
  <si>
    <t>CZ6-Regional</t>
  </si>
  <si>
    <t>CZ3+4-Regional</t>
  </si>
  <si>
    <t>CZ7-Regional</t>
  </si>
  <si>
    <t>Town</t>
  </si>
  <si>
    <t>Outage time saved (hours)</t>
  </si>
  <si>
    <t>took the average of 4-6h</t>
  </si>
  <si>
    <t>HIstorical</t>
  </si>
  <si>
    <t>average outage</t>
  </si>
  <si>
    <t>frequency</t>
  </si>
  <si>
    <t>Outage from</t>
  </si>
  <si>
    <t>duration (h)</t>
  </si>
  <si>
    <t>resi load</t>
  </si>
  <si>
    <t>comm load</t>
  </si>
  <si>
    <t>Reduced</t>
  </si>
  <si>
    <t>Reduced outage</t>
  </si>
  <si>
    <t xml:space="preserve">Incremental </t>
  </si>
  <si>
    <t>Community resilience ($ 2023)</t>
  </si>
  <si>
    <t>Community resilience</t>
  </si>
  <si>
    <t>per customer (SMB and residential customers)</t>
  </si>
  <si>
    <t>Value of incremental delta network resilience ($ 2023)</t>
  </si>
  <si>
    <t>Value of delta energy at risk ($ 2023)</t>
  </si>
  <si>
    <t>($ 2023 h)</t>
  </si>
  <si>
    <t>Township</t>
  </si>
  <si>
    <t>Beaufort</t>
  </si>
  <si>
    <t>Edenhope</t>
  </si>
  <si>
    <t xml:space="preserve">Dunolly </t>
  </si>
  <si>
    <t>Nelson</t>
  </si>
  <si>
    <t>Avoca</t>
  </si>
  <si>
    <t>Tarnagulla</t>
  </si>
  <si>
    <t>Simpson</t>
  </si>
  <si>
    <t>Wilaura</t>
  </si>
  <si>
    <t>Halls Gap</t>
  </si>
  <si>
    <t>Clunes</t>
  </si>
  <si>
    <t>Hepburn</t>
  </si>
  <si>
    <t>Romsey</t>
  </si>
  <si>
    <t>Boort</t>
  </si>
  <si>
    <t>Birchip</t>
  </si>
  <si>
    <t>Wycheproof</t>
  </si>
  <si>
    <t>Kaniva</t>
  </si>
  <si>
    <t>Cobram</t>
  </si>
  <si>
    <t xml:space="preserve">Yarrawonga </t>
  </si>
  <si>
    <t>Nathalia</t>
  </si>
  <si>
    <t>Wedderburn</t>
  </si>
  <si>
    <t>Murrayville</t>
  </si>
  <si>
    <t>St Arnaud</t>
  </si>
  <si>
    <t>Tatura</t>
  </si>
  <si>
    <t>Anglesea</t>
  </si>
  <si>
    <t>Bushfire LOS0</t>
  </si>
  <si>
    <t>Bushfire escalation (compared to 2026)</t>
  </si>
  <si>
    <t>Wind gusts (&gt;100km/h) escalation (compared to 2026)</t>
  </si>
  <si>
    <t xml:space="preserve">Longitude </t>
  </si>
  <si>
    <t>Bushfire and wind escalation (compared to 2026)</t>
  </si>
  <si>
    <t>Historical</t>
  </si>
  <si>
    <t>population</t>
  </si>
  <si>
    <t>(MW/h)</t>
  </si>
  <si>
    <t>Install quick connect points</t>
  </si>
  <si>
    <t>HIstorical average</t>
  </si>
  <si>
    <t>annual outage</t>
  </si>
  <si>
    <t>Average connection point cost</t>
  </si>
  <si>
    <t>Total incremental risk ($ 2023)</t>
  </si>
  <si>
    <t>timing</t>
  </si>
  <si>
    <t>6-12 hour VCR ($/kWh)</t>
  </si>
  <si>
    <t>6-12h VCR</t>
  </si>
  <si>
    <t>6-12h VCR $/MWh</t>
  </si>
  <si>
    <t>6-12h VNR</t>
  </si>
  <si>
    <t>Optimal</t>
  </si>
  <si>
    <t>delta residential VNR</t>
  </si>
  <si>
    <t>delta commercial VNR</t>
  </si>
  <si>
    <t>Probability of outage</t>
  </si>
  <si>
    <t>Revised proposal 2026-31</t>
  </si>
  <si>
    <t>Quick connection points</t>
  </si>
  <si>
    <t>Model number: 3.5.02</t>
  </si>
  <si>
    <t>Expenditure forecast</t>
  </si>
  <si>
    <t>Quick connect points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</si>
</sst>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5" formatCode="&quot;$&quot;#,##0;\-&quot;$&quot;#,##0"/>
    <numFmt numFmtId="6" formatCode="&quot;$&quot;#,##0;[Red]\-&quot;$&quot;#,##0"/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??_);_(@_)"/>
    <numFmt numFmtId="165" formatCode="_-* #,##0_-;* \(#,##0\)_-;_-* &quot;-&quot;??_-;_-@_-"/>
    <numFmt numFmtId="166" formatCode="#,##0_);\(#,##0\);\-\-_)"/>
    <numFmt numFmtId="167" formatCode="#,##0;[Red]\ \-#,##0;\ &quot;-&quot;"/>
    <numFmt numFmtId="168" formatCode="&quot;$&quot;\ mmm\ yyyy"/>
    <numFmt numFmtId="169" formatCode="&quot;$&quot;#,##0.00"/>
    <numFmt numFmtId="170" formatCode="&quot;$&quot;#,##0"/>
    <numFmt numFmtId="171" formatCode="0.000"/>
    <numFmt numFmtId="172" formatCode="mmmm"/>
    <numFmt numFmtId="173" formatCode="#,##0;[Red]\ \(#,##0\);\ &quot;-&quot;"/>
    <numFmt numFmtId="174" formatCode="0.0000"/>
    <numFmt numFmtId="175" formatCode="#,##0.0;[Red]\ \(#,##0.0\);\ &quot;-&quot;"/>
    <numFmt numFmtId="176" formatCode="0;\ \-0;\ &quot;-&quot;"/>
    <numFmt numFmtId="177" formatCode="#,##0.000000;\ \-#,##0.000000;\ &quot;-&quot;"/>
    <numFmt numFmtId="178" formatCode="#,##0;\ \-#,##0;\ &quot;-&quot;"/>
    <numFmt numFmtId="179" formatCode="&quot;$&quot;&quot;m&quot;\ mmm\ yyyy"/>
    <numFmt numFmtId="180" formatCode="_-&quot;$&quot;* #,##0_-;\-&quot;$&quot;* #,##0_-;_-&quot;$&quot;* &quot;-&quot;??_-;_-@_-"/>
    <numFmt numFmtId="181" formatCode="0.0"/>
    <numFmt numFmtId="182" formatCode="_-* #,##0_-;\-* #,##0_-;_-* &quot;-&quot;??_-;_-@_-"/>
    <numFmt numFmtId="183" formatCode="#,##0;[Red]\ \ \-#,##0;\ &quot;-&quot;"/>
    <numFmt numFmtId="184" formatCode="#,##0.00;[Red]\ \ \-#,##0.00;\ &quot;-&quot;"/>
    <numFmt numFmtId="185" formatCode="&quot;$&quot;#,##0;\-&quot;$&quot;#,##0;\ &quot;-&quot;"/>
    <numFmt numFmtId="186" formatCode="dd\ mmmm\ yyyy"/>
    <numFmt numFmtId="187" formatCode="mmm\ yyyy"/>
    <numFmt numFmtId="189" formatCode="#,##0.0;[Red]\ \-#,##0.0;\ &quot;-&quot;"/>
    <numFmt numFmtId="190" formatCode="\+0%;[Red]\ \ \-0%;\ &quot;-&quot;"/>
    <numFmt numFmtId="191" formatCode="#,##0_ ;\-#,##0\ "/>
    <numFmt numFmtId="192" formatCode="&quot;$&quot;&quot;M&quot;\ mmm\ yyyy"/>
    <numFmt numFmtId="193" formatCode="#,##0.00;[Red]\ \-#,##0.00;\ &quot;-&quot;"/>
    <numFmt numFmtId="194" formatCode="#,##0.00000;[Red]\ \(#,##0.00000\);\ &quot;-&quot;"/>
    <numFmt numFmtId="195" formatCode="#,##0.0;[Red]#,##0.0"/>
    <numFmt numFmtId="196" formatCode="#,##0.00;[Red]#,##0.00"/>
    <numFmt numFmtId="197" formatCode="0.00000_ ;\-0.00000\ "/>
  </numFmts>
  <fonts count="80" x14ac:knownFonts="1"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10"/>
      <color theme="3"/>
      <name val="Arial"/>
      <family val="2"/>
    </font>
    <font>
      <sz val="11"/>
      <color theme="1"/>
      <name val="Arial"/>
      <family val="2"/>
    </font>
    <font>
      <sz val="10"/>
      <color theme="0" tint="-0.3499862666707357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9" tint="-0.499984740745262"/>
      <name val="Arial"/>
      <family val="2"/>
    </font>
    <font>
      <sz val="10"/>
      <color theme="0"/>
      <name val="Arial"/>
      <family val="2"/>
    </font>
    <font>
      <sz val="10"/>
      <color theme="0" tint="-0.499984740745262"/>
      <name val="Arial"/>
      <family val="2"/>
    </font>
    <font>
      <i/>
      <sz val="10"/>
      <color theme="0" tint="-0.34998626667073579"/>
      <name val="Arial"/>
      <family val="2"/>
    </font>
    <font>
      <b/>
      <sz val="14"/>
      <color indexed="9"/>
      <name val="Arial"/>
      <family val="2"/>
    </font>
    <font>
      <b/>
      <u/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sz val="12"/>
      <color indexed="9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</font>
    <font>
      <b/>
      <sz val="14"/>
      <color theme="1"/>
      <name val="Calibri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4"/>
      <color indexed="9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3333FF"/>
      <name val="Calibri"/>
      <family val="2"/>
      <scheme val="minor"/>
    </font>
    <font>
      <sz val="8"/>
      <color rgb="FF767676"/>
      <name val="Arial"/>
      <family val="2"/>
    </font>
    <font>
      <vertAlign val="subscript"/>
      <sz val="8.5"/>
      <color theme="1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indexed="9"/>
      <name val="Calibri"/>
      <family val="2"/>
    </font>
    <font>
      <sz val="10"/>
      <color rgb="FF0000CC"/>
      <name val="Calibri"/>
      <family val="2"/>
    </font>
    <font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rgb="FF3333FF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i/>
      <sz val="9"/>
      <color theme="1" tint="0.499984740745262"/>
      <name val="Calibri"/>
      <family val="2"/>
      <scheme val="minor"/>
    </font>
    <font>
      <b/>
      <i/>
      <sz val="9"/>
      <color theme="1" tint="0.499984740745262"/>
      <name val="Calibri"/>
      <family val="2"/>
      <scheme val="minor"/>
    </font>
    <font>
      <b/>
      <sz val="12"/>
      <color indexed="9"/>
      <name val="Calibri"/>
      <family val="2"/>
      <scheme val="minor"/>
    </font>
    <font>
      <i/>
      <sz val="10"/>
      <color theme="1" tint="0.249977111117893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i/>
      <sz val="10"/>
      <color theme="1" tint="0.499984740745262"/>
      <name val="Calibri"/>
      <family val="2"/>
      <scheme val="minor"/>
    </font>
    <font>
      <i/>
      <sz val="8"/>
      <color theme="1" tint="0.499984740745262"/>
      <name val="Calibri"/>
      <family val="2"/>
      <scheme val="minor"/>
    </font>
    <font>
      <sz val="10"/>
      <color theme="1" tint="0.14999847407452621"/>
      <name val="Calibri"/>
      <family val="2"/>
      <scheme val="minor"/>
    </font>
    <font>
      <sz val="8"/>
      <color theme="1"/>
      <name val="Calibri"/>
      <family val="2"/>
    </font>
    <font>
      <b/>
      <sz val="10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8"/>
      <color rgb="FF000000"/>
      <name val="Arial"/>
      <family val="2"/>
    </font>
    <font>
      <b/>
      <sz val="10"/>
      <color theme="1"/>
      <name val="Verdana"/>
      <family val="2"/>
    </font>
    <font>
      <i/>
      <sz val="10"/>
      <color theme="1"/>
      <name val="Verdana"/>
      <family val="2"/>
    </font>
    <font>
      <b/>
      <sz val="18"/>
      <color rgb="FF00215B"/>
      <name val="Arial"/>
      <family val="2"/>
    </font>
    <font>
      <sz val="11"/>
      <color rgb="FF00215B"/>
      <name val="Calibri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  <font>
      <sz val="9"/>
      <color rgb="FFFFFFFF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color theme="1" tint="0.34998626667073579"/>
      <name val="Calibri"/>
      <family val="2"/>
      <scheme val="minor"/>
    </font>
    <font>
      <b/>
      <sz val="10"/>
      <color rgb="FFFFFFFF"/>
      <name val="Calibri"/>
      <family val="2"/>
    </font>
    <font>
      <b/>
      <i/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0"/>
      <color theme="1"/>
      <name val="Arial"/>
      <family val="2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0"/>
      <name val="Calibri"/>
      <family val="2"/>
    </font>
    <font>
      <sz val="10"/>
      <name val="Verdana"/>
      <family val="2"/>
    </font>
    <font>
      <sz val="10"/>
      <color rgb="FFFF0000"/>
      <name val="Verdana"/>
      <family val="2"/>
    </font>
    <font>
      <sz val="10"/>
      <color theme="0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34998626667073579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3366"/>
        <bgColor indexed="64"/>
      </patternFill>
    </fill>
    <fill>
      <patternFill patternType="solid">
        <fgColor rgb="FF0054A8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CE4F4"/>
        <bgColor indexed="64"/>
      </patternFill>
    </fill>
    <fill>
      <patternFill patternType="solid">
        <fgColor rgb="FF00215B"/>
        <bgColor indexed="64"/>
      </patternFill>
    </fill>
    <fill>
      <patternFill patternType="solid">
        <fgColor rgb="FF00B0F0"/>
        <bgColor rgb="FF000000"/>
      </patternFill>
    </fill>
    <fill>
      <patternFill patternType="solid">
        <fgColor rgb="FFFFFFCC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ck">
        <color theme="0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auto="1"/>
      </right>
      <top/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theme="1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1">
    <xf numFmtId="0" fontId="0" fillId="0" borderId="0"/>
    <xf numFmtId="0" fontId="8" fillId="0" borderId="0"/>
    <xf numFmtId="0" fontId="4" fillId="2" borderId="1" applyNumberFormat="0" applyAlignment="0">
      <alignment horizontal="right"/>
      <protection locked="0"/>
    </xf>
    <xf numFmtId="164" fontId="5" fillId="0" borderId="0" applyFont="0" applyFill="0" applyBorder="0" applyAlignment="0" applyProtection="0"/>
    <xf numFmtId="165" fontId="6" fillId="3" borderId="2" applyAlignment="0"/>
    <xf numFmtId="0" fontId="16" fillId="0" borderId="0" applyNumberFormat="0"/>
    <xf numFmtId="0" fontId="7" fillId="0" borderId="3" applyNumberFormat="0" applyAlignment="0"/>
    <xf numFmtId="0" fontId="5" fillId="0" borderId="4" applyNumberFormat="0" applyFont="0" applyFill="0" applyAlignment="0"/>
    <xf numFmtId="0" fontId="7" fillId="0" borderId="0"/>
    <xf numFmtId="0" fontId="8" fillId="1" borderId="0"/>
    <xf numFmtId="0" fontId="9" fillId="4" borderId="5" applyNumberFormat="0" applyAlignment="0"/>
    <xf numFmtId="0" fontId="10" fillId="5" borderId="3" applyNumberFormat="0">
      <alignment horizontal="centerContinuous" vertical="center" wrapText="1"/>
    </xf>
    <xf numFmtId="0" fontId="11" fillId="4" borderId="6" applyNumberFormat="0" applyAlignment="0"/>
    <xf numFmtId="0" fontId="12" fillId="0" borderId="0" applyNumberFormat="0"/>
    <xf numFmtId="0" fontId="14" fillId="7" borderId="0"/>
    <xf numFmtId="0" fontId="15" fillId="0" borderId="0"/>
    <xf numFmtId="166" fontId="13" fillId="6" borderId="0"/>
    <xf numFmtId="166" fontId="17" fillId="6" borderId="0"/>
    <xf numFmtId="0" fontId="18" fillId="0" borderId="0"/>
    <xf numFmtId="9" fontId="21" fillId="0" borderId="0" applyFont="0" applyFill="0" applyBorder="0" applyAlignment="0" applyProtection="0"/>
    <xf numFmtId="0" fontId="21" fillId="0" borderId="0"/>
    <xf numFmtId="0" fontId="32" fillId="9" borderId="0" applyNumberFormat="0">
      <alignment horizontal="center"/>
    </xf>
    <xf numFmtId="170" fontId="24" fillId="0" borderId="8" applyNumberFormat="0" applyProtection="0">
      <alignment horizontal="right"/>
    </xf>
    <xf numFmtId="10" fontId="31" fillId="2" borderId="0" applyNumberFormat="0" applyAlignment="0" applyProtection="0"/>
    <xf numFmtId="10" fontId="49" fillId="12" borderId="0" applyNumberFormat="0" applyBorder="0" applyAlignment="0" applyProtection="0"/>
    <xf numFmtId="0" fontId="7" fillId="0" borderId="0"/>
    <xf numFmtId="44" fontId="53" fillId="0" borderId="0" applyFont="0" applyFill="0" applyBorder="0" applyAlignment="0" applyProtection="0"/>
    <xf numFmtId="0" fontId="54" fillId="0" borderId="0" applyFill="0" applyBorder="0"/>
    <xf numFmtId="0" fontId="21" fillId="0" borderId="0"/>
    <xf numFmtId="0" fontId="21" fillId="0" borderId="0"/>
    <xf numFmtId="43" fontId="53" fillId="0" borderId="0" applyFont="0" applyFill="0" applyBorder="0" applyAlignment="0" applyProtection="0"/>
    <xf numFmtId="9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3" fillId="0" borderId="0"/>
    <xf numFmtId="0" fontId="2" fillId="0" borderId="0"/>
    <xf numFmtId="0" fontId="2" fillId="20" borderId="21" applyNumberFormat="0" applyFont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1" fillId="0" borderId="0"/>
  </cellStyleXfs>
  <cellXfs count="241">
    <xf numFmtId="0" fontId="0" fillId="0" borderId="0" xfId="0"/>
    <xf numFmtId="0" fontId="18" fillId="0" borderId="0" xfId="18"/>
    <xf numFmtId="0" fontId="18" fillId="0" borderId="0" xfId="18" applyAlignment="1">
      <alignment horizontal="right"/>
    </xf>
    <xf numFmtId="0" fontId="20" fillId="0" borderId="0" xfId="18" applyFont="1"/>
    <xf numFmtId="0" fontId="19" fillId="0" borderId="0" xfId="18" applyFont="1" applyAlignment="1">
      <alignment vertical="center"/>
    </xf>
    <xf numFmtId="0" fontId="23" fillId="0" borderId="0" xfId="18" applyFont="1"/>
    <xf numFmtId="0" fontId="25" fillId="0" borderId="0" xfId="18" applyFont="1"/>
    <xf numFmtId="0" fontId="18" fillId="0" borderId="0" xfId="0" applyFont="1"/>
    <xf numFmtId="0" fontId="26" fillId="0" borderId="0" xfId="8" applyFont="1"/>
    <xf numFmtId="0" fontId="27" fillId="0" borderId="0" xfId="0" applyFont="1"/>
    <xf numFmtId="166" fontId="29" fillId="8" borderId="0" xfId="16" applyFont="1" applyFill="1"/>
    <xf numFmtId="0" fontId="18" fillId="0" borderId="0" xfId="18" applyAlignment="1">
      <alignment horizontal="left"/>
    </xf>
    <xf numFmtId="0" fontId="31" fillId="2" borderId="0" xfId="0" applyFont="1" applyFill="1"/>
    <xf numFmtId="0" fontId="20" fillId="0" borderId="0" xfId="0" applyFont="1"/>
    <xf numFmtId="166" fontId="29" fillId="10" borderId="0" xfId="16" applyFont="1" applyFill="1"/>
    <xf numFmtId="0" fontId="22" fillId="11" borderId="0" xfId="18" applyFont="1" applyFill="1" applyAlignment="1">
      <alignment vertical="center"/>
    </xf>
    <xf numFmtId="0" fontId="22" fillId="11" borderId="0" xfId="18" applyFont="1" applyFill="1" applyAlignment="1">
      <alignment horizontal="right" vertical="center"/>
    </xf>
    <xf numFmtId="0" fontId="28" fillId="11" borderId="0" xfId="18" applyFont="1" applyFill="1" applyAlignment="1">
      <alignment vertical="center"/>
    </xf>
    <xf numFmtId="166" fontId="35" fillId="10" borderId="0" xfId="16" applyFont="1" applyFill="1"/>
    <xf numFmtId="0" fontId="18" fillId="0" borderId="0" xfId="0" applyFont="1" applyAlignment="1">
      <alignment horizontal="left"/>
    </xf>
    <xf numFmtId="0" fontId="24" fillId="0" borderId="0" xfId="18" applyFont="1"/>
    <xf numFmtId="0" fontId="18" fillId="2" borderId="0" xfId="0" applyFont="1" applyFill="1"/>
    <xf numFmtId="172" fontId="18" fillId="0" borderId="0" xfId="0" applyNumberFormat="1" applyFont="1"/>
    <xf numFmtId="172" fontId="18" fillId="2" borderId="0" xfId="0" applyNumberFormat="1" applyFont="1" applyFill="1" applyAlignment="1">
      <alignment horizontal="left"/>
    </xf>
    <xf numFmtId="0" fontId="20" fillId="0" borderId="0" xfId="18" applyFont="1" applyAlignment="1">
      <alignment horizontal="left"/>
    </xf>
    <xf numFmtId="0" fontId="18" fillId="2" borderId="0" xfId="0" quotePrefix="1" applyFont="1" applyFill="1"/>
    <xf numFmtId="0" fontId="20" fillId="0" borderId="7" xfId="18" applyFont="1" applyBorder="1" applyAlignment="1">
      <alignment horizontal="left"/>
    </xf>
    <xf numFmtId="0" fontId="20" fillId="0" borderId="7" xfId="18" applyFont="1" applyBorder="1"/>
    <xf numFmtId="0" fontId="38" fillId="0" borderId="0" xfId="8" applyFont="1"/>
    <xf numFmtId="0" fontId="39" fillId="0" borderId="0" xfId="18" applyFont="1"/>
    <xf numFmtId="0" fontId="18" fillId="13" borderId="4" xfId="18" applyFill="1" applyBorder="1" applyAlignment="1">
      <alignment horizontal="left"/>
    </xf>
    <xf numFmtId="1" fontId="31" fillId="2" borderId="0" xfId="18" quotePrefix="1" applyNumberFormat="1" applyFont="1" applyFill="1" applyAlignment="1">
      <alignment horizontal="center"/>
    </xf>
    <xf numFmtId="10" fontId="31" fillId="2" borderId="0" xfId="23" applyNumberFormat="1"/>
    <xf numFmtId="171" fontId="37" fillId="2" borderId="0" xfId="18" applyNumberFormat="1" applyFont="1" applyFill="1" applyAlignment="1">
      <alignment horizontal="right"/>
    </xf>
    <xf numFmtId="14" fontId="18" fillId="0" borderId="0" xfId="0" applyNumberFormat="1" applyFont="1"/>
    <xf numFmtId="1" fontId="18" fillId="2" borderId="0" xfId="0" applyNumberFormat="1" applyFont="1" applyFill="1" applyAlignment="1">
      <alignment horizontal="left"/>
    </xf>
    <xf numFmtId="14" fontId="20" fillId="0" borderId="7" xfId="18" applyNumberFormat="1" applyFont="1" applyBorder="1"/>
    <xf numFmtId="0" fontId="43" fillId="0" borderId="7" xfId="18" quotePrefix="1" applyFont="1" applyBorder="1" applyAlignment="1">
      <alignment horizontal="left"/>
    </xf>
    <xf numFmtId="14" fontId="40" fillId="2" borderId="7" xfId="23" applyNumberFormat="1" applyFont="1" applyBorder="1"/>
    <xf numFmtId="0" fontId="0" fillId="0" borderId="0" xfId="0" applyAlignment="1">
      <alignment horizontal="left"/>
    </xf>
    <xf numFmtId="168" fontId="34" fillId="0" borderId="7" xfId="18" applyNumberFormat="1" applyFont="1" applyBorder="1" applyAlignment="1">
      <alignment horizontal="left" vertical="center"/>
    </xf>
    <xf numFmtId="0" fontId="24" fillId="0" borderId="0" xfId="18" applyFont="1" applyAlignment="1">
      <alignment horizontal="left"/>
    </xf>
    <xf numFmtId="0" fontId="31" fillId="2" borderId="0" xfId="23" applyNumberFormat="1"/>
    <xf numFmtId="0" fontId="18" fillId="13" borderId="0" xfId="18" applyFill="1" applyAlignment="1">
      <alignment horizontal="left"/>
    </xf>
    <xf numFmtId="0" fontId="20" fillId="0" borderId="7" xfId="0" applyFont="1" applyBorder="1"/>
    <xf numFmtId="166" fontId="41" fillId="12" borderId="0" xfId="17" applyFont="1" applyFill="1"/>
    <xf numFmtId="166" fontId="44" fillId="10" borderId="0" xfId="16" applyFont="1" applyFill="1"/>
    <xf numFmtId="174" fontId="18" fillId="0" borderId="0" xfId="18" applyNumberFormat="1" applyAlignment="1">
      <alignment horizontal="right"/>
    </xf>
    <xf numFmtId="0" fontId="18" fillId="0" borderId="7" xfId="0" applyFont="1" applyBorder="1"/>
    <xf numFmtId="172" fontId="31" fillId="2" borderId="9" xfId="18" quotePrefix="1" applyNumberFormat="1" applyFont="1" applyFill="1" applyBorder="1" applyAlignment="1">
      <alignment horizontal="left"/>
    </xf>
    <xf numFmtId="0" fontId="19" fillId="0" borderId="0" xfId="18" applyFont="1" applyAlignment="1">
      <alignment horizontal="left" vertical="top"/>
    </xf>
    <xf numFmtId="172" fontId="18" fillId="2" borderId="0" xfId="0" quotePrefix="1" applyNumberFormat="1" applyFont="1" applyFill="1" applyAlignment="1">
      <alignment horizontal="left"/>
    </xf>
    <xf numFmtId="0" fontId="47" fillId="0" borderId="0" xfId="0" applyFont="1" applyAlignment="1">
      <alignment horizontal="right"/>
    </xf>
    <xf numFmtId="0" fontId="45" fillId="0" borderId="0" xfId="0" applyFont="1" applyAlignment="1">
      <alignment horizontal="left" indent="1"/>
    </xf>
    <xf numFmtId="168" fontId="24" fillId="0" borderId="8" xfId="22" applyNumberFormat="1">
      <alignment horizontal="right"/>
    </xf>
    <xf numFmtId="0" fontId="48" fillId="0" borderId="0" xfId="18" quotePrefix="1" applyFont="1" applyAlignment="1">
      <alignment horizontal="left"/>
    </xf>
    <xf numFmtId="168" fontId="46" fillId="0" borderId="0" xfId="23" applyNumberFormat="1" applyFont="1" applyFill="1" applyAlignment="1">
      <alignment horizontal="right"/>
    </xf>
    <xf numFmtId="0" fontId="20" fillId="0" borderId="7" xfId="18" applyFont="1" applyBorder="1" applyAlignment="1">
      <alignment horizontal="right"/>
    </xf>
    <xf numFmtId="0" fontId="46" fillId="0" borderId="0" xfId="18" applyFont="1" applyAlignment="1">
      <alignment horizontal="left" indent="1"/>
    </xf>
    <xf numFmtId="0" fontId="18" fillId="0" borderId="0" xfId="18" applyAlignment="1">
      <alignment horizontal="left" vertical="top" wrapText="1"/>
    </xf>
    <xf numFmtId="0" fontId="20" fillId="0" borderId="7" xfId="18" applyFont="1" applyBorder="1" applyAlignment="1">
      <alignment horizontal="left" vertical="top"/>
    </xf>
    <xf numFmtId="0" fontId="18" fillId="0" borderId="7" xfId="18" applyBorder="1" applyAlignment="1">
      <alignment horizontal="left" vertical="top"/>
    </xf>
    <xf numFmtId="14" fontId="18" fillId="0" borderId="0" xfId="18" applyNumberFormat="1"/>
    <xf numFmtId="14" fontId="18" fillId="0" borderId="7" xfId="18" applyNumberFormat="1" applyBorder="1"/>
    <xf numFmtId="14" fontId="31" fillId="2" borderId="0" xfId="18" applyNumberFormat="1" applyFont="1" applyFill="1"/>
    <xf numFmtId="10" fontId="38" fillId="0" borderId="0" xfId="23" applyNumberFormat="1" applyFont="1" applyFill="1"/>
    <xf numFmtId="0" fontId="30" fillId="0" borderId="0" xfId="0" applyFont="1"/>
    <xf numFmtId="49" fontId="18" fillId="2" borderId="0" xfId="0" applyNumberFormat="1" applyFont="1" applyFill="1" applyAlignment="1">
      <alignment horizontal="left"/>
    </xf>
    <xf numFmtId="167" fontId="38" fillId="2" borderId="0" xfId="18" applyNumberFormat="1" applyFont="1" applyFill="1" applyAlignment="1">
      <alignment horizontal="right" vertical="center"/>
    </xf>
    <xf numFmtId="175" fontId="18" fillId="0" borderId="0" xfId="18" applyNumberFormat="1" applyAlignment="1">
      <alignment vertical="top" wrapText="1"/>
    </xf>
    <xf numFmtId="170" fontId="24" fillId="0" borderId="8" xfId="22" applyNumberFormat="1">
      <alignment horizontal="right"/>
    </xf>
    <xf numFmtId="0" fontId="18" fillId="0" borderId="0" xfId="20" applyFont="1"/>
    <xf numFmtId="0" fontId="20" fillId="0" borderId="0" xfId="20" applyFont="1"/>
    <xf numFmtId="0" fontId="21" fillId="0" borderId="0" xfId="20"/>
    <xf numFmtId="0" fontId="51" fillId="14" borderId="0" xfId="20" applyFont="1" applyFill="1" applyAlignment="1">
      <alignment vertical="top"/>
    </xf>
    <xf numFmtId="0" fontId="18" fillId="2" borderId="0" xfId="20" applyFont="1" applyFill="1"/>
    <xf numFmtId="0" fontId="20" fillId="0" borderId="0" xfId="18" applyFont="1" applyAlignment="1">
      <alignment horizontal="center"/>
    </xf>
    <xf numFmtId="167" fontId="38" fillId="2" borderId="0" xfId="18" applyNumberFormat="1" applyFont="1" applyFill="1" applyAlignment="1">
      <alignment horizontal="left" vertical="center"/>
    </xf>
    <xf numFmtId="170" fontId="31" fillId="2" borderId="0" xfId="23" applyNumberFormat="1" applyAlignment="1">
      <alignment horizontal="right"/>
    </xf>
    <xf numFmtId="176" fontId="49" fillId="2" borderId="0" xfId="24" applyNumberFormat="1" applyFill="1" applyAlignment="1">
      <alignment horizontal="right"/>
    </xf>
    <xf numFmtId="0" fontId="20" fillId="0" borderId="7" xfId="0" applyFont="1" applyBorder="1" applyAlignment="1">
      <alignment horizontal="left"/>
    </xf>
    <xf numFmtId="0" fontId="20" fillId="0" borderId="7" xfId="0" applyFont="1" applyBorder="1" applyAlignment="1">
      <alignment horizontal="center"/>
    </xf>
    <xf numFmtId="0" fontId="20" fillId="0" borderId="0" xfId="0" applyFont="1" applyAlignment="1">
      <alignment horizontal="center"/>
    </xf>
    <xf numFmtId="177" fontId="31" fillId="2" borderId="8" xfId="23" applyNumberFormat="1" applyBorder="1" applyAlignment="1">
      <alignment horizontal="right"/>
    </xf>
    <xf numFmtId="177" fontId="31" fillId="2" borderId="10" xfId="23" applyNumberFormat="1" applyBorder="1" applyAlignment="1">
      <alignment horizontal="right"/>
    </xf>
    <xf numFmtId="178" fontId="31" fillId="2" borderId="10" xfId="23" applyNumberFormat="1" applyBorder="1" applyAlignment="1">
      <alignment horizontal="center"/>
    </xf>
    <xf numFmtId="169" fontId="18" fillId="0" borderId="0" xfId="0" applyNumberFormat="1" applyFont="1"/>
    <xf numFmtId="179" fontId="18" fillId="0" borderId="7" xfId="18" applyNumberFormat="1" applyBorder="1" applyAlignment="1">
      <alignment horizontal="center"/>
    </xf>
    <xf numFmtId="171" fontId="42" fillId="0" borderId="0" xfId="8" applyNumberFormat="1" applyFont="1"/>
    <xf numFmtId="0" fontId="52" fillId="0" borderId="0" xfId="18" applyFont="1"/>
    <xf numFmtId="175" fontId="19" fillId="13" borderId="0" xfId="18" applyNumberFormat="1" applyFont="1" applyFill="1" applyAlignment="1">
      <alignment horizontal="right" vertical="center"/>
    </xf>
    <xf numFmtId="166" fontId="29" fillId="8" borderId="0" xfId="16" applyFont="1" applyFill="1" applyAlignment="1">
      <alignment horizontal="left"/>
    </xf>
    <xf numFmtId="0" fontId="19" fillId="0" borderId="0" xfId="27" applyFont="1"/>
    <xf numFmtId="0" fontId="18" fillId="0" borderId="0" xfId="18" applyAlignment="1">
      <alignment vertical="top"/>
    </xf>
    <xf numFmtId="0" fontId="56" fillId="0" borderId="0" xfId="0" applyFont="1"/>
    <xf numFmtId="0" fontId="28" fillId="11" borderId="0" xfId="18" applyFont="1" applyFill="1" applyAlignment="1">
      <alignment horizontal="right" vertical="center"/>
    </xf>
    <xf numFmtId="0" fontId="22" fillId="0" borderId="0" xfId="18" applyFont="1" applyAlignment="1">
      <alignment horizontal="right" vertical="center"/>
    </xf>
    <xf numFmtId="166" fontId="44" fillId="8" borderId="0" xfId="16" applyFont="1" applyFill="1"/>
    <xf numFmtId="170" fontId="31" fillId="2" borderId="0" xfId="24" applyNumberFormat="1" applyFont="1" applyFill="1" applyBorder="1" applyAlignment="1">
      <alignment horizontal="right"/>
    </xf>
    <xf numFmtId="169" fontId="31" fillId="2" borderId="0" xfId="24" applyNumberFormat="1" applyFont="1" applyFill="1" applyBorder="1" applyAlignment="1">
      <alignment horizontal="right"/>
    </xf>
    <xf numFmtId="10" fontId="31" fillId="2" borderId="0" xfId="23" quotePrefix="1" applyNumberFormat="1"/>
    <xf numFmtId="168" fontId="31" fillId="2" borderId="0" xfId="23" applyNumberFormat="1" applyAlignment="1">
      <alignment horizontal="right"/>
    </xf>
    <xf numFmtId="168" fontId="31" fillId="2" borderId="0" xfId="23" applyNumberFormat="1" applyAlignment="1">
      <alignment horizontal="right" vertical="center"/>
    </xf>
    <xf numFmtId="169" fontId="31" fillId="2" borderId="0" xfId="23" applyNumberFormat="1" applyAlignment="1">
      <alignment horizontal="right"/>
    </xf>
    <xf numFmtId="173" fontId="18" fillId="0" borderId="0" xfId="18" applyNumberFormat="1" applyAlignment="1">
      <alignment vertical="top" wrapText="1"/>
    </xf>
    <xf numFmtId="17" fontId="0" fillId="0" borderId="0" xfId="0" applyNumberFormat="1"/>
    <xf numFmtId="0" fontId="31" fillId="2" borderId="0" xfId="23" applyNumberFormat="1" applyAlignment="1">
      <alignment horizontal="right"/>
    </xf>
    <xf numFmtId="7" fontId="18" fillId="0" borderId="0" xfId="18" applyNumberFormat="1"/>
    <xf numFmtId="180" fontId="18" fillId="0" borderId="0" xfId="26" applyNumberFormat="1" applyFont="1"/>
    <xf numFmtId="185" fontId="18" fillId="0" borderId="0" xfId="18" applyNumberFormat="1"/>
    <xf numFmtId="0" fontId="21" fillId="18" borderId="0" xfId="20" applyFill="1"/>
    <xf numFmtId="0" fontId="3" fillId="0" borderId="0" xfId="35"/>
    <xf numFmtId="0" fontId="57" fillId="0" borderId="0" xfId="20" applyFont="1"/>
    <xf numFmtId="0" fontId="58" fillId="0" borderId="0" xfId="20" applyFont="1"/>
    <xf numFmtId="0" fontId="59" fillId="0" borderId="0" xfId="20" applyFont="1"/>
    <xf numFmtId="0" fontId="60" fillId="0" borderId="0" xfId="20" applyFont="1"/>
    <xf numFmtId="0" fontId="61" fillId="0" borderId="0" xfId="20" applyFont="1"/>
    <xf numFmtId="0" fontId="62" fillId="0" borderId="0" xfId="20" applyFont="1"/>
    <xf numFmtId="186" fontId="63" fillId="0" borderId="0" xfId="20" applyNumberFormat="1" applyFont="1" applyAlignment="1">
      <alignment horizontal="left"/>
    </xf>
    <xf numFmtId="0" fontId="64" fillId="0" borderId="0" xfId="20" applyFont="1"/>
    <xf numFmtId="187" fontId="65" fillId="11" borderId="0" xfId="18" applyNumberFormat="1" applyFont="1" applyFill="1" applyAlignment="1">
      <alignment horizontal="right" vertical="center"/>
    </xf>
    <xf numFmtId="0" fontId="20" fillId="17" borderId="14" xfId="18" applyFont="1" applyFill="1" applyBorder="1" applyAlignment="1">
      <alignment horizontal="right" vertical="center" wrapText="1"/>
    </xf>
    <xf numFmtId="0" fontId="20" fillId="0" borderId="7" xfId="0" applyFont="1" applyBorder="1" applyAlignment="1">
      <alignment horizontal="right"/>
    </xf>
    <xf numFmtId="0" fontId="18" fillId="0" borderId="0" xfId="18" applyAlignment="1">
      <alignment horizontal="left" vertical="top"/>
    </xf>
    <xf numFmtId="189" fontId="19" fillId="0" borderId="0" xfId="18" applyNumberFormat="1" applyFont="1" applyAlignment="1">
      <alignment horizontal="right" vertical="center"/>
    </xf>
    <xf numFmtId="0" fontId="38" fillId="0" borderId="0" xfId="18" applyFont="1"/>
    <xf numFmtId="0" fontId="18" fillId="0" borderId="7" xfId="18" applyBorder="1"/>
    <xf numFmtId="0" fontId="66" fillId="0" borderId="7" xfId="18" applyFont="1" applyBorder="1"/>
    <xf numFmtId="0" fontId="67" fillId="0" borderId="0" xfId="0" applyFont="1"/>
    <xf numFmtId="190" fontId="31" fillId="2" borderId="0" xfId="23" applyNumberFormat="1" applyAlignment="1">
      <alignment horizontal="right"/>
    </xf>
    <xf numFmtId="178" fontId="18" fillId="0" borderId="0" xfId="0" applyNumberFormat="1" applyFont="1" applyAlignment="1">
      <alignment horizontal="left"/>
    </xf>
    <xf numFmtId="190" fontId="40" fillId="2" borderId="0" xfId="23" applyNumberFormat="1" applyFont="1" applyAlignment="1">
      <alignment horizontal="right"/>
    </xf>
    <xf numFmtId="0" fontId="66" fillId="0" borderId="0" xfId="0" applyFont="1"/>
    <xf numFmtId="0" fontId="20" fillId="0" borderId="18" xfId="0" applyFont="1" applyBorder="1"/>
    <xf numFmtId="0" fontId="20" fillId="0" borderId="18" xfId="18" applyFont="1" applyBorder="1"/>
    <xf numFmtId="185" fontId="20" fillId="0" borderId="18" xfId="18" applyNumberFormat="1" applyFont="1" applyBorder="1"/>
    <xf numFmtId="0" fontId="53" fillId="0" borderId="0" xfId="0" applyFont="1"/>
    <xf numFmtId="0" fontId="68" fillId="15" borderId="0" xfId="0" applyFont="1" applyFill="1" applyAlignment="1">
      <alignment horizontal="center" vertical="center"/>
    </xf>
    <xf numFmtId="0" fontId="18" fillId="0" borderId="0" xfId="18" applyAlignment="1">
      <alignment horizontal="center"/>
    </xf>
    <xf numFmtId="191" fontId="20" fillId="0" borderId="18" xfId="18" applyNumberFormat="1" applyFont="1" applyBorder="1"/>
    <xf numFmtId="189" fontId="0" fillId="0" borderId="0" xfId="0" applyNumberFormat="1"/>
    <xf numFmtId="192" fontId="18" fillId="0" borderId="7" xfId="18" applyNumberFormat="1" applyBorder="1" applyAlignment="1">
      <alignment horizontal="right"/>
    </xf>
    <xf numFmtId="193" fontId="19" fillId="0" borderId="0" xfId="18" applyNumberFormat="1" applyFont="1" applyAlignment="1">
      <alignment horizontal="right" vertical="center"/>
    </xf>
    <xf numFmtId="0" fontId="55" fillId="0" borderId="0" xfId="0" applyFont="1" applyAlignment="1">
      <alignment horizontal="right"/>
    </xf>
    <xf numFmtId="0" fontId="20" fillId="0" borderId="0" xfId="18" applyFont="1" applyAlignment="1">
      <alignment horizontal="left" vertical="top"/>
    </xf>
    <xf numFmtId="0" fontId="55" fillId="0" borderId="0" xfId="0" applyFont="1"/>
    <xf numFmtId="189" fontId="34" fillId="0" borderId="0" xfId="18" applyNumberFormat="1" applyFont="1" applyAlignment="1">
      <alignment horizontal="right" vertical="center"/>
    </xf>
    <xf numFmtId="185" fontId="20" fillId="0" borderId="0" xfId="18" applyNumberFormat="1" applyFont="1"/>
    <xf numFmtId="0" fontId="20" fillId="0" borderId="0" xfId="18" applyFont="1" applyAlignment="1">
      <alignment horizontal="right"/>
    </xf>
    <xf numFmtId="0" fontId="22" fillId="15" borderId="0" xfId="0" applyFont="1" applyFill="1" applyAlignment="1">
      <alignment horizontal="center" vertical="center"/>
    </xf>
    <xf numFmtId="0" fontId="68" fillId="15" borderId="0" xfId="0" applyFont="1" applyFill="1" applyAlignment="1">
      <alignment horizontal="left" vertical="center"/>
    </xf>
    <xf numFmtId="0" fontId="68" fillId="15" borderId="0" xfId="0" applyFont="1" applyFill="1" applyAlignment="1">
      <alignment vertical="top" wrapText="1"/>
    </xf>
    <xf numFmtId="0" fontId="68" fillId="15" borderId="0" xfId="0" applyFont="1" applyFill="1" applyAlignment="1">
      <alignment horizontal="center" vertical="top" wrapText="1"/>
    </xf>
    <xf numFmtId="5" fontId="18" fillId="0" borderId="14" xfId="18" applyNumberFormat="1" applyBorder="1"/>
    <xf numFmtId="0" fontId="18" fillId="0" borderId="14" xfId="18" applyBorder="1"/>
    <xf numFmtId="183" fontId="18" fillId="0" borderId="14" xfId="18" applyNumberFormat="1" applyBorder="1"/>
    <xf numFmtId="184" fontId="18" fillId="0" borderId="14" xfId="18" applyNumberFormat="1" applyBorder="1"/>
    <xf numFmtId="185" fontId="18" fillId="0" borderId="14" xfId="18" applyNumberFormat="1" applyBorder="1"/>
    <xf numFmtId="6" fontId="18" fillId="0" borderId="0" xfId="18" applyNumberFormat="1"/>
    <xf numFmtId="0" fontId="68" fillId="15" borderId="0" xfId="0" quotePrefix="1" applyFont="1" applyFill="1" applyAlignment="1">
      <alignment horizontal="center" vertical="top" wrapText="1"/>
    </xf>
    <xf numFmtId="0" fontId="20" fillId="0" borderId="0" xfId="0" applyFont="1" applyAlignment="1">
      <alignment horizontal="left"/>
    </xf>
    <xf numFmtId="190" fontId="38" fillId="0" borderId="8" xfId="22" applyNumberFormat="1" applyFont="1">
      <alignment horizontal="right"/>
    </xf>
    <xf numFmtId="0" fontId="22" fillId="15" borderId="0" xfId="0" applyFont="1" applyFill="1" applyAlignment="1">
      <alignment horizontal="center" vertical="top" wrapText="1"/>
    </xf>
    <xf numFmtId="0" fontId="22" fillId="15" borderId="0" xfId="0" applyFont="1" applyFill="1" applyAlignment="1">
      <alignment vertical="top" wrapText="1"/>
    </xf>
    <xf numFmtId="0" fontId="22" fillId="19" borderId="0" xfId="0" applyFont="1" applyFill="1" applyAlignment="1">
      <alignment horizontal="left" vertical="center"/>
    </xf>
    <xf numFmtId="166" fontId="35" fillId="8" borderId="0" xfId="16" applyFont="1" applyFill="1"/>
    <xf numFmtId="166" fontId="36" fillId="8" borderId="0" xfId="16" applyFont="1" applyFill="1" applyAlignment="1">
      <alignment horizontal="right"/>
    </xf>
    <xf numFmtId="0" fontId="61" fillId="0" borderId="0" xfId="20" applyFont="1" applyAlignment="1">
      <alignment horizontal="left"/>
    </xf>
    <xf numFmtId="0" fontId="69" fillId="0" borderId="0" xfId="25" applyFont="1" applyAlignment="1">
      <alignment horizontal="left"/>
    </xf>
    <xf numFmtId="0" fontId="38" fillId="0" borderId="0" xfId="25" applyFont="1" applyAlignment="1">
      <alignment horizontal="left"/>
    </xf>
    <xf numFmtId="0" fontId="38" fillId="0" borderId="0" xfId="25" applyFont="1"/>
    <xf numFmtId="0" fontId="70" fillId="0" borderId="19" xfId="25" applyFont="1" applyBorder="1" applyAlignment="1">
      <alignment horizontal="left"/>
    </xf>
    <xf numFmtId="0" fontId="70" fillId="0" borderId="19" xfId="25" applyFont="1" applyBorder="1"/>
    <xf numFmtId="0" fontId="38" fillId="2" borderId="19" xfId="25" applyFont="1" applyFill="1" applyBorder="1" applyAlignment="1">
      <alignment horizontal="left"/>
    </xf>
    <xf numFmtId="0" fontId="38" fillId="2" borderId="19" xfId="25" applyFont="1" applyFill="1" applyBorder="1"/>
    <xf numFmtId="2" fontId="38" fillId="2" borderId="19" xfId="25" applyNumberFormat="1" applyFont="1" applyFill="1" applyBorder="1"/>
    <xf numFmtId="0" fontId="38" fillId="2" borderId="0" xfId="25" applyFont="1" applyFill="1" applyAlignment="1">
      <alignment horizontal="left"/>
    </xf>
    <xf numFmtId="0" fontId="38" fillId="2" borderId="0" xfId="25" applyFont="1" applyFill="1"/>
    <xf numFmtId="2" fontId="38" fillId="2" borderId="0" xfId="25" applyNumberFormat="1" applyFont="1" applyFill="1"/>
    <xf numFmtId="1" fontId="18" fillId="2" borderId="14" xfId="20" applyNumberFormat="1" applyFont="1" applyFill="1" applyBorder="1"/>
    <xf numFmtId="9" fontId="18" fillId="2" borderId="0" xfId="20" applyNumberFormat="1" applyFont="1" applyFill="1"/>
    <xf numFmtId="3" fontId="18" fillId="0" borderId="0" xfId="20" applyNumberFormat="1" applyFont="1"/>
    <xf numFmtId="3" fontId="18" fillId="0" borderId="14" xfId="20" applyNumberFormat="1" applyFont="1" applyBorder="1"/>
    <xf numFmtId="3" fontId="18" fillId="0" borderId="0" xfId="18" applyNumberFormat="1"/>
    <xf numFmtId="9" fontId="18" fillId="0" borderId="0" xfId="18" applyNumberFormat="1"/>
    <xf numFmtId="14" fontId="71" fillId="18" borderId="0" xfId="20" applyNumberFormat="1" applyFont="1" applyFill="1"/>
    <xf numFmtId="194" fontId="18" fillId="0" borderId="0" xfId="18" applyNumberFormat="1" applyAlignment="1">
      <alignment vertical="top" wrapText="1"/>
    </xf>
    <xf numFmtId="195" fontId="18" fillId="0" borderId="0" xfId="18" applyNumberFormat="1" applyAlignment="1">
      <alignment vertical="top" wrapText="1"/>
    </xf>
    <xf numFmtId="0" fontId="72" fillId="0" borderId="20" xfId="0" applyFont="1" applyBorder="1"/>
    <xf numFmtId="0" fontId="73" fillId="0" borderId="0" xfId="25" applyFont="1"/>
    <xf numFmtId="0" fontId="73" fillId="0" borderId="0" xfId="25" applyFont="1" applyAlignment="1">
      <alignment horizontal="left"/>
    </xf>
    <xf numFmtId="0" fontId="74" fillId="0" borderId="0" xfId="18" applyFont="1"/>
    <xf numFmtId="1" fontId="31" fillId="2" borderId="0" xfId="18" applyNumberFormat="1" applyFont="1" applyFill="1"/>
    <xf numFmtId="0" fontId="38" fillId="0" borderId="0" xfId="23" applyNumberFormat="1" applyFont="1" applyFill="1"/>
    <xf numFmtId="0" fontId="18" fillId="2" borderId="0" xfId="18" applyFill="1"/>
    <xf numFmtId="0" fontId="76" fillId="15" borderId="0" xfId="0" applyFont="1" applyFill="1" applyAlignment="1">
      <alignment horizontal="center" vertical="center"/>
    </xf>
    <xf numFmtId="0" fontId="76" fillId="15" borderId="0" xfId="0" quotePrefix="1" applyFont="1" applyFill="1" applyAlignment="1">
      <alignment horizontal="center" vertical="top" wrapText="1"/>
    </xf>
    <xf numFmtId="0" fontId="74" fillId="0" borderId="0" xfId="0" applyFont="1"/>
    <xf numFmtId="0" fontId="74" fillId="2" borderId="0" xfId="18" applyFont="1" applyFill="1"/>
    <xf numFmtId="2" fontId="38" fillId="0" borderId="0" xfId="23" applyNumberFormat="1" applyFont="1" applyFill="1"/>
    <xf numFmtId="5" fontId="74" fillId="0" borderId="0" xfId="18" applyNumberFormat="1" applyFont="1"/>
    <xf numFmtId="182" fontId="18" fillId="2" borderId="0" xfId="30" applyNumberFormat="1" applyFont="1" applyFill="1" applyBorder="1"/>
    <xf numFmtId="2" fontId="18" fillId="2" borderId="0" xfId="18" applyNumberFormat="1" applyFill="1"/>
    <xf numFmtId="174" fontId="18" fillId="0" borderId="14" xfId="18" applyNumberFormat="1" applyBorder="1"/>
    <xf numFmtId="174" fontId="38" fillId="2" borderId="0" xfId="18" applyNumberFormat="1" applyFont="1" applyFill="1"/>
    <xf numFmtId="5" fontId="38" fillId="0" borderId="0" xfId="18" applyNumberFormat="1" applyFont="1"/>
    <xf numFmtId="0" fontId="38" fillId="2" borderId="0" xfId="18" applyFont="1" applyFill="1"/>
    <xf numFmtId="0" fontId="0" fillId="26" borderId="0" xfId="0" applyFill="1"/>
    <xf numFmtId="0" fontId="19" fillId="26" borderId="0" xfId="27" applyFont="1" applyFill="1"/>
    <xf numFmtId="168" fontId="46" fillId="26" borderId="0" xfId="23" applyNumberFormat="1" applyFont="1" applyFill="1" applyAlignment="1">
      <alignment horizontal="right"/>
    </xf>
    <xf numFmtId="3" fontId="31" fillId="26" borderId="0" xfId="23" applyNumberFormat="1" applyFill="1"/>
    <xf numFmtId="0" fontId="18" fillId="26" borderId="0" xfId="0" applyFont="1" applyFill="1"/>
    <xf numFmtId="0" fontId="18" fillId="26" borderId="0" xfId="0" applyFont="1" applyFill="1" applyAlignment="1">
      <alignment horizontal="right"/>
    </xf>
    <xf numFmtId="2" fontId="31" fillId="26" borderId="0" xfId="18" applyNumberFormat="1" applyFont="1" applyFill="1"/>
    <xf numFmtId="196" fontId="18" fillId="0" borderId="0" xfId="18" applyNumberFormat="1" applyAlignment="1">
      <alignment horizontal="right"/>
    </xf>
    <xf numFmtId="170" fontId="38" fillId="0" borderId="0" xfId="24" applyNumberFormat="1" applyFont="1" applyFill="1" applyBorder="1" applyAlignment="1">
      <alignment horizontal="right"/>
    </xf>
    <xf numFmtId="2" fontId="38" fillId="2" borderId="0" xfId="18" applyNumberFormat="1" applyFont="1" applyFill="1"/>
    <xf numFmtId="0" fontId="78" fillId="0" borderId="0" xfId="0" applyFont="1" applyAlignment="1">
      <alignment horizontal="left"/>
    </xf>
    <xf numFmtId="0" fontId="78" fillId="0" borderId="0" xfId="0" applyFont="1"/>
    <xf numFmtId="182" fontId="38" fillId="2" borderId="0" xfId="30" applyNumberFormat="1" applyFont="1" applyFill="1" applyBorder="1"/>
    <xf numFmtId="0" fontId="20" fillId="17" borderId="14" xfId="18" applyFont="1" applyFill="1" applyBorder="1" applyAlignment="1">
      <alignment horizontal="left" vertical="center" wrapText="1"/>
    </xf>
    <xf numFmtId="0" fontId="70" fillId="0" borderId="0" xfId="25" applyFont="1"/>
    <xf numFmtId="181" fontId="38" fillId="0" borderId="0" xfId="25" applyNumberFormat="1" applyFont="1"/>
    <xf numFmtId="0" fontId="79" fillId="8" borderId="0" xfId="0" applyFont="1" applyFill="1"/>
    <xf numFmtId="0" fontId="18" fillId="16" borderId="0" xfId="0" applyFont="1" applyFill="1"/>
    <xf numFmtId="0" fontId="18" fillId="23" borderId="0" xfId="0" applyFont="1" applyFill="1"/>
    <xf numFmtId="0" fontId="18" fillId="25" borderId="0" xfId="0" applyFont="1" applyFill="1"/>
    <xf numFmtId="197" fontId="49" fillId="2" borderId="0" xfId="24" applyNumberFormat="1" applyFill="1" applyAlignment="1">
      <alignment horizontal="right"/>
    </xf>
    <xf numFmtId="178" fontId="31" fillId="2" borderId="11" xfId="23" applyNumberFormat="1" applyBorder="1" applyAlignment="1">
      <alignment horizontal="left"/>
    </xf>
    <xf numFmtId="178" fontId="31" fillId="2" borderId="12" xfId="23" applyNumberFormat="1" applyBorder="1" applyAlignment="1">
      <alignment horizontal="left"/>
    </xf>
    <xf numFmtId="178" fontId="31" fillId="2" borderId="13" xfId="23" applyNumberFormat="1" applyBorder="1" applyAlignment="1">
      <alignment horizontal="left"/>
    </xf>
    <xf numFmtId="178" fontId="31" fillId="2" borderId="15" xfId="23" applyNumberFormat="1" applyBorder="1" applyAlignment="1">
      <alignment horizontal="left"/>
    </xf>
    <xf numFmtId="178" fontId="31" fillId="2" borderId="16" xfId="23" applyNumberFormat="1" applyBorder="1" applyAlignment="1">
      <alignment horizontal="left"/>
    </xf>
    <xf numFmtId="178" fontId="31" fillId="2" borderId="17" xfId="23" applyNumberFormat="1" applyBorder="1" applyAlignment="1">
      <alignment horizontal="left"/>
    </xf>
    <xf numFmtId="0" fontId="40" fillId="2" borderId="0" xfId="0" applyFont="1" applyFill="1" applyAlignment="1">
      <alignment horizontal="left"/>
    </xf>
    <xf numFmtId="0" fontId="31" fillId="2" borderId="0" xfId="23" applyNumberFormat="1" applyAlignment="1">
      <alignment horizontal="left" vertical="top"/>
    </xf>
    <xf numFmtId="0" fontId="31" fillId="2" borderId="0" xfId="18" applyFont="1" applyFill="1" applyAlignment="1">
      <alignment horizontal="left" vertical="top"/>
    </xf>
    <xf numFmtId="0" fontId="77" fillId="21" borderId="0" xfId="0" applyFont="1" applyFill="1" applyAlignment="1">
      <alignment horizontal="center"/>
    </xf>
    <xf numFmtId="0" fontId="77" fillId="22" borderId="0" xfId="0" applyFont="1" applyFill="1" applyAlignment="1">
      <alignment horizontal="center"/>
    </xf>
    <xf numFmtId="0" fontId="77" fillId="24" borderId="0" xfId="0" applyFont="1" applyFill="1" applyAlignment="1">
      <alignment horizontal="center"/>
    </xf>
    <xf numFmtId="179" fontId="27" fillId="0" borderId="7" xfId="18" applyNumberFormat="1" applyFont="1" applyBorder="1" applyAlignment="1">
      <alignment horizontal="left"/>
    </xf>
  </cellXfs>
  <cellStyles count="41">
    <cellStyle name="Assumption" xfId="23" xr:uid="{E21B85CB-AE39-493C-90CF-A6033D394DF7}"/>
    <cellStyle name="Base_Input" xfId="12" xr:uid="{00000000-0005-0000-0000-000000000000}"/>
    <cellStyle name="Comma" xfId="30" builtinId="3"/>
    <cellStyle name="Comma [0] 2" xfId="3" xr:uid="{00000000-0005-0000-0000-000002000000}"/>
    <cellStyle name="Currency" xfId="26" builtinId="4"/>
    <cellStyle name="Currency 2" xfId="32" xr:uid="{BD9D8A75-8EB1-46C5-BE1B-A91C385CDB3C}"/>
    <cellStyle name="Empty_Cell" xfId="9" xr:uid="{00000000-0005-0000-0000-000004000000}"/>
    <cellStyle name="Explanatory Text" xfId="1" builtinId="53" customBuiltin="1"/>
    <cellStyle name="Fixed_input" xfId="24" xr:uid="{0B0B930C-107A-4F05-8A3E-C5F6EECE17A8}"/>
    <cellStyle name="Flag" xfId="4" xr:uid="{00000000-0005-0000-0000-000006000000}"/>
    <cellStyle name="Header1" xfId="16" xr:uid="{00000000-0005-0000-0000-000007000000}"/>
    <cellStyle name="Header1A" xfId="17" xr:uid="{00000000-0005-0000-0000-000008000000}"/>
    <cellStyle name="Header2" xfId="14" xr:uid="{00000000-0005-0000-0000-000009000000}"/>
    <cellStyle name="Header3" xfId="5" xr:uid="{00000000-0005-0000-0000-00000A000000}"/>
    <cellStyle name="Header4" xfId="15" xr:uid="{00000000-0005-0000-0000-00000B000000}"/>
    <cellStyle name="Hyperlink 2" xfId="39" xr:uid="{123956E5-3AC1-4F55-8943-DC87075B6CDB}"/>
    <cellStyle name="Insheet" xfId="6" xr:uid="{00000000-0005-0000-0000-00000D000000}"/>
    <cellStyle name="Line_SubTotal" xfId="7" xr:uid="{00000000-0005-0000-0000-00000E000000}"/>
    <cellStyle name="Normal" xfId="0" builtinId="0" customBuiltin="1"/>
    <cellStyle name="Normal 10" xfId="8" xr:uid="{00000000-0005-0000-0000-000011000000}"/>
    <cellStyle name="Normal 11" xfId="28" xr:uid="{2E9B8BDB-929D-43D8-98FC-02D12733444E}"/>
    <cellStyle name="Normal 11 2" xfId="40" xr:uid="{A7FC36DF-1F70-4A5B-BA7D-7B8EE36E4B7F}"/>
    <cellStyle name="Normal 2" xfId="18" xr:uid="{59EBAEB1-13C8-4373-8DB4-B4C525DCEC98}"/>
    <cellStyle name="Normal 2 2" xfId="25" xr:uid="{D49C4081-9D03-4C8F-8778-34555D4B3E0F}"/>
    <cellStyle name="Normal 2 3" xfId="35" xr:uid="{CD631C03-818D-4F2C-80E5-B0D8C7E42998}"/>
    <cellStyle name="Normal 3" xfId="20" xr:uid="{9D4C47DD-E890-4097-9475-8567B8B53D92}"/>
    <cellStyle name="Normal 4" xfId="27" xr:uid="{45248CAE-FD64-42F8-959D-197099DCCC6F}"/>
    <cellStyle name="Normal 5" xfId="29" xr:uid="{0AA293DF-8D81-4E59-A68F-DE49120DCC1E}"/>
    <cellStyle name="Normal 6" xfId="33" xr:uid="{754ADADD-BEC8-44E1-8C0F-5B9EF59A6EC2}"/>
    <cellStyle name="Normal 7" xfId="36" xr:uid="{7806A065-BC66-421B-B556-9EC1B15ABFAE}"/>
    <cellStyle name="Normal 8" xfId="38" xr:uid="{09E31647-E6E1-4992-AA88-37C3DDFE36B2}"/>
    <cellStyle name="Note 2" xfId="37" xr:uid="{F62C0579-1F10-41D0-B5C4-209D1C2BF4B6}"/>
    <cellStyle name="Offsheet" xfId="10" xr:uid="{00000000-0005-0000-0000-000012000000}"/>
    <cellStyle name="Percent 2" xfId="19" xr:uid="{39961233-90E2-46DE-A48A-52E8009F685E}"/>
    <cellStyle name="Percent 3" xfId="31" xr:uid="{545D4992-E4B2-421E-B631-1560D77C0B80}"/>
    <cellStyle name="Percent 4" xfId="34" xr:uid="{FCF3E0D7-BCF9-40F2-928C-35291E190ECC}"/>
    <cellStyle name="Result" xfId="22" xr:uid="{6557DBFB-C674-4413-A044-F9C12EE60C25}"/>
    <cellStyle name="Table_Heading" xfId="11" xr:uid="{00000000-0005-0000-0000-000013000000}"/>
    <cellStyle name="Unit" xfId="13" xr:uid="{00000000-0005-0000-0000-000014000000}"/>
    <cellStyle name="Units" xfId="21" xr:uid="{1AB48B31-3307-411F-96E5-E0E849D0DDE8}"/>
    <cellStyle name="User_Input_Actual" xfId="2" xr:uid="{00000000-0005-0000-0000-000015000000}"/>
  </cellStyles>
  <dxfs count="5">
    <dxf>
      <font>
        <color rgb="FFFF0000"/>
      </font>
    </dxf>
    <dxf>
      <font>
        <color theme="0"/>
      </font>
    </dxf>
    <dxf>
      <font>
        <color theme="0"/>
      </font>
    </dxf>
    <dxf>
      <font>
        <color theme="5"/>
      </font>
    </dxf>
    <dxf>
      <font>
        <color theme="5"/>
      </font>
    </dxf>
  </dxfs>
  <tableStyles count="0" defaultTableStyle="TableStyleMedium2" defaultPivotStyle="PivotStyleMedium9"/>
  <colors>
    <mruColors>
      <color rgb="FFFFFFCC"/>
      <color rgb="FF002060"/>
      <color rgb="FF66FFFF"/>
      <color rgb="FF0054A8"/>
      <color rgb="FF0066CC"/>
      <color rgb="FFFF99FF"/>
      <color rgb="FFDCE4F4"/>
      <color rgb="FF001848"/>
      <color rgb="FF1F345F"/>
      <color rgb="FFD9E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152400</xdr:colOff>
      <xdr:row>0</xdr:row>
      <xdr:rowOff>171450</xdr:rowOff>
    </xdr:from>
    <xdr:ext cx="876300" cy="876300"/>
    <xdr:pic>
      <xdr:nvPicPr>
        <xdr:cNvPr id="2" name="Picture 1">
          <a:extLst>
            <a:ext uri="{FF2B5EF4-FFF2-40B4-BE49-F238E27FC236}">
              <a16:creationId xmlns:a16="http://schemas.microsoft.com/office/drawing/2014/main" id="{24BEE6B9-9568-4E23-9547-A0478A1D3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43650" y="171450"/>
          <a:ext cx="876300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64642-5BB3-43E3-873D-4367AFFC9225}">
  <sheetPr codeName="Sheet5">
    <tabColor theme="1" tint="0.34998626667073579"/>
  </sheetPr>
  <dimension ref="A1:K43"/>
  <sheetViews>
    <sheetView showGridLines="0" tabSelected="1" workbookViewId="0"/>
  </sheetViews>
  <sheetFormatPr defaultColWidth="0" defaultRowHeight="12.75" customHeight="1" zeroHeight="1" x14ac:dyDescent="0.2"/>
  <cols>
    <col min="1" max="1" width="10.875" style="111" customWidth="1"/>
    <col min="2" max="2" width="2.125" style="111" customWidth="1"/>
    <col min="3" max="3" width="14.25" style="111" customWidth="1"/>
    <col min="4" max="11" width="9" style="111" customWidth="1"/>
    <col min="12" max="16384" width="9" style="111" hidden="1"/>
  </cols>
  <sheetData>
    <row r="1" spans="1:11" ht="15" x14ac:dyDescent="0.25">
      <c r="A1" s="110"/>
      <c r="B1" s="73"/>
      <c r="C1" s="73"/>
      <c r="D1" s="73"/>
      <c r="E1" s="73"/>
      <c r="F1" s="73"/>
      <c r="G1" s="73"/>
      <c r="H1" s="73"/>
      <c r="I1" s="73"/>
      <c r="J1" s="73"/>
      <c r="K1" s="73"/>
    </row>
    <row r="2" spans="1:11" ht="23.25" x14ac:dyDescent="0.35">
      <c r="A2" s="110"/>
      <c r="B2" s="73"/>
      <c r="C2" s="112" t="s">
        <v>13</v>
      </c>
      <c r="D2" s="113"/>
      <c r="E2" s="113"/>
      <c r="F2" s="73"/>
      <c r="G2" s="73"/>
      <c r="H2" s="73"/>
      <c r="I2" s="73"/>
      <c r="J2" s="73"/>
      <c r="K2" s="73"/>
    </row>
    <row r="3" spans="1:11" ht="15.75" x14ac:dyDescent="0.25">
      <c r="A3" s="110"/>
      <c r="B3" s="73"/>
      <c r="C3" s="114" t="s">
        <v>469</v>
      </c>
      <c r="D3" s="113"/>
      <c r="E3" s="113"/>
      <c r="F3" s="73"/>
      <c r="G3" s="73"/>
      <c r="H3" s="73"/>
      <c r="I3" s="73"/>
      <c r="J3" s="73"/>
      <c r="K3" s="73"/>
    </row>
    <row r="4" spans="1:11" ht="15" x14ac:dyDescent="0.25">
      <c r="A4" s="110"/>
      <c r="B4" s="73"/>
      <c r="C4" s="73"/>
      <c r="D4" s="113"/>
      <c r="E4" s="113"/>
      <c r="F4" s="73"/>
      <c r="G4" s="73"/>
      <c r="H4" s="73"/>
      <c r="I4" s="73"/>
      <c r="J4" s="73"/>
      <c r="K4" s="73"/>
    </row>
    <row r="5" spans="1:11" ht="15" x14ac:dyDescent="0.25">
      <c r="A5" s="110"/>
      <c r="B5" s="73"/>
      <c r="C5" s="115" t="s">
        <v>470</v>
      </c>
      <c r="D5" s="73"/>
      <c r="E5" s="73"/>
      <c r="F5" s="73"/>
      <c r="G5" s="73"/>
      <c r="H5" s="73"/>
      <c r="I5" s="73"/>
      <c r="J5" s="73"/>
      <c r="K5" s="73"/>
    </row>
    <row r="6" spans="1:11" ht="15" x14ac:dyDescent="0.25">
      <c r="A6" s="110"/>
      <c r="B6" s="73"/>
      <c r="C6" s="116" t="s">
        <v>471</v>
      </c>
      <c r="D6" s="167"/>
      <c r="E6" s="116"/>
      <c r="F6" s="73"/>
      <c r="G6" s="73"/>
      <c r="H6" s="73"/>
      <c r="I6" s="73"/>
      <c r="J6" s="73"/>
      <c r="K6" s="73"/>
    </row>
    <row r="7" spans="1:11" ht="15" x14ac:dyDescent="0.25">
      <c r="A7" s="110"/>
      <c r="B7" s="73"/>
      <c r="C7" s="73"/>
      <c r="D7" s="73"/>
      <c r="E7" s="73"/>
      <c r="F7" s="117"/>
      <c r="G7" s="117"/>
      <c r="H7" s="117"/>
      <c r="I7" s="73"/>
      <c r="J7" s="117"/>
      <c r="K7" s="117"/>
    </row>
    <row r="8" spans="1:11" ht="15" x14ac:dyDescent="0.25">
      <c r="A8" s="110"/>
      <c r="B8" s="73"/>
      <c r="C8" s="118">
        <v>45992</v>
      </c>
      <c r="D8" s="73"/>
      <c r="E8" s="73"/>
      <c r="F8" s="117"/>
      <c r="G8" s="117"/>
      <c r="H8" s="117"/>
      <c r="I8" s="73"/>
      <c r="J8" s="117"/>
      <c r="K8" s="117"/>
    </row>
    <row r="9" spans="1:11" ht="15" x14ac:dyDescent="0.25">
      <c r="A9" s="110"/>
      <c r="B9" s="73"/>
      <c r="C9" s="119"/>
      <c r="D9" s="119"/>
      <c r="E9" s="73"/>
      <c r="F9" s="117"/>
      <c r="G9" s="117"/>
      <c r="H9" s="117"/>
      <c r="I9" s="117"/>
      <c r="J9" s="117"/>
      <c r="K9" s="117"/>
    </row>
    <row r="10" spans="1:11" ht="15" x14ac:dyDescent="0.25">
      <c r="A10" s="110"/>
      <c r="B10" s="73"/>
      <c r="C10" s="119"/>
      <c r="D10" s="119"/>
      <c r="E10" s="73"/>
      <c r="F10" s="117"/>
      <c r="G10" s="117"/>
      <c r="H10" s="117"/>
      <c r="I10" s="117"/>
      <c r="J10" s="117"/>
      <c r="K10" s="117"/>
    </row>
    <row r="11" spans="1:11" ht="15" x14ac:dyDescent="0.25">
      <c r="A11" s="110"/>
      <c r="B11" s="73"/>
      <c r="C11" s="119"/>
      <c r="D11" s="119"/>
      <c r="E11" s="73"/>
      <c r="F11" s="117"/>
      <c r="G11" s="117"/>
      <c r="H11" s="117"/>
      <c r="I11" s="117"/>
      <c r="J11" s="117"/>
      <c r="K11" s="117"/>
    </row>
    <row r="12" spans="1:11" ht="15" x14ac:dyDescent="0.25">
      <c r="A12" s="110"/>
      <c r="B12" s="73"/>
      <c r="C12" s="119"/>
      <c r="D12" s="119"/>
      <c r="E12" s="73"/>
      <c r="F12" s="117"/>
      <c r="G12" s="117"/>
      <c r="H12" s="117"/>
      <c r="I12" s="117"/>
      <c r="J12" s="117"/>
      <c r="K12" s="117"/>
    </row>
    <row r="13" spans="1:11" ht="15" x14ac:dyDescent="0.25">
      <c r="A13" s="110"/>
      <c r="B13" s="73"/>
      <c r="C13" s="119"/>
      <c r="D13" s="119"/>
      <c r="E13" s="73"/>
      <c r="F13" s="117"/>
      <c r="G13" s="117"/>
      <c r="H13" s="117"/>
      <c r="I13" s="117"/>
      <c r="J13" s="117"/>
      <c r="K13" s="117"/>
    </row>
    <row r="14" spans="1:11" ht="15" x14ac:dyDescent="0.25">
      <c r="A14" s="110"/>
      <c r="B14" s="73"/>
      <c r="C14" s="117"/>
      <c r="D14" s="117"/>
      <c r="E14" s="117"/>
      <c r="F14" s="117"/>
      <c r="G14" s="117"/>
      <c r="H14" s="117"/>
      <c r="I14" s="117"/>
      <c r="J14" s="117"/>
      <c r="K14" s="117"/>
    </row>
    <row r="15" spans="1:11" ht="15" x14ac:dyDescent="0.25">
      <c r="A15" s="110"/>
      <c r="B15" s="73"/>
      <c r="C15" s="115"/>
      <c r="D15" s="117"/>
      <c r="E15" s="117"/>
      <c r="F15" s="117"/>
      <c r="G15" s="117"/>
      <c r="H15" s="117"/>
      <c r="I15" s="117"/>
      <c r="J15" s="117"/>
      <c r="K15" s="117"/>
    </row>
    <row r="16" spans="1:11" ht="15" x14ac:dyDescent="0.25">
      <c r="A16" s="110"/>
      <c r="B16" s="73"/>
      <c r="C16" s="115"/>
      <c r="D16" s="117"/>
      <c r="E16" s="117"/>
      <c r="F16" s="117"/>
      <c r="G16" s="117"/>
      <c r="H16" s="117"/>
      <c r="I16" s="117"/>
      <c r="J16" s="117"/>
      <c r="K16" s="117"/>
    </row>
    <row r="17" spans="1:11" ht="15" x14ac:dyDescent="0.25">
      <c r="A17" s="110"/>
      <c r="B17" s="73"/>
      <c r="C17" s="117"/>
      <c r="D17" s="117"/>
      <c r="E17" s="117"/>
      <c r="F17" s="117"/>
      <c r="G17" s="117"/>
      <c r="H17" s="117"/>
      <c r="I17" s="117"/>
      <c r="J17" s="117"/>
      <c r="K17" s="117"/>
    </row>
    <row r="18" spans="1:11" ht="15" x14ac:dyDescent="0.25">
      <c r="A18" s="110"/>
      <c r="B18" s="73"/>
      <c r="C18" s="117"/>
      <c r="D18" s="117"/>
      <c r="E18" s="117"/>
      <c r="F18" s="117"/>
      <c r="G18" s="117"/>
      <c r="H18" s="117"/>
      <c r="I18" s="117"/>
      <c r="J18" s="117"/>
      <c r="K18" s="117"/>
    </row>
    <row r="19" spans="1:11" ht="15" x14ac:dyDescent="0.25">
      <c r="A19" s="110"/>
      <c r="B19" s="73"/>
      <c r="C19" s="117"/>
      <c r="D19" s="117"/>
      <c r="E19" s="117"/>
      <c r="F19" s="117"/>
      <c r="H19" s="117"/>
      <c r="I19" s="117"/>
      <c r="J19" s="117"/>
      <c r="K19" s="117"/>
    </row>
    <row r="20" spans="1:11" ht="15" x14ac:dyDescent="0.25">
      <c r="A20" s="110"/>
      <c r="B20" s="73"/>
      <c r="C20" s="117"/>
      <c r="D20" s="117"/>
      <c r="E20" s="117"/>
      <c r="F20" s="117"/>
      <c r="G20" s="117"/>
      <c r="H20" s="117"/>
      <c r="I20" s="117"/>
      <c r="J20" s="117"/>
      <c r="K20" s="117"/>
    </row>
    <row r="21" spans="1:11" ht="15" x14ac:dyDescent="0.25">
      <c r="A21" s="110"/>
      <c r="B21" s="73"/>
      <c r="C21" s="117"/>
      <c r="D21" s="117"/>
      <c r="E21" s="117"/>
      <c r="F21" s="117"/>
      <c r="G21" s="117"/>
      <c r="H21" s="117"/>
      <c r="I21" s="117"/>
      <c r="J21" s="117"/>
      <c r="K21" s="117"/>
    </row>
    <row r="22" spans="1:11" ht="15" x14ac:dyDescent="0.25">
      <c r="A22" s="110"/>
      <c r="B22" s="73"/>
      <c r="C22" s="117"/>
      <c r="D22" s="117"/>
      <c r="E22" s="117"/>
      <c r="F22" s="117"/>
      <c r="G22" s="117"/>
      <c r="H22" s="117"/>
      <c r="I22" s="117"/>
      <c r="J22" s="117"/>
      <c r="K22" s="117"/>
    </row>
    <row r="23" spans="1:11" ht="15" x14ac:dyDescent="0.25">
      <c r="A23" s="110"/>
      <c r="B23" s="73"/>
      <c r="C23" s="117"/>
      <c r="D23" s="117"/>
      <c r="E23" s="117"/>
      <c r="F23" s="117"/>
      <c r="G23" s="117"/>
      <c r="H23" s="117"/>
      <c r="I23" s="117"/>
      <c r="J23" s="117"/>
      <c r="K23" s="117"/>
    </row>
    <row r="24" spans="1:11" ht="15" x14ac:dyDescent="0.25">
      <c r="A24" s="110"/>
      <c r="B24" s="73"/>
      <c r="C24" s="117"/>
      <c r="D24" s="117"/>
      <c r="E24" s="117"/>
      <c r="F24" s="117"/>
      <c r="G24" s="117"/>
      <c r="H24" s="117"/>
      <c r="I24" s="117"/>
      <c r="J24" s="117"/>
      <c r="K24" s="117"/>
    </row>
    <row r="25" spans="1:11" ht="15" x14ac:dyDescent="0.25">
      <c r="A25" s="110"/>
      <c r="B25" s="73"/>
      <c r="C25" s="117"/>
      <c r="D25" s="117"/>
      <c r="E25" s="117"/>
      <c r="F25" s="117"/>
      <c r="G25" s="117"/>
      <c r="H25" s="117"/>
      <c r="I25" s="117"/>
      <c r="J25" s="117"/>
      <c r="K25" s="117"/>
    </row>
    <row r="26" spans="1:11" ht="15" x14ac:dyDescent="0.25">
      <c r="A26" s="110"/>
      <c r="B26" s="73"/>
      <c r="C26" s="117"/>
      <c r="D26" s="117"/>
      <c r="E26" s="117"/>
      <c r="F26" s="117"/>
      <c r="G26" s="117"/>
      <c r="H26" s="117"/>
      <c r="I26" s="117"/>
      <c r="J26" s="117"/>
      <c r="K26" s="117"/>
    </row>
    <row r="27" spans="1:11" ht="15" x14ac:dyDescent="0.25">
      <c r="A27" s="110"/>
      <c r="B27" s="73"/>
      <c r="C27" s="117"/>
      <c r="D27" s="117"/>
      <c r="E27" s="117"/>
      <c r="F27" s="117"/>
      <c r="G27" s="117"/>
      <c r="H27" s="117"/>
      <c r="I27" s="117"/>
      <c r="J27" s="117"/>
      <c r="K27" s="117"/>
    </row>
    <row r="28" spans="1:11" ht="15" x14ac:dyDescent="0.25">
      <c r="A28" s="110"/>
      <c r="B28" s="73"/>
      <c r="C28" s="117"/>
      <c r="D28" s="117"/>
      <c r="E28" s="117"/>
      <c r="F28" s="117"/>
      <c r="G28" s="117"/>
      <c r="H28" s="117"/>
      <c r="I28" s="117"/>
      <c r="J28" s="117"/>
      <c r="K28" s="117"/>
    </row>
    <row r="29" spans="1:11" ht="15" x14ac:dyDescent="0.25">
      <c r="A29" s="110"/>
      <c r="B29" s="73"/>
      <c r="C29" s="117"/>
      <c r="D29" s="117"/>
      <c r="E29" s="117"/>
      <c r="F29" s="117"/>
      <c r="G29" s="117"/>
      <c r="H29" s="117"/>
      <c r="I29" s="117"/>
      <c r="J29" s="117"/>
      <c r="K29" s="117"/>
    </row>
    <row r="30" spans="1:11" ht="15" x14ac:dyDescent="0.25">
      <c r="A30" s="110"/>
      <c r="B30" s="73"/>
      <c r="C30" s="117"/>
      <c r="D30" s="73"/>
      <c r="E30" s="117"/>
      <c r="F30" s="117"/>
      <c r="G30" s="117"/>
      <c r="H30" s="117"/>
      <c r="I30" s="117"/>
      <c r="J30" s="117"/>
      <c r="K30" s="117"/>
    </row>
    <row r="31" spans="1:11" ht="15" x14ac:dyDescent="0.25">
      <c r="A31" s="110"/>
      <c r="B31" s="73"/>
      <c r="C31" s="73"/>
      <c r="D31" s="73"/>
      <c r="E31" s="73"/>
      <c r="F31" s="73"/>
      <c r="G31" s="73"/>
      <c r="H31" s="73"/>
      <c r="I31" s="73"/>
      <c r="J31" s="73"/>
      <c r="K31" s="73"/>
    </row>
    <row r="32" spans="1:11" ht="15" x14ac:dyDescent="0.25">
      <c r="A32" s="110"/>
      <c r="B32" s="73"/>
      <c r="C32" s="73"/>
      <c r="D32" s="73"/>
      <c r="E32" s="73"/>
      <c r="F32" s="73"/>
      <c r="G32" s="73"/>
      <c r="H32" s="73"/>
      <c r="I32" s="73"/>
      <c r="J32" s="73"/>
      <c r="K32" s="73"/>
    </row>
    <row r="33" spans="1:11" ht="15" x14ac:dyDescent="0.25">
      <c r="A33" s="110"/>
      <c r="B33" s="73"/>
      <c r="C33" s="73"/>
      <c r="D33" s="73"/>
      <c r="E33" s="73"/>
      <c r="F33" s="73"/>
      <c r="G33" s="73"/>
      <c r="H33" s="73"/>
      <c r="I33" s="73"/>
      <c r="J33" s="73"/>
      <c r="K33" s="73"/>
    </row>
    <row r="34" spans="1:11" ht="15" x14ac:dyDescent="0.25">
      <c r="A34" s="110"/>
      <c r="B34" s="73"/>
      <c r="C34" s="73"/>
      <c r="D34" s="73"/>
      <c r="E34" s="73"/>
      <c r="F34" s="73"/>
      <c r="G34" s="73"/>
      <c r="H34" s="73"/>
      <c r="I34" s="73"/>
      <c r="J34" s="73"/>
      <c r="K34" s="73"/>
    </row>
    <row r="35" spans="1:11" ht="15" x14ac:dyDescent="0.25">
      <c r="A35" s="110"/>
      <c r="B35" s="73"/>
      <c r="C35" s="73"/>
      <c r="D35" s="73"/>
      <c r="E35" s="73"/>
      <c r="F35" s="73"/>
      <c r="G35" s="73"/>
      <c r="H35" s="73"/>
      <c r="I35" s="73"/>
      <c r="J35" s="73"/>
      <c r="K35" s="73"/>
    </row>
    <row r="36" spans="1:11" ht="15" x14ac:dyDescent="0.25">
      <c r="A36" s="110"/>
      <c r="B36" s="73"/>
      <c r="C36" s="73"/>
      <c r="D36" s="73"/>
      <c r="E36" s="73"/>
      <c r="F36" s="73"/>
      <c r="G36" s="73"/>
      <c r="H36" s="73"/>
      <c r="I36" s="73"/>
      <c r="J36" s="73"/>
      <c r="K36" s="73"/>
    </row>
    <row r="37" spans="1:11" ht="15" x14ac:dyDescent="0.25">
      <c r="A37" s="110"/>
      <c r="B37" s="73"/>
      <c r="C37" s="73"/>
      <c r="D37" s="73"/>
      <c r="E37" s="73"/>
      <c r="F37" s="73"/>
      <c r="G37" s="73"/>
      <c r="H37" s="73"/>
      <c r="I37" s="73"/>
      <c r="J37" s="73"/>
      <c r="K37" s="73"/>
    </row>
    <row r="38" spans="1:11" ht="15" x14ac:dyDescent="0.25">
      <c r="A38" s="110"/>
      <c r="B38" s="73"/>
      <c r="C38" s="73"/>
      <c r="D38" s="73"/>
      <c r="E38" s="73"/>
      <c r="F38" s="73"/>
      <c r="G38" s="73"/>
      <c r="H38" s="73"/>
      <c r="I38" s="73"/>
      <c r="J38" s="73"/>
      <c r="K38" s="73"/>
    </row>
    <row r="39" spans="1:11" ht="15" x14ac:dyDescent="0.25">
      <c r="A39" s="110"/>
      <c r="B39" s="73"/>
      <c r="C39" s="73"/>
      <c r="D39" s="73"/>
      <c r="E39" s="73"/>
      <c r="F39" s="73"/>
      <c r="G39" s="73"/>
      <c r="H39" s="73"/>
      <c r="I39" s="73"/>
      <c r="J39" s="73"/>
      <c r="K39" s="73"/>
    </row>
    <row r="40" spans="1:11" ht="15" x14ac:dyDescent="0.25">
      <c r="A40" s="110">
        <f ca="1">_xlfn.SHEETS()</f>
        <v>10</v>
      </c>
      <c r="B40" s="73"/>
      <c r="C40" s="73"/>
      <c r="D40" s="73"/>
      <c r="E40" s="73"/>
      <c r="F40" s="73"/>
      <c r="G40" s="73"/>
      <c r="H40" s="73"/>
      <c r="I40" s="73"/>
      <c r="J40" s="73"/>
      <c r="K40" s="73"/>
    </row>
    <row r="41" spans="1:11" ht="15" x14ac:dyDescent="0.25">
      <c r="A41" s="185">
        <v>45796</v>
      </c>
      <c r="B41" s="73"/>
      <c r="C41" s="73"/>
      <c r="D41" s="73"/>
      <c r="E41" s="73"/>
      <c r="F41" s="73"/>
      <c r="G41" s="73"/>
      <c r="H41" s="73"/>
      <c r="I41" s="73"/>
      <c r="J41" s="73"/>
      <c r="K41" s="73"/>
    </row>
    <row r="42" spans="1:11" ht="15" x14ac:dyDescent="0.25">
      <c r="A42" s="110"/>
      <c r="B42" s="73"/>
      <c r="C42" s="73"/>
      <c r="D42" s="73"/>
      <c r="E42" s="73"/>
      <c r="F42" s="73"/>
      <c r="G42" s="73"/>
      <c r="H42" s="73"/>
      <c r="I42" s="73"/>
      <c r="J42" s="73"/>
      <c r="K42" s="73"/>
    </row>
    <row r="43" spans="1:11" ht="15" x14ac:dyDescent="0.25">
      <c r="A43" s="110"/>
      <c r="B43" s="73"/>
      <c r="C43" s="73"/>
      <c r="D43" s="73"/>
      <c r="E43" s="73"/>
      <c r="F43" s="73"/>
      <c r="G43" s="73"/>
      <c r="H43" s="73"/>
      <c r="I43" s="73"/>
      <c r="J43" s="73"/>
      <c r="K43" s="73"/>
    </row>
  </sheetData>
  <conditionalFormatting sqref="C5">
    <cfRule type="expression" dxfId="4" priority="1">
      <formula>LEFT(C5,1)="&lt;"</formula>
    </cfRule>
  </conditionalFormatting>
  <conditionalFormatting sqref="D6">
    <cfRule type="expression" dxfId="3" priority="2">
      <formula>LEFT(D6,1)="&lt;"</formula>
    </cfRule>
  </conditionalFormatting>
  <pageMargins left="0.7" right="0.7" top="0.75" bottom="0.75" header="0.3" footer="0.3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B1B92-5993-4BEB-8F5F-9D11AC4D7E91}">
  <sheetPr codeName="Sheet10">
    <tabColor rgb="FFFFFFCC"/>
  </sheetPr>
  <dimension ref="A1:CM751"/>
  <sheetViews>
    <sheetView showGridLines="0" zoomScale="80" zoomScaleNormal="80" workbookViewId="0">
      <pane ySplit="5" topLeftCell="A6" activePane="bottomLeft" state="frozen"/>
      <selection activeCell="N2" sqref="N2"/>
      <selection pane="bottomLeft" activeCell="D11" sqref="D11"/>
    </sheetView>
  </sheetViews>
  <sheetFormatPr defaultColWidth="9" defaultRowHeight="12.75" x14ac:dyDescent="0.2"/>
  <cols>
    <col min="1" max="1" width="10.75" style="170" customWidth="1"/>
    <col min="2" max="2" width="12.375" style="169" customWidth="1"/>
    <col min="3" max="3" width="26.75" style="170" bestFit="1" customWidth="1"/>
    <col min="4" max="4" width="30.625" style="170" customWidth="1"/>
    <col min="5" max="5" width="16.125" style="170" customWidth="1"/>
    <col min="6" max="6" width="17.875" style="170" customWidth="1"/>
    <col min="7" max="7" width="16.125" style="170" customWidth="1"/>
    <col min="8" max="16384" width="9" style="170"/>
  </cols>
  <sheetData>
    <row r="1" spans="1:91" s="1" customFormat="1" ht="18.75" x14ac:dyDescent="0.3">
      <c r="A1" s="10" t="str">
        <f>bus</f>
        <v>Powercor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</row>
    <row r="2" spans="1:91" s="1" customFormat="1" ht="15.75" x14ac:dyDescent="0.25">
      <c r="A2" s="97" t="str">
        <f>proj</f>
        <v>Quick connect points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7"/>
      <c r="CL2" s="97"/>
      <c r="CM2" s="97"/>
    </row>
    <row r="3" spans="1:91" x14ac:dyDescent="0.2">
      <c r="A3" s="168"/>
    </row>
    <row r="4" spans="1:91" x14ac:dyDescent="0.2">
      <c r="A4" s="169"/>
    </row>
    <row r="5" spans="1:91" x14ac:dyDescent="0.2">
      <c r="A5" s="171" t="s">
        <v>382</v>
      </c>
      <c r="B5" s="171" t="s">
        <v>394</v>
      </c>
      <c r="C5" s="172" t="s">
        <v>383</v>
      </c>
      <c r="D5" s="172" t="s">
        <v>395</v>
      </c>
      <c r="E5" s="188" t="s">
        <v>396</v>
      </c>
      <c r="F5" s="221" t="s">
        <v>461</v>
      </c>
      <c r="G5" s="189"/>
    </row>
    <row r="6" spans="1:91" x14ac:dyDescent="0.2">
      <c r="A6" s="173">
        <v>3012</v>
      </c>
      <c r="B6" s="173">
        <v>6</v>
      </c>
      <c r="C6" s="174" t="s">
        <v>398</v>
      </c>
      <c r="D6" s="174" t="s">
        <v>399</v>
      </c>
      <c r="E6" s="175">
        <v>55.101713065448251</v>
      </c>
      <c r="F6" s="222">
        <v>30.414997592876372</v>
      </c>
      <c r="G6" s="189"/>
    </row>
    <row r="7" spans="1:91" x14ac:dyDescent="0.2">
      <c r="A7" s="176">
        <v>3013</v>
      </c>
      <c r="B7" s="176">
        <v>6</v>
      </c>
      <c r="C7" s="177" t="s">
        <v>398</v>
      </c>
      <c r="D7" s="177" t="s">
        <v>399</v>
      </c>
      <c r="E7" s="178">
        <v>55.101713065448251</v>
      </c>
      <c r="F7" s="222">
        <v>30.414997592876372</v>
      </c>
      <c r="G7" s="189"/>
    </row>
    <row r="8" spans="1:91" x14ac:dyDescent="0.2">
      <c r="A8" s="176">
        <v>3015</v>
      </c>
      <c r="B8" s="176">
        <v>6</v>
      </c>
      <c r="C8" s="177" t="s">
        <v>398</v>
      </c>
      <c r="D8" s="177" t="s">
        <v>399</v>
      </c>
      <c r="E8" s="178">
        <v>55.101713065448251</v>
      </c>
      <c r="F8" s="222">
        <v>30.414997592876372</v>
      </c>
      <c r="G8" s="189"/>
    </row>
    <row r="9" spans="1:91" x14ac:dyDescent="0.2">
      <c r="A9" s="176">
        <v>3016</v>
      </c>
      <c r="B9" s="176">
        <v>6</v>
      </c>
      <c r="C9" s="177" t="s">
        <v>398</v>
      </c>
      <c r="D9" s="177" t="s">
        <v>399</v>
      </c>
      <c r="E9" s="178">
        <v>55.101713065448251</v>
      </c>
      <c r="F9" s="222">
        <v>30.414997592876372</v>
      </c>
      <c r="G9" s="189"/>
    </row>
    <row r="10" spans="1:91" x14ac:dyDescent="0.2">
      <c r="A10" s="176">
        <v>3018</v>
      </c>
      <c r="B10" s="176">
        <v>6</v>
      </c>
      <c r="C10" s="177" t="s">
        <v>398</v>
      </c>
      <c r="D10" s="177" t="s">
        <v>399</v>
      </c>
      <c r="E10" s="178">
        <v>55.101713065448251</v>
      </c>
      <c r="F10" s="222">
        <v>30.414997592876372</v>
      </c>
      <c r="G10" s="189"/>
    </row>
    <row r="11" spans="1:91" x14ac:dyDescent="0.2">
      <c r="A11" s="176">
        <v>3019</v>
      </c>
      <c r="B11" s="176">
        <v>6</v>
      </c>
      <c r="C11" s="177" t="s">
        <v>398</v>
      </c>
      <c r="D11" s="177" t="s">
        <v>399</v>
      </c>
      <c r="E11" s="178">
        <v>55.101713065448251</v>
      </c>
      <c r="F11" s="222">
        <v>30.414997592876372</v>
      </c>
      <c r="G11" s="189"/>
    </row>
    <row r="12" spans="1:91" x14ac:dyDescent="0.2">
      <c r="A12" s="176">
        <v>3020</v>
      </c>
      <c r="B12" s="176">
        <v>6</v>
      </c>
      <c r="C12" s="177" t="s">
        <v>398</v>
      </c>
      <c r="D12" s="177" t="s">
        <v>399</v>
      </c>
      <c r="E12" s="178">
        <v>55.101713065448251</v>
      </c>
      <c r="F12" s="222">
        <v>30.414997592876372</v>
      </c>
      <c r="G12" s="189"/>
    </row>
    <row r="13" spans="1:91" x14ac:dyDescent="0.2">
      <c r="A13" s="176">
        <v>3021</v>
      </c>
      <c r="B13" s="176">
        <v>6</v>
      </c>
      <c r="C13" s="177" t="s">
        <v>398</v>
      </c>
      <c r="D13" s="177" t="s">
        <v>399</v>
      </c>
      <c r="E13" s="178">
        <v>55.101713065448251</v>
      </c>
      <c r="F13" s="222">
        <v>30.414997592876372</v>
      </c>
      <c r="G13" s="189"/>
    </row>
    <row r="14" spans="1:91" x14ac:dyDescent="0.2">
      <c r="A14" s="176">
        <v>3022</v>
      </c>
      <c r="B14" s="176">
        <v>6</v>
      </c>
      <c r="C14" s="177" t="s">
        <v>398</v>
      </c>
      <c r="D14" s="177" t="s">
        <v>399</v>
      </c>
      <c r="E14" s="178">
        <v>55.101713065448251</v>
      </c>
      <c r="F14" s="222">
        <v>30.414997592876372</v>
      </c>
      <c r="G14" s="189"/>
    </row>
    <row r="15" spans="1:91" x14ac:dyDescent="0.2">
      <c r="A15" s="176">
        <v>3023</v>
      </c>
      <c r="B15" s="176">
        <v>6</v>
      </c>
      <c r="C15" s="177" t="s">
        <v>398</v>
      </c>
      <c r="D15" s="177" t="s">
        <v>399</v>
      </c>
      <c r="E15" s="178">
        <v>55.101713065448251</v>
      </c>
      <c r="F15" s="222">
        <v>30.414997592876372</v>
      </c>
      <c r="G15" s="189"/>
    </row>
    <row r="16" spans="1:91" x14ac:dyDescent="0.2">
      <c r="A16" s="176">
        <v>3024</v>
      </c>
      <c r="B16" s="176">
        <v>6</v>
      </c>
      <c r="C16" s="177" t="s">
        <v>398</v>
      </c>
      <c r="D16" s="177" t="s">
        <v>399</v>
      </c>
      <c r="E16" s="178">
        <v>55.101713065448251</v>
      </c>
      <c r="F16" s="222">
        <v>30.414997592876372</v>
      </c>
      <c r="G16" s="189"/>
    </row>
    <row r="17" spans="1:7" x14ac:dyDescent="0.2">
      <c r="A17" s="176">
        <v>3025</v>
      </c>
      <c r="B17" s="176">
        <v>6</v>
      </c>
      <c r="C17" s="177" t="s">
        <v>398</v>
      </c>
      <c r="D17" s="177" t="s">
        <v>399</v>
      </c>
      <c r="E17" s="178">
        <v>55.101713065448251</v>
      </c>
      <c r="F17" s="222">
        <v>30.414997592876372</v>
      </c>
      <c r="G17" s="189"/>
    </row>
    <row r="18" spans="1:7" x14ac:dyDescent="0.2">
      <c r="A18" s="176">
        <v>3026</v>
      </c>
      <c r="B18" s="176">
        <v>6</v>
      </c>
      <c r="C18" s="177" t="s">
        <v>398</v>
      </c>
      <c r="D18" s="177" t="s">
        <v>399</v>
      </c>
      <c r="E18" s="178">
        <v>55.101713065448251</v>
      </c>
      <c r="F18" s="222">
        <v>30.414997592876372</v>
      </c>
      <c r="G18" s="189"/>
    </row>
    <row r="19" spans="1:7" x14ac:dyDescent="0.2">
      <c r="A19" s="176">
        <v>3027</v>
      </c>
      <c r="B19" s="176">
        <v>6</v>
      </c>
      <c r="C19" s="177" t="s">
        <v>398</v>
      </c>
      <c r="D19" s="177" t="s">
        <v>399</v>
      </c>
      <c r="E19" s="178">
        <v>55.101713065448251</v>
      </c>
      <c r="F19" s="222">
        <v>30.414997592876372</v>
      </c>
      <c r="G19" s="189"/>
    </row>
    <row r="20" spans="1:7" x14ac:dyDescent="0.2">
      <c r="A20" s="176">
        <v>3028</v>
      </c>
      <c r="B20" s="176">
        <v>6</v>
      </c>
      <c r="C20" s="177" t="s">
        <v>398</v>
      </c>
      <c r="D20" s="177" t="s">
        <v>399</v>
      </c>
      <c r="E20" s="178">
        <v>55.101713065448251</v>
      </c>
      <c r="F20" s="222">
        <v>30.414997592876372</v>
      </c>
      <c r="G20" s="189"/>
    </row>
    <row r="21" spans="1:7" x14ac:dyDescent="0.2">
      <c r="A21" s="176">
        <v>3029</v>
      </c>
      <c r="B21" s="176">
        <v>6</v>
      </c>
      <c r="C21" s="177" t="s">
        <v>398</v>
      </c>
      <c r="D21" s="177" t="s">
        <v>399</v>
      </c>
      <c r="E21" s="178">
        <v>55.101713065448251</v>
      </c>
      <c r="F21" s="222">
        <v>30.414997592876372</v>
      </c>
      <c r="G21" s="189"/>
    </row>
    <row r="22" spans="1:7" x14ac:dyDescent="0.2">
      <c r="A22" s="176">
        <v>3030</v>
      </c>
      <c r="B22" s="176">
        <v>6</v>
      </c>
      <c r="C22" s="177" t="s">
        <v>398</v>
      </c>
      <c r="D22" s="177" t="s">
        <v>399</v>
      </c>
      <c r="E22" s="178">
        <v>55.101713065448251</v>
      </c>
      <c r="F22" s="222">
        <v>30.414997592876372</v>
      </c>
      <c r="G22" s="189"/>
    </row>
    <row r="23" spans="1:7" x14ac:dyDescent="0.2">
      <c r="A23" s="176">
        <v>3033</v>
      </c>
      <c r="B23" s="176">
        <v>6</v>
      </c>
      <c r="C23" s="177" t="s">
        <v>398</v>
      </c>
      <c r="D23" s="177" t="s">
        <v>399</v>
      </c>
      <c r="E23" s="178">
        <v>55.101713065448251</v>
      </c>
      <c r="F23" s="222">
        <v>30.414997592876372</v>
      </c>
      <c r="G23" s="189"/>
    </row>
    <row r="24" spans="1:7" x14ac:dyDescent="0.2">
      <c r="A24" s="176">
        <v>3034</v>
      </c>
      <c r="B24" s="176">
        <v>6</v>
      </c>
      <c r="C24" s="177" t="s">
        <v>398</v>
      </c>
      <c r="D24" s="177" t="s">
        <v>399</v>
      </c>
      <c r="E24" s="178">
        <v>55.101713065448251</v>
      </c>
      <c r="F24" s="222">
        <v>30.414997592876372</v>
      </c>
      <c r="G24" s="189"/>
    </row>
    <row r="25" spans="1:7" x14ac:dyDescent="0.2">
      <c r="A25" s="176">
        <v>3036</v>
      </c>
      <c r="B25" s="176">
        <v>6</v>
      </c>
      <c r="C25" s="177" t="s">
        <v>398</v>
      </c>
      <c r="D25" s="177" t="s">
        <v>399</v>
      </c>
      <c r="E25" s="178">
        <v>55.101713065448251</v>
      </c>
      <c r="F25" s="222">
        <v>30.414997592876372</v>
      </c>
      <c r="G25" s="189"/>
    </row>
    <row r="26" spans="1:7" x14ac:dyDescent="0.2">
      <c r="A26" s="176">
        <v>3037</v>
      </c>
      <c r="B26" s="176">
        <v>6</v>
      </c>
      <c r="C26" s="177" t="s">
        <v>398</v>
      </c>
      <c r="D26" s="177" t="s">
        <v>399</v>
      </c>
      <c r="E26" s="178">
        <v>55.101713065448251</v>
      </c>
      <c r="F26" s="222">
        <v>30.414997592876372</v>
      </c>
      <c r="G26" s="189"/>
    </row>
    <row r="27" spans="1:7" x14ac:dyDescent="0.2">
      <c r="A27" s="176">
        <v>3038</v>
      </c>
      <c r="B27" s="176">
        <v>6</v>
      </c>
      <c r="C27" s="177" t="s">
        <v>398</v>
      </c>
      <c r="D27" s="177" t="s">
        <v>399</v>
      </c>
      <c r="E27" s="178">
        <v>55.101713065448251</v>
      </c>
      <c r="F27" s="222">
        <v>30.414997592876372</v>
      </c>
      <c r="G27" s="189"/>
    </row>
    <row r="28" spans="1:7" x14ac:dyDescent="0.2">
      <c r="A28" s="176">
        <v>3042</v>
      </c>
      <c r="B28" s="176">
        <v>6</v>
      </c>
      <c r="C28" s="177" t="s">
        <v>398</v>
      </c>
      <c r="D28" s="177" t="s">
        <v>399</v>
      </c>
      <c r="E28" s="178">
        <v>55.101713065448251</v>
      </c>
      <c r="F28" s="222">
        <v>30.414997592876372</v>
      </c>
      <c r="G28" s="189"/>
    </row>
    <row r="29" spans="1:7" x14ac:dyDescent="0.2">
      <c r="A29" s="176">
        <v>3064</v>
      </c>
      <c r="B29" s="176">
        <v>6</v>
      </c>
      <c r="C29" s="177" t="s">
        <v>398</v>
      </c>
      <c r="D29" s="177" t="s">
        <v>399</v>
      </c>
      <c r="E29" s="178">
        <v>55.101713065448251</v>
      </c>
      <c r="F29" s="222">
        <v>30.414997592876372</v>
      </c>
      <c r="G29" s="189"/>
    </row>
    <row r="30" spans="1:7" x14ac:dyDescent="0.2">
      <c r="A30" s="176">
        <v>3211</v>
      </c>
      <c r="B30" s="176">
        <v>6</v>
      </c>
      <c r="C30" s="177" t="s">
        <v>397</v>
      </c>
      <c r="D30" s="177" t="s">
        <v>400</v>
      </c>
      <c r="E30" s="178">
        <v>38.897618107964718</v>
      </c>
      <c r="F30" s="222">
        <v>24.488626253526263</v>
      </c>
      <c r="G30" s="189"/>
    </row>
    <row r="31" spans="1:7" x14ac:dyDescent="0.2">
      <c r="A31" s="176">
        <v>3212</v>
      </c>
      <c r="B31" s="176">
        <v>6</v>
      </c>
      <c r="C31" s="177" t="s">
        <v>398</v>
      </c>
      <c r="D31" s="177" t="s">
        <v>399</v>
      </c>
      <c r="E31" s="178">
        <v>55.101713065448251</v>
      </c>
      <c r="F31" s="222">
        <v>30.414997592876372</v>
      </c>
      <c r="G31" s="189"/>
    </row>
    <row r="32" spans="1:7" x14ac:dyDescent="0.2">
      <c r="A32" s="176">
        <v>3213</v>
      </c>
      <c r="B32" s="176">
        <v>6</v>
      </c>
      <c r="C32" s="177" t="s">
        <v>398</v>
      </c>
      <c r="D32" s="177" t="s">
        <v>399</v>
      </c>
      <c r="E32" s="178">
        <v>55.101713065448251</v>
      </c>
      <c r="F32" s="222">
        <v>30.414997592876372</v>
      </c>
      <c r="G32" s="189"/>
    </row>
    <row r="33" spans="1:7" x14ac:dyDescent="0.2">
      <c r="A33" s="176">
        <v>3214</v>
      </c>
      <c r="B33" s="176">
        <v>6</v>
      </c>
      <c r="C33" s="177" t="s">
        <v>398</v>
      </c>
      <c r="D33" s="177" t="s">
        <v>399</v>
      </c>
      <c r="E33" s="178">
        <v>55.101713065448251</v>
      </c>
      <c r="F33" s="222">
        <v>30.414997592876372</v>
      </c>
      <c r="G33" s="189"/>
    </row>
    <row r="34" spans="1:7" x14ac:dyDescent="0.2">
      <c r="A34" s="176">
        <v>3215</v>
      </c>
      <c r="B34" s="176">
        <v>6</v>
      </c>
      <c r="C34" s="177" t="s">
        <v>398</v>
      </c>
      <c r="D34" s="177" t="s">
        <v>399</v>
      </c>
      <c r="E34" s="178">
        <v>55.101713065448251</v>
      </c>
      <c r="F34" s="222">
        <v>30.414997592876372</v>
      </c>
      <c r="G34" s="189"/>
    </row>
    <row r="35" spans="1:7" x14ac:dyDescent="0.2">
      <c r="A35" s="176">
        <v>3216</v>
      </c>
      <c r="B35" s="176">
        <v>6</v>
      </c>
      <c r="C35" s="177" t="s">
        <v>398</v>
      </c>
      <c r="D35" s="177" t="s">
        <v>399</v>
      </c>
      <c r="E35" s="178">
        <v>55.101713065448251</v>
      </c>
      <c r="F35" s="222">
        <v>30.414997592876372</v>
      </c>
      <c r="G35" s="189"/>
    </row>
    <row r="36" spans="1:7" x14ac:dyDescent="0.2">
      <c r="A36" s="176">
        <v>3217</v>
      </c>
      <c r="B36" s="176">
        <v>6</v>
      </c>
      <c r="C36" s="177" t="s">
        <v>398</v>
      </c>
      <c r="D36" s="177" t="s">
        <v>399</v>
      </c>
      <c r="E36" s="178">
        <v>55.101713065448251</v>
      </c>
      <c r="F36" s="222">
        <v>30.414997592876372</v>
      </c>
      <c r="G36" s="189"/>
    </row>
    <row r="37" spans="1:7" x14ac:dyDescent="0.2">
      <c r="A37" s="176">
        <v>3218</v>
      </c>
      <c r="B37" s="176">
        <v>6</v>
      </c>
      <c r="C37" s="177" t="s">
        <v>398</v>
      </c>
      <c r="D37" s="177" t="s">
        <v>399</v>
      </c>
      <c r="E37" s="178">
        <v>55.101713065448251</v>
      </c>
      <c r="F37" s="222">
        <v>30.414997592876372</v>
      </c>
      <c r="G37" s="189"/>
    </row>
    <row r="38" spans="1:7" x14ac:dyDescent="0.2">
      <c r="A38" s="176">
        <v>3219</v>
      </c>
      <c r="B38" s="176">
        <v>6</v>
      </c>
      <c r="C38" s="177" t="s">
        <v>398</v>
      </c>
      <c r="D38" s="177" t="s">
        <v>399</v>
      </c>
      <c r="E38" s="178">
        <v>55.101713065448251</v>
      </c>
      <c r="F38" s="222">
        <v>30.414997592876372</v>
      </c>
      <c r="G38" s="189"/>
    </row>
    <row r="39" spans="1:7" x14ac:dyDescent="0.2">
      <c r="A39" s="176">
        <v>3220</v>
      </c>
      <c r="B39" s="176">
        <v>6</v>
      </c>
      <c r="C39" s="177" t="s">
        <v>398</v>
      </c>
      <c r="D39" s="177" t="s">
        <v>399</v>
      </c>
      <c r="E39" s="178">
        <v>55.101713065448251</v>
      </c>
      <c r="F39" s="222">
        <v>30.414997592876372</v>
      </c>
      <c r="G39" s="189"/>
    </row>
    <row r="40" spans="1:7" x14ac:dyDescent="0.2">
      <c r="A40" s="176">
        <v>3221</v>
      </c>
      <c r="B40" s="176">
        <v>6</v>
      </c>
      <c r="C40" s="177" t="s">
        <v>397</v>
      </c>
      <c r="D40" s="177" t="s">
        <v>400</v>
      </c>
      <c r="E40" s="178">
        <v>38.897618107964718</v>
      </c>
      <c r="F40" s="222">
        <v>24.488626253526263</v>
      </c>
      <c r="G40" s="189"/>
    </row>
    <row r="41" spans="1:7" x14ac:dyDescent="0.2">
      <c r="A41" s="176">
        <v>3222</v>
      </c>
      <c r="B41" s="176">
        <v>6</v>
      </c>
      <c r="C41" s="177" t="s">
        <v>397</v>
      </c>
      <c r="D41" s="177" t="s">
        <v>400</v>
      </c>
      <c r="E41" s="178">
        <v>38.897618107964718</v>
      </c>
      <c r="F41" s="222">
        <v>24.488626253526263</v>
      </c>
      <c r="G41" s="189"/>
    </row>
    <row r="42" spans="1:7" x14ac:dyDescent="0.2">
      <c r="A42" s="176">
        <v>3223</v>
      </c>
      <c r="B42" s="176">
        <v>6</v>
      </c>
      <c r="C42" s="177" t="s">
        <v>397</v>
      </c>
      <c r="D42" s="177" t="s">
        <v>400</v>
      </c>
      <c r="E42" s="178">
        <v>38.897618107964718</v>
      </c>
      <c r="F42" s="222">
        <v>24.488626253526263</v>
      </c>
      <c r="G42" s="189"/>
    </row>
    <row r="43" spans="1:7" x14ac:dyDescent="0.2">
      <c r="A43" s="176">
        <v>3224</v>
      </c>
      <c r="B43" s="176">
        <v>6</v>
      </c>
      <c r="C43" s="177" t="s">
        <v>398</v>
      </c>
      <c r="D43" s="177" t="s">
        <v>399</v>
      </c>
      <c r="E43" s="178">
        <v>55.101713065448251</v>
      </c>
      <c r="F43" s="222">
        <v>30.414997592876372</v>
      </c>
      <c r="G43" s="189"/>
    </row>
    <row r="44" spans="1:7" x14ac:dyDescent="0.2">
      <c r="A44" s="176">
        <v>3225</v>
      </c>
      <c r="B44" s="176">
        <v>6</v>
      </c>
      <c r="C44" s="177" t="s">
        <v>397</v>
      </c>
      <c r="D44" s="177" t="s">
        <v>400</v>
      </c>
      <c r="E44" s="178">
        <v>38.897618107964718</v>
      </c>
      <c r="F44" s="222">
        <v>24.488626253526263</v>
      </c>
      <c r="G44" s="189"/>
    </row>
    <row r="45" spans="1:7" x14ac:dyDescent="0.2">
      <c r="A45" s="176">
        <v>3226</v>
      </c>
      <c r="B45" s="176">
        <v>6</v>
      </c>
      <c r="C45" s="177" t="s">
        <v>397</v>
      </c>
      <c r="D45" s="177" t="s">
        <v>400</v>
      </c>
      <c r="E45" s="178">
        <v>38.897618107964718</v>
      </c>
      <c r="F45" s="222">
        <v>24.488626253526263</v>
      </c>
      <c r="G45" s="189"/>
    </row>
    <row r="46" spans="1:7" x14ac:dyDescent="0.2">
      <c r="A46" s="176">
        <v>3227</v>
      </c>
      <c r="B46" s="176">
        <v>6</v>
      </c>
      <c r="C46" s="177" t="s">
        <v>397</v>
      </c>
      <c r="D46" s="177" t="s">
        <v>400</v>
      </c>
      <c r="E46" s="178">
        <v>38.897618107964718</v>
      </c>
      <c r="F46" s="222">
        <v>24.488626253526263</v>
      </c>
      <c r="G46" s="189"/>
    </row>
    <row r="47" spans="1:7" x14ac:dyDescent="0.2">
      <c r="A47" s="176">
        <v>3228</v>
      </c>
      <c r="B47" s="176">
        <v>6</v>
      </c>
      <c r="C47" s="177" t="s">
        <v>397</v>
      </c>
      <c r="D47" s="177" t="s">
        <v>400</v>
      </c>
      <c r="E47" s="178">
        <v>38.897618107964718</v>
      </c>
      <c r="F47" s="222">
        <v>24.488626253526263</v>
      </c>
      <c r="G47" s="189"/>
    </row>
    <row r="48" spans="1:7" x14ac:dyDescent="0.2">
      <c r="A48" s="176">
        <v>3230</v>
      </c>
      <c r="B48" s="176">
        <v>6</v>
      </c>
      <c r="C48" s="177" t="s">
        <v>397</v>
      </c>
      <c r="D48" s="177" t="s">
        <v>400</v>
      </c>
      <c r="E48" s="178">
        <v>38.897618107964718</v>
      </c>
      <c r="F48" s="222">
        <v>24.488626253526263</v>
      </c>
      <c r="G48" s="189"/>
    </row>
    <row r="49" spans="1:7" x14ac:dyDescent="0.2">
      <c r="A49" s="176">
        <v>3231</v>
      </c>
      <c r="B49" s="176">
        <v>6</v>
      </c>
      <c r="C49" s="177" t="s">
        <v>397</v>
      </c>
      <c r="D49" s="177" t="s">
        <v>400</v>
      </c>
      <c r="E49" s="178">
        <v>38.897618107964718</v>
      </c>
      <c r="F49" s="222">
        <v>24.488626253526263</v>
      </c>
      <c r="G49" s="189"/>
    </row>
    <row r="50" spans="1:7" x14ac:dyDescent="0.2">
      <c r="A50" s="176">
        <v>3232</v>
      </c>
      <c r="B50" s="176">
        <v>6</v>
      </c>
      <c r="C50" s="177" t="s">
        <v>397</v>
      </c>
      <c r="D50" s="177" t="s">
        <v>400</v>
      </c>
      <c r="E50" s="178">
        <v>38.897618107964718</v>
      </c>
      <c r="F50" s="222">
        <v>24.488626253526263</v>
      </c>
      <c r="G50" s="189"/>
    </row>
    <row r="51" spans="1:7" x14ac:dyDescent="0.2">
      <c r="A51" s="176">
        <v>3233</v>
      </c>
      <c r="B51" s="176">
        <v>6</v>
      </c>
      <c r="C51" s="177" t="s">
        <v>397</v>
      </c>
      <c r="D51" s="177" t="s">
        <v>400</v>
      </c>
      <c r="E51" s="178">
        <v>38.897618107964718</v>
      </c>
      <c r="F51" s="222">
        <v>24.488626253526263</v>
      </c>
      <c r="G51" s="189"/>
    </row>
    <row r="52" spans="1:7" x14ac:dyDescent="0.2">
      <c r="A52" s="176">
        <v>3234</v>
      </c>
      <c r="B52" s="176">
        <v>6</v>
      </c>
      <c r="C52" s="177" t="s">
        <v>397</v>
      </c>
      <c r="D52" s="177" t="s">
        <v>400</v>
      </c>
      <c r="E52" s="178">
        <v>38.897618107964718</v>
      </c>
      <c r="F52" s="222">
        <v>24.488626253526263</v>
      </c>
      <c r="G52" s="189"/>
    </row>
    <row r="53" spans="1:7" x14ac:dyDescent="0.2">
      <c r="A53" s="176">
        <v>3235</v>
      </c>
      <c r="B53" s="176">
        <v>6</v>
      </c>
      <c r="C53" s="177" t="s">
        <v>397</v>
      </c>
      <c r="D53" s="177" t="s">
        <v>400</v>
      </c>
      <c r="E53" s="178">
        <v>38.897618107964718</v>
      </c>
      <c r="F53" s="222">
        <v>24.488626253526263</v>
      </c>
      <c r="G53" s="189"/>
    </row>
    <row r="54" spans="1:7" x14ac:dyDescent="0.2">
      <c r="A54" s="176">
        <v>3236</v>
      </c>
      <c r="B54" s="176">
        <v>6</v>
      </c>
      <c r="C54" s="177" t="s">
        <v>397</v>
      </c>
      <c r="D54" s="177" t="s">
        <v>400</v>
      </c>
      <c r="E54" s="178">
        <v>38.897618107964718</v>
      </c>
      <c r="F54" s="222">
        <v>24.488626253526263</v>
      </c>
      <c r="G54" s="189"/>
    </row>
    <row r="55" spans="1:7" x14ac:dyDescent="0.2">
      <c r="A55" s="176">
        <v>3237</v>
      </c>
      <c r="B55" s="176">
        <v>6</v>
      </c>
      <c r="C55" s="177" t="s">
        <v>397</v>
      </c>
      <c r="D55" s="177" t="s">
        <v>400</v>
      </c>
      <c r="E55" s="178">
        <v>38.897618107964718</v>
      </c>
      <c r="F55" s="222">
        <v>24.488626253526263</v>
      </c>
      <c r="G55" s="189"/>
    </row>
    <row r="56" spans="1:7" x14ac:dyDescent="0.2">
      <c r="A56" s="176">
        <v>3238</v>
      </c>
      <c r="B56" s="176">
        <v>6</v>
      </c>
      <c r="C56" s="177" t="s">
        <v>397</v>
      </c>
      <c r="D56" s="177" t="s">
        <v>400</v>
      </c>
      <c r="E56" s="178">
        <v>38.897618107964718</v>
      </c>
      <c r="F56" s="222">
        <v>24.488626253526263</v>
      </c>
      <c r="G56" s="189"/>
    </row>
    <row r="57" spans="1:7" x14ac:dyDescent="0.2">
      <c r="A57" s="176">
        <v>3239</v>
      </c>
      <c r="B57" s="176">
        <v>6</v>
      </c>
      <c r="C57" s="177" t="s">
        <v>397</v>
      </c>
      <c r="D57" s="177" t="s">
        <v>400</v>
      </c>
      <c r="E57" s="178">
        <v>38.897618107964718</v>
      </c>
      <c r="F57" s="222">
        <v>24.488626253526263</v>
      </c>
      <c r="G57" s="189"/>
    </row>
    <row r="58" spans="1:7" x14ac:dyDescent="0.2">
      <c r="A58" s="176">
        <v>3240</v>
      </c>
      <c r="B58" s="176">
        <v>6</v>
      </c>
      <c r="C58" s="177" t="s">
        <v>397</v>
      </c>
      <c r="D58" s="177" t="s">
        <v>400</v>
      </c>
      <c r="E58" s="178">
        <v>38.897618107964718</v>
      </c>
      <c r="F58" s="222">
        <v>24.488626253526263</v>
      </c>
      <c r="G58" s="189"/>
    </row>
    <row r="59" spans="1:7" x14ac:dyDescent="0.2">
      <c r="A59" s="176">
        <v>3241</v>
      </c>
      <c r="B59" s="176">
        <v>6</v>
      </c>
      <c r="C59" s="177" t="s">
        <v>397</v>
      </c>
      <c r="D59" s="177" t="s">
        <v>400</v>
      </c>
      <c r="E59" s="178">
        <v>38.897618107964718</v>
      </c>
      <c r="F59" s="222">
        <v>24.488626253526263</v>
      </c>
      <c r="G59" s="189"/>
    </row>
    <row r="60" spans="1:7" x14ac:dyDescent="0.2">
      <c r="A60" s="176">
        <v>3242</v>
      </c>
      <c r="B60" s="176">
        <v>6</v>
      </c>
      <c r="C60" s="177" t="s">
        <v>397</v>
      </c>
      <c r="D60" s="177" t="s">
        <v>400</v>
      </c>
      <c r="E60" s="178">
        <v>38.897618107964718</v>
      </c>
      <c r="F60" s="222">
        <v>24.488626253526263</v>
      </c>
      <c r="G60" s="189"/>
    </row>
    <row r="61" spans="1:7" x14ac:dyDescent="0.2">
      <c r="A61" s="176">
        <v>3243</v>
      </c>
      <c r="B61" s="176">
        <v>6</v>
      </c>
      <c r="C61" s="177" t="s">
        <v>397</v>
      </c>
      <c r="D61" s="177" t="s">
        <v>400</v>
      </c>
      <c r="E61" s="178">
        <v>38.897618107964718</v>
      </c>
      <c r="F61" s="222">
        <v>24.488626253526263</v>
      </c>
      <c r="G61" s="189"/>
    </row>
    <row r="62" spans="1:7" x14ac:dyDescent="0.2">
      <c r="A62" s="176">
        <v>3249</v>
      </c>
      <c r="B62" s="176">
        <v>6</v>
      </c>
      <c r="C62" s="177" t="s">
        <v>397</v>
      </c>
      <c r="D62" s="177" t="s">
        <v>400</v>
      </c>
      <c r="E62" s="178">
        <v>38.897618107964718</v>
      </c>
      <c r="F62" s="222">
        <v>24.488626253526263</v>
      </c>
      <c r="G62" s="189"/>
    </row>
    <row r="63" spans="1:7" x14ac:dyDescent="0.2">
      <c r="A63" s="176">
        <v>3250</v>
      </c>
      <c r="B63" s="176">
        <v>6</v>
      </c>
      <c r="C63" s="177" t="s">
        <v>397</v>
      </c>
      <c r="D63" s="177" t="s">
        <v>400</v>
      </c>
      <c r="E63" s="178">
        <v>38.897618107964718</v>
      </c>
      <c r="F63" s="222">
        <v>24.488626253526263</v>
      </c>
      <c r="G63" s="189"/>
    </row>
    <row r="64" spans="1:7" x14ac:dyDescent="0.2">
      <c r="A64" s="176">
        <v>3251</v>
      </c>
      <c r="B64" s="176">
        <v>6</v>
      </c>
      <c r="C64" s="177" t="s">
        <v>397</v>
      </c>
      <c r="D64" s="177" t="s">
        <v>400</v>
      </c>
      <c r="E64" s="178">
        <v>38.897618107964718</v>
      </c>
      <c r="F64" s="222">
        <v>24.488626253526263</v>
      </c>
      <c r="G64" s="189"/>
    </row>
    <row r="65" spans="1:7" x14ac:dyDescent="0.2">
      <c r="A65" s="176">
        <v>3254</v>
      </c>
      <c r="B65" s="176">
        <v>6</v>
      </c>
      <c r="C65" s="177" t="s">
        <v>397</v>
      </c>
      <c r="D65" s="177" t="s">
        <v>400</v>
      </c>
      <c r="E65" s="178">
        <v>38.897618107964718</v>
      </c>
      <c r="F65" s="222">
        <v>24.488626253526263</v>
      </c>
      <c r="G65" s="189"/>
    </row>
    <row r="66" spans="1:7" x14ac:dyDescent="0.2">
      <c r="A66" s="176">
        <v>3260</v>
      </c>
      <c r="B66" s="176">
        <v>6</v>
      </c>
      <c r="C66" s="177" t="s">
        <v>397</v>
      </c>
      <c r="D66" s="177" t="s">
        <v>400</v>
      </c>
      <c r="E66" s="178">
        <v>38.897618107964718</v>
      </c>
      <c r="F66" s="222">
        <v>24.488626253526263</v>
      </c>
      <c r="G66" s="189"/>
    </row>
    <row r="67" spans="1:7" x14ac:dyDescent="0.2">
      <c r="A67" s="176">
        <v>3264</v>
      </c>
      <c r="B67" s="176">
        <v>6</v>
      </c>
      <c r="C67" s="177" t="s">
        <v>397</v>
      </c>
      <c r="D67" s="177" t="s">
        <v>400</v>
      </c>
      <c r="E67" s="178">
        <v>38.897618107964718</v>
      </c>
      <c r="F67" s="222">
        <v>24.488626253526263</v>
      </c>
      <c r="G67" s="189"/>
    </row>
    <row r="68" spans="1:7" x14ac:dyDescent="0.2">
      <c r="A68" s="176">
        <v>3265</v>
      </c>
      <c r="B68" s="176">
        <v>6</v>
      </c>
      <c r="C68" s="177" t="s">
        <v>397</v>
      </c>
      <c r="D68" s="177" t="s">
        <v>400</v>
      </c>
      <c r="E68" s="178">
        <v>38.897618107964718</v>
      </c>
      <c r="F68" s="222">
        <v>24.488626253526263</v>
      </c>
      <c r="G68" s="189"/>
    </row>
    <row r="69" spans="1:7" x14ac:dyDescent="0.2">
      <c r="A69" s="176">
        <v>3266</v>
      </c>
      <c r="B69" s="176">
        <v>6</v>
      </c>
      <c r="C69" s="177" t="s">
        <v>397</v>
      </c>
      <c r="D69" s="177" t="s">
        <v>400</v>
      </c>
      <c r="E69" s="178">
        <v>38.897618107964718</v>
      </c>
      <c r="F69" s="222">
        <v>24.488626253526263</v>
      </c>
      <c r="G69" s="189"/>
    </row>
    <row r="70" spans="1:7" x14ac:dyDescent="0.2">
      <c r="A70" s="176">
        <v>3267</v>
      </c>
      <c r="B70" s="176">
        <v>6</v>
      </c>
      <c r="C70" s="177" t="s">
        <v>397</v>
      </c>
      <c r="D70" s="177" t="s">
        <v>400</v>
      </c>
      <c r="E70" s="178">
        <v>38.897618107964718</v>
      </c>
      <c r="F70" s="222">
        <v>24.488626253526263</v>
      </c>
      <c r="G70" s="189"/>
    </row>
    <row r="71" spans="1:7" x14ac:dyDescent="0.2">
      <c r="A71" s="176">
        <v>3268</v>
      </c>
      <c r="B71" s="176">
        <v>6</v>
      </c>
      <c r="C71" s="177" t="s">
        <v>397</v>
      </c>
      <c r="D71" s="177" t="s">
        <v>400</v>
      </c>
      <c r="E71" s="178">
        <v>38.897618107964718</v>
      </c>
      <c r="F71" s="222">
        <v>24.488626253526263</v>
      </c>
      <c r="G71" s="189"/>
    </row>
    <row r="72" spans="1:7" x14ac:dyDescent="0.2">
      <c r="A72" s="176">
        <v>3269</v>
      </c>
      <c r="B72" s="176">
        <v>6</v>
      </c>
      <c r="C72" s="177" t="s">
        <v>397</v>
      </c>
      <c r="D72" s="177" t="s">
        <v>400</v>
      </c>
      <c r="E72" s="178">
        <v>38.897618107964718</v>
      </c>
      <c r="F72" s="222">
        <v>24.488626253526263</v>
      </c>
      <c r="G72" s="189"/>
    </row>
    <row r="73" spans="1:7" x14ac:dyDescent="0.2">
      <c r="A73" s="176">
        <v>3270</v>
      </c>
      <c r="B73" s="176">
        <v>6</v>
      </c>
      <c r="C73" s="177" t="s">
        <v>397</v>
      </c>
      <c r="D73" s="177" t="s">
        <v>400</v>
      </c>
      <c r="E73" s="178">
        <v>38.897618107964718</v>
      </c>
      <c r="F73" s="222">
        <v>24.488626253526263</v>
      </c>
      <c r="G73" s="189"/>
    </row>
    <row r="74" spans="1:7" x14ac:dyDescent="0.2">
      <c r="A74" s="176">
        <v>3271</v>
      </c>
      <c r="B74" s="176">
        <v>6</v>
      </c>
      <c r="C74" s="177" t="s">
        <v>397</v>
      </c>
      <c r="D74" s="177" t="s">
        <v>400</v>
      </c>
      <c r="E74" s="178">
        <v>38.897618107964718</v>
      </c>
      <c r="F74" s="222">
        <v>24.488626253526263</v>
      </c>
      <c r="G74" s="189"/>
    </row>
    <row r="75" spans="1:7" x14ac:dyDescent="0.2">
      <c r="A75" s="176">
        <v>3272</v>
      </c>
      <c r="B75" s="176">
        <v>6</v>
      </c>
      <c r="C75" s="177" t="s">
        <v>397</v>
      </c>
      <c r="D75" s="177" t="s">
        <v>400</v>
      </c>
      <c r="E75" s="178">
        <v>38.897618107964718</v>
      </c>
      <c r="F75" s="222">
        <v>24.488626253526263</v>
      </c>
      <c r="G75" s="189"/>
    </row>
    <row r="76" spans="1:7" x14ac:dyDescent="0.2">
      <c r="A76" s="176">
        <v>3273</v>
      </c>
      <c r="B76" s="176">
        <v>6</v>
      </c>
      <c r="C76" s="177" t="s">
        <v>397</v>
      </c>
      <c r="D76" s="177" t="s">
        <v>400</v>
      </c>
      <c r="E76" s="178">
        <v>38.897618107964718</v>
      </c>
      <c r="F76" s="222">
        <v>24.488626253526263</v>
      </c>
      <c r="G76" s="189"/>
    </row>
    <row r="77" spans="1:7" x14ac:dyDescent="0.2">
      <c r="A77" s="176">
        <v>3274</v>
      </c>
      <c r="B77" s="176">
        <v>6</v>
      </c>
      <c r="C77" s="177" t="s">
        <v>397</v>
      </c>
      <c r="D77" s="177" t="s">
        <v>400</v>
      </c>
      <c r="E77" s="178">
        <v>38.897618107964718</v>
      </c>
      <c r="F77" s="222">
        <v>24.488626253526263</v>
      </c>
      <c r="G77" s="189"/>
    </row>
    <row r="78" spans="1:7" x14ac:dyDescent="0.2">
      <c r="A78" s="176">
        <v>3275</v>
      </c>
      <c r="B78" s="176">
        <v>6</v>
      </c>
      <c r="C78" s="177" t="s">
        <v>397</v>
      </c>
      <c r="D78" s="177" t="s">
        <v>400</v>
      </c>
      <c r="E78" s="178">
        <v>38.897618107964718</v>
      </c>
      <c r="F78" s="222">
        <v>24.488626253526263</v>
      </c>
      <c r="G78" s="189"/>
    </row>
    <row r="79" spans="1:7" x14ac:dyDescent="0.2">
      <c r="A79" s="176">
        <v>3276</v>
      </c>
      <c r="B79" s="176">
        <v>6</v>
      </c>
      <c r="C79" s="177" t="s">
        <v>397</v>
      </c>
      <c r="D79" s="177" t="s">
        <v>400</v>
      </c>
      <c r="E79" s="178">
        <v>38.897618107964718</v>
      </c>
      <c r="F79" s="222">
        <v>24.488626253526263</v>
      </c>
      <c r="G79" s="189"/>
    </row>
    <row r="80" spans="1:7" x14ac:dyDescent="0.2">
      <c r="A80" s="176">
        <v>3277</v>
      </c>
      <c r="B80" s="176">
        <v>6</v>
      </c>
      <c r="C80" s="177" t="s">
        <v>397</v>
      </c>
      <c r="D80" s="177" t="s">
        <v>400</v>
      </c>
      <c r="E80" s="178">
        <v>38.897618107964718</v>
      </c>
      <c r="F80" s="222">
        <v>24.488626253526263</v>
      </c>
      <c r="G80" s="189"/>
    </row>
    <row r="81" spans="1:7" x14ac:dyDescent="0.2">
      <c r="A81" s="176">
        <v>3278</v>
      </c>
      <c r="B81" s="176">
        <v>6</v>
      </c>
      <c r="C81" s="177" t="s">
        <v>397</v>
      </c>
      <c r="D81" s="177" t="s">
        <v>400</v>
      </c>
      <c r="E81" s="178">
        <v>38.897618107964718</v>
      </c>
      <c r="F81" s="222">
        <v>24.488626253526263</v>
      </c>
      <c r="G81" s="189"/>
    </row>
    <row r="82" spans="1:7" x14ac:dyDescent="0.2">
      <c r="A82" s="176">
        <v>3279</v>
      </c>
      <c r="B82" s="176">
        <v>6</v>
      </c>
      <c r="C82" s="177" t="s">
        <v>397</v>
      </c>
      <c r="D82" s="177" t="s">
        <v>400</v>
      </c>
      <c r="E82" s="178">
        <v>38.897618107964718</v>
      </c>
      <c r="F82" s="222">
        <v>24.488626253526263</v>
      </c>
      <c r="G82" s="189"/>
    </row>
    <row r="83" spans="1:7" x14ac:dyDescent="0.2">
      <c r="A83" s="176">
        <v>3280</v>
      </c>
      <c r="B83" s="176">
        <v>6</v>
      </c>
      <c r="C83" s="177" t="s">
        <v>397</v>
      </c>
      <c r="D83" s="177" t="s">
        <v>400</v>
      </c>
      <c r="E83" s="178">
        <v>38.897618107964718</v>
      </c>
      <c r="F83" s="222">
        <v>24.488626253526263</v>
      </c>
      <c r="G83" s="189"/>
    </row>
    <row r="84" spans="1:7" x14ac:dyDescent="0.2">
      <c r="A84" s="176">
        <v>3281</v>
      </c>
      <c r="B84" s="176">
        <v>6</v>
      </c>
      <c r="C84" s="177" t="s">
        <v>397</v>
      </c>
      <c r="D84" s="177" t="s">
        <v>400</v>
      </c>
      <c r="E84" s="178">
        <v>38.897618107964718</v>
      </c>
      <c r="F84" s="222">
        <v>24.488626253526263</v>
      </c>
      <c r="G84" s="189"/>
    </row>
    <row r="85" spans="1:7" x14ac:dyDescent="0.2">
      <c r="A85" s="176">
        <v>3282</v>
      </c>
      <c r="B85" s="176">
        <v>6</v>
      </c>
      <c r="C85" s="177" t="s">
        <v>397</v>
      </c>
      <c r="D85" s="177" t="s">
        <v>400</v>
      </c>
      <c r="E85" s="178">
        <v>38.897618107964718</v>
      </c>
      <c r="F85" s="222">
        <v>24.488626253526263</v>
      </c>
      <c r="G85" s="189"/>
    </row>
    <row r="86" spans="1:7" x14ac:dyDescent="0.2">
      <c r="A86" s="176">
        <v>3283</v>
      </c>
      <c r="B86" s="176">
        <v>6</v>
      </c>
      <c r="C86" s="177" t="s">
        <v>397</v>
      </c>
      <c r="D86" s="177" t="s">
        <v>400</v>
      </c>
      <c r="E86" s="178">
        <v>38.897618107964718</v>
      </c>
      <c r="F86" s="222">
        <v>24.488626253526263</v>
      </c>
      <c r="G86" s="189"/>
    </row>
    <row r="87" spans="1:7" x14ac:dyDescent="0.2">
      <c r="A87" s="176">
        <v>3284</v>
      </c>
      <c r="B87" s="176">
        <v>6</v>
      </c>
      <c r="C87" s="177" t="s">
        <v>397</v>
      </c>
      <c r="D87" s="177" t="s">
        <v>400</v>
      </c>
      <c r="E87" s="178">
        <v>38.897618107964718</v>
      </c>
      <c r="F87" s="222">
        <v>24.488626253526263</v>
      </c>
      <c r="G87" s="189"/>
    </row>
    <row r="88" spans="1:7" x14ac:dyDescent="0.2">
      <c r="A88" s="176">
        <v>3285</v>
      </c>
      <c r="B88" s="176">
        <v>6</v>
      </c>
      <c r="C88" s="177" t="s">
        <v>397</v>
      </c>
      <c r="D88" s="177" t="s">
        <v>400</v>
      </c>
      <c r="E88" s="178">
        <v>38.897618107964718</v>
      </c>
      <c r="F88" s="222">
        <v>24.488626253526263</v>
      </c>
      <c r="G88" s="189"/>
    </row>
    <row r="89" spans="1:7" x14ac:dyDescent="0.2">
      <c r="A89" s="176">
        <v>3286</v>
      </c>
      <c r="B89" s="176">
        <v>6</v>
      </c>
      <c r="C89" s="177" t="s">
        <v>397</v>
      </c>
      <c r="D89" s="177" t="s">
        <v>400</v>
      </c>
      <c r="E89" s="178">
        <v>38.897618107964718</v>
      </c>
      <c r="F89" s="222">
        <v>24.488626253526263</v>
      </c>
      <c r="G89" s="189"/>
    </row>
    <row r="90" spans="1:7" x14ac:dyDescent="0.2">
      <c r="A90" s="176">
        <v>3287</v>
      </c>
      <c r="B90" s="176">
        <v>6</v>
      </c>
      <c r="C90" s="177" t="s">
        <v>397</v>
      </c>
      <c r="D90" s="177" t="s">
        <v>400</v>
      </c>
      <c r="E90" s="178">
        <v>38.897618107964718</v>
      </c>
      <c r="F90" s="222">
        <v>24.488626253526263</v>
      </c>
      <c r="G90" s="189"/>
    </row>
    <row r="91" spans="1:7" x14ac:dyDescent="0.2">
      <c r="A91" s="176">
        <v>3289</v>
      </c>
      <c r="B91" s="176">
        <v>7</v>
      </c>
      <c r="C91" s="177" t="s">
        <v>397</v>
      </c>
      <c r="D91" s="177" t="s">
        <v>402</v>
      </c>
      <c r="E91" s="178">
        <v>35.689437134949145</v>
      </c>
      <c r="F91" s="222">
        <v>25.27630106393546</v>
      </c>
      <c r="G91" s="189"/>
    </row>
    <row r="92" spans="1:7" x14ac:dyDescent="0.2">
      <c r="A92" s="176">
        <v>3292</v>
      </c>
      <c r="B92" s="176">
        <v>6</v>
      </c>
      <c r="C92" s="177" t="s">
        <v>397</v>
      </c>
      <c r="D92" s="177" t="s">
        <v>400</v>
      </c>
      <c r="E92" s="178">
        <v>38.897618107964718</v>
      </c>
      <c r="F92" s="222">
        <v>24.488626253526263</v>
      </c>
      <c r="G92" s="189"/>
    </row>
    <row r="93" spans="1:7" x14ac:dyDescent="0.2">
      <c r="A93" s="176">
        <v>3293</v>
      </c>
      <c r="B93" s="176">
        <v>7</v>
      </c>
      <c r="C93" s="177" t="s">
        <v>397</v>
      </c>
      <c r="D93" s="177" t="s">
        <v>402</v>
      </c>
      <c r="E93" s="178">
        <v>35.689437134949145</v>
      </c>
      <c r="F93" s="222">
        <v>25.27630106393546</v>
      </c>
      <c r="G93" s="189"/>
    </row>
    <row r="94" spans="1:7" x14ac:dyDescent="0.2">
      <c r="A94" s="176">
        <v>3294</v>
      </c>
      <c r="B94" s="176">
        <v>7</v>
      </c>
      <c r="C94" s="177" t="s">
        <v>397</v>
      </c>
      <c r="D94" s="177" t="s">
        <v>402</v>
      </c>
      <c r="E94" s="178">
        <v>35.689437134949145</v>
      </c>
      <c r="F94" s="222">
        <v>25.27630106393546</v>
      </c>
      <c r="G94" s="189"/>
    </row>
    <row r="95" spans="1:7" x14ac:dyDescent="0.2">
      <c r="A95" s="176">
        <v>3300</v>
      </c>
      <c r="B95" s="176">
        <v>7</v>
      </c>
      <c r="C95" s="177" t="s">
        <v>397</v>
      </c>
      <c r="D95" s="177" t="s">
        <v>402</v>
      </c>
      <c r="E95" s="178">
        <v>35.689437134949145</v>
      </c>
      <c r="F95" s="222">
        <v>25.27630106393546</v>
      </c>
      <c r="G95" s="189"/>
    </row>
    <row r="96" spans="1:7" x14ac:dyDescent="0.2">
      <c r="A96" s="176">
        <v>3301</v>
      </c>
      <c r="B96" s="176">
        <v>7</v>
      </c>
      <c r="C96" s="177" t="s">
        <v>397</v>
      </c>
      <c r="D96" s="177" t="s">
        <v>402</v>
      </c>
      <c r="E96" s="178">
        <v>35.689437134949145</v>
      </c>
      <c r="F96" s="222">
        <v>25.27630106393546</v>
      </c>
      <c r="G96" s="189"/>
    </row>
    <row r="97" spans="1:7" x14ac:dyDescent="0.2">
      <c r="A97" s="176">
        <v>3302</v>
      </c>
      <c r="B97" s="176">
        <v>7</v>
      </c>
      <c r="C97" s="177" t="s">
        <v>397</v>
      </c>
      <c r="D97" s="177" t="s">
        <v>402</v>
      </c>
      <c r="E97" s="178">
        <v>35.689437134949145</v>
      </c>
      <c r="F97" s="222">
        <v>25.27630106393546</v>
      </c>
      <c r="G97" s="189"/>
    </row>
    <row r="98" spans="1:7" x14ac:dyDescent="0.2">
      <c r="A98" s="176">
        <v>3303</v>
      </c>
      <c r="B98" s="176">
        <v>6</v>
      </c>
      <c r="C98" s="177" t="s">
        <v>397</v>
      </c>
      <c r="D98" s="177" t="s">
        <v>400</v>
      </c>
      <c r="E98" s="178">
        <v>38.897618107964718</v>
      </c>
      <c r="F98" s="222">
        <v>24.488626253526263</v>
      </c>
      <c r="G98" s="189"/>
    </row>
    <row r="99" spans="1:7" x14ac:dyDescent="0.2">
      <c r="A99" s="176">
        <v>3304</v>
      </c>
      <c r="B99" s="176">
        <v>6</v>
      </c>
      <c r="C99" s="177" t="s">
        <v>397</v>
      </c>
      <c r="D99" s="177" t="s">
        <v>400</v>
      </c>
      <c r="E99" s="178">
        <v>38.897618107964718</v>
      </c>
      <c r="F99" s="222">
        <v>24.488626253526263</v>
      </c>
      <c r="G99" s="189"/>
    </row>
    <row r="100" spans="1:7" x14ac:dyDescent="0.2">
      <c r="A100" s="176">
        <v>3305</v>
      </c>
      <c r="B100" s="176">
        <v>6</v>
      </c>
      <c r="C100" s="177" t="s">
        <v>397</v>
      </c>
      <c r="D100" s="177" t="s">
        <v>400</v>
      </c>
      <c r="E100" s="178">
        <v>38.897618107964718</v>
      </c>
      <c r="F100" s="222">
        <v>24.488626253526263</v>
      </c>
      <c r="G100" s="189"/>
    </row>
    <row r="101" spans="1:7" x14ac:dyDescent="0.2">
      <c r="A101" s="176">
        <v>3309</v>
      </c>
      <c r="B101" s="176">
        <v>6</v>
      </c>
      <c r="C101" s="177" t="s">
        <v>397</v>
      </c>
      <c r="D101" s="177" t="s">
        <v>400</v>
      </c>
      <c r="E101" s="178">
        <v>38.897618107964718</v>
      </c>
      <c r="F101" s="222">
        <v>24.488626253526263</v>
      </c>
      <c r="G101" s="189"/>
    </row>
    <row r="102" spans="1:7" x14ac:dyDescent="0.2">
      <c r="A102" s="176">
        <v>3310</v>
      </c>
      <c r="B102" s="176">
        <v>6</v>
      </c>
      <c r="C102" s="177" t="s">
        <v>397</v>
      </c>
      <c r="D102" s="177" t="s">
        <v>400</v>
      </c>
      <c r="E102" s="178">
        <v>38.897618107964718</v>
      </c>
      <c r="F102" s="222">
        <v>24.488626253526263</v>
      </c>
      <c r="G102" s="189"/>
    </row>
    <row r="103" spans="1:7" x14ac:dyDescent="0.2">
      <c r="A103" s="176">
        <v>3311</v>
      </c>
      <c r="B103" s="176">
        <v>6</v>
      </c>
      <c r="C103" s="177" t="s">
        <v>397</v>
      </c>
      <c r="D103" s="177" t="s">
        <v>400</v>
      </c>
      <c r="E103" s="178">
        <v>38.897618107964718</v>
      </c>
      <c r="F103" s="222">
        <v>24.488626253526263</v>
      </c>
      <c r="G103" s="189"/>
    </row>
    <row r="104" spans="1:7" x14ac:dyDescent="0.2">
      <c r="A104" s="176">
        <v>3312</v>
      </c>
      <c r="B104" s="176">
        <v>6</v>
      </c>
      <c r="C104" s="177" t="s">
        <v>397</v>
      </c>
      <c r="D104" s="177" t="s">
        <v>400</v>
      </c>
      <c r="E104" s="178">
        <v>38.897618107964718</v>
      </c>
      <c r="F104" s="222">
        <v>24.488626253526263</v>
      </c>
      <c r="G104" s="189"/>
    </row>
    <row r="105" spans="1:7" x14ac:dyDescent="0.2">
      <c r="A105" s="176">
        <v>3314</v>
      </c>
      <c r="B105" s="176">
        <v>7</v>
      </c>
      <c r="C105" s="177" t="s">
        <v>397</v>
      </c>
      <c r="D105" s="177" t="s">
        <v>402</v>
      </c>
      <c r="E105" s="178">
        <v>35.689437134949145</v>
      </c>
      <c r="F105" s="222">
        <v>25.27630106393546</v>
      </c>
      <c r="G105" s="189"/>
    </row>
    <row r="106" spans="1:7" x14ac:dyDescent="0.2">
      <c r="A106" s="176">
        <v>3315</v>
      </c>
      <c r="B106" s="176">
        <v>7</v>
      </c>
      <c r="C106" s="177" t="s">
        <v>397</v>
      </c>
      <c r="D106" s="177" t="s">
        <v>402</v>
      </c>
      <c r="E106" s="178">
        <v>35.689437134949145</v>
      </c>
      <c r="F106" s="222">
        <v>25.27630106393546</v>
      </c>
      <c r="G106" s="189"/>
    </row>
    <row r="107" spans="1:7" x14ac:dyDescent="0.2">
      <c r="A107" s="176">
        <v>3317</v>
      </c>
      <c r="B107" s="176">
        <v>6</v>
      </c>
      <c r="C107" s="177" t="s">
        <v>397</v>
      </c>
      <c r="D107" s="177" t="s">
        <v>400</v>
      </c>
      <c r="E107" s="178">
        <v>38.897618107964718</v>
      </c>
      <c r="F107" s="222">
        <v>24.488626253526263</v>
      </c>
      <c r="G107" s="189"/>
    </row>
    <row r="108" spans="1:7" x14ac:dyDescent="0.2">
      <c r="A108" s="176">
        <v>3318</v>
      </c>
      <c r="B108" s="176">
        <v>6</v>
      </c>
      <c r="C108" s="177" t="s">
        <v>397</v>
      </c>
      <c r="D108" s="177" t="s">
        <v>400</v>
      </c>
      <c r="E108" s="178">
        <v>38.897618107964718</v>
      </c>
      <c r="F108" s="222">
        <v>24.488626253526263</v>
      </c>
      <c r="G108" s="189"/>
    </row>
    <row r="109" spans="1:7" x14ac:dyDescent="0.2">
      <c r="A109" s="176">
        <v>3319</v>
      </c>
      <c r="B109" s="176">
        <v>6</v>
      </c>
      <c r="C109" s="177" t="s">
        <v>397</v>
      </c>
      <c r="D109" s="177" t="s">
        <v>400</v>
      </c>
      <c r="E109" s="178">
        <v>38.897618107964718</v>
      </c>
      <c r="F109" s="222">
        <v>24.488626253526263</v>
      </c>
      <c r="G109" s="189"/>
    </row>
    <row r="110" spans="1:7" x14ac:dyDescent="0.2">
      <c r="A110" s="176">
        <v>3321</v>
      </c>
      <c r="B110" s="176">
        <v>6</v>
      </c>
      <c r="C110" s="177" t="s">
        <v>397</v>
      </c>
      <c r="D110" s="177" t="s">
        <v>400</v>
      </c>
      <c r="E110" s="178">
        <v>38.897618107964718</v>
      </c>
      <c r="F110" s="222">
        <v>24.488626253526263</v>
      </c>
      <c r="G110" s="189"/>
    </row>
    <row r="111" spans="1:7" x14ac:dyDescent="0.2">
      <c r="A111" s="176">
        <v>3322</v>
      </c>
      <c r="B111" s="176">
        <v>6</v>
      </c>
      <c r="C111" s="177" t="s">
        <v>397</v>
      </c>
      <c r="D111" s="177" t="s">
        <v>400</v>
      </c>
      <c r="E111" s="178">
        <v>38.897618107964718</v>
      </c>
      <c r="F111" s="222">
        <v>24.488626253526263</v>
      </c>
      <c r="G111" s="189"/>
    </row>
    <row r="112" spans="1:7" x14ac:dyDescent="0.2">
      <c r="A112" s="176">
        <v>3323</v>
      </c>
      <c r="B112" s="176">
        <v>6</v>
      </c>
      <c r="C112" s="177" t="s">
        <v>397</v>
      </c>
      <c r="D112" s="177" t="s">
        <v>400</v>
      </c>
      <c r="E112" s="178">
        <v>38.897618107964718</v>
      </c>
      <c r="F112" s="222">
        <v>24.488626253526263</v>
      </c>
      <c r="G112" s="189"/>
    </row>
    <row r="113" spans="1:7" x14ac:dyDescent="0.2">
      <c r="A113" s="176">
        <v>3324</v>
      </c>
      <c r="B113" s="176">
        <v>6</v>
      </c>
      <c r="C113" s="177" t="s">
        <v>397</v>
      </c>
      <c r="D113" s="177" t="s">
        <v>400</v>
      </c>
      <c r="E113" s="178">
        <v>38.897618107964718</v>
      </c>
      <c r="F113" s="222">
        <v>24.488626253526263</v>
      </c>
      <c r="G113" s="189"/>
    </row>
    <row r="114" spans="1:7" x14ac:dyDescent="0.2">
      <c r="A114" s="176">
        <v>3325</v>
      </c>
      <c r="B114" s="176">
        <v>6</v>
      </c>
      <c r="C114" s="177" t="s">
        <v>397</v>
      </c>
      <c r="D114" s="177" t="s">
        <v>400</v>
      </c>
      <c r="E114" s="178">
        <v>38.897618107964718</v>
      </c>
      <c r="F114" s="222">
        <v>24.488626253526263</v>
      </c>
      <c r="G114" s="189"/>
    </row>
    <row r="115" spans="1:7" x14ac:dyDescent="0.2">
      <c r="A115" s="176">
        <v>3328</v>
      </c>
      <c r="B115" s="176">
        <v>6</v>
      </c>
      <c r="C115" s="177" t="s">
        <v>397</v>
      </c>
      <c r="D115" s="177" t="s">
        <v>400</v>
      </c>
      <c r="E115" s="178">
        <v>38.897618107964718</v>
      </c>
      <c r="F115" s="222">
        <v>24.488626253526263</v>
      </c>
      <c r="G115" s="189"/>
    </row>
    <row r="116" spans="1:7" x14ac:dyDescent="0.2">
      <c r="A116" s="176">
        <v>3329</v>
      </c>
      <c r="B116" s="176">
        <v>6</v>
      </c>
      <c r="C116" s="177" t="s">
        <v>397</v>
      </c>
      <c r="D116" s="177" t="s">
        <v>400</v>
      </c>
      <c r="E116" s="178">
        <v>38.897618107964718</v>
      </c>
      <c r="F116" s="222">
        <v>24.488626253526263</v>
      </c>
      <c r="G116" s="189"/>
    </row>
    <row r="117" spans="1:7" x14ac:dyDescent="0.2">
      <c r="A117" s="176">
        <v>3330</v>
      </c>
      <c r="B117" s="176">
        <v>6</v>
      </c>
      <c r="C117" s="177" t="s">
        <v>397</v>
      </c>
      <c r="D117" s="177" t="s">
        <v>400</v>
      </c>
      <c r="E117" s="178">
        <v>38.897618107964718</v>
      </c>
      <c r="F117" s="222">
        <v>24.488626253526263</v>
      </c>
      <c r="G117" s="189"/>
    </row>
    <row r="118" spans="1:7" x14ac:dyDescent="0.2">
      <c r="A118" s="176">
        <v>3331</v>
      </c>
      <c r="B118" s="176">
        <v>6</v>
      </c>
      <c r="C118" s="177" t="s">
        <v>397</v>
      </c>
      <c r="D118" s="177" t="s">
        <v>400</v>
      </c>
      <c r="E118" s="178">
        <v>38.897618107964718</v>
      </c>
      <c r="F118" s="222">
        <v>24.488626253526263</v>
      </c>
      <c r="G118" s="189"/>
    </row>
    <row r="119" spans="1:7" x14ac:dyDescent="0.2">
      <c r="A119" s="176">
        <v>3332</v>
      </c>
      <c r="B119" s="176">
        <v>6</v>
      </c>
      <c r="C119" s="177" t="s">
        <v>397</v>
      </c>
      <c r="D119" s="177" t="s">
        <v>400</v>
      </c>
      <c r="E119" s="178">
        <v>38.897618107964718</v>
      </c>
      <c r="F119" s="222">
        <v>24.488626253526263</v>
      </c>
      <c r="G119" s="189"/>
    </row>
    <row r="120" spans="1:7" x14ac:dyDescent="0.2">
      <c r="A120" s="176">
        <v>3333</v>
      </c>
      <c r="B120" s="176">
        <v>6</v>
      </c>
      <c r="C120" s="177" t="s">
        <v>397</v>
      </c>
      <c r="D120" s="177" t="s">
        <v>400</v>
      </c>
      <c r="E120" s="178">
        <v>38.897618107964718</v>
      </c>
      <c r="F120" s="222">
        <v>24.488626253526263</v>
      </c>
      <c r="G120" s="189"/>
    </row>
    <row r="121" spans="1:7" x14ac:dyDescent="0.2">
      <c r="A121" s="176">
        <v>3334</v>
      </c>
      <c r="B121" s="176">
        <v>6</v>
      </c>
      <c r="C121" s="177" t="s">
        <v>397</v>
      </c>
      <c r="D121" s="177" t="s">
        <v>400</v>
      </c>
      <c r="E121" s="178">
        <v>38.897618107964718</v>
      </c>
      <c r="F121" s="222">
        <v>24.488626253526263</v>
      </c>
      <c r="G121" s="189"/>
    </row>
    <row r="122" spans="1:7" x14ac:dyDescent="0.2">
      <c r="A122" s="176">
        <v>3335</v>
      </c>
      <c r="B122" s="176">
        <v>6</v>
      </c>
      <c r="C122" s="177" t="s">
        <v>398</v>
      </c>
      <c r="D122" s="177" t="s">
        <v>399</v>
      </c>
      <c r="E122" s="178">
        <v>55.101713065448251</v>
      </c>
      <c r="F122" s="222">
        <v>30.414997592876372</v>
      </c>
      <c r="G122" s="189"/>
    </row>
    <row r="123" spans="1:7" x14ac:dyDescent="0.2">
      <c r="A123" s="176">
        <v>3336</v>
      </c>
      <c r="B123" s="176">
        <v>6</v>
      </c>
      <c r="C123" s="177" t="s">
        <v>398</v>
      </c>
      <c r="D123" s="177" t="s">
        <v>399</v>
      </c>
      <c r="E123" s="178">
        <v>55.101713065448251</v>
      </c>
      <c r="F123" s="222">
        <v>30.414997592876372</v>
      </c>
      <c r="G123" s="189"/>
    </row>
    <row r="124" spans="1:7" x14ac:dyDescent="0.2">
      <c r="A124" s="176">
        <v>3337</v>
      </c>
      <c r="B124" s="176">
        <v>6</v>
      </c>
      <c r="C124" s="177" t="s">
        <v>398</v>
      </c>
      <c r="D124" s="177" t="s">
        <v>399</v>
      </c>
      <c r="E124" s="178">
        <v>55.101713065448251</v>
      </c>
      <c r="F124" s="222">
        <v>30.414997592876372</v>
      </c>
      <c r="G124" s="189"/>
    </row>
    <row r="125" spans="1:7" x14ac:dyDescent="0.2">
      <c r="A125" s="176">
        <v>3338</v>
      </c>
      <c r="B125" s="176">
        <v>6</v>
      </c>
      <c r="C125" s="177" t="s">
        <v>398</v>
      </c>
      <c r="D125" s="177" t="s">
        <v>399</v>
      </c>
      <c r="E125" s="178">
        <v>55.101713065448251</v>
      </c>
      <c r="F125" s="222">
        <v>30.414997592876372</v>
      </c>
      <c r="G125" s="189"/>
    </row>
    <row r="126" spans="1:7" x14ac:dyDescent="0.2">
      <c r="A126" s="176">
        <v>3340</v>
      </c>
      <c r="B126" s="176">
        <v>6</v>
      </c>
      <c r="C126" s="177" t="s">
        <v>398</v>
      </c>
      <c r="D126" s="177" t="s">
        <v>399</v>
      </c>
      <c r="E126" s="178">
        <v>55.101713065448251</v>
      </c>
      <c r="F126" s="222">
        <v>30.414997592876372</v>
      </c>
      <c r="G126" s="189"/>
    </row>
    <row r="127" spans="1:7" x14ac:dyDescent="0.2">
      <c r="A127" s="176">
        <v>3341</v>
      </c>
      <c r="B127" s="176">
        <v>6</v>
      </c>
      <c r="C127" s="177" t="s">
        <v>397</v>
      </c>
      <c r="D127" s="177" t="s">
        <v>400</v>
      </c>
      <c r="E127" s="178">
        <v>38.897618107964718</v>
      </c>
      <c r="F127" s="222">
        <v>24.488626253526263</v>
      </c>
      <c r="G127" s="189"/>
    </row>
    <row r="128" spans="1:7" x14ac:dyDescent="0.2">
      <c r="A128" s="176">
        <v>3342</v>
      </c>
      <c r="B128" s="176">
        <v>6</v>
      </c>
      <c r="C128" s="177" t="s">
        <v>397</v>
      </c>
      <c r="D128" s="177" t="s">
        <v>400</v>
      </c>
      <c r="E128" s="178">
        <v>38.897618107964718</v>
      </c>
      <c r="F128" s="222">
        <v>24.488626253526263</v>
      </c>
      <c r="G128" s="189"/>
    </row>
    <row r="129" spans="1:7" x14ac:dyDescent="0.2">
      <c r="A129" s="176">
        <v>3345</v>
      </c>
      <c r="B129" s="176">
        <v>6</v>
      </c>
      <c r="C129" s="177" t="s">
        <v>397</v>
      </c>
      <c r="D129" s="177" t="s">
        <v>400</v>
      </c>
      <c r="E129" s="178">
        <v>38.897618107964718</v>
      </c>
      <c r="F129" s="222">
        <v>24.488626253526263</v>
      </c>
      <c r="G129" s="189"/>
    </row>
    <row r="130" spans="1:7" x14ac:dyDescent="0.2">
      <c r="A130" s="176">
        <v>3350</v>
      </c>
      <c r="B130" s="176">
        <v>7</v>
      </c>
      <c r="C130" s="177" t="s">
        <v>397</v>
      </c>
      <c r="D130" s="177" t="s">
        <v>402</v>
      </c>
      <c r="E130" s="178">
        <v>35.689437134949145</v>
      </c>
      <c r="F130" s="222">
        <v>25.27630106393546</v>
      </c>
      <c r="G130" s="189"/>
    </row>
    <row r="131" spans="1:7" x14ac:dyDescent="0.2">
      <c r="A131" s="176">
        <v>3351</v>
      </c>
      <c r="B131" s="176">
        <v>6</v>
      </c>
      <c r="C131" s="177" t="s">
        <v>397</v>
      </c>
      <c r="D131" s="177" t="s">
        <v>400</v>
      </c>
      <c r="E131" s="178">
        <v>38.897618107964718</v>
      </c>
      <c r="F131" s="222">
        <v>24.488626253526263</v>
      </c>
      <c r="G131" s="189"/>
    </row>
    <row r="132" spans="1:7" x14ac:dyDescent="0.2">
      <c r="A132" s="176">
        <v>3352</v>
      </c>
      <c r="B132" s="176">
        <v>7</v>
      </c>
      <c r="C132" s="177" t="s">
        <v>397</v>
      </c>
      <c r="D132" s="177" t="s">
        <v>402</v>
      </c>
      <c r="E132" s="178">
        <v>35.689437134949145</v>
      </c>
      <c r="F132" s="222">
        <v>25.27630106393546</v>
      </c>
      <c r="G132" s="189"/>
    </row>
    <row r="133" spans="1:7" x14ac:dyDescent="0.2">
      <c r="A133" s="176">
        <v>3355</v>
      </c>
      <c r="B133" s="176">
        <v>7</v>
      </c>
      <c r="C133" s="177" t="s">
        <v>397</v>
      </c>
      <c r="D133" s="177" t="s">
        <v>402</v>
      </c>
      <c r="E133" s="178">
        <v>35.689437134949145</v>
      </c>
      <c r="F133" s="222">
        <v>25.27630106393546</v>
      </c>
      <c r="G133" s="189"/>
    </row>
    <row r="134" spans="1:7" x14ac:dyDescent="0.2">
      <c r="A134" s="176">
        <v>3356</v>
      </c>
      <c r="B134" s="176">
        <v>7</v>
      </c>
      <c r="C134" s="177" t="s">
        <v>397</v>
      </c>
      <c r="D134" s="177" t="s">
        <v>402</v>
      </c>
      <c r="E134" s="178">
        <v>35.689437134949145</v>
      </c>
      <c r="F134" s="222">
        <v>25.27630106393546</v>
      </c>
      <c r="G134" s="189"/>
    </row>
    <row r="135" spans="1:7" x14ac:dyDescent="0.2">
      <c r="A135" s="176">
        <v>3357</v>
      </c>
      <c r="B135" s="176">
        <v>7</v>
      </c>
      <c r="C135" s="177" t="s">
        <v>397</v>
      </c>
      <c r="D135" s="177" t="s">
        <v>402</v>
      </c>
      <c r="E135" s="178">
        <v>35.689437134949145</v>
      </c>
      <c r="F135" s="222">
        <v>25.27630106393546</v>
      </c>
      <c r="G135" s="189"/>
    </row>
    <row r="136" spans="1:7" x14ac:dyDescent="0.2">
      <c r="A136" s="176">
        <v>3358</v>
      </c>
      <c r="B136" s="176">
        <v>7</v>
      </c>
      <c r="C136" s="177" t="s">
        <v>397</v>
      </c>
      <c r="D136" s="177" t="s">
        <v>402</v>
      </c>
      <c r="E136" s="178">
        <v>35.689437134949145</v>
      </c>
      <c r="F136" s="222">
        <v>25.27630106393546</v>
      </c>
      <c r="G136" s="189"/>
    </row>
    <row r="137" spans="1:7" x14ac:dyDescent="0.2">
      <c r="A137" s="176">
        <v>3360</v>
      </c>
      <c r="B137" s="176">
        <v>6</v>
      </c>
      <c r="C137" s="177" t="s">
        <v>397</v>
      </c>
      <c r="D137" s="177" t="s">
        <v>400</v>
      </c>
      <c r="E137" s="178">
        <v>38.897618107964718</v>
      </c>
      <c r="F137" s="222">
        <v>24.488626253526263</v>
      </c>
      <c r="G137" s="189"/>
    </row>
    <row r="138" spans="1:7" x14ac:dyDescent="0.2">
      <c r="A138" s="176">
        <v>3361</v>
      </c>
      <c r="B138" s="176">
        <v>6</v>
      </c>
      <c r="C138" s="177" t="s">
        <v>397</v>
      </c>
      <c r="D138" s="177" t="s">
        <v>400</v>
      </c>
      <c r="E138" s="178">
        <v>38.897618107964718</v>
      </c>
      <c r="F138" s="222">
        <v>24.488626253526263</v>
      </c>
      <c r="G138" s="189"/>
    </row>
    <row r="139" spans="1:7" x14ac:dyDescent="0.2">
      <c r="A139" s="176">
        <v>3363</v>
      </c>
      <c r="B139" s="176">
        <v>7</v>
      </c>
      <c r="C139" s="177" t="s">
        <v>397</v>
      </c>
      <c r="D139" s="177" t="s">
        <v>402</v>
      </c>
      <c r="E139" s="178">
        <v>35.689437134949145</v>
      </c>
      <c r="F139" s="222">
        <v>25.27630106393546</v>
      </c>
      <c r="G139" s="189"/>
    </row>
    <row r="140" spans="1:7" x14ac:dyDescent="0.2">
      <c r="A140" s="176">
        <v>3364</v>
      </c>
      <c r="B140" s="176">
        <v>7</v>
      </c>
      <c r="C140" s="177" t="s">
        <v>397</v>
      </c>
      <c r="D140" s="177" t="s">
        <v>402</v>
      </c>
      <c r="E140" s="178">
        <v>35.689437134949145</v>
      </c>
      <c r="F140" s="222">
        <v>25.27630106393546</v>
      </c>
      <c r="G140" s="189"/>
    </row>
    <row r="141" spans="1:7" x14ac:dyDescent="0.2">
      <c r="A141" s="176">
        <v>3370</v>
      </c>
      <c r="B141" s="176">
        <v>7</v>
      </c>
      <c r="C141" s="177" t="s">
        <v>397</v>
      </c>
      <c r="D141" s="177" t="s">
        <v>402</v>
      </c>
      <c r="E141" s="178">
        <v>35.689437134949145</v>
      </c>
      <c r="F141" s="222">
        <v>25.27630106393546</v>
      </c>
      <c r="G141" s="189"/>
    </row>
    <row r="142" spans="1:7" x14ac:dyDescent="0.2">
      <c r="A142" s="176">
        <v>3371</v>
      </c>
      <c r="B142" s="176">
        <v>6</v>
      </c>
      <c r="C142" s="177" t="s">
        <v>397</v>
      </c>
      <c r="D142" s="177" t="s">
        <v>400</v>
      </c>
      <c r="E142" s="178">
        <v>38.897618107964718</v>
      </c>
      <c r="F142" s="222">
        <v>24.488626253526263</v>
      </c>
      <c r="G142" s="189"/>
    </row>
    <row r="143" spans="1:7" x14ac:dyDescent="0.2">
      <c r="A143" s="176">
        <v>3373</v>
      </c>
      <c r="B143" s="176">
        <v>7</v>
      </c>
      <c r="C143" s="177" t="s">
        <v>397</v>
      </c>
      <c r="D143" s="177" t="s">
        <v>402</v>
      </c>
      <c r="E143" s="178">
        <v>35.689437134949145</v>
      </c>
      <c r="F143" s="222">
        <v>25.27630106393546</v>
      </c>
      <c r="G143" s="189"/>
    </row>
    <row r="144" spans="1:7" x14ac:dyDescent="0.2">
      <c r="A144" s="176">
        <v>3374</v>
      </c>
      <c r="B144" s="176">
        <v>6</v>
      </c>
      <c r="C144" s="177" t="s">
        <v>397</v>
      </c>
      <c r="D144" s="177" t="s">
        <v>400</v>
      </c>
      <c r="E144" s="178">
        <v>38.897618107964718</v>
      </c>
      <c r="F144" s="222">
        <v>24.488626253526263</v>
      </c>
      <c r="G144" s="189"/>
    </row>
    <row r="145" spans="1:7" x14ac:dyDescent="0.2">
      <c r="A145" s="176">
        <v>3375</v>
      </c>
      <c r="B145" s="176">
        <v>7</v>
      </c>
      <c r="C145" s="177" t="s">
        <v>397</v>
      </c>
      <c r="D145" s="177" t="s">
        <v>402</v>
      </c>
      <c r="E145" s="178">
        <v>35.689437134949145</v>
      </c>
      <c r="F145" s="222">
        <v>25.27630106393546</v>
      </c>
      <c r="G145" s="189"/>
    </row>
    <row r="146" spans="1:7" x14ac:dyDescent="0.2">
      <c r="A146" s="176">
        <v>3377</v>
      </c>
      <c r="B146" s="176">
        <v>7</v>
      </c>
      <c r="C146" s="177" t="s">
        <v>397</v>
      </c>
      <c r="D146" s="177" t="s">
        <v>402</v>
      </c>
      <c r="E146" s="178">
        <v>35.689437134949145</v>
      </c>
      <c r="F146" s="222">
        <v>25.27630106393546</v>
      </c>
      <c r="G146" s="189"/>
    </row>
    <row r="147" spans="1:7" x14ac:dyDescent="0.2">
      <c r="A147" s="176">
        <v>3378</v>
      </c>
      <c r="B147" s="176">
        <v>7</v>
      </c>
      <c r="C147" s="177" t="s">
        <v>397</v>
      </c>
      <c r="D147" s="177" t="s">
        <v>402</v>
      </c>
      <c r="E147" s="178">
        <v>35.689437134949145</v>
      </c>
      <c r="F147" s="222">
        <v>25.27630106393546</v>
      </c>
      <c r="G147" s="189"/>
    </row>
    <row r="148" spans="1:7" x14ac:dyDescent="0.2">
      <c r="A148" s="176">
        <v>3379</v>
      </c>
      <c r="B148" s="176">
        <v>7</v>
      </c>
      <c r="C148" s="177" t="s">
        <v>397</v>
      </c>
      <c r="D148" s="177" t="s">
        <v>402</v>
      </c>
      <c r="E148" s="178">
        <v>35.689437134949145</v>
      </c>
      <c r="F148" s="222">
        <v>25.27630106393546</v>
      </c>
      <c r="G148" s="189"/>
    </row>
    <row r="149" spans="1:7" x14ac:dyDescent="0.2">
      <c r="A149" s="176">
        <v>3380</v>
      </c>
      <c r="B149" s="176">
        <v>6</v>
      </c>
      <c r="C149" s="177" t="s">
        <v>397</v>
      </c>
      <c r="D149" s="177" t="s">
        <v>400</v>
      </c>
      <c r="E149" s="178">
        <v>38.897618107964718</v>
      </c>
      <c r="F149" s="222">
        <v>24.488626253526263</v>
      </c>
      <c r="G149" s="189"/>
    </row>
    <row r="150" spans="1:7" x14ac:dyDescent="0.2">
      <c r="A150" s="176">
        <v>3381</v>
      </c>
      <c r="B150" s="176">
        <v>6</v>
      </c>
      <c r="C150" s="177" t="s">
        <v>397</v>
      </c>
      <c r="D150" s="177" t="s">
        <v>400</v>
      </c>
      <c r="E150" s="178">
        <v>38.897618107964718</v>
      </c>
      <c r="F150" s="222">
        <v>24.488626253526263</v>
      </c>
      <c r="G150" s="189"/>
    </row>
    <row r="151" spans="1:7" x14ac:dyDescent="0.2">
      <c r="A151" s="176">
        <v>3384</v>
      </c>
      <c r="B151" s="176">
        <v>7</v>
      </c>
      <c r="C151" s="177" t="s">
        <v>397</v>
      </c>
      <c r="D151" s="177" t="s">
        <v>402</v>
      </c>
      <c r="E151" s="178">
        <v>35.689437134949145</v>
      </c>
      <c r="F151" s="222">
        <v>25.27630106393546</v>
      </c>
      <c r="G151" s="189"/>
    </row>
    <row r="152" spans="1:7" x14ac:dyDescent="0.2">
      <c r="A152" s="176">
        <v>3385</v>
      </c>
      <c r="B152" s="176">
        <v>6</v>
      </c>
      <c r="C152" s="177" t="s">
        <v>397</v>
      </c>
      <c r="D152" s="177" t="s">
        <v>400</v>
      </c>
      <c r="E152" s="178">
        <v>38.897618107964718</v>
      </c>
      <c r="F152" s="222">
        <v>24.488626253526263</v>
      </c>
      <c r="G152" s="189"/>
    </row>
    <row r="153" spans="1:7" x14ac:dyDescent="0.2">
      <c r="A153" s="176">
        <v>3387</v>
      </c>
      <c r="B153" s="176">
        <v>6</v>
      </c>
      <c r="C153" s="177" t="s">
        <v>397</v>
      </c>
      <c r="D153" s="177" t="s">
        <v>400</v>
      </c>
      <c r="E153" s="178">
        <v>38.897618107964718</v>
      </c>
      <c r="F153" s="222">
        <v>24.488626253526263</v>
      </c>
      <c r="G153" s="189"/>
    </row>
    <row r="154" spans="1:7" x14ac:dyDescent="0.2">
      <c r="A154" s="176">
        <v>3388</v>
      </c>
      <c r="B154" s="176">
        <v>4</v>
      </c>
      <c r="C154" s="177" t="s">
        <v>397</v>
      </c>
      <c r="D154" s="177" t="s">
        <v>401</v>
      </c>
      <c r="E154" s="178">
        <v>24.862362551913282</v>
      </c>
      <c r="F154" s="222">
        <v>13.989115383755765</v>
      </c>
      <c r="G154" s="189"/>
    </row>
    <row r="155" spans="1:7" x14ac:dyDescent="0.2">
      <c r="A155" s="176">
        <v>3390</v>
      </c>
      <c r="B155" s="176">
        <v>4</v>
      </c>
      <c r="C155" s="177" t="s">
        <v>397</v>
      </c>
      <c r="D155" s="177" t="s">
        <v>401</v>
      </c>
      <c r="E155" s="178">
        <v>24.862362551913282</v>
      </c>
      <c r="F155" s="222">
        <v>13.989115383755765</v>
      </c>
      <c r="G155" s="189"/>
    </row>
    <row r="156" spans="1:7" x14ac:dyDescent="0.2">
      <c r="A156" s="176">
        <v>3391</v>
      </c>
      <c r="B156" s="176">
        <v>4</v>
      </c>
      <c r="C156" s="177" t="s">
        <v>397</v>
      </c>
      <c r="D156" s="177" t="s">
        <v>401</v>
      </c>
      <c r="E156" s="178">
        <v>24.862362551913282</v>
      </c>
      <c r="F156" s="222">
        <v>13.989115383755765</v>
      </c>
      <c r="G156" s="189"/>
    </row>
    <row r="157" spans="1:7" x14ac:dyDescent="0.2">
      <c r="A157" s="176">
        <v>3392</v>
      </c>
      <c r="B157" s="176">
        <v>4</v>
      </c>
      <c r="C157" s="177" t="s">
        <v>397</v>
      </c>
      <c r="D157" s="177" t="s">
        <v>401</v>
      </c>
      <c r="E157" s="178">
        <v>24.862362551913282</v>
      </c>
      <c r="F157" s="222">
        <v>13.989115383755765</v>
      </c>
      <c r="G157" s="189"/>
    </row>
    <row r="158" spans="1:7" x14ac:dyDescent="0.2">
      <c r="A158" s="176">
        <v>3393</v>
      </c>
      <c r="B158" s="176">
        <v>4</v>
      </c>
      <c r="C158" s="177" t="s">
        <v>397</v>
      </c>
      <c r="D158" s="177" t="s">
        <v>401</v>
      </c>
      <c r="E158" s="178">
        <v>24.862362551913282</v>
      </c>
      <c r="F158" s="222">
        <v>13.989115383755765</v>
      </c>
      <c r="G158" s="189"/>
    </row>
    <row r="159" spans="1:7" x14ac:dyDescent="0.2">
      <c r="A159" s="176">
        <v>3395</v>
      </c>
      <c r="B159" s="176">
        <v>4</v>
      </c>
      <c r="C159" s="177" t="s">
        <v>397</v>
      </c>
      <c r="D159" s="177" t="s">
        <v>401</v>
      </c>
      <c r="E159" s="178">
        <v>24.862362551913282</v>
      </c>
      <c r="F159" s="222">
        <v>13.989115383755765</v>
      </c>
      <c r="G159" s="189"/>
    </row>
    <row r="160" spans="1:7" x14ac:dyDescent="0.2">
      <c r="A160" s="176">
        <v>3396</v>
      </c>
      <c r="B160" s="176">
        <v>4</v>
      </c>
      <c r="C160" s="177" t="s">
        <v>397</v>
      </c>
      <c r="D160" s="177" t="s">
        <v>401</v>
      </c>
      <c r="E160" s="178">
        <v>24.862362551913282</v>
      </c>
      <c r="F160" s="222">
        <v>13.989115383755765</v>
      </c>
      <c r="G160" s="189"/>
    </row>
    <row r="161" spans="1:7" x14ac:dyDescent="0.2">
      <c r="A161" s="176">
        <v>3400</v>
      </c>
      <c r="B161" s="176">
        <v>6</v>
      </c>
      <c r="C161" s="177" t="s">
        <v>397</v>
      </c>
      <c r="D161" s="177" t="s">
        <v>400</v>
      </c>
      <c r="E161" s="178">
        <v>38.897618107964718</v>
      </c>
      <c r="F161" s="222">
        <v>24.488626253526263</v>
      </c>
      <c r="G161" s="189"/>
    </row>
    <row r="162" spans="1:7" x14ac:dyDescent="0.2">
      <c r="A162" s="176">
        <v>3401</v>
      </c>
      <c r="B162" s="176">
        <v>6</v>
      </c>
      <c r="C162" s="177" t="s">
        <v>397</v>
      </c>
      <c r="D162" s="177" t="s">
        <v>400</v>
      </c>
      <c r="E162" s="178">
        <v>38.897618107964718</v>
      </c>
      <c r="F162" s="222">
        <v>24.488626253526263</v>
      </c>
      <c r="G162" s="189"/>
    </row>
    <row r="163" spans="1:7" x14ac:dyDescent="0.2">
      <c r="A163" s="176">
        <v>3407</v>
      </c>
      <c r="B163" s="176">
        <v>7</v>
      </c>
      <c r="C163" s="177" t="s">
        <v>397</v>
      </c>
      <c r="D163" s="177" t="s">
        <v>402</v>
      </c>
      <c r="E163" s="178">
        <v>35.689437134949145</v>
      </c>
      <c r="F163" s="222">
        <v>25.27630106393546</v>
      </c>
      <c r="G163" s="189"/>
    </row>
    <row r="164" spans="1:7" x14ac:dyDescent="0.2">
      <c r="A164" s="176">
        <v>3409</v>
      </c>
      <c r="B164" s="176">
        <v>6</v>
      </c>
      <c r="C164" s="177" t="s">
        <v>397</v>
      </c>
      <c r="D164" s="177" t="s">
        <v>400</v>
      </c>
      <c r="E164" s="178">
        <v>38.897618107964718</v>
      </c>
      <c r="F164" s="222">
        <v>24.488626253526263</v>
      </c>
      <c r="G164" s="189"/>
    </row>
    <row r="165" spans="1:7" x14ac:dyDescent="0.2">
      <c r="A165" s="176">
        <v>3412</v>
      </c>
      <c r="B165" s="176">
        <v>6</v>
      </c>
      <c r="C165" s="177" t="s">
        <v>397</v>
      </c>
      <c r="D165" s="177" t="s">
        <v>400</v>
      </c>
      <c r="E165" s="178">
        <v>38.897618107964718</v>
      </c>
      <c r="F165" s="222">
        <v>24.488626253526263</v>
      </c>
      <c r="G165" s="189"/>
    </row>
    <row r="166" spans="1:7" x14ac:dyDescent="0.2">
      <c r="A166" s="176">
        <v>3413</v>
      </c>
      <c r="B166" s="176">
        <v>6</v>
      </c>
      <c r="C166" s="177" t="s">
        <v>397</v>
      </c>
      <c r="D166" s="177" t="s">
        <v>400</v>
      </c>
      <c r="E166" s="178">
        <v>38.897618107964718</v>
      </c>
      <c r="F166" s="222">
        <v>24.488626253526263</v>
      </c>
      <c r="G166" s="189"/>
    </row>
    <row r="167" spans="1:7" x14ac:dyDescent="0.2">
      <c r="A167" s="176">
        <v>3414</v>
      </c>
      <c r="B167" s="176">
        <v>4</v>
      </c>
      <c r="C167" s="177" t="s">
        <v>397</v>
      </c>
      <c r="D167" s="177" t="s">
        <v>401</v>
      </c>
      <c r="E167" s="178">
        <v>24.862362551913282</v>
      </c>
      <c r="F167" s="222">
        <v>13.989115383755765</v>
      </c>
      <c r="G167" s="189"/>
    </row>
    <row r="168" spans="1:7" x14ac:dyDescent="0.2">
      <c r="A168" s="176">
        <v>3415</v>
      </c>
      <c r="B168" s="176">
        <v>6</v>
      </c>
      <c r="C168" s="177" t="s">
        <v>397</v>
      </c>
      <c r="D168" s="177" t="s">
        <v>400</v>
      </c>
      <c r="E168" s="178">
        <v>38.897618107964718</v>
      </c>
      <c r="F168" s="222">
        <v>24.488626253526263</v>
      </c>
      <c r="G168" s="189"/>
    </row>
    <row r="169" spans="1:7" x14ac:dyDescent="0.2">
      <c r="A169" s="176">
        <v>3418</v>
      </c>
      <c r="B169" s="176">
        <v>4</v>
      </c>
      <c r="C169" s="177" t="s">
        <v>397</v>
      </c>
      <c r="D169" s="177" t="s">
        <v>401</v>
      </c>
      <c r="E169" s="178">
        <v>24.862362551913282</v>
      </c>
      <c r="F169" s="222">
        <v>13.989115383755765</v>
      </c>
      <c r="G169" s="189"/>
    </row>
    <row r="170" spans="1:7" x14ac:dyDescent="0.2">
      <c r="A170" s="176">
        <v>3419</v>
      </c>
      <c r="B170" s="176">
        <v>6</v>
      </c>
      <c r="C170" s="177" t="s">
        <v>397</v>
      </c>
      <c r="D170" s="177" t="s">
        <v>400</v>
      </c>
      <c r="E170" s="178">
        <v>38.897618107964718</v>
      </c>
      <c r="F170" s="222">
        <v>24.488626253526263</v>
      </c>
      <c r="G170" s="189"/>
    </row>
    <row r="171" spans="1:7" x14ac:dyDescent="0.2">
      <c r="A171" s="176">
        <v>3420</v>
      </c>
      <c r="B171" s="176">
        <v>6</v>
      </c>
      <c r="C171" s="177" t="s">
        <v>397</v>
      </c>
      <c r="D171" s="177" t="s">
        <v>400</v>
      </c>
      <c r="E171" s="178">
        <v>38.897618107964718</v>
      </c>
      <c r="F171" s="222">
        <v>24.488626253526263</v>
      </c>
      <c r="G171" s="189"/>
    </row>
    <row r="172" spans="1:7" x14ac:dyDescent="0.2">
      <c r="A172" s="176">
        <v>3423</v>
      </c>
      <c r="B172" s="176">
        <v>4</v>
      </c>
      <c r="C172" s="177" t="s">
        <v>397</v>
      </c>
      <c r="D172" s="177" t="s">
        <v>401</v>
      </c>
      <c r="E172" s="178">
        <v>24.862362551913282</v>
      </c>
      <c r="F172" s="222">
        <v>13.989115383755765</v>
      </c>
      <c r="G172" s="189"/>
    </row>
    <row r="173" spans="1:7" x14ac:dyDescent="0.2">
      <c r="A173" s="176">
        <v>3424</v>
      </c>
      <c r="B173" s="176">
        <v>4</v>
      </c>
      <c r="C173" s="177" t="s">
        <v>397</v>
      </c>
      <c r="D173" s="177" t="s">
        <v>401</v>
      </c>
      <c r="E173" s="178">
        <v>24.862362551913282</v>
      </c>
      <c r="F173" s="222">
        <v>13.989115383755765</v>
      </c>
      <c r="G173" s="189"/>
    </row>
    <row r="174" spans="1:7" x14ac:dyDescent="0.2">
      <c r="A174" s="176">
        <v>3427</v>
      </c>
      <c r="B174" s="176">
        <v>6</v>
      </c>
      <c r="C174" s="177" t="s">
        <v>398</v>
      </c>
      <c r="D174" s="177" t="s">
        <v>399</v>
      </c>
      <c r="E174" s="178">
        <v>55.101713065448251</v>
      </c>
      <c r="F174" s="222">
        <v>30.414997592876372</v>
      </c>
      <c r="G174" s="189"/>
    </row>
    <row r="175" spans="1:7" x14ac:dyDescent="0.2">
      <c r="A175" s="176">
        <v>3429</v>
      </c>
      <c r="B175" s="176">
        <v>6</v>
      </c>
      <c r="C175" s="177" t="s">
        <v>398</v>
      </c>
      <c r="D175" s="177" t="s">
        <v>399</v>
      </c>
      <c r="E175" s="178">
        <v>55.101713065448251</v>
      </c>
      <c r="F175" s="222">
        <v>30.414997592876372</v>
      </c>
      <c r="G175" s="189"/>
    </row>
    <row r="176" spans="1:7" x14ac:dyDescent="0.2">
      <c r="A176" s="176">
        <v>3430</v>
      </c>
      <c r="B176" s="176">
        <v>7</v>
      </c>
      <c r="C176" s="177" t="s">
        <v>397</v>
      </c>
      <c r="D176" s="177" t="s">
        <v>402</v>
      </c>
      <c r="E176" s="178">
        <v>35.689437134949145</v>
      </c>
      <c r="F176" s="222">
        <v>25.27630106393546</v>
      </c>
      <c r="G176" s="189"/>
    </row>
    <row r="177" spans="1:7" x14ac:dyDescent="0.2">
      <c r="A177" s="176">
        <v>3431</v>
      </c>
      <c r="B177" s="176">
        <v>7</v>
      </c>
      <c r="C177" s="177" t="s">
        <v>397</v>
      </c>
      <c r="D177" s="177" t="s">
        <v>402</v>
      </c>
      <c r="E177" s="178">
        <v>35.689437134949145</v>
      </c>
      <c r="F177" s="222">
        <v>25.27630106393546</v>
      </c>
      <c r="G177" s="189"/>
    </row>
    <row r="178" spans="1:7" x14ac:dyDescent="0.2">
      <c r="A178" s="176">
        <v>3432</v>
      </c>
      <c r="B178" s="176">
        <v>7</v>
      </c>
      <c r="C178" s="177" t="s">
        <v>397</v>
      </c>
      <c r="D178" s="177" t="s">
        <v>402</v>
      </c>
      <c r="E178" s="178">
        <v>35.689437134949145</v>
      </c>
      <c r="F178" s="222">
        <v>25.27630106393546</v>
      </c>
      <c r="G178" s="189"/>
    </row>
    <row r="179" spans="1:7" x14ac:dyDescent="0.2">
      <c r="A179" s="176">
        <v>3433</v>
      </c>
      <c r="B179" s="176">
        <v>7</v>
      </c>
      <c r="C179" s="177" t="s">
        <v>397</v>
      </c>
      <c r="D179" s="177" t="s">
        <v>402</v>
      </c>
      <c r="E179" s="178">
        <v>35.689437134949145</v>
      </c>
      <c r="F179" s="222">
        <v>25.27630106393546</v>
      </c>
      <c r="G179" s="189"/>
    </row>
    <row r="180" spans="1:7" x14ac:dyDescent="0.2">
      <c r="A180" s="176">
        <v>3434</v>
      </c>
      <c r="B180" s="176">
        <v>7</v>
      </c>
      <c r="C180" s="177" t="s">
        <v>397</v>
      </c>
      <c r="D180" s="177" t="s">
        <v>402</v>
      </c>
      <c r="E180" s="178">
        <v>35.689437134949145</v>
      </c>
      <c r="F180" s="222">
        <v>25.27630106393546</v>
      </c>
      <c r="G180" s="189"/>
    </row>
    <row r="181" spans="1:7" x14ac:dyDescent="0.2">
      <c r="A181" s="176">
        <v>3435</v>
      </c>
      <c r="B181" s="176">
        <v>7</v>
      </c>
      <c r="C181" s="177" t="s">
        <v>397</v>
      </c>
      <c r="D181" s="177" t="s">
        <v>402</v>
      </c>
      <c r="E181" s="178">
        <v>35.689437134949145</v>
      </c>
      <c r="F181" s="222">
        <v>25.27630106393546</v>
      </c>
      <c r="G181" s="189"/>
    </row>
    <row r="182" spans="1:7" x14ac:dyDescent="0.2">
      <c r="A182" s="176">
        <v>3437</v>
      </c>
      <c r="B182" s="176">
        <v>7</v>
      </c>
      <c r="C182" s="177" t="s">
        <v>397</v>
      </c>
      <c r="D182" s="177" t="s">
        <v>402</v>
      </c>
      <c r="E182" s="178">
        <v>35.689437134949145</v>
      </c>
      <c r="F182" s="222">
        <v>25.27630106393546</v>
      </c>
      <c r="G182" s="189"/>
    </row>
    <row r="183" spans="1:7" x14ac:dyDescent="0.2">
      <c r="A183" s="176">
        <v>3438</v>
      </c>
      <c r="B183" s="176">
        <v>7</v>
      </c>
      <c r="C183" s="177" t="s">
        <v>397</v>
      </c>
      <c r="D183" s="177" t="s">
        <v>402</v>
      </c>
      <c r="E183" s="178">
        <v>35.689437134949145</v>
      </c>
      <c r="F183" s="222">
        <v>25.27630106393546</v>
      </c>
      <c r="G183" s="189"/>
    </row>
    <row r="184" spans="1:7" x14ac:dyDescent="0.2">
      <c r="A184" s="176">
        <v>3440</v>
      </c>
      <c r="B184" s="176">
        <v>7</v>
      </c>
      <c r="C184" s="177" t="s">
        <v>397</v>
      </c>
      <c r="D184" s="177" t="s">
        <v>402</v>
      </c>
      <c r="E184" s="178">
        <v>35.689437134949145</v>
      </c>
      <c r="F184" s="222">
        <v>25.27630106393546</v>
      </c>
      <c r="G184" s="189"/>
    </row>
    <row r="185" spans="1:7" x14ac:dyDescent="0.2">
      <c r="A185" s="176">
        <v>3441</v>
      </c>
      <c r="B185" s="176">
        <v>7</v>
      </c>
      <c r="C185" s="177" t="s">
        <v>397</v>
      </c>
      <c r="D185" s="177" t="s">
        <v>402</v>
      </c>
      <c r="E185" s="178">
        <v>35.689437134949145</v>
      </c>
      <c r="F185" s="222">
        <v>25.27630106393546</v>
      </c>
      <c r="G185" s="189"/>
    </row>
    <row r="186" spans="1:7" x14ac:dyDescent="0.2">
      <c r="A186" s="176">
        <v>3442</v>
      </c>
      <c r="B186" s="176">
        <v>7</v>
      </c>
      <c r="C186" s="177" t="s">
        <v>397</v>
      </c>
      <c r="D186" s="177" t="s">
        <v>402</v>
      </c>
      <c r="E186" s="178">
        <v>35.689437134949145</v>
      </c>
      <c r="F186" s="222">
        <v>25.27630106393546</v>
      </c>
      <c r="G186" s="189"/>
    </row>
    <row r="187" spans="1:7" x14ac:dyDescent="0.2">
      <c r="A187" s="176">
        <v>3444</v>
      </c>
      <c r="B187" s="176">
        <v>7</v>
      </c>
      <c r="C187" s="177" t="s">
        <v>397</v>
      </c>
      <c r="D187" s="177" t="s">
        <v>402</v>
      </c>
      <c r="E187" s="178">
        <v>35.689437134949145</v>
      </c>
      <c r="F187" s="222">
        <v>25.27630106393546</v>
      </c>
      <c r="G187" s="189"/>
    </row>
    <row r="188" spans="1:7" x14ac:dyDescent="0.2">
      <c r="A188" s="176">
        <v>3446</v>
      </c>
      <c r="B188" s="176">
        <v>7</v>
      </c>
      <c r="C188" s="177" t="s">
        <v>397</v>
      </c>
      <c r="D188" s="177" t="s">
        <v>402</v>
      </c>
      <c r="E188" s="178">
        <v>35.689437134949145</v>
      </c>
      <c r="F188" s="222">
        <v>25.27630106393546</v>
      </c>
      <c r="G188" s="189"/>
    </row>
    <row r="189" spans="1:7" x14ac:dyDescent="0.2">
      <c r="A189" s="176">
        <v>3447</v>
      </c>
      <c r="B189" s="176">
        <v>7</v>
      </c>
      <c r="C189" s="177" t="s">
        <v>397</v>
      </c>
      <c r="D189" s="177" t="s">
        <v>402</v>
      </c>
      <c r="E189" s="178">
        <v>35.689437134949145</v>
      </c>
      <c r="F189" s="222">
        <v>25.27630106393546</v>
      </c>
      <c r="G189" s="189"/>
    </row>
    <row r="190" spans="1:7" x14ac:dyDescent="0.2">
      <c r="A190" s="176">
        <v>3448</v>
      </c>
      <c r="B190" s="176">
        <v>7</v>
      </c>
      <c r="C190" s="177" t="s">
        <v>397</v>
      </c>
      <c r="D190" s="177" t="s">
        <v>402</v>
      </c>
      <c r="E190" s="178">
        <v>35.689437134949145</v>
      </c>
      <c r="F190" s="222">
        <v>25.27630106393546</v>
      </c>
      <c r="G190" s="189"/>
    </row>
    <row r="191" spans="1:7" x14ac:dyDescent="0.2">
      <c r="A191" s="176">
        <v>3450</v>
      </c>
      <c r="B191" s="176">
        <v>7</v>
      </c>
      <c r="C191" s="177" t="s">
        <v>397</v>
      </c>
      <c r="D191" s="177" t="s">
        <v>402</v>
      </c>
      <c r="E191" s="178">
        <v>35.689437134949145</v>
      </c>
      <c r="F191" s="222">
        <v>25.27630106393546</v>
      </c>
      <c r="G191" s="189"/>
    </row>
    <row r="192" spans="1:7" x14ac:dyDescent="0.2">
      <c r="A192" s="176">
        <v>3451</v>
      </c>
      <c r="B192" s="176">
        <v>7</v>
      </c>
      <c r="C192" s="177" t="s">
        <v>397</v>
      </c>
      <c r="D192" s="177" t="s">
        <v>402</v>
      </c>
      <c r="E192" s="178">
        <v>35.689437134949145</v>
      </c>
      <c r="F192" s="222">
        <v>25.27630106393546</v>
      </c>
      <c r="G192" s="189"/>
    </row>
    <row r="193" spans="1:7" x14ac:dyDescent="0.2">
      <c r="A193" s="176">
        <v>3453</v>
      </c>
      <c r="B193" s="176">
        <v>7</v>
      </c>
      <c r="C193" s="177" t="s">
        <v>397</v>
      </c>
      <c r="D193" s="177" t="s">
        <v>402</v>
      </c>
      <c r="E193" s="178">
        <v>35.689437134949145</v>
      </c>
      <c r="F193" s="222">
        <v>25.27630106393546</v>
      </c>
      <c r="G193" s="189"/>
    </row>
    <row r="194" spans="1:7" x14ac:dyDescent="0.2">
      <c r="A194" s="176">
        <v>3458</v>
      </c>
      <c r="B194" s="176">
        <v>7</v>
      </c>
      <c r="C194" s="177" t="s">
        <v>397</v>
      </c>
      <c r="D194" s="177" t="s">
        <v>402</v>
      </c>
      <c r="E194" s="178">
        <v>35.689437134949145</v>
      </c>
      <c r="F194" s="222">
        <v>25.27630106393546</v>
      </c>
      <c r="G194" s="189"/>
    </row>
    <row r="195" spans="1:7" x14ac:dyDescent="0.2">
      <c r="A195" s="176">
        <v>3460</v>
      </c>
      <c r="B195" s="176">
        <v>7</v>
      </c>
      <c r="C195" s="177" t="s">
        <v>397</v>
      </c>
      <c r="D195" s="177" t="s">
        <v>402</v>
      </c>
      <c r="E195" s="178">
        <v>35.689437134949145</v>
      </c>
      <c r="F195" s="222">
        <v>25.27630106393546</v>
      </c>
      <c r="G195" s="189"/>
    </row>
    <row r="196" spans="1:7" x14ac:dyDescent="0.2">
      <c r="A196" s="176">
        <v>3461</v>
      </c>
      <c r="B196" s="176">
        <v>7</v>
      </c>
      <c r="C196" s="177" t="s">
        <v>397</v>
      </c>
      <c r="D196" s="177" t="s">
        <v>402</v>
      </c>
      <c r="E196" s="178">
        <v>35.689437134949145</v>
      </c>
      <c r="F196" s="222">
        <v>25.27630106393546</v>
      </c>
      <c r="G196" s="189"/>
    </row>
    <row r="197" spans="1:7" x14ac:dyDescent="0.2">
      <c r="A197" s="176">
        <v>3462</v>
      </c>
      <c r="B197" s="176">
        <v>7</v>
      </c>
      <c r="C197" s="177" t="s">
        <v>397</v>
      </c>
      <c r="D197" s="177" t="s">
        <v>402</v>
      </c>
      <c r="E197" s="178">
        <v>35.689437134949145</v>
      </c>
      <c r="F197" s="222">
        <v>25.27630106393546</v>
      </c>
      <c r="G197" s="189"/>
    </row>
    <row r="198" spans="1:7" x14ac:dyDescent="0.2">
      <c r="A198" s="176">
        <v>3463</v>
      </c>
      <c r="B198" s="176">
        <v>7</v>
      </c>
      <c r="C198" s="177" t="s">
        <v>397</v>
      </c>
      <c r="D198" s="177" t="s">
        <v>402</v>
      </c>
      <c r="E198" s="178">
        <v>35.689437134949145</v>
      </c>
      <c r="F198" s="222">
        <v>25.27630106393546</v>
      </c>
      <c r="G198" s="189"/>
    </row>
    <row r="199" spans="1:7" x14ac:dyDescent="0.2">
      <c r="A199" s="176">
        <v>3464</v>
      </c>
      <c r="B199" s="176">
        <v>6</v>
      </c>
      <c r="C199" s="177" t="s">
        <v>397</v>
      </c>
      <c r="D199" s="177" t="s">
        <v>400</v>
      </c>
      <c r="E199" s="178">
        <v>38.897618107964718</v>
      </c>
      <c r="F199" s="222">
        <v>24.488626253526263</v>
      </c>
      <c r="G199" s="189"/>
    </row>
    <row r="200" spans="1:7" x14ac:dyDescent="0.2">
      <c r="A200" s="176">
        <v>3465</v>
      </c>
      <c r="B200" s="176">
        <v>6</v>
      </c>
      <c r="C200" s="177" t="s">
        <v>397</v>
      </c>
      <c r="D200" s="177" t="s">
        <v>400</v>
      </c>
      <c r="E200" s="178">
        <v>38.897618107964718</v>
      </c>
      <c r="F200" s="222">
        <v>24.488626253526263</v>
      </c>
      <c r="G200" s="189"/>
    </row>
    <row r="201" spans="1:7" x14ac:dyDescent="0.2">
      <c r="A201" s="176">
        <v>3467</v>
      </c>
      <c r="B201" s="176">
        <v>7</v>
      </c>
      <c r="C201" s="177" t="s">
        <v>397</v>
      </c>
      <c r="D201" s="177" t="s">
        <v>402</v>
      </c>
      <c r="E201" s="178">
        <v>35.689437134949145</v>
      </c>
      <c r="F201" s="222">
        <v>25.27630106393546</v>
      </c>
      <c r="G201" s="189"/>
    </row>
    <row r="202" spans="1:7" x14ac:dyDescent="0.2">
      <c r="A202" s="176">
        <v>3468</v>
      </c>
      <c r="B202" s="176">
        <v>7</v>
      </c>
      <c r="C202" s="177" t="s">
        <v>397</v>
      </c>
      <c r="D202" s="177" t="s">
        <v>402</v>
      </c>
      <c r="E202" s="178">
        <v>35.689437134949145</v>
      </c>
      <c r="F202" s="222">
        <v>25.27630106393546</v>
      </c>
      <c r="G202" s="189"/>
    </row>
    <row r="203" spans="1:7" x14ac:dyDescent="0.2">
      <c r="A203" s="176">
        <v>3469</v>
      </c>
      <c r="B203" s="176">
        <v>7</v>
      </c>
      <c r="C203" s="177" t="s">
        <v>397</v>
      </c>
      <c r="D203" s="177" t="s">
        <v>402</v>
      </c>
      <c r="E203" s="178">
        <v>35.689437134949145</v>
      </c>
      <c r="F203" s="222">
        <v>25.27630106393546</v>
      </c>
      <c r="G203" s="189"/>
    </row>
    <row r="204" spans="1:7" x14ac:dyDescent="0.2">
      <c r="A204" s="176">
        <v>3472</v>
      </c>
      <c r="B204" s="176">
        <v>6</v>
      </c>
      <c r="C204" s="177" t="s">
        <v>397</v>
      </c>
      <c r="D204" s="177" t="s">
        <v>400</v>
      </c>
      <c r="E204" s="178">
        <v>38.897618107964718</v>
      </c>
      <c r="F204" s="222">
        <v>24.488626253526263</v>
      </c>
      <c r="G204" s="189"/>
    </row>
    <row r="205" spans="1:7" x14ac:dyDescent="0.2">
      <c r="A205" s="176">
        <v>3475</v>
      </c>
      <c r="B205" s="176">
        <v>6</v>
      </c>
      <c r="C205" s="177" t="s">
        <v>397</v>
      </c>
      <c r="D205" s="177" t="s">
        <v>400</v>
      </c>
      <c r="E205" s="178">
        <v>38.897618107964718</v>
      </c>
      <c r="F205" s="222">
        <v>24.488626253526263</v>
      </c>
      <c r="G205" s="189"/>
    </row>
    <row r="206" spans="1:7" x14ac:dyDescent="0.2">
      <c r="A206" s="176">
        <v>3477</v>
      </c>
      <c r="B206" s="176">
        <v>6</v>
      </c>
      <c r="C206" s="177" t="s">
        <v>397</v>
      </c>
      <c r="D206" s="177" t="s">
        <v>400</v>
      </c>
      <c r="E206" s="178">
        <v>38.897618107964718</v>
      </c>
      <c r="F206" s="222">
        <v>24.488626253526263</v>
      </c>
      <c r="G206" s="189"/>
    </row>
    <row r="207" spans="1:7" x14ac:dyDescent="0.2">
      <c r="A207" s="176">
        <v>3478</v>
      </c>
      <c r="B207" s="176">
        <v>6</v>
      </c>
      <c r="C207" s="177" t="s">
        <v>397</v>
      </c>
      <c r="D207" s="177" t="s">
        <v>400</v>
      </c>
      <c r="E207" s="178">
        <v>38.897618107964718</v>
      </c>
      <c r="F207" s="222">
        <v>24.488626253526263</v>
      </c>
      <c r="G207" s="189"/>
    </row>
    <row r="208" spans="1:7" x14ac:dyDescent="0.2">
      <c r="A208" s="176">
        <v>3480</v>
      </c>
      <c r="B208" s="176">
        <v>4</v>
      </c>
      <c r="C208" s="177" t="s">
        <v>397</v>
      </c>
      <c r="D208" s="177" t="s">
        <v>401</v>
      </c>
      <c r="E208" s="178">
        <v>24.862362551913282</v>
      </c>
      <c r="F208" s="222">
        <v>13.989115383755765</v>
      </c>
      <c r="G208" s="189"/>
    </row>
    <row r="209" spans="1:7" x14ac:dyDescent="0.2">
      <c r="A209" s="176">
        <v>3482</v>
      </c>
      <c r="B209" s="176">
        <v>4</v>
      </c>
      <c r="C209" s="177" t="s">
        <v>397</v>
      </c>
      <c r="D209" s="177" t="s">
        <v>401</v>
      </c>
      <c r="E209" s="178">
        <v>24.862362551913282</v>
      </c>
      <c r="F209" s="222">
        <v>13.989115383755765</v>
      </c>
      <c r="G209" s="189"/>
    </row>
    <row r="210" spans="1:7" x14ac:dyDescent="0.2">
      <c r="A210" s="176">
        <v>3483</v>
      </c>
      <c r="B210" s="176">
        <v>4</v>
      </c>
      <c r="C210" s="177" t="s">
        <v>397</v>
      </c>
      <c r="D210" s="177" t="s">
        <v>401</v>
      </c>
      <c r="E210" s="178">
        <v>24.862362551913282</v>
      </c>
      <c r="F210" s="222">
        <v>13.989115383755765</v>
      </c>
      <c r="G210" s="189"/>
    </row>
    <row r="211" spans="1:7" x14ac:dyDescent="0.2">
      <c r="A211" s="176">
        <v>3485</v>
      </c>
      <c r="B211" s="176">
        <v>4</v>
      </c>
      <c r="C211" s="177" t="s">
        <v>397</v>
      </c>
      <c r="D211" s="177" t="s">
        <v>401</v>
      </c>
      <c r="E211" s="178">
        <v>24.862362551913282</v>
      </c>
      <c r="F211" s="222">
        <v>13.989115383755765</v>
      </c>
      <c r="G211" s="189"/>
    </row>
    <row r="212" spans="1:7" x14ac:dyDescent="0.2">
      <c r="A212" s="176">
        <v>3487</v>
      </c>
      <c r="B212" s="176">
        <v>4</v>
      </c>
      <c r="C212" s="177" t="s">
        <v>397</v>
      </c>
      <c r="D212" s="177" t="s">
        <v>401</v>
      </c>
      <c r="E212" s="178">
        <v>24.862362551913282</v>
      </c>
      <c r="F212" s="222">
        <v>13.989115383755765</v>
      </c>
      <c r="G212" s="189"/>
    </row>
    <row r="213" spans="1:7" x14ac:dyDescent="0.2">
      <c r="A213" s="176">
        <v>3488</v>
      </c>
      <c r="B213" s="176">
        <v>4</v>
      </c>
      <c r="C213" s="177" t="s">
        <v>397</v>
      </c>
      <c r="D213" s="177" t="s">
        <v>401</v>
      </c>
      <c r="E213" s="178">
        <v>24.862362551913282</v>
      </c>
      <c r="F213" s="222">
        <v>13.989115383755765</v>
      </c>
      <c r="G213" s="189"/>
    </row>
    <row r="214" spans="1:7" x14ac:dyDescent="0.2">
      <c r="A214" s="176">
        <v>3489</v>
      </c>
      <c r="B214" s="176">
        <v>4</v>
      </c>
      <c r="C214" s="177" t="s">
        <v>397</v>
      </c>
      <c r="D214" s="177" t="s">
        <v>401</v>
      </c>
      <c r="E214" s="178">
        <v>24.862362551913282</v>
      </c>
      <c r="F214" s="222">
        <v>13.989115383755765</v>
      </c>
      <c r="G214" s="189"/>
    </row>
    <row r="215" spans="1:7" x14ac:dyDescent="0.2">
      <c r="A215" s="176">
        <v>3490</v>
      </c>
      <c r="B215" s="176">
        <v>4</v>
      </c>
      <c r="C215" s="177" t="s">
        <v>397</v>
      </c>
      <c r="D215" s="177" t="s">
        <v>401</v>
      </c>
      <c r="E215" s="178">
        <v>24.862362551913282</v>
      </c>
      <c r="F215" s="222">
        <v>13.989115383755765</v>
      </c>
      <c r="G215" s="189"/>
    </row>
    <row r="216" spans="1:7" x14ac:dyDescent="0.2">
      <c r="A216" s="176">
        <v>3491</v>
      </c>
      <c r="B216" s="176">
        <v>4</v>
      </c>
      <c r="C216" s="177" t="s">
        <v>397</v>
      </c>
      <c r="D216" s="177" t="s">
        <v>401</v>
      </c>
      <c r="E216" s="178">
        <v>24.862362551913282</v>
      </c>
      <c r="F216" s="222">
        <v>13.989115383755765</v>
      </c>
      <c r="G216" s="189"/>
    </row>
    <row r="217" spans="1:7" x14ac:dyDescent="0.2">
      <c r="A217" s="176">
        <v>3494</v>
      </c>
      <c r="B217" s="176">
        <v>4</v>
      </c>
      <c r="C217" s="177" t="s">
        <v>397</v>
      </c>
      <c r="D217" s="177" t="s">
        <v>401</v>
      </c>
      <c r="E217" s="178">
        <v>24.862362551913282</v>
      </c>
      <c r="F217" s="222">
        <v>13.989115383755765</v>
      </c>
      <c r="G217" s="189"/>
    </row>
    <row r="218" spans="1:7" x14ac:dyDescent="0.2">
      <c r="A218" s="176">
        <v>3496</v>
      </c>
      <c r="B218" s="176">
        <v>4</v>
      </c>
      <c r="C218" s="177" t="s">
        <v>397</v>
      </c>
      <c r="D218" s="177" t="s">
        <v>401</v>
      </c>
      <c r="E218" s="178">
        <v>24.862362551913282</v>
      </c>
      <c r="F218" s="222">
        <v>13.989115383755765</v>
      </c>
      <c r="G218" s="189"/>
    </row>
    <row r="219" spans="1:7" x14ac:dyDescent="0.2">
      <c r="A219" s="176">
        <v>3498</v>
      </c>
      <c r="B219" s="176">
        <v>4</v>
      </c>
      <c r="C219" s="177" t="s">
        <v>397</v>
      </c>
      <c r="D219" s="177" t="s">
        <v>401</v>
      </c>
      <c r="E219" s="178">
        <v>24.862362551913282</v>
      </c>
      <c r="F219" s="222">
        <v>13.989115383755765</v>
      </c>
      <c r="G219" s="189"/>
    </row>
    <row r="220" spans="1:7" x14ac:dyDescent="0.2">
      <c r="A220" s="176">
        <v>3500</v>
      </c>
      <c r="B220" s="176">
        <v>4</v>
      </c>
      <c r="C220" s="177" t="s">
        <v>397</v>
      </c>
      <c r="D220" s="177" t="s">
        <v>401</v>
      </c>
      <c r="E220" s="178">
        <v>24.862362551913282</v>
      </c>
      <c r="F220" s="222">
        <v>13.989115383755765</v>
      </c>
      <c r="G220" s="189"/>
    </row>
    <row r="221" spans="1:7" x14ac:dyDescent="0.2">
      <c r="A221" s="176">
        <v>3501</v>
      </c>
      <c r="B221" s="176">
        <v>4</v>
      </c>
      <c r="C221" s="177" t="s">
        <v>397</v>
      </c>
      <c r="D221" s="177" t="s">
        <v>401</v>
      </c>
      <c r="E221" s="178">
        <v>24.862362551913282</v>
      </c>
      <c r="F221" s="222">
        <v>13.989115383755765</v>
      </c>
      <c r="G221" s="189"/>
    </row>
    <row r="222" spans="1:7" x14ac:dyDescent="0.2">
      <c r="A222" s="176">
        <v>3505</v>
      </c>
      <c r="B222" s="176">
        <v>4</v>
      </c>
      <c r="C222" s="177" t="s">
        <v>397</v>
      </c>
      <c r="D222" s="177" t="s">
        <v>401</v>
      </c>
      <c r="E222" s="178">
        <v>24.862362551913282</v>
      </c>
      <c r="F222" s="222">
        <v>13.989115383755765</v>
      </c>
      <c r="G222" s="189"/>
    </row>
    <row r="223" spans="1:7" x14ac:dyDescent="0.2">
      <c r="A223" s="176">
        <v>3506</v>
      </c>
      <c r="B223" s="176">
        <v>4</v>
      </c>
      <c r="C223" s="177" t="s">
        <v>397</v>
      </c>
      <c r="D223" s="177" t="s">
        <v>401</v>
      </c>
      <c r="E223" s="178">
        <v>24.862362551913282</v>
      </c>
      <c r="F223" s="222">
        <v>13.989115383755765</v>
      </c>
      <c r="G223" s="189"/>
    </row>
    <row r="224" spans="1:7" x14ac:dyDescent="0.2">
      <c r="A224" s="176">
        <v>3507</v>
      </c>
      <c r="B224" s="176">
        <v>4</v>
      </c>
      <c r="C224" s="177" t="s">
        <v>397</v>
      </c>
      <c r="D224" s="177" t="s">
        <v>401</v>
      </c>
      <c r="E224" s="178">
        <v>24.862362551913282</v>
      </c>
      <c r="F224" s="222">
        <v>13.989115383755765</v>
      </c>
      <c r="G224" s="189"/>
    </row>
    <row r="225" spans="1:7" x14ac:dyDescent="0.2">
      <c r="A225" s="176">
        <v>3509</v>
      </c>
      <c r="B225" s="176">
        <v>4</v>
      </c>
      <c r="C225" s="177" t="s">
        <v>397</v>
      </c>
      <c r="D225" s="177" t="s">
        <v>401</v>
      </c>
      <c r="E225" s="178">
        <v>24.862362551913282</v>
      </c>
      <c r="F225" s="222">
        <v>13.989115383755765</v>
      </c>
      <c r="G225" s="189"/>
    </row>
    <row r="226" spans="1:7" x14ac:dyDescent="0.2">
      <c r="A226" s="176">
        <v>3512</v>
      </c>
      <c r="B226" s="176">
        <v>4</v>
      </c>
      <c r="C226" s="177" t="s">
        <v>397</v>
      </c>
      <c r="D226" s="177" t="s">
        <v>401</v>
      </c>
      <c r="E226" s="178">
        <v>24.862362551913282</v>
      </c>
      <c r="F226" s="222">
        <v>13.989115383755765</v>
      </c>
      <c r="G226" s="189"/>
    </row>
    <row r="227" spans="1:7" x14ac:dyDescent="0.2">
      <c r="A227" s="176">
        <v>3515</v>
      </c>
      <c r="B227" s="176">
        <v>6</v>
      </c>
      <c r="C227" s="177" t="s">
        <v>397</v>
      </c>
      <c r="D227" s="177" t="s">
        <v>400</v>
      </c>
      <c r="E227" s="178">
        <v>38.897618107964718</v>
      </c>
      <c r="F227" s="222">
        <v>24.488626253526263</v>
      </c>
      <c r="G227" s="189"/>
    </row>
    <row r="228" spans="1:7" x14ac:dyDescent="0.2">
      <c r="A228" s="176">
        <v>3516</v>
      </c>
      <c r="B228" s="176">
        <v>6</v>
      </c>
      <c r="C228" s="177" t="s">
        <v>397</v>
      </c>
      <c r="D228" s="177" t="s">
        <v>400</v>
      </c>
      <c r="E228" s="178">
        <v>38.897618107964718</v>
      </c>
      <c r="F228" s="222">
        <v>24.488626253526263</v>
      </c>
      <c r="G228" s="189"/>
    </row>
    <row r="229" spans="1:7" x14ac:dyDescent="0.2">
      <c r="A229" s="176">
        <v>3517</v>
      </c>
      <c r="B229" s="176">
        <v>6</v>
      </c>
      <c r="C229" s="177" t="s">
        <v>397</v>
      </c>
      <c r="D229" s="177" t="s">
        <v>400</v>
      </c>
      <c r="E229" s="178">
        <v>38.897618107964718</v>
      </c>
      <c r="F229" s="222">
        <v>24.488626253526263</v>
      </c>
      <c r="G229" s="189"/>
    </row>
    <row r="230" spans="1:7" x14ac:dyDescent="0.2">
      <c r="A230" s="176">
        <v>3518</v>
      </c>
      <c r="B230" s="176">
        <v>6</v>
      </c>
      <c r="C230" s="177" t="s">
        <v>397</v>
      </c>
      <c r="D230" s="177" t="s">
        <v>400</v>
      </c>
      <c r="E230" s="178">
        <v>38.897618107964718</v>
      </c>
      <c r="F230" s="222">
        <v>24.488626253526263</v>
      </c>
      <c r="G230" s="189"/>
    </row>
    <row r="231" spans="1:7" x14ac:dyDescent="0.2">
      <c r="A231" s="176">
        <v>3520</v>
      </c>
      <c r="B231" s="176">
        <v>6</v>
      </c>
      <c r="C231" s="177" t="s">
        <v>397</v>
      </c>
      <c r="D231" s="177" t="s">
        <v>400</v>
      </c>
      <c r="E231" s="178">
        <v>38.897618107964718</v>
      </c>
      <c r="F231" s="222">
        <v>24.488626253526263</v>
      </c>
      <c r="G231" s="189"/>
    </row>
    <row r="232" spans="1:7" x14ac:dyDescent="0.2">
      <c r="A232" s="176">
        <v>3521</v>
      </c>
      <c r="B232" s="176">
        <v>6</v>
      </c>
      <c r="C232" s="177" t="s">
        <v>397</v>
      </c>
      <c r="D232" s="177" t="s">
        <v>400</v>
      </c>
      <c r="E232" s="178">
        <v>38.897618107964718</v>
      </c>
      <c r="F232" s="222">
        <v>24.488626253526263</v>
      </c>
      <c r="G232" s="189"/>
    </row>
    <row r="233" spans="1:7" x14ac:dyDescent="0.2">
      <c r="A233" s="176">
        <v>3522</v>
      </c>
      <c r="B233" s="176">
        <v>6</v>
      </c>
      <c r="C233" s="177" t="s">
        <v>397</v>
      </c>
      <c r="D233" s="177" t="s">
        <v>400</v>
      </c>
      <c r="E233" s="178">
        <v>38.897618107964718</v>
      </c>
      <c r="F233" s="222">
        <v>24.488626253526263</v>
      </c>
      <c r="G233" s="189"/>
    </row>
    <row r="234" spans="1:7" x14ac:dyDescent="0.2">
      <c r="A234" s="176">
        <v>3523</v>
      </c>
      <c r="B234" s="176">
        <v>6</v>
      </c>
      <c r="C234" s="177" t="s">
        <v>397</v>
      </c>
      <c r="D234" s="177" t="s">
        <v>400</v>
      </c>
      <c r="E234" s="178">
        <v>38.897618107964718</v>
      </c>
      <c r="F234" s="222">
        <v>24.488626253526263</v>
      </c>
      <c r="G234" s="189"/>
    </row>
    <row r="235" spans="1:7" x14ac:dyDescent="0.2">
      <c r="A235" s="176">
        <v>3525</v>
      </c>
      <c r="B235" s="176">
        <v>4</v>
      </c>
      <c r="C235" s="177" t="s">
        <v>397</v>
      </c>
      <c r="D235" s="177" t="s">
        <v>401</v>
      </c>
      <c r="E235" s="178">
        <v>24.862362551913282</v>
      </c>
      <c r="F235" s="222">
        <v>13.989115383755765</v>
      </c>
      <c r="G235" s="189"/>
    </row>
    <row r="236" spans="1:7" x14ac:dyDescent="0.2">
      <c r="A236" s="176">
        <v>3527</v>
      </c>
      <c r="B236" s="176">
        <v>4</v>
      </c>
      <c r="C236" s="177" t="s">
        <v>397</v>
      </c>
      <c r="D236" s="177" t="s">
        <v>401</v>
      </c>
      <c r="E236" s="178">
        <v>24.862362551913282</v>
      </c>
      <c r="F236" s="222">
        <v>13.989115383755765</v>
      </c>
      <c r="G236" s="189"/>
    </row>
    <row r="237" spans="1:7" x14ac:dyDescent="0.2">
      <c r="A237" s="176">
        <v>3529</v>
      </c>
      <c r="B237" s="176">
        <v>4</v>
      </c>
      <c r="C237" s="177" t="s">
        <v>397</v>
      </c>
      <c r="D237" s="177" t="s">
        <v>401</v>
      </c>
      <c r="E237" s="178">
        <v>24.862362551913282</v>
      </c>
      <c r="F237" s="222">
        <v>13.989115383755765</v>
      </c>
      <c r="G237" s="189"/>
    </row>
    <row r="238" spans="1:7" x14ac:dyDescent="0.2">
      <c r="A238" s="176">
        <v>3530</v>
      </c>
      <c r="B238" s="176">
        <v>4</v>
      </c>
      <c r="C238" s="177" t="s">
        <v>397</v>
      </c>
      <c r="D238" s="177" t="s">
        <v>401</v>
      </c>
      <c r="E238" s="178">
        <v>24.862362551913282</v>
      </c>
      <c r="F238" s="222">
        <v>13.989115383755765</v>
      </c>
      <c r="G238" s="189"/>
    </row>
    <row r="239" spans="1:7" x14ac:dyDescent="0.2">
      <c r="A239" s="176">
        <v>3531</v>
      </c>
      <c r="B239" s="176">
        <v>4</v>
      </c>
      <c r="C239" s="177" t="s">
        <v>397</v>
      </c>
      <c r="D239" s="177" t="s">
        <v>401</v>
      </c>
      <c r="E239" s="178">
        <v>24.862362551913282</v>
      </c>
      <c r="F239" s="222">
        <v>13.989115383755765</v>
      </c>
      <c r="G239" s="189"/>
    </row>
    <row r="240" spans="1:7" x14ac:dyDescent="0.2">
      <c r="A240" s="176">
        <v>3533</v>
      </c>
      <c r="B240" s="176">
        <v>4</v>
      </c>
      <c r="C240" s="177" t="s">
        <v>397</v>
      </c>
      <c r="D240" s="177" t="s">
        <v>401</v>
      </c>
      <c r="E240" s="178">
        <v>24.862362551913282</v>
      </c>
      <c r="F240" s="222">
        <v>13.989115383755765</v>
      </c>
      <c r="G240" s="189"/>
    </row>
    <row r="241" spans="1:7" x14ac:dyDescent="0.2">
      <c r="A241" s="176">
        <v>3537</v>
      </c>
      <c r="B241" s="176">
        <v>6</v>
      </c>
      <c r="C241" s="177" t="s">
        <v>397</v>
      </c>
      <c r="D241" s="177" t="s">
        <v>400</v>
      </c>
      <c r="E241" s="178">
        <v>38.897618107964718</v>
      </c>
      <c r="F241" s="222">
        <v>24.488626253526263</v>
      </c>
      <c r="G241" s="189"/>
    </row>
    <row r="242" spans="1:7" x14ac:dyDescent="0.2">
      <c r="A242" s="176">
        <v>3540</v>
      </c>
      <c r="B242" s="176">
        <v>4</v>
      </c>
      <c r="C242" s="177" t="s">
        <v>397</v>
      </c>
      <c r="D242" s="177" t="s">
        <v>401</v>
      </c>
      <c r="E242" s="178">
        <v>24.862362551913282</v>
      </c>
      <c r="F242" s="222">
        <v>13.989115383755765</v>
      </c>
      <c r="G242" s="189"/>
    </row>
    <row r="243" spans="1:7" x14ac:dyDescent="0.2">
      <c r="A243" s="176">
        <v>3542</v>
      </c>
      <c r="B243" s="176">
        <v>4</v>
      </c>
      <c r="C243" s="177" t="s">
        <v>397</v>
      </c>
      <c r="D243" s="177" t="s">
        <v>401</v>
      </c>
      <c r="E243" s="178">
        <v>24.862362551913282</v>
      </c>
      <c r="F243" s="222">
        <v>13.989115383755765</v>
      </c>
      <c r="G243" s="189"/>
    </row>
    <row r="244" spans="1:7" x14ac:dyDescent="0.2">
      <c r="A244" s="176">
        <v>3544</v>
      </c>
      <c r="B244" s="176">
        <v>4</v>
      </c>
      <c r="C244" s="177" t="s">
        <v>397</v>
      </c>
      <c r="D244" s="177" t="s">
        <v>401</v>
      </c>
      <c r="E244" s="178">
        <v>24.862362551913282</v>
      </c>
      <c r="F244" s="222">
        <v>13.989115383755765</v>
      </c>
      <c r="G244" s="189"/>
    </row>
    <row r="245" spans="1:7" x14ac:dyDescent="0.2">
      <c r="A245" s="176">
        <v>3546</v>
      </c>
      <c r="B245" s="176">
        <v>4</v>
      </c>
      <c r="C245" s="177" t="s">
        <v>397</v>
      </c>
      <c r="D245" s="177" t="s">
        <v>401</v>
      </c>
      <c r="E245" s="178">
        <v>24.862362551913282</v>
      </c>
      <c r="F245" s="222">
        <v>13.989115383755765</v>
      </c>
      <c r="G245" s="189"/>
    </row>
    <row r="246" spans="1:7" x14ac:dyDescent="0.2">
      <c r="A246" s="176">
        <v>3549</v>
      </c>
      <c r="B246" s="176">
        <v>4</v>
      </c>
      <c r="C246" s="177" t="s">
        <v>397</v>
      </c>
      <c r="D246" s="177" t="s">
        <v>401</v>
      </c>
      <c r="E246" s="178">
        <v>24.862362551913282</v>
      </c>
      <c r="F246" s="222">
        <v>13.989115383755765</v>
      </c>
      <c r="G246" s="189"/>
    </row>
    <row r="247" spans="1:7" x14ac:dyDescent="0.2">
      <c r="A247" s="176">
        <v>3550</v>
      </c>
      <c r="B247" s="176">
        <v>6</v>
      </c>
      <c r="C247" s="177" t="s">
        <v>397</v>
      </c>
      <c r="D247" s="177" t="s">
        <v>400</v>
      </c>
      <c r="E247" s="178">
        <v>38.897618107964718</v>
      </c>
      <c r="F247" s="222">
        <v>24.488626253526263</v>
      </c>
      <c r="G247" s="189"/>
    </row>
    <row r="248" spans="1:7" x14ac:dyDescent="0.2">
      <c r="A248" s="176">
        <v>3551</v>
      </c>
      <c r="B248" s="176">
        <v>6</v>
      </c>
      <c r="C248" s="177" t="s">
        <v>397</v>
      </c>
      <c r="D248" s="177" t="s">
        <v>400</v>
      </c>
      <c r="E248" s="178">
        <v>38.897618107964718</v>
      </c>
      <c r="F248" s="222">
        <v>24.488626253526263</v>
      </c>
      <c r="G248" s="189"/>
    </row>
    <row r="249" spans="1:7" x14ac:dyDescent="0.2">
      <c r="A249" s="176">
        <v>3555</v>
      </c>
      <c r="B249" s="176">
        <v>6</v>
      </c>
      <c r="C249" s="177" t="s">
        <v>397</v>
      </c>
      <c r="D249" s="177" t="s">
        <v>400</v>
      </c>
      <c r="E249" s="178">
        <v>38.897618107964718</v>
      </c>
      <c r="F249" s="222">
        <v>24.488626253526263</v>
      </c>
      <c r="G249" s="189"/>
    </row>
    <row r="250" spans="1:7" x14ac:dyDescent="0.2">
      <c r="A250" s="176">
        <v>3556</v>
      </c>
      <c r="B250" s="176">
        <v>6</v>
      </c>
      <c r="C250" s="177" t="s">
        <v>397</v>
      </c>
      <c r="D250" s="177" t="s">
        <v>400</v>
      </c>
      <c r="E250" s="178">
        <v>38.897618107964718</v>
      </c>
      <c r="F250" s="222">
        <v>24.488626253526263</v>
      </c>
      <c r="G250" s="189"/>
    </row>
    <row r="251" spans="1:7" x14ac:dyDescent="0.2">
      <c r="A251" s="176">
        <v>3557</v>
      </c>
      <c r="B251" s="176">
        <v>6</v>
      </c>
      <c r="C251" s="177" t="s">
        <v>397</v>
      </c>
      <c r="D251" s="177" t="s">
        <v>400</v>
      </c>
      <c r="E251" s="178">
        <v>38.897618107964718</v>
      </c>
      <c r="F251" s="222">
        <v>24.488626253526263</v>
      </c>
      <c r="G251" s="189"/>
    </row>
    <row r="252" spans="1:7" x14ac:dyDescent="0.2">
      <c r="A252" s="176">
        <v>3558</v>
      </c>
      <c r="B252" s="176">
        <v>6</v>
      </c>
      <c r="C252" s="177" t="s">
        <v>397</v>
      </c>
      <c r="D252" s="177" t="s">
        <v>400</v>
      </c>
      <c r="E252" s="178">
        <v>38.897618107964718</v>
      </c>
      <c r="F252" s="222">
        <v>24.488626253526263</v>
      </c>
      <c r="G252" s="189"/>
    </row>
    <row r="253" spans="1:7" x14ac:dyDescent="0.2">
      <c r="A253" s="176">
        <v>3559</v>
      </c>
      <c r="B253" s="176">
        <v>4</v>
      </c>
      <c r="C253" s="177" t="s">
        <v>397</v>
      </c>
      <c r="D253" s="177" t="s">
        <v>401</v>
      </c>
      <c r="E253" s="178">
        <v>24.862362551913282</v>
      </c>
      <c r="F253" s="222">
        <v>13.989115383755765</v>
      </c>
      <c r="G253" s="189"/>
    </row>
    <row r="254" spans="1:7" x14ac:dyDescent="0.2">
      <c r="A254" s="176">
        <v>3561</v>
      </c>
      <c r="B254" s="176">
        <v>4</v>
      </c>
      <c r="C254" s="177" t="s">
        <v>397</v>
      </c>
      <c r="D254" s="177" t="s">
        <v>401</v>
      </c>
      <c r="E254" s="178">
        <v>24.862362551913282</v>
      </c>
      <c r="F254" s="222">
        <v>13.989115383755765</v>
      </c>
      <c r="G254" s="189"/>
    </row>
    <row r="255" spans="1:7" x14ac:dyDescent="0.2">
      <c r="A255" s="176">
        <v>3562</v>
      </c>
      <c r="B255" s="176">
        <v>4</v>
      </c>
      <c r="C255" s="177" t="s">
        <v>397</v>
      </c>
      <c r="D255" s="177" t="s">
        <v>401</v>
      </c>
      <c r="E255" s="178">
        <v>24.862362551913282</v>
      </c>
      <c r="F255" s="222">
        <v>13.989115383755765</v>
      </c>
      <c r="G255" s="189"/>
    </row>
    <row r="256" spans="1:7" x14ac:dyDescent="0.2">
      <c r="A256" s="176">
        <v>3563</v>
      </c>
      <c r="B256" s="176">
        <v>4</v>
      </c>
      <c r="C256" s="177" t="s">
        <v>397</v>
      </c>
      <c r="D256" s="177" t="s">
        <v>401</v>
      </c>
      <c r="E256" s="178">
        <v>24.862362551913282</v>
      </c>
      <c r="F256" s="222">
        <v>13.989115383755765</v>
      </c>
      <c r="G256" s="189"/>
    </row>
    <row r="257" spans="1:7" x14ac:dyDescent="0.2">
      <c r="A257" s="176">
        <v>3564</v>
      </c>
      <c r="B257" s="176">
        <v>4</v>
      </c>
      <c r="C257" s="177" t="s">
        <v>397</v>
      </c>
      <c r="D257" s="177" t="s">
        <v>401</v>
      </c>
      <c r="E257" s="178">
        <v>24.862362551913282</v>
      </c>
      <c r="F257" s="222">
        <v>13.989115383755765</v>
      </c>
      <c r="G257" s="189"/>
    </row>
    <row r="258" spans="1:7" x14ac:dyDescent="0.2">
      <c r="A258" s="176">
        <v>3565</v>
      </c>
      <c r="B258" s="176">
        <v>4</v>
      </c>
      <c r="C258" s="177" t="s">
        <v>397</v>
      </c>
      <c r="D258" s="177" t="s">
        <v>401</v>
      </c>
      <c r="E258" s="178">
        <v>24.862362551913282</v>
      </c>
      <c r="F258" s="222">
        <v>13.989115383755765</v>
      </c>
      <c r="G258" s="189"/>
    </row>
    <row r="259" spans="1:7" x14ac:dyDescent="0.2">
      <c r="A259" s="176">
        <v>3566</v>
      </c>
      <c r="B259" s="176">
        <v>4</v>
      </c>
      <c r="C259" s="177" t="s">
        <v>397</v>
      </c>
      <c r="D259" s="177" t="s">
        <v>401</v>
      </c>
      <c r="E259" s="178">
        <v>24.862362551913282</v>
      </c>
      <c r="F259" s="222">
        <v>13.989115383755765</v>
      </c>
      <c r="G259" s="189"/>
    </row>
    <row r="260" spans="1:7" x14ac:dyDescent="0.2">
      <c r="A260" s="176">
        <v>3567</v>
      </c>
      <c r="B260" s="176">
        <v>4</v>
      </c>
      <c r="C260" s="177" t="s">
        <v>397</v>
      </c>
      <c r="D260" s="177" t="s">
        <v>401</v>
      </c>
      <c r="E260" s="178">
        <v>24.862362551913282</v>
      </c>
      <c r="F260" s="222">
        <v>13.989115383755765</v>
      </c>
      <c r="G260" s="189"/>
    </row>
    <row r="261" spans="1:7" x14ac:dyDescent="0.2">
      <c r="A261" s="176">
        <v>3568</v>
      </c>
      <c r="B261" s="176">
        <v>4</v>
      </c>
      <c r="C261" s="177" t="s">
        <v>397</v>
      </c>
      <c r="D261" s="177" t="s">
        <v>401</v>
      </c>
      <c r="E261" s="178">
        <v>24.862362551913282</v>
      </c>
      <c r="F261" s="222">
        <v>13.989115383755765</v>
      </c>
      <c r="G261" s="189"/>
    </row>
    <row r="262" spans="1:7" x14ac:dyDescent="0.2">
      <c r="A262" s="176">
        <v>3570</v>
      </c>
      <c r="B262" s="176">
        <v>6</v>
      </c>
      <c r="C262" s="177" t="s">
        <v>397</v>
      </c>
      <c r="D262" s="177" t="s">
        <v>400</v>
      </c>
      <c r="E262" s="178">
        <v>38.897618107964718</v>
      </c>
      <c r="F262" s="222">
        <v>24.488626253526263</v>
      </c>
      <c r="G262" s="189"/>
    </row>
    <row r="263" spans="1:7" x14ac:dyDescent="0.2">
      <c r="A263" s="176">
        <v>3571</v>
      </c>
      <c r="B263" s="176">
        <v>6</v>
      </c>
      <c r="C263" s="177" t="s">
        <v>397</v>
      </c>
      <c r="D263" s="177" t="s">
        <v>400</v>
      </c>
      <c r="E263" s="178">
        <v>38.897618107964718</v>
      </c>
      <c r="F263" s="222">
        <v>24.488626253526263</v>
      </c>
      <c r="G263" s="189"/>
    </row>
    <row r="264" spans="1:7" x14ac:dyDescent="0.2">
      <c r="A264" s="176">
        <v>3572</v>
      </c>
      <c r="B264" s="176">
        <v>4</v>
      </c>
      <c r="C264" s="177" t="s">
        <v>397</v>
      </c>
      <c r="D264" s="177" t="s">
        <v>401</v>
      </c>
      <c r="E264" s="178">
        <v>24.862362551913282</v>
      </c>
      <c r="F264" s="222">
        <v>13.989115383755765</v>
      </c>
      <c r="G264" s="189"/>
    </row>
    <row r="265" spans="1:7" x14ac:dyDescent="0.2">
      <c r="A265" s="176">
        <v>3573</v>
      </c>
      <c r="B265" s="176">
        <v>6</v>
      </c>
      <c r="C265" s="177" t="s">
        <v>397</v>
      </c>
      <c r="D265" s="177" t="s">
        <v>400</v>
      </c>
      <c r="E265" s="178">
        <v>38.897618107964718</v>
      </c>
      <c r="F265" s="222">
        <v>24.488626253526263</v>
      </c>
      <c r="G265" s="189"/>
    </row>
    <row r="266" spans="1:7" x14ac:dyDescent="0.2">
      <c r="A266" s="176">
        <v>3575</v>
      </c>
      <c r="B266" s="176">
        <v>6</v>
      </c>
      <c r="C266" s="177" t="s">
        <v>397</v>
      </c>
      <c r="D266" s="177" t="s">
        <v>400</v>
      </c>
      <c r="E266" s="178">
        <v>38.897618107964718</v>
      </c>
      <c r="F266" s="222">
        <v>24.488626253526263</v>
      </c>
      <c r="G266" s="189"/>
    </row>
    <row r="267" spans="1:7" x14ac:dyDescent="0.2">
      <c r="A267" s="176">
        <v>3576</v>
      </c>
      <c r="B267" s="176">
        <v>6</v>
      </c>
      <c r="C267" s="177" t="s">
        <v>397</v>
      </c>
      <c r="D267" s="177" t="s">
        <v>400</v>
      </c>
      <c r="E267" s="178">
        <v>38.897618107964718</v>
      </c>
      <c r="F267" s="222">
        <v>24.488626253526263</v>
      </c>
      <c r="G267" s="189"/>
    </row>
    <row r="268" spans="1:7" x14ac:dyDescent="0.2">
      <c r="A268" s="176">
        <v>3579</v>
      </c>
      <c r="B268" s="176">
        <v>4</v>
      </c>
      <c r="C268" s="177" t="s">
        <v>397</v>
      </c>
      <c r="D268" s="177" t="s">
        <v>401</v>
      </c>
      <c r="E268" s="178">
        <v>24.862362551913282</v>
      </c>
      <c r="F268" s="222">
        <v>13.989115383755765</v>
      </c>
      <c r="G268" s="189"/>
    </row>
    <row r="269" spans="1:7" x14ac:dyDescent="0.2">
      <c r="A269" s="176">
        <v>3580</v>
      </c>
      <c r="B269" s="176">
        <v>4</v>
      </c>
      <c r="C269" s="177" t="s">
        <v>397</v>
      </c>
      <c r="D269" s="177" t="s">
        <v>401</v>
      </c>
      <c r="E269" s="178">
        <v>24.862362551913282</v>
      </c>
      <c r="F269" s="222">
        <v>13.989115383755765</v>
      </c>
      <c r="G269" s="189"/>
    </row>
    <row r="270" spans="1:7" x14ac:dyDescent="0.2">
      <c r="A270" s="176">
        <v>3581</v>
      </c>
      <c r="B270" s="176">
        <v>4</v>
      </c>
      <c r="C270" s="177" t="s">
        <v>397</v>
      </c>
      <c r="D270" s="177" t="s">
        <v>401</v>
      </c>
      <c r="E270" s="178">
        <v>24.862362551913282</v>
      </c>
      <c r="F270" s="222">
        <v>13.989115383755765</v>
      </c>
      <c r="G270" s="189"/>
    </row>
    <row r="271" spans="1:7" x14ac:dyDescent="0.2">
      <c r="A271" s="176">
        <v>3583</v>
      </c>
      <c r="B271" s="176">
        <v>4</v>
      </c>
      <c r="C271" s="177" t="s">
        <v>397</v>
      </c>
      <c r="D271" s="177" t="s">
        <v>401</v>
      </c>
      <c r="E271" s="178">
        <v>24.862362551913282</v>
      </c>
      <c r="F271" s="222">
        <v>13.989115383755765</v>
      </c>
      <c r="G271" s="189"/>
    </row>
    <row r="272" spans="1:7" x14ac:dyDescent="0.2">
      <c r="A272" s="176">
        <v>3584</v>
      </c>
      <c r="B272" s="176">
        <v>4</v>
      </c>
      <c r="C272" s="177" t="s">
        <v>397</v>
      </c>
      <c r="D272" s="177" t="s">
        <v>401</v>
      </c>
      <c r="E272" s="178">
        <v>24.862362551913282</v>
      </c>
      <c r="F272" s="222">
        <v>13.989115383755765</v>
      </c>
      <c r="G272" s="189"/>
    </row>
    <row r="273" spans="1:7" x14ac:dyDescent="0.2">
      <c r="A273" s="176">
        <v>3585</v>
      </c>
      <c r="B273" s="176">
        <v>4</v>
      </c>
      <c r="C273" s="177" t="s">
        <v>397</v>
      </c>
      <c r="D273" s="177" t="s">
        <v>401</v>
      </c>
      <c r="E273" s="178">
        <v>24.862362551913282</v>
      </c>
      <c r="F273" s="222">
        <v>13.989115383755765</v>
      </c>
      <c r="G273" s="189"/>
    </row>
    <row r="274" spans="1:7" x14ac:dyDescent="0.2">
      <c r="A274" s="176">
        <v>3586</v>
      </c>
      <c r="B274" s="176">
        <v>4</v>
      </c>
      <c r="C274" s="177" t="s">
        <v>397</v>
      </c>
      <c r="D274" s="177" t="s">
        <v>401</v>
      </c>
      <c r="E274" s="178">
        <v>24.862362551913282</v>
      </c>
      <c r="F274" s="222">
        <v>13.989115383755765</v>
      </c>
      <c r="G274" s="189"/>
    </row>
    <row r="275" spans="1:7" x14ac:dyDescent="0.2">
      <c r="A275" s="176">
        <v>3588</v>
      </c>
      <c r="B275" s="176">
        <v>4</v>
      </c>
      <c r="C275" s="177" t="s">
        <v>397</v>
      </c>
      <c r="D275" s="177" t="s">
        <v>401</v>
      </c>
      <c r="E275" s="178">
        <v>24.862362551913282</v>
      </c>
      <c r="F275" s="222">
        <v>13.989115383755765</v>
      </c>
      <c r="G275" s="189"/>
    </row>
    <row r="276" spans="1:7" x14ac:dyDescent="0.2">
      <c r="A276" s="176">
        <v>3589</v>
      </c>
      <c r="B276" s="176">
        <v>4</v>
      </c>
      <c r="C276" s="177" t="s">
        <v>397</v>
      </c>
      <c r="D276" s="177" t="s">
        <v>401</v>
      </c>
      <c r="E276" s="178">
        <v>24.862362551913282</v>
      </c>
      <c r="F276" s="222">
        <v>13.989115383755765</v>
      </c>
      <c r="G276" s="189"/>
    </row>
    <row r="277" spans="1:7" x14ac:dyDescent="0.2">
      <c r="A277" s="176">
        <v>3590</v>
      </c>
      <c r="B277" s="176">
        <v>4</v>
      </c>
      <c r="C277" s="177" t="s">
        <v>397</v>
      </c>
      <c r="D277" s="177" t="s">
        <v>401</v>
      </c>
      <c r="E277" s="178">
        <v>24.862362551913282</v>
      </c>
      <c r="F277" s="222">
        <v>13.989115383755765</v>
      </c>
      <c r="G277" s="189"/>
    </row>
    <row r="278" spans="1:7" x14ac:dyDescent="0.2">
      <c r="A278" s="176">
        <v>3591</v>
      </c>
      <c r="B278" s="176">
        <v>4</v>
      </c>
      <c r="C278" s="177" t="s">
        <v>397</v>
      </c>
      <c r="D278" s="177" t="s">
        <v>401</v>
      </c>
      <c r="E278" s="178">
        <v>24.862362551913282</v>
      </c>
      <c r="F278" s="222">
        <v>13.989115383755765</v>
      </c>
      <c r="G278" s="189"/>
    </row>
    <row r="279" spans="1:7" x14ac:dyDescent="0.2">
      <c r="A279" s="176">
        <v>3594</v>
      </c>
      <c r="B279" s="176">
        <v>4</v>
      </c>
      <c r="C279" s="177" t="s">
        <v>397</v>
      </c>
      <c r="D279" s="177" t="s">
        <v>401</v>
      </c>
      <c r="E279" s="178">
        <v>24.862362551913282</v>
      </c>
      <c r="F279" s="222">
        <v>13.989115383755765</v>
      </c>
      <c r="G279" s="189"/>
    </row>
    <row r="280" spans="1:7" x14ac:dyDescent="0.2">
      <c r="A280" s="176">
        <v>3595</v>
      </c>
      <c r="B280" s="176">
        <v>4</v>
      </c>
      <c r="C280" s="177" t="s">
        <v>397</v>
      </c>
      <c r="D280" s="177" t="s">
        <v>401</v>
      </c>
      <c r="E280" s="178">
        <v>24.862362551913282</v>
      </c>
      <c r="F280" s="222">
        <v>13.989115383755765</v>
      </c>
      <c r="G280" s="189"/>
    </row>
    <row r="281" spans="1:7" x14ac:dyDescent="0.2">
      <c r="A281" s="176">
        <v>3596</v>
      </c>
      <c r="B281" s="176">
        <v>4</v>
      </c>
      <c r="C281" s="177" t="s">
        <v>397</v>
      </c>
      <c r="D281" s="177" t="s">
        <v>401</v>
      </c>
      <c r="E281" s="178">
        <v>24.862362551913282</v>
      </c>
      <c r="F281" s="222">
        <v>13.989115383755765</v>
      </c>
      <c r="G281" s="189"/>
    </row>
    <row r="282" spans="1:7" x14ac:dyDescent="0.2">
      <c r="A282" s="176">
        <v>3597</v>
      </c>
      <c r="B282" s="176">
        <v>4</v>
      </c>
      <c r="C282" s="177" t="s">
        <v>397</v>
      </c>
      <c r="D282" s="177" t="s">
        <v>401</v>
      </c>
      <c r="E282" s="178">
        <v>24.862362551913282</v>
      </c>
      <c r="F282" s="222">
        <v>13.989115383755765</v>
      </c>
      <c r="G282" s="189"/>
    </row>
    <row r="283" spans="1:7" x14ac:dyDescent="0.2">
      <c r="A283" s="176">
        <v>3599</v>
      </c>
      <c r="B283" s="176">
        <v>4</v>
      </c>
      <c r="C283" s="177" t="s">
        <v>397</v>
      </c>
      <c r="D283" s="177" t="s">
        <v>401</v>
      </c>
      <c r="E283" s="178">
        <v>24.862362551913282</v>
      </c>
      <c r="F283" s="222">
        <v>13.989115383755765</v>
      </c>
      <c r="G283" s="189"/>
    </row>
    <row r="284" spans="1:7" x14ac:dyDescent="0.2">
      <c r="A284" s="176">
        <v>3608</v>
      </c>
      <c r="B284" s="176">
        <v>6</v>
      </c>
      <c r="C284" s="177" t="s">
        <v>397</v>
      </c>
      <c r="D284" s="177" t="s">
        <v>400</v>
      </c>
      <c r="E284" s="178">
        <v>38.897618107964718</v>
      </c>
      <c r="F284" s="222">
        <v>24.488626253526263</v>
      </c>
      <c r="G284" s="189"/>
    </row>
    <row r="285" spans="1:7" x14ac:dyDescent="0.2">
      <c r="A285" s="176">
        <v>3610</v>
      </c>
      <c r="B285" s="176">
        <v>4</v>
      </c>
      <c r="C285" s="177" t="s">
        <v>397</v>
      </c>
      <c r="D285" s="177" t="s">
        <v>401</v>
      </c>
      <c r="E285" s="178">
        <v>24.862362551913282</v>
      </c>
      <c r="F285" s="222">
        <v>13.989115383755765</v>
      </c>
      <c r="G285" s="189"/>
    </row>
    <row r="286" spans="1:7" x14ac:dyDescent="0.2">
      <c r="A286" s="176">
        <v>3612</v>
      </c>
      <c r="B286" s="176">
        <v>4</v>
      </c>
      <c r="C286" s="177" t="s">
        <v>397</v>
      </c>
      <c r="D286" s="177" t="s">
        <v>401</v>
      </c>
      <c r="E286" s="178">
        <v>24.862362551913282</v>
      </c>
      <c r="F286" s="222">
        <v>13.989115383755765</v>
      </c>
      <c r="G286" s="189"/>
    </row>
    <row r="287" spans="1:7" x14ac:dyDescent="0.2">
      <c r="A287" s="176">
        <v>3614</v>
      </c>
      <c r="B287" s="176">
        <v>4</v>
      </c>
      <c r="C287" s="177" t="s">
        <v>397</v>
      </c>
      <c r="D287" s="177" t="s">
        <v>401</v>
      </c>
      <c r="E287" s="178">
        <v>24.862362551913282</v>
      </c>
      <c r="F287" s="222">
        <v>13.989115383755765</v>
      </c>
      <c r="G287" s="189"/>
    </row>
    <row r="288" spans="1:7" x14ac:dyDescent="0.2">
      <c r="A288" s="176">
        <v>3616</v>
      </c>
      <c r="B288" s="176">
        <v>4</v>
      </c>
      <c r="C288" s="177" t="s">
        <v>397</v>
      </c>
      <c r="D288" s="177" t="s">
        <v>401</v>
      </c>
      <c r="E288" s="178">
        <v>24.862362551913282</v>
      </c>
      <c r="F288" s="222">
        <v>13.989115383755765</v>
      </c>
      <c r="G288" s="189"/>
    </row>
    <row r="289" spans="1:7" x14ac:dyDescent="0.2">
      <c r="A289" s="176">
        <v>3617</v>
      </c>
      <c r="B289" s="176">
        <v>4</v>
      </c>
      <c r="C289" s="177" t="s">
        <v>397</v>
      </c>
      <c r="D289" s="177" t="s">
        <v>401</v>
      </c>
      <c r="E289" s="178">
        <v>24.862362551913282</v>
      </c>
      <c r="F289" s="222">
        <v>13.989115383755765</v>
      </c>
      <c r="G289" s="189"/>
    </row>
    <row r="290" spans="1:7" x14ac:dyDescent="0.2">
      <c r="A290" s="176">
        <v>3618</v>
      </c>
      <c r="B290" s="176">
        <v>4</v>
      </c>
      <c r="C290" s="177" t="s">
        <v>397</v>
      </c>
      <c r="D290" s="177" t="s">
        <v>401</v>
      </c>
      <c r="E290" s="178">
        <v>24.862362551913282</v>
      </c>
      <c r="F290" s="222">
        <v>13.989115383755765</v>
      </c>
      <c r="G290" s="189"/>
    </row>
    <row r="291" spans="1:7" x14ac:dyDescent="0.2">
      <c r="A291" s="176">
        <v>3620</v>
      </c>
      <c r="B291" s="176">
        <v>4</v>
      </c>
      <c r="C291" s="177" t="s">
        <v>397</v>
      </c>
      <c r="D291" s="177" t="s">
        <v>401</v>
      </c>
      <c r="E291" s="178">
        <v>24.862362551913282</v>
      </c>
      <c r="F291" s="222">
        <v>13.989115383755765</v>
      </c>
      <c r="G291" s="189"/>
    </row>
    <row r="292" spans="1:7" x14ac:dyDescent="0.2">
      <c r="A292" s="176">
        <v>3621</v>
      </c>
      <c r="B292" s="176">
        <v>4</v>
      </c>
      <c r="C292" s="177" t="s">
        <v>397</v>
      </c>
      <c r="D292" s="177" t="s">
        <v>401</v>
      </c>
      <c r="E292" s="178">
        <v>24.862362551913282</v>
      </c>
      <c r="F292" s="222">
        <v>13.989115383755765</v>
      </c>
      <c r="G292" s="189"/>
    </row>
    <row r="293" spans="1:7" x14ac:dyDescent="0.2">
      <c r="A293" s="176">
        <v>3622</v>
      </c>
      <c r="B293" s="176">
        <v>4</v>
      </c>
      <c r="C293" s="177" t="s">
        <v>397</v>
      </c>
      <c r="D293" s="177" t="s">
        <v>401</v>
      </c>
      <c r="E293" s="178">
        <v>24.862362551913282</v>
      </c>
      <c r="F293" s="222">
        <v>13.989115383755765</v>
      </c>
      <c r="G293" s="189"/>
    </row>
    <row r="294" spans="1:7" x14ac:dyDescent="0.2">
      <c r="A294" s="176">
        <v>3623</v>
      </c>
      <c r="B294" s="176">
        <v>4</v>
      </c>
      <c r="C294" s="177" t="s">
        <v>397</v>
      </c>
      <c r="D294" s="177" t="s">
        <v>401</v>
      </c>
      <c r="E294" s="178">
        <v>24.862362551913282</v>
      </c>
      <c r="F294" s="222">
        <v>13.989115383755765</v>
      </c>
      <c r="G294" s="189"/>
    </row>
    <row r="295" spans="1:7" x14ac:dyDescent="0.2">
      <c r="A295" s="176">
        <v>3624</v>
      </c>
      <c r="B295" s="176">
        <v>4</v>
      </c>
      <c r="C295" s="177" t="s">
        <v>397</v>
      </c>
      <c r="D295" s="177" t="s">
        <v>401</v>
      </c>
      <c r="E295" s="178">
        <v>24.862362551913282</v>
      </c>
      <c r="F295" s="222">
        <v>13.989115383755765</v>
      </c>
      <c r="G295" s="189"/>
    </row>
    <row r="296" spans="1:7" x14ac:dyDescent="0.2">
      <c r="A296" s="176">
        <v>3629</v>
      </c>
      <c r="B296" s="176">
        <v>4</v>
      </c>
      <c r="C296" s="177" t="s">
        <v>397</v>
      </c>
      <c r="D296" s="177" t="s">
        <v>401</v>
      </c>
      <c r="E296" s="178">
        <v>24.862362551913282</v>
      </c>
      <c r="F296" s="222">
        <v>13.989115383755765</v>
      </c>
      <c r="G296" s="189"/>
    </row>
    <row r="297" spans="1:7" x14ac:dyDescent="0.2">
      <c r="A297" s="176">
        <v>3630</v>
      </c>
      <c r="B297" s="176">
        <v>4</v>
      </c>
      <c r="C297" s="177" t="s">
        <v>397</v>
      </c>
      <c r="D297" s="177" t="s">
        <v>401</v>
      </c>
      <c r="E297" s="178">
        <v>24.862362551913282</v>
      </c>
      <c r="F297" s="222">
        <v>13.989115383755765</v>
      </c>
      <c r="G297" s="189"/>
    </row>
    <row r="298" spans="1:7" x14ac:dyDescent="0.2">
      <c r="A298" s="176">
        <v>3631</v>
      </c>
      <c r="B298" s="176">
        <v>4</v>
      </c>
      <c r="C298" s="177" t="s">
        <v>397</v>
      </c>
      <c r="D298" s="177" t="s">
        <v>401</v>
      </c>
      <c r="E298" s="178">
        <v>24.862362551913282</v>
      </c>
      <c r="F298" s="222">
        <v>13.989115383755765</v>
      </c>
      <c r="G298" s="189"/>
    </row>
    <row r="299" spans="1:7" x14ac:dyDescent="0.2">
      <c r="A299" s="176">
        <v>3633</v>
      </c>
      <c r="B299" s="176">
        <v>4</v>
      </c>
      <c r="C299" s="177" t="s">
        <v>397</v>
      </c>
      <c r="D299" s="177" t="s">
        <v>401</v>
      </c>
      <c r="E299" s="178">
        <v>24.862362551913282</v>
      </c>
      <c r="F299" s="222">
        <v>13.989115383755765</v>
      </c>
      <c r="G299" s="189"/>
    </row>
    <row r="300" spans="1:7" x14ac:dyDescent="0.2">
      <c r="A300" s="176">
        <v>3634</v>
      </c>
      <c r="B300" s="176">
        <v>4</v>
      </c>
      <c r="C300" s="177" t="s">
        <v>397</v>
      </c>
      <c r="D300" s="177" t="s">
        <v>401</v>
      </c>
      <c r="E300" s="178">
        <v>24.862362551913282</v>
      </c>
      <c r="F300" s="222">
        <v>13.989115383755765</v>
      </c>
      <c r="G300" s="189"/>
    </row>
    <row r="301" spans="1:7" x14ac:dyDescent="0.2">
      <c r="A301" s="176">
        <v>3635</v>
      </c>
      <c r="B301" s="176">
        <v>4</v>
      </c>
      <c r="C301" s="177" t="s">
        <v>397</v>
      </c>
      <c r="D301" s="177" t="s">
        <v>401</v>
      </c>
      <c r="E301" s="178">
        <v>24.862362551913282</v>
      </c>
      <c r="F301" s="222">
        <v>13.989115383755765</v>
      </c>
      <c r="G301" s="189"/>
    </row>
    <row r="302" spans="1:7" x14ac:dyDescent="0.2">
      <c r="A302" s="176">
        <v>3636</v>
      </c>
      <c r="B302" s="176">
        <v>4</v>
      </c>
      <c r="C302" s="177" t="s">
        <v>397</v>
      </c>
      <c r="D302" s="177" t="s">
        <v>401</v>
      </c>
      <c r="E302" s="178">
        <v>24.862362551913282</v>
      </c>
      <c r="F302" s="222">
        <v>13.989115383755765</v>
      </c>
      <c r="G302" s="189"/>
    </row>
    <row r="303" spans="1:7" x14ac:dyDescent="0.2">
      <c r="A303" s="176">
        <v>3637</v>
      </c>
      <c r="B303" s="176">
        <v>4</v>
      </c>
      <c r="C303" s="177" t="s">
        <v>397</v>
      </c>
      <c r="D303" s="177" t="s">
        <v>401</v>
      </c>
      <c r="E303" s="178">
        <v>24.862362551913282</v>
      </c>
      <c r="F303" s="222">
        <v>13.989115383755765</v>
      </c>
      <c r="G303" s="189"/>
    </row>
    <row r="304" spans="1:7" x14ac:dyDescent="0.2">
      <c r="A304" s="176">
        <v>3638</v>
      </c>
      <c r="B304" s="176">
        <v>4</v>
      </c>
      <c r="C304" s="177" t="s">
        <v>397</v>
      </c>
      <c r="D304" s="177" t="s">
        <v>401</v>
      </c>
      <c r="E304" s="178">
        <v>24.862362551913282</v>
      </c>
      <c r="F304" s="222">
        <v>13.989115383755765</v>
      </c>
      <c r="G304" s="189"/>
    </row>
    <row r="305" spans="1:7" x14ac:dyDescent="0.2">
      <c r="A305" s="176">
        <v>3639</v>
      </c>
      <c r="B305" s="176">
        <v>4</v>
      </c>
      <c r="C305" s="177" t="s">
        <v>397</v>
      </c>
      <c r="D305" s="177" t="s">
        <v>401</v>
      </c>
      <c r="E305" s="178">
        <v>24.862362551913282</v>
      </c>
      <c r="F305" s="222">
        <v>13.989115383755765</v>
      </c>
      <c r="G305" s="189"/>
    </row>
    <row r="306" spans="1:7" x14ac:dyDescent="0.2">
      <c r="A306" s="176">
        <v>3640</v>
      </c>
      <c r="B306" s="176">
        <v>4</v>
      </c>
      <c r="C306" s="177" t="s">
        <v>397</v>
      </c>
      <c r="D306" s="177" t="s">
        <v>401</v>
      </c>
      <c r="E306" s="178">
        <v>24.862362551913282</v>
      </c>
      <c r="F306" s="222">
        <v>13.989115383755765</v>
      </c>
      <c r="G306" s="189"/>
    </row>
    <row r="307" spans="1:7" x14ac:dyDescent="0.2">
      <c r="A307" s="176">
        <v>3641</v>
      </c>
      <c r="B307" s="176">
        <v>4</v>
      </c>
      <c r="C307" s="177" t="s">
        <v>397</v>
      </c>
      <c r="D307" s="177" t="s">
        <v>401</v>
      </c>
      <c r="E307" s="178">
        <v>24.862362551913282</v>
      </c>
      <c r="F307" s="222">
        <v>13.989115383755765</v>
      </c>
      <c r="G307" s="189"/>
    </row>
    <row r="308" spans="1:7" x14ac:dyDescent="0.2">
      <c r="A308" s="176">
        <v>3644</v>
      </c>
      <c r="B308" s="176">
        <v>4</v>
      </c>
      <c r="C308" s="177" t="s">
        <v>397</v>
      </c>
      <c r="D308" s="177" t="s">
        <v>401</v>
      </c>
      <c r="E308" s="178">
        <v>24.862362551913282</v>
      </c>
      <c r="F308" s="222">
        <v>13.989115383755765</v>
      </c>
      <c r="G308" s="189"/>
    </row>
    <row r="309" spans="1:7" x14ac:dyDescent="0.2">
      <c r="A309" s="176">
        <v>3646</v>
      </c>
      <c r="B309" s="176">
        <v>4</v>
      </c>
      <c r="C309" s="177" t="s">
        <v>397</v>
      </c>
      <c r="D309" s="177" t="s">
        <v>401</v>
      </c>
      <c r="E309" s="178">
        <v>24.862362551913282</v>
      </c>
      <c r="F309" s="222">
        <v>13.989115383755765</v>
      </c>
      <c r="G309" s="189"/>
    </row>
    <row r="310" spans="1:7" x14ac:dyDescent="0.2">
      <c r="A310" s="176">
        <v>3647</v>
      </c>
      <c r="B310" s="176">
        <v>4</v>
      </c>
      <c r="C310" s="177" t="s">
        <v>397</v>
      </c>
      <c r="D310" s="177" t="s">
        <v>401</v>
      </c>
      <c r="E310" s="178">
        <v>24.862362551913282</v>
      </c>
      <c r="F310" s="222">
        <v>13.989115383755765</v>
      </c>
      <c r="G310" s="189"/>
    </row>
    <row r="311" spans="1:7" x14ac:dyDescent="0.2">
      <c r="A311" s="176">
        <v>3649</v>
      </c>
      <c r="B311" s="176">
        <v>4</v>
      </c>
      <c r="C311" s="177" t="s">
        <v>397</v>
      </c>
      <c r="D311" s="177" t="s">
        <v>401</v>
      </c>
      <c r="E311" s="178">
        <v>24.862362551913282</v>
      </c>
      <c r="F311" s="222">
        <v>13.989115383755765</v>
      </c>
      <c r="G311" s="189"/>
    </row>
    <row r="312" spans="1:7" x14ac:dyDescent="0.2">
      <c r="A312" s="176">
        <v>3662</v>
      </c>
      <c r="B312" s="176">
        <v>6</v>
      </c>
      <c r="C312" s="177" t="s">
        <v>397</v>
      </c>
      <c r="D312" s="177" t="s">
        <v>400</v>
      </c>
      <c r="E312" s="178">
        <v>38.897618107964718</v>
      </c>
      <c r="F312" s="222">
        <v>24.488626253526263</v>
      </c>
      <c r="G312" s="189"/>
    </row>
    <row r="313" spans="1:7" x14ac:dyDescent="0.2">
      <c r="A313" s="176">
        <v>3666</v>
      </c>
      <c r="B313" s="176">
        <v>6</v>
      </c>
      <c r="C313" s="177" t="s">
        <v>397</v>
      </c>
      <c r="D313" s="177" t="s">
        <v>400</v>
      </c>
      <c r="E313" s="178">
        <v>38.897618107964718</v>
      </c>
      <c r="F313" s="222">
        <v>24.488626253526263</v>
      </c>
      <c r="G313" s="189"/>
    </row>
    <row r="314" spans="1:7" x14ac:dyDescent="0.2">
      <c r="A314" s="176">
        <v>3669</v>
      </c>
      <c r="B314" s="176">
        <v>6</v>
      </c>
      <c r="C314" s="177" t="s">
        <v>397</v>
      </c>
      <c r="D314" s="177" t="s">
        <v>400</v>
      </c>
      <c r="E314" s="178">
        <v>38.897618107964718</v>
      </c>
      <c r="F314" s="222">
        <v>24.488626253526263</v>
      </c>
      <c r="G314" s="189"/>
    </row>
    <row r="315" spans="1:7" x14ac:dyDescent="0.2">
      <c r="A315" s="176">
        <v>3685</v>
      </c>
      <c r="B315" s="176">
        <v>6</v>
      </c>
      <c r="C315" s="177" t="s">
        <v>397</v>
      </c>
      <c r="D315" s="177" t="s">
        <v>400</v>
      </c>
      <c r="E315" s="178">
        <v>38.897618107964718</v>
      </c>
      <c r="F315" s="222">
        <v>24.488626253526263</v>
      </c>
      <c r="G315" s="189"/>
    </row>
    <row r="316" spans="1:7" x14ac:dyDescent="0.2">
      <c r="A316" s="176">
        <v>3725</v>
      </c>
      <c r="B316" s="176">
        <v>6</v>
      </c>
      <c r="C316" s="177" t="s">
        <v>397</v>
      </c>
      <c r="D316" s="177" t="s">
        <v>400</v>
      </c>
      <c r="E316" s="178">
        <v>38.897618107964718</v>
      </c>
      <c r="F316" s="222">
        <v>24.488626253526263</v>
      </c>
      <c r="G316" s="189"/>
    </row>
    <row r="317" spans="1:7" x14ac:dyDescent="0.2">
      <c r="A317" s="176">
        <v>3727</v>
      </c>
      <c r="B317" s="176">
        <v>4</v>
      </c>
      <c r="C317" s="177" t="s">
        <v>397</v>
      </c>
      <c r="D317" s="177" t="s">
        <v>401</v>
      </c>
      <c r="E317" s="178">
        <v>24.862362551913282</v>
      </c>
      <c r="F317" s="222">
        <v>13.989115383755765</v>
      </c>
      <c r="G317" s="189"/>
    </row>
    <row r="318" spans="1:7" x14ac:dyDescent="0.2">
      <c r="A318" s="176">
        <v>3728</v>
      </c>
      <c r="B318" s="176">
        <v>4</v>
      </c>
      <c r="C318" s="177" t="s">
        <v>397</v>
      </c>
      <c r="D318" s="177" t="s">
        <v>401</v>
      </c>
      <c r="E318" s="178">
        <v>24.862362551913282</v>
      </c>
      <c r="F318" s="222">
        <v>13.989115383755765</v>
      </c>
      <c r="G318" s="189"/>
    </row>
    <row r="319" spans="1:7" x14ac:dyDescent="0.2">
      <c r="A319" s="176">
        <v>3730</v>
      </c>
      <c r="B319" s="176">
        <v>4</v>
      </c>
      <c r="C319" s="177" t="s">
        <v>397</v>
      </c>
      <c r="D319" s="177" t="s">
        <v>401</v>
      </c>
      <c r="E319" s="178">
        <v>24.862362551913282</v>
      </c>
      <c r="F319" s="222">
        <v>13.989115383755765</v>
      </c>
      <c r="G319" s="189"/>
    </row>
    <row r="320" spans="1:7" x14ac:dyDescent="0.2">
      <c r="A320" s="176">
        <v>3753</v>
      </c>
      <c r="B320" s="176">
        <v>6</v>
      </c>
      <c r="C320" s="177" t="s">
        <v>398</v>
      </c>
      <c r="D320" s="177" t="s">
        <v>399</v>
      </c>
      <c r="E320" s="178">
        <v>55.101713065448251</v>
      </c>
      <c r="F320" s="222">
        <v>30.414997592876372</v>
      </c>
      <c r="G320" s="189"/>
    </row>
    <row r="321" spans="1:7" x14ac:dyDescent="0.2">
      <c r="A321" s="176">
        <v>3756</v>
      </c>
      <c r="B321" s="176">
        <v>6</v>
      </c>
      <c r="C321" s="177" t="s">
        <v>398</v>
      </c>
      <c r="D321" s="177" t="s">
        <v>399</v>
      </c>
      <c r="E321" s="178">
        <v>55.101713065448251</v>
      </c>
      <c r="F321" s="222">
        <v>30.414997592876372</v>
      </c>
      <c r="G321" s="189"/>
    </row>
    <row r="322" spans="1:7" x14ac:dyDescent="0.2">
      <c r="A322" s="176">
        <v>3762</v>
      </c>
      <c r="B322" s="176">
        <v>6</v>
      </c>
      <c r="C322" s="177" t="s">
        <v>397</v>
      </c>
      <c r="D322" s="177" t="s">
        <v>400</v>
      </c>
      <c r="E322" s="178">
        <v>38.897618107964718</v>
      </c>
      <c r="F322" s="222">
        <v>24.488626253526263</v>
      </c>
      <c r="G322" s="189"/>
    </row>
    <row r="323" spans="1:7" x14ac:dyDescent="0.2">
      <c r="A323" s="176">
        <v>3764</v>
      </c>
      <c r="B323" s="176">
        <v>6</v>
      </c>
      <c r="C323" s="177" t="s">
        <v>397</v>
      </c>
      <c r="D323" s="177" t="s">
        <v>400</v>
      </c>
      <c r="E323" s="178">
        <v>38.897618107964718</v>
      </c>
      <c r="F323" s="222">
        <v>24.488626253526263</v>
      </c>
      <c r="G323" s="189"/>
    </row>
    <row r="324" spans="1:7" x14ac:dyDescent="0.2">
      <c r="A324" s="189"/>
      <c r="B324" s="190"/>
      <c r="C324" s="189"/>
      <c r="D324" s="189"/>
      <c r="E324" s="189"/>
      <c r="G324" s="189"/>
    </row>
    <row r="325" spans="1:7" x14ac:dyDescent="0.2">
      <c r="A325" s="189"/>
      <c r="B325" s="190"/>
      <c r="C325" s="189"/>
      <c r="D325" s="189"/>
      <c r="E325" s="189"/>
      <c r="G325" s="189"/>
    </row>
    <row r="326" spans="1:7" x14ac:dyDescent="0.2">
      <c r="A326" s="189"/>
      <c r="B326" s="190"/>
      <c r="C326" s="189"/>
      <c r="D326" s="189"/>
      <c r="E326" s="189"/>
      <c r="G326" s="189"/>
    </row>
    <row r="327" spans="1:7" x14ac:dyDescent="0.2">
      <c r="A327" s="189"/>
      <c r="B327" s="190"/>
      <c r="C327" s="189"/>
      <c r="D327" s="189"/>
      <c r="E327" s="189"/>
      <c r="G327" s="189"/>
    </row>
    <row r="328" spans="1:7" x14ac:dyDescent="0.2">
      <c r="A328" s="189"/>
      <c r="B328" s="190"/>
      <c r="C328" s="189"/>
      <c r="D328" s="189"/>
      <c r="E328" s="189"/>
      <c r="G328" s="189"/>
    </row>
    <row r="329" spans="1:7" x14ac:dyDescent="0.2">
      <c r="A329" s="189"/>
      <c r="B329" s="190"/>
      <c r="C329" s="189"/>
      <c r="D329" s="189"/>
      <c r="E329" s="189"/>
      <c r="G329" s="189"/>
    </row>
    <row r="330" spans="1:7" x14ac:dyDescent="0.2">
      <c r="A330" s="189"/>
      <c r="B330" s="190"/>
      <c r="C330" s="189"/>
      <c r="D330" s="189"/>
      <c r="E330" s="189"/>
      <c r="G330" s="189"/>
    </row>
    <row r="331" spans="1:7" x14ac:dyDescent="0.2">
      <c r="A331" s="189"/>
      <c r="B331" s="190"/>
      <c r="C331" s="189"/>
      <c r="D331" s="189"/>
      <c r="E331" s="189"/>
      <c r="G331" s="189"/>
    </row>
    <row r="332" spans="1:7" x14ac:dyDescent="0.2">
      <c r="A332" s="189"/>
      <c r="B332" s="190"/>
      <c r="C332" s="189"/>
      <c r="D332" s="189"/>
      <c r="E332" s="189"/>
      <c r="G332" s="189"/>
    </row>
    <row r="333" spans="1:7" x14ac:dyDescent="0.2">
      <c r="A333" s="189"/>
      <c r="B333" s="190"/>
      <c r="C333" s="189"/>
      <c r="D333" s="189"/>
      <c r="E333" s="189"/>
      <c r="G333" s="189"/>
    </row>
    <row r="334" spans="1:7" x14ac:dyDescent="0.2">
      <c r="A334" s="189"/>
      <c r="B334" s="190"/>
      <c r="C334" s="189"/>
      <c r="D334" s="189"/>
      <c r="E334" s="189"/>
      <c r="G334" s="189"/>
    </row>
    <row r="335" spans="1:7" x14ac:dyDescent="0.2">
      <c r="A335" s="189"/>
      <c r="B335" s="190"/>
      <c r="C335" s="189"/>
      <c r="D335" s="189"/>
      <c r="E335" s="189"/>
      <c r="G335" s="189"/>
    </row>
    <row r="336" spans="1:7" x14ac:dyDescent="0.2">
      <c r="A336" s="189"/>
      <c r="B336" s="190"/>
      <c r="C336" s="189"/>
      <c r="D336" s="189"/>
      <c r="E336" s="189"/>
      <c r="G336" s="189"/>
    </row>
    <row r="337" spans="1:7" x14ac:dyDescent="0.2">
      <c r="A337" s="189"/>
      <c r="B337" s="190"/>
      <c r="C337" s="189"/>
      <c r="D337" s="189"/>
      <c r="E337" s="189"/>
      <c r="G337" s="189"/>
    </row>
    <row r="338" spans="1:7" x14ac:dyDescent="0.2">
      <c r="A338" s="189"/>
      <c r="B338" s="190"/>
      <c r="C338" s="189"/>
      <c r="D338" s="189"/>
      <c r="E338" s="189"/>
      <c r="G338" s="189"/>
    </row>
    <row r="339" spans="1:7" x14ac:dyDescent="0.2">
      <c r="A339" s="189"/>
      <c r="B339" s="190"/>
      <c r="C339" s="189"/>
      <c r="D339" s="189"/>
      <c r="E339" s="189"/>
      <c r="G339" s="189"/>
    </row>
    <row r="340" spans="1:7" x14ac:dyDescent="0.2">
      <c r="A340" s="189"/>
      <c r="B340" s="190"/>
      <c r="C340" s="189"/>
      <c r="D340" s="189"/>
      <c r="E340" s="189"/>
      <c r="G340" s="189"/>
    </row>
    <row r="341" spans="1:7" x14ac:dyDescent="0.2">
      <c r="A341" s="189"/>
      <c r="B341" s="190"/>
      <c r="C341" s="189"/>
      <c r="D341" s="189"/>
      <c r="E341" s="189"/>
      <c r="G341" s="189"/>
    </row>
    <row r="342" spans="1:7" x14ac:dyDescent="0.2">
      <c r="A342" s="189"/>
      <c r="B342" s="190"/>
      <c r="C342" s="189"/>
      <c r="D342" s="189"/>
      <c r="E342" s="189"/>
      <c r="G342" s="189"/>
    </row>
    <row r="343" spans="1:7" x14ac:dyDescent="0.2">
      <c r="A343" s="189"/>
      <c r="B343" s="190"/>
      <c r="C343" s="189"/>
      <c r="D343" s="189"/>
      <c r="E343" s="189"/>
      <c r="G343" s="189"/>
    </row>
    <row r="344" spans="1:7" x14ac:dyDescent="0.2">
      <c r="A344" s="189"/>
      <c r="B344" s="190"/>
      <c r="C344" s="189"/>
      <c r="D344" s="189"/>
      <c r="E344" s="189"/>
      <c r="G344" s="189"/>
    </row>
    <row r="345" spans="1:7" x14ac:dyDescent="0.2">
      <c r="A345" s="189"/>
      <c r="B345" s="190"/>
      <c r="C345" s="189"/>
      <c r="D345" s="189"/>
      <c r="E345" s="189"/>
      <c r="G345" s="189"/>
    </row>
    <row r="346" spans="1:7" x14ac:dyDescent="0.2">
      <c r="A346" s="189"/>
      <c r="B346" s="190"/>
      <c r="C346" s="189"/>
      <c r="D346" s="189"/>
      <c r="E346" s="189"/>
      <c r="G346" s="189"/>
    </row>
    <row r="347" spans="1:7" x14ac:dyDescent="0.2">
      <c r="A347" s="189"/>
      <c r="B347" s="190"/>
      <c r="C347" s="189"/>
      <c r="D347" s="189"/>
      <c r="E347" s="189"/>
      <c r="G347" s="189"/>
    </row>
    <row r="348" spans="1:7" x14ac:dyDescent="0.2">
      <c r="A348" s="189"/>
      <c r="B348" s="190"/>
      <c r="C348" s="189"/>
      <c r="D348" s="189"/>
      <c r="E348" s="189"/>
      <c r="G348" s="189"/>
    </row>
    <row r="349" spans="1:7" x14ac:dyDescent="0.2">
      <c r="A349" s="189"/>
      <c r="B349" s="190"/>
      <c r="C349" s="189"/>
      <c r="D349" s="189"/>
      <c r="E349" s="189"/>
      <c r="G349" s="189"/>
    </row>
    <row r="350" spans="1:7" x14ac:dyDescent="0.2">
      <c r="A350" s="189"/>
      <c r="B350" s="190"/>
      <c r="C350" s="189"/>
      <c r="D350" s="189"/>
      <c r="E350" s="189"/>
      <c r="G350" s="189"/>
    </row>
    <row r="351" spans="1:7" x14ac:dyDescent="0.2">
      <c r="A351" s="189"/>
      <c r="B351" s="190"/>
      <c r="C351" s="189"/>
      <c r="D351" s="189"/>
      <c r="E351" s="189"/>
      <c r="G351" s="189"/>
    </row>
    <row r="352" spans="1:7" x14ac:dyDescent="0.2">
      <c r="A352" s="189"/>
      <c r="B352" s="190"/>
      <c r="C352" s="189"/>
      <c r="D352" s="189"/>
      <c r="E352" s="189"/>
      <c r="G352" s="189"/>
    </row>
    <row r="353" spans="1:7" x14ac:dyDescent="0.2">
      <c r="A353" s="189"/>
      <c r="B353" s="190"/>
      <c r="C353" s="189"/>
      <c r="D353" s="189"/>
      <c r="E353" s="189"/>
      <c r="G353" s="189"/>
    </row>
    <row r="354" spans="1:7" x14ac:dyDescent="0.2">
      <c r="A354" s="189"/>
      <c r="B354" s="190"/>
      <c r="C354" s="189"/>
      <c r="D354" s="189"/>
      <c r="E354" s="189"/>
      <c r="G354" s="189"/>
    </row>
    <row r="355" spans="1:7" x14ac:dyDescent="0.2">
      <c r="A355" s="189"/>
      <c r="B355" s="190"/>
      <c r="C355" s="189"/>
      <c r="D355" s="189"/>
      <c r="E355" s="189"/>
      <c r="G355" s="189"/>
    </row>
    <row r="356" spans="1:7" x14ac:dyDescent="0.2">
      <c r="A356" s="189"/>
      <c r="B356" s="190"/>
      <c r="C356" s="189"/>
      <c r="D356" s="189"/>
      <c r="E356" s="189"/>
      <c r="G356" s="189"/>
    </row>
    <row r="357" spans="1:7" x14ac:dyDescent="0.2">
      <c r="A357" s="189"/>
      <c r="B357" s="190"/>
      <c r="C357" s="189"/>
      <c r="D357" s="189"/>
      <c r="E357" s="189"/>
      <c r="G357" s="189"/>
    </row>
    <row r="358" spans="1:7" x14ac:dyDescent="0.2">
      <c r="A358" s="189"/>
      <c r="B358" s="190"/>
      <c r="C358" s="189"/>
      <c r="D358" s="189"/>
      <c r="E358" s="189"/>
      <c r="G358" s="189"/>
    </row>
    <row r="359" spans="1:7" x14ac:dyDescent="0.2">
      <c r="A359" s="189"/>
      <c r="B359" s="190"/>
      <c r="C359" s="189"/>
      <c r="D359" s="189"/>
      <c r="E359" s="189"/>
      <c r="G359" s="189"/>
    </row>
    <row r="360" spans="1:7" x14ac:dyDescent="0.2">
      <c r="A360" s="189"/>
      <c r="B360" s="190"/>
      <c r="C360" s="189"/>
      <c r="D360" s="189"/>
      <c r="E360" s="189"/>
      <c r="G360" s="189"/>
    </row>
    <row r="361" spans="1:7" x14ac:dyDescent="0.2">
      <c r="A361" s="189"/>
      <c r="B361" s="190"/>
      <c r="C361" s="189"/>
      <c r="D361" s="189"/>
      <c r="E361" s="189"/>
      <c r="G361" s="189"/>
    </row>
    <row r="362" spans="1:7" x14ac:dyDescent="0.2">
      <c r="A362" s="189"/>
      <c r="B362" s="190"/>
      <c r="C362" s="189"/>
      <c r="D362" s="189"/>
      <c r="E362" s="189"/>
      <c r="G362" s="189"/>
    </row>
    <row r="363" spans="1:7" x14ac:dyDescent="0.2">
      <c r="A363" s="189"/>
      <c r="B363" s="190"/>
      <c r="C363" s="189"/>
      <c r="D363" s="189"/>
      <c r="E363" s="189"/>
      <c r="G363" s="189"/>
    </row>
    <row r="364" spans="1:7" x14ac:dyDescent="0.2">
      <c r="A364" s="189"/>
      <c r="B364" s="190"/>
      <c r="C364" s="189"/>
      <c r="D364" s="189"/>
      <c r="E364" s="189"/>
      <c r="G364" s="189"/>
    </row>
    <row r="365" spans="1:7" x14ac:dyDescent="0.2">
      <c r="A365" s="189"/>
      <c r="B365" s="190"/>
      <c r="C365" s="189"/>
      <c r="D365" s="189"/>
      <c r="E365" s="189"/>
      <c r="G365" s="189"/>
    </row>
    <row r="366" spans="1:7" x14ac:dyDescent="0.2">
      <c r="A366" s="189"/>
      <c r="B366" s="190"/>
      <c r="C366" s="189"/>
      <c r="D366" s="189"/>
      <c r="E366" s="189"/>
      <c r="G366" s="189"/>
    </row>
    <row r="367" spans="1:7" x14ac:dyDescent="0.2">
      <c r="A367" s="189"/>
      <c r="B367" s="190"/>
      <c r="C367" s="189"/>
      <c r="D367" s="189"/>
      <c r="E367" s="189"/>
      <c r="G367" s="189"/>
    </row>
    <row r="368" spans="1:7" x14ac:dyDescent="0.2">
      <c r="A368" s="189"/>
      <c r="B368" s="190"/>
      <c r="C368" s="189"/>
      <c r="D368" s="189"/>
      <c r="E368" s="189"/>
      <c r="G368" s="189"/>
    </row>
    <row r="369" spans="1:7" x14ac:dyDescent="0.2">
      <c r="A369" s="189"/>
      <c r="B369" s="190"/>
      <c r="C369" s="189"/>
      <c r="D369" s="189"/>
      <c r="E369" s="189"/>
      <c r="G369" s="189"/>
    </row>
    <row r="370" spans="1:7" x14ac:dyDescent="0.2">
      <c r="A370" s="189"/>
      <c r="B370" s="190"/>
      <c r="C370" s="189"/>
      <c r="D370" s="189"/>
      <c r="E370" s="189"/>
      <c r="G370" s="189"/>
    </row>
    <row r="371" spans="1:7" x14ac:dyDescent="0.2">
      <c r="A371" s="189"/>
      <c r="B371" s="190"/>
      <c r="C371" s="189"/>
      <c r="D371" s="189"/>
      <c r="E371" s="189"/>
      <c r="G371" s="189"/>
    </row>
    <row r="372" spans="1:7" x14ac:dyDescent="0.2">
      <c r="A372" s="189"/>
      <c r="B372" s="190"/>
      <c r="C372" s="189"/>
      <c r="D372" s="189"/>
      <c r="E372" s="189"/>
      <c r="G372" s="189"/>
    </row>
    <row r="373" spans="1:7" x14ac:dyDescent="0.2">
      <c r="A373" s="189"/>
      <c r="B373" s="190"/>
      <c r="C373" s="189"/>
      <c r="D373" s="189"/>
      <c r="E373" s="189"/>
      <c r="G373" s="189"/>
    </row>
    <row r="374" spans="1:7" x14ac:dyDescent="0.2">
      <c r="A374" s="189"/>
      <c r="B374" s="190"/>
      <c r="C374" s="189"/>
      <c r="D374" s="189"/>
      <c r="E374" s="189"/>
      <c r="G374" s="189"/>
    </row>
    <row r="375" spans="1:7" x14ac:dyDescent="0.2">
      <c r="A375" s="189"/>
      <c r="B375" s="190"/>
      <c r="C375" s="189"/>
      <c r="D375" s="189"/>
      <c r="E375" s="189"/>
      <c r="G375" s="189"/>
    </row>
    <row r="376" spans="1:7" x14ac:dyDescent="0.2">
      <c r="A376" s="189"/>
      <c r="B376" s="190"/>
      <c r="C376" s="189"/>
      <c r="D376" s="189"/>
      <c r="E376" s="189"/>
      <c r="G376" s="189"/>
    </row>
    <row r="377" spans="1:7" x14ac:dyDescent="0.2">
      <c r="A377" s="189"/>
      <c r="B377" s="190"/>
      <c r="C377" s="189"/>
      <c r="D377" s="189"/>
      <c r="E377" s="189"/>
      <c r="G377" s="189"/>
    </row>
    <row r="378" spans="1:7" x14ac:dyDescent="0.2">
      <c r="A378" s="189"/>
      <c r="B378" s="190"/>
      <c r="C378" s="189"/>
      <c r="D378" s="189"/>
      <c r="E378" s="189"/>
      <c r="G378" s="189"/>
    </row>
    <row r="379" spans="1:7" x14ac:dyDescent="0.2">
      <c r="A379" s="189"/>
      <c r="B379" s="190"/>
      <c r="C379" s="189"/>
      <c r="D379" s="189"/>
      <c r="E379" s="189"/>
      <c r="G379" s="189"/>
    </row>
    <row r="380" spans="1:7" x14ac:dyDescent="0.2">
      <c r="A380" s="189"/>
      <c r="B380" s="190"/>
      <c r="C380" s="189"/>
      <c r="D380" s="189"/>
      <c r="E380" s="189"/>
      <c r="G380" s="189"/>
    </row>
    <row r="381" spans="1:7" x14ac:dyDescent="0.2">
      <c r="A381" s="189"/>
      <c r="B381" s="190"/>
      <c r="C381" s="189"/>
      <c r="D381" s="189"/>
      <c r="E381" s="189"/>
      <c r="G381" s="189"/>
    </row>
    <row r="382" spans="1:7" x14ac:dyDescent="0.2">
      <c r="A382" s="189"/>
      <c r="B382" s="190"/>
      <c r="C382" s="189"/>
      <c r="D382" s="189"/>
      <c r="E382" s="189"/>
      <c r="G382" s="189"/>
    </row>
    <row r="383" spans="1:7" x14ac:dyDescent="0.2">
      <c r="A383" s="189"/>
      <c r="B383" s="190"/>
      <c r="C383" s="189"/>
      <c r="D383" s="189"/>
      <c r="E383" s="189"/>
      <c r="G383" s="189"/>
    </row>
    <row r="384" spans="1:7" x14ac:dyDescent="0.2">
      <c r="A384" s="189"/>
      <c r="B384" s="190"/>
      <c r="C384" s="189"/>
      <c r="D384" s="189"/>
      <c r="E384" s="189"/>
      <c r="G384" s="189"/>
    </row>
    <row r="385" spans="1:7" x14ac:dyDescent="0.2">
      <c r="A385" s="189"/>
      <c r="B385" s="190"/>
      <c r="C385" s="189"/>
      <c r="D385" s="189"/>
      <c r="E385" s="189"/>
      <c r="G385" s="189"/>
    </row>
    <row r="386" spans="1:7" x14ac:dyDescent="0.2">
      <c r="A386" s="189"/>
      <c r="B386" s="190"/>
      <c r="C386" s="189"/>
      <c r="D386" s="189"/>
      <c r="E386" s="189"/>
      <c r="G386" s="189"/>
    </row>
    <row r="387" spans="1:7" x14ac:dyDescent="0.2">
      <c r="A387" s="189"/>
      <c r="B387" s="190"/>
      <c r="C387" s="189"/>
      <c r="D387" s="189"/>
      <c r="E387" s="189"/>
      <c r="G387" s="189"/>
    </row>
    <row r="388" spans="1:7" x14ac:dyDescent="0.2">
      <c r="A388" s="189"/>
      <c r="B388" s="190"/>
      <c r="C388" s="189"/>
      <c r="D388" s="189"/>
      <c r="E388" s="189"/>
      <c r="G388" s="189"/>
    </row>
    <row r="389" spans="1:7" x14ac:dyDescent="0.2">
      <c r="A389" s="189"/>
      <c r="B389" s="190"/>
      <c r="C389" s="189"/>
      <c r="D389" s="189"/>
      <c r="E389" s="189"/>
      <c r="G389" s="189"/>
    </row>
    <row r="390" spans="1:7" x14ac:dyDescent="0.2">
      <c r="A390" s="189"/>
      <c r="B390" s="190"/>
      <c r="C390" s="189"/>
      <c r="D390" s="189"/>
      <c r="E390" s="189"/>
      <c r="G390" s="189"/>
    </row>
    <row r="391" spans="1:7" x14ac:dyDescent="0.2">
      <c r="A391" s="189"/>
      <c r="B391" s="190"/>
      <c r="C391" s="189"/>
      <c r="D391" s="189"/>
      <c r="E391" s="189"/>
      <c r="G391" s="189"/>
    </row>
    <row r="392" spans="1:7" x14ac:dyDescent="0.2">
      <c r="A392" s="189"/>
      <c r="B392" s="190"/>
      <c r="C392" s="189"/>
      <c r="D392" s="189"/>
      <c r="E392" s="189"/>
      <c r="G392" s="189"/>
    </row>
    <row r="393" spans="1:7" x14ac:dyDescent="0.2">
      <c r="A393" s="189"/>
      <c r="B393" s="190"/>
      <c r="C393" s="189"/>
      <c r="D393" s="189"/>
      <c r="E393" s="189"/>
      <c r="G393" s="189"/>
    </row>
    <row r="394" spans="1:7" x14ac:dyDescent="0.2">
      <c r="A394" s="189"/>
      <c r="B394" s="190"/>
      <c r="C394" s="189"/>
      <c r="D394" s="189"/>
      <c r="E394" s="189"/>
      <c r="G394" s="189"/>
    </row>
    <row r="395" spans="1:7" x14ac:dyDescent="0.2">
      <c r="A395" s="189"/>
      <c r="B395" s="190"/>
      <c r="C395" s="189"/>
      <c r="D395" s="189"/>
      <c r="E395" s="189"/>
      <c r="G395" s="189"/>
    </row>
    <row r="396" spans="1:7" x14ac:dyDescent="0.2">
      <c r="A396" s="189"/>
      <c r="B396" s="190"/>
      <c r="C396" s="189"/>
      <c r="D396" s="189"/>
      <c r="E396" s="189"/>
      <c r="G396" s="189"/>
    </row>
    <row r="397" spans="1:7" x14ac:dyDescent="0.2">
      <c r="A397" s="189"/>
      <c r="B397" s="190"/>
      <c r="C397" s="189"/>
      <c r="D397" s="189"/>
      <c r="E397" s="189"/>
      <c r="G397" s="189"/>
    </row>
    <row r="398" spans="1:7" x14ac:dyDescent="0.2">
      <c r="A398" s="189"/>
      <c r="B398" s="190"/>
      <c r="C398" s="189"/>
      <c r="D398" s="189"/>
      <c r="E398" s="189"/>
      <c r="G398" s="189"/>
    </row>
    <row r="399" spans="1:7" x14ac:dyDescent="0.2">
      <c r="A399" s="189"/>
      <c r="B399" s="190"/>
      <c r="C399" s="189"/>
      <c r="D399" s="189"/>
      <c r="E399" s="189"/>
      <c r="G399" s="189"/>
    </row>
    <row r="400" spans="1:7" x14ac:dyDescent="0.2">
      <c r="A400" s="189"/>
      <c r="B400" s="190"/>
      <c r="C400" s="189"/>
      <c r="D400" s="189"/>
      <c r="E400" s="189"/>
      <c r="G400" s="189"/>
    </row>
    <row r="401" spans="1:7" x14ac:dyDescent="0.2">
      <c r="A401" s="189"/>
      <c r="B401" s="190"/>
      <c r="C401" s="189"/>
      <c r="D401" s="189"/>
      <c r="E401" s="189"/>
      <c r="G401" s="189"/>
    </row>
    <row r="402" spans="1:7" x14ac:dyDescent="0.2">
      <c r="A402" s="189"/>
      <c r="B402" s="190"/>
      <c r="C402" s="189"/>
      <c r="D402" s="189"/>
      <c r="E402" s="189"/>
      <c r="G402" s="189"/>
    </row>
    <row r="403" spans="1:7" x14ac:dyDescent="0.2">
      <c r="A403" s="189"/>
      <c r="B403" s="190"/>
      <c r="C403" s="189"/>
      <c r="D403" s="189"/>
      <c r="E403" s="189"/>
      <c r="G403" s="189"/>
    </row>
    <row r="404" spans="1:7" x14ac:dyDescent="0.2">
      <c r="A404" s="189"/>
      <c r="B404" s="190"/>
      <c r="C404" s="189"/>
      <c r="D404" s="189"/>
      <c r="E404" s="189"/>
      <c r="G404" s="189"/>
    </row>
    <row r="405" spans="1:7" x14ac:dyDescent="0.2">
      <c r="A405" s="189"/>
      <c r="B405" s="190"/>
      <c r="C405" s="189"/>
      <c r="D405" s="189"/>
      <c r="E405" s="189"/>
      <c r="G405" s="189"/>
    </row>
    <row r="406" spans="1:7" x14ac:dyDescent="0.2">
      <c r="A406" s="189"/>
      <c r="B406" s="190"/>
      <c r="C406" s="189"/>
      <c r="D406" s="189"/>
      <c r="E406" s="189"/>
      <c r="G406" s="189"/>
    </row>
    <row r="407" spans="1:7" x14ac:dyDescent="0.2">
      <c r="A407" s="189"/>
      <c r="B407" s="190"/>
      <c r="C407" s="189"/>
      <c r="D407" s="189"/>
      <c r="E407" s="189"/>
      <c r="G407" s="189"/>
    </row>
    <row r="408" spans="1:7" x14ac:dyDescent="0.2">
      <c r="A408" s="189"/>
      <c r="B408" s="190"/>
      <c r="C408" s="189"/>
      <c r="D408" s="189"/>
      <c r="E408" s="189"/>
      <c r="G408" s="189"/>
    </row>
    <row r="409" spans="1:7" x14ac:dyDescent="0.2">
      <c r="A409" s="189"/>
      <c r="B409" s="190"/>
      <c r="C409" s="189"/>
      <c r="D409" s="189"/>
      <c r="E409" s="189"/>
      <c r="G409" s="189"/>
    </row>
    <row r="410" spans="1:7" x14ac:dyDescent="0.2">
      <c r="A410" s="189"/>
      <c r="B410" s="190"/>
      <c r="C410" s="189"/>
      <c r="D410" s="189"/>
      <c r="E410" s="189"/>
      <c r="G410" s="189"/>
    </row>
    <row r="411" spans="1:7" x14ac:dyDescent="0.2">
      <c r="A411" s="189"/>
      <c r="B411" s="190"/>
      <c r="C411" s="189"/>
      <c r="D411" s="189"/>
      <c r="E411" s="189"/>
      <c r="G411" s="189"/>
    </row>
    <row r="412" spans="1:7" x14ac:dyDescent="0.2">
      <c r="A412" s="189"/>
      <c r="B412" s="190"/>
      <c r="C412" s="189"/>
      <c r="D412" s="189"/>
      <c r="E412" s="189"/>
      <c r="G412" s="189"/>
    </row>
    <row r="413" spans="1:7" x14ac:dyDescent="0.2">
      <c r="A413" s="189"/>
      <c r="B413" s="190"/>
      <c r="C413" s="189"/>
      <c r="D413" s="189"/>
      <c r="E413" s="189"/>
      <c r="G413" s="189"/>
    </row>
    <row r="414" spans="1:7" x14ac:dyDescent="0.2">
      <c r="A414" s="189"/>
      <c r="B414" s="190"/>
      <c r="C414" s="189"/>
      <c r="D414" s="189"/>
      <c r="E414" s="189"/>
      <c r="G414" s="189"/>
    </row>
    <row r="415" spans="1:7" x14ac:dyDescent="0.2">
      <c r="A415" s="189"/>
      <c r="B415" s="190"/>
      <c r="C415" s="189"/>
      <c r="D415" s="189"/>
      <c r="E415" s="189"/>
      <c r="G415" s="189"/>
    </row>
    <row r="416" spans="1:7" x14ac:dyDescent="0.2">
      <c r="A416" s="189"/>
      <c r="B416" s="190"/>
      <c r="C416" s="189"/>
      <c r="D416" s="189"/>
      <c r="E416" s="189"/>
      <c r="G416" s="189"/>
    </row>
    <row r="417" spans="1:7" x14ac:dyDescent="0.2">
      <c r="A417" s="189"/>
      <c r="B417" s="190"/>
      <c r="C417" s="189"/>
      <c r="D417" s="189"/>
      <c r="E417" s="189"/>
      <c r="G417" s="189"/>
    </row>
    <row r="418" spans="1:7" x14ac:dyDescent="0.2">
      <c r="A418" s="189"/>
      <c r="B418" s="190"/>
      <c r="C418" s="189"/>
      <c r="D418" s="189"/>
      <c r="E418" s="189"/>
      <c r="G418" s="189"/>
    </row>
    <row r="419" spans="1:7" x14ac:dyDescent="0.2">
      <c r="A419" s="189"/>
      <c r="B419" s="190"/>
      <c r="C419" s="189"/>
      <c r="D419" s="189"/>
      <c r="E419" s="189"/>
      <c r="G419" s="189"/>
    </row>
    <row r="420" spans="1:7" x14ac:dyDescent="0.2">
      <c r="A420" s="189"/>
      <c r="B420" s="190"/>
      <c r="C420" s="189"/>
      <c r="D420" s="189"/>
      <c r="E420" s="189"/>
      <c r="G420" s="189"/>
    </row>
    <row r="421" spans="1:7" x14ac:dyDescent="0.2">
      <c r="A421" s="189"/>
      <c r="B421" s="190"/>
      <c r="C421" s="189"/>
      <c r="D421" s="189"/>
      <c r="E421" s="189"/>
      <c r="G421" s="189"/>
    </row>
    <row r="422" spans="1:7" x14ac:dyDescent="0.2">
      <c r="A422" s="189"/>
      <c r="B422" s="190"/>
      <c r="C422" s="189"/>
      <c r="D422" s="189"/>
      <c r="E422" s="189"/>
      <c r="G422" s="189"/>
    </row>
    <row r="423" spans="1:7" x14ac:dyDescent="0.2">
      <c r="A423" s="189"/>
      <c r="B423" s="190"/>
      <c r="C423" s="189"/>
      <c r="D423" s="189"/>
      <c r="E423" s="189"/>
      <c r="G423" s="189"/>
    </row>
    <row r="424" spans="1:7" x14ac:dyDescent="0.2">
      <c r="A424" s="189"/>
      <c r="B424" s="190"/>
      <c r="C424" s="189"/>
      <c r="D424" s="189"/>
      <c r="E424" s="189"/>
      <c r="G424" s="189"/>
    </row>
    <row r="425" spans="1:7" x14ac:dyDescent="0.2">
      <c r="A425" s="189"/>
      <c r="B425" s="190"/>
      <c r="C425" s="189"/>
      <c r="D425" s="189"/>
      <c r="E425" s="189"/>
      <c r="G425" s="189"/>
    </row>
    <row r="426" spans="1:7" x14ac:dyDescent="0.2">
      <c r="A426" s="189"/>
      <c r="B426" s="190"/>
      <c r="C426" s="189"/>
      <c r="D426" s="189"/>
      <c r="E426" s="189"/>
      <c r="G426" s="189"/>
    </row>
    <row r="427" spans="1:7" x14ac:dyDescent="0.2">
      <c r="A427" s="189"/>
      <c r="B427" s="190"/>
      <c r="C427" s="189"/>
      <c r="D427" s="189"/>
      <c r="E427" s="189"/>
      <c r="G427" s="189"/>
    </row>
    <row r="428" spans="1:7" x14ac:dyDescent="0.2">
      <c r="A428" s="189"/>
      <c r="B428" s="190"/>
      <c r="C428" s="189"/>
      <c r="D428" s="189"/>
      <c r="E428" s="189"/>
      <c r="G428" s="189"/>
    </row>
    <row r="429" spans="1:7" x14ac:dyDescent="0.2">
      <c r="A429" s="189"/>
      <c r="B429" s="190"/>
      <c r="C429" s="189"/>
      <c r="D429" s="189"/>
      <c r="E429" s="189"/>
      <c r="G429" s="189"/>
    </row>
    <row r="430" spans="1:7" x14ac:dyDescent="0.2">
      <c r="A430" s="189"/>
      <c r="B430" s="190"/>
      <c r="C430" s="189"/>
      <c r="D430" s="189"/>
      <c r="E430" s="189"/>
      <c r="G430" s="189"/>
    </row>
    <row r="431" spans="1:7" x14ac:dyDescent="0.2">
      <c r="A431" s="189"/>
      <c r="B431" s="190"/>
      <c r="C431" s="189"/>
      <c r="D431" s="189"/>
      <c r="E431" s="189"/>
      <c r="G431" s="189"/>
    </row>
    <row r="432" spans="1:7" x14ac:dyDescent="0.2">
      <c r="A432" s="189"/>
      <c r="B432" s="190"/>
      <c r="C432" s="189"/>
      <c r="D432" s="189"/>
      <c r="E432" s="189"/>
      <c r="G432" s="189"/>
    </row>
    <row r="433" spans="1:7" x14ac:dyDescent="0.2">
      <c r="A433" s="189"/>
      <c r="B433" s="190"/>
      <c r="C433" s="189"/>
      <c r="D433" s="189"/>
      <c r="E433" s="189"/>
      <c r="G433" s="189"/>
    </row>
    <row r="434" spans="1:7" x14ac:dyDescent="0.2">
      <c r="A434" s="189"/>
      <c r="B434" s="190"/>
      <c r="C434" s="189"/>
      <c r="D434" s="189"/>
      <c r="E434" s="189"/>
      <c r="G434" s="189"/>
    </row>
    <row r="435" spans="1:7" x14ac:dyDescent="0.2">
      <c r="A435" s="189"/>
      <c r="B435" s="190"/>
      <c r="C435" s="189"/>
      <c r="D435" s="189"/>
      <c r="E435" s="189"/>
      <c r="G435" s="189"/>
    </row>
    <row r="436" spans="1:7" x14ac:dyDescent="0.2">
      <c r="A436" s="189"/>
      <c r="B436" s="190"/>
      <c r="C436" s="189"/>
      <c r="D436" s="189"/>
      <c r="E436" s="189"/>
      <c r="G436" s="189"/>
    </row>
    <row r="437" spans="1:7" x14ac:dyDescent="0.2">
      <c r="A437" s="189"/>
      <c r="B437" s="190"/>
      <c r="C437" s="189"/>
      <c r="D437" s="189"/>
      <c r="E437" s="189"/>
      <c r="G437" s="189"/>
    </row>
    <row r="438" spans="1:7" x14ac:dyDescent="0.2">
      <c r="A438" s="189"/>
      <c r="B438" s="190"/>
      <c r="C438" s="189"/>
      <c r="D438" s="189"/>
      <c r="E438" s="189"/>
      <c r="G438" s="189"/>
    </row>
    <row r="439" spans="1:7" x14ac:dyDescent="0.2">
      <c r="A439" s="189"/>
      <c r="B439" s="190"/>
      <c r="C439" s="189"/>
      <c r="D439" s="189"/>
      <c r="E439" s="189"/>
      <c r="G439" s="189"/>
    </row>
    <row r="440" spans="1:7" x14ac:dyDescent="0.2">
      <c r="A440" s="189"/>
      <c r="B440" s="190"/>
      <c r="C440" s="189"/>
      <c r="D440" s="189"/>
      <c r="E440" s="189"/>
      <c r="G440" s="189"/>
    </row>
    <row r="441" spans="1:7" x14ac:dyDescent="0.2">
      <c r="A441" s="189"/>
      <c r="B441" s="190"/>
      <c r="C441" s="189"/>
      <c r="D441" s="189"/>
      <c r="E441" s="189"/>
      <c r="G441" s="189"/>
    </row>
    <row r="442" spans="1:7" x14ac:dyDescent="0.2">
      <c r="A442" s="189"/>
      <c r="B442" s="190"/>
      <c r="C442" s="189"/>
      <c r="D442" s="189"/>
      <c r="E442" s="189"/>
      <c r="G442" s="189"/>
    </row>
    <row r="443" spans="1:7" x14ac:dyDescent="0.2">
      <c r="A443" s="189"/>
      <c r="B443" s="190"/>
      <c r="C443" s="189"/>
      <c r="D443" s="189"/>
      <c r="E443" s="189"/>
      <c r="G443" s="189"/>
    </row>
    <row r="444" spans="1:7" x14ac:dyDescent="0.2">
      <c r="A444" s="189"/>
      <c r="B444" s="190"/>
      <c r="C444" s="189"/>
      <c r="D444" s="189"/>
      <c r="E444" s="189"/>
      <c r="G444" s="189"/>
    </row>
    <row r="445" spans="1:7" x14ac:dyDescent="0.2">
      <c r="A445" s="189"/>
      <c r="B445" s="190"/>
      <c r="C445" s="189"/>
      <c r="D445" s="189"/>
      <c r="E445" s="189"/>
      <c r="G445" s="189"/>
    </row>
    <row r="446" spans="1:7" x14ac:dyDescent="0.2">
      <c r="A446" s="189"/>
      <c r="B446" s="190"/>
      <c r="C446" s="189"/>
      <c r="D446" s="189"/>
      <c r="E446" s="189"/>
      <c r="G446" s="189"/>
    </row>
    <row r="447" spans="1:7" x14ac:dyDescent="0.2">
      <c r="A447" s="189"/>
      <c r="B447" s="190"/>
      <c r="C447" s="189"/>
      <c r="D447" s="189"/>
      <c r="E447" s="189"/>
      <c r="G447" s="189"/>
    </row>
    <row r="448" spans="1:7" x14ac:dyDescent="0.2">
      <c r="A448" s="189"/>
      <c r="B448" s="190"/>
      <c r="C448" s="189"/>
      <c r="D448" s="189"/>
      <c r="E448" s="189"/>
      <c r="G448" s="189"/>
    </row>
    <row r="449" spans="1:7" x14ac:dyDescent="0.2">
      <c r="A449" s="189"/>
      <c r="B449" s="190"/>
      <c r="C449" s="189"/>
      <c r="D449" s="189"/>
      <c r="E449" s="189"/>
      <c r="G449" s="189"/>
    </row>
    <row r="450" spans="1:7" x14ac:dyDescent="0.2">
      <c r="A450" s="189"/>
      <c r="B450" s="190"/>
      <c r="C450" s="189"/>
      <c r="D450" s="189"/>
      <c r="E450" s="189"/>
      <c r="G450" s="189"/>
    </row>
    <row r="451" spans="1:7" x14ac:dyDescent="0.2">
      <c r="A451" s="189"/>
      <c r="B451" s="190"/>
      <c r="C451" s="189"/>
      <c r="D451" s="189"/>
      <c r="E451" s="189"/>
      <c r="G451" s="189"/>
    </row>
    <row r="452" spans="1:7" x14ac:dyDescent="0.2">
      <c r="A452" s="189"/>
      <c r="B452" s="190"/>
      <c r="C452" s="189"/>
      <c r="D452" s="189"/>
      <c r="E452" s="189"/>
      <c r="G452" s="189"/>
    </row>
    <row r="453" spans="1:7" x14ac:dyDescent="0.2">
      <c r="A453" s="189"/>
      <c r="B453" s="190"/>
      <c r="C453" s="189"/>
      <c r="D453" s="189"/>
      <c r="E453" s="189"/>
      <c r="G453" s="189"/>
    </row>
    <row r="454" spans="1:7" x14ac:dyDescent="0.2">
      <c r="A454" s="189"/>
      <c r="B454" s="190"/>
      <c r="C454" s="189"/>
      <c r="D454" s="189"/>
      <c r="E454" s="189"/>
      <c r="G454" s="189"/>
    </row>
    <row r="455" spans="1:7" x14ac:dyDescent="0.2">
      <c r="A455" s="189"/>
      <c r="B455" s="190"/>
      <c r="C455" s="189"/>
      <c r="D455" s="189"/>
      <c r="E455" s="189"/>
      <c r="G455" s="189"/>
    </row>
    <row r="456" spans="1:7" x14ac:dyDescent="0.2">
      <c r="A456" s="189"/>
      <c r="B456" s="190"/>
      <c r="C456" s="189"/>
      <c r="D456" s="189"/>
      <c r="E456" s="189"/>
      <c r="G456" s="189"/>
    </row>
    <row r="457" spans="1:7" x14ac:dyDescent="0.2">
      <c r="A457" s="189"/>
      <c r="B457" s="190"/>
      <c r="C457" s="189"/>
      <c r="D457" s="189"/>
      <c r="E457" s="189"/>
      <c r="G457" s="189"/>
    </row>
    <row r="458" spans="1:7" x14ac:dyDescent="0.2">
      <c r="A458" s="189"/>
      <c r="B458" s="190"/>
      <c r="C458" s="189"/>
      <c r="D458" s="189"/>
      <c r="E458" s="189"/>
      <c r="G458" s="189"/>
    </row>
    <row r="459" spans="1:7" x14ac:dyDescent="0.2">
      <c r="A459" s="189"/>
      <c r="B459" s="190"/>
      <c r="C459" s="189"/>
      <c r="D459" s="189"/>
      <c r="E459" s="189"/>
      <c r="G459" s="189"/>
    </row>
    <row r="460" spans="1:7" x14ac:dyDescent="0.2">
      <c r="A460" s="189"/>
      <c r="B460" s="190"/>
      <c r="C460" s="189"/>
      <c r="D460" s="189"/>
      <c r="E460" s="189"/>
      <c r="G460" s="189"/>
    </row>
    <row r="461" spans="1:7" x14ac:dyDescent="0.2">
      <c r="A461" s="189"/>
      <c r="B461" s="190"/>
      <c r="C461" s="189"/>
      <c r="D461" s="189"/>
      <c r="E461" s="189"/>
      <c r="G461" s="189"/>
    </row>
    <row r="462" spans="1:7" x14ac:dyDescent="0.2">
      <c r="A462" s="189"/>
      <c r="B462" s="190"/>
      <c r="C462" s="189"/>
      <c r="D462" s="189"/>
      <c r="E462" s="189"/>
      <c r="G462" s="189"/>
    </row>
    <row r="463" spans="1:7" x14ac:dyDescent="0.2">
      <c r="A463" s="189"/>
      <c r="B463" s="190"/>
      <c r="C463" s="189"/>
      <c r="D463" s="189"/>
      <c r="E463" s="189"/>
      <c r="G463" s="189"/>
    </row>
    <row r="464" spans="1:7" x14ac:dyDescent="0.2">
      <c r="A464" s="189"/>
      <c r="B464" s="190"/>
      <c r="C464" s="189"/>
      <c r="D464" s="189"/>
      <c r="E464" s="189"/>
      <c r="G464" s="189"/>
    </row>
    <row r="465" spans="1:7" x14ac:dyDescent="0.2">
      <c r="A465" s="189"/>
      <c r="B465" s="190"/>
      <c r="C465" s="189"/>
      <c r="D465" s="189"/>
      <c r="E465" s="189"/>
      <c r="G465" s="189"/>
    </row>
    <row r="466" spans="1:7" x14ac:dyDescent="0.2">
      <c r="A466" s="189"/>
      <c r="B466" s="190"/>
      <c r="C466" s="189"/>
      <c r="D466" s="189"/>
      <c r="E466" s="189"/>
      <c r="G466" s="189"/>
    </row>
    <row r="467" spans="1:7" x14ac:dyDescent="0.2">
      <c r="A467" s="189"/>
      <c r="B467" s="190"/>
      <c r="C467" s="189"/>
      <c r="D467" s="189"/>
      <c r="E467" s="189"/>
      <c r="G467" s="189"/>
    </row>
    <row r="468" spans="1:7" x14ac:dyDescent="0.2">
      <c r="A468" s="189"/>
      <c r="B468" s="190"/>
      <c r="C468" s="189"/>
      <c r="D468" s="189"/>
      <c r="E468" s="189"/>
      <c r="G468" s="189"/>
    </row>
    <row r="469" spans="1:7" x14ac:dyDescent="0.2">
      <c r="A469" s="189"/>
      <c r="B469" s="190"/>
      <c r="C469" s="189"/>
      <c r="D469" s="189"/>
      <c r="E469" s="189"/>
      <c r="G469" s="189"/>
    </row>
    <row r="470" spans="1:7" x14ac:dyDescent="0.2">
      <c r="A470" s="189"/>
      <c r="B470" s="190"/>
      <c r="C470" s="189"/>
      <c r="D470" s="189"/>
      <c r="E470" s="189"/>
      <c r="G470" s="189"/>
    </row>
    <row r="471" spans="1:7" x14ac:dyDescent="0.2">
      <c r="A471" s="189"/>
      <c r="B471" s="190"/>
      <c r="C471" s="189"/>
      <c r="D471" s="189"/>
      <c r="E471" s="189"/>
      <c r="G471" s="189"/>
    </row>
    <row r="472" spans="1:7" x14ac:dyDescent="0.2">
      <c r="A472" s="189"/>
      <c r="B472" s="190"/>
      <c r="C472" s="189"/>
      <c r="D472" s="189"/>
      <c r="E472" s="189"/>
      <c r="G472" s="189"/>
    </row>
    <row r="473" spans="1:7" x14ac:dyDescent="0.2">
      <c r="A473" s="189"/>
      <c r="B473" s="190"/>
      <c r="C473" s="189"/>
      <c r="D473" s="189"/>
      <c r="E473" s="189"/>
      <c r="G473" s="189"/>
    </row>
    <row r="474" spans="1:7" x14ac:dyDescent="0.2">
      <c r="A474" s="189"/>
      <c r="B474" s="190"/>
      <c r="C474" s="189"/>
      <c r="D474" s="189"/>
      <c r="E474" s="189"/>
      <c r="G474" s="189"/>
    </row>
    <row r="475" spans="1:7" x14ac:dyDescent="0.2">
      <c r="A475" s="189"/>
      <c r="B475" s="190"/>
      <c r="C475" s="189"/>
      <c r="D475" s="189"/>
      <c r="E475" s="189"/>
      <c r="G475" s="189"/>
    </row>
    <row r="476" spans="1:7" x14ac:dyDescent="0.2">
      <c r="A476" s="189"/>
      <c r="B476" s="190"/>
      <c r="C476" s="189"/>
      <c r="D476" s="189"/>
      <c r="E476" s="189"/>
      <c r="G476" s="189"/>
    </row>
    <row r="477" spans="1:7" x14ac:dyDescent="0.2">
      <c r="A477" s="189"/>
      <c r="B477" s="190"/>
      <c r="C477" s="189"/>
      <c r="D477" s="189"/>
      <c r="E477" s="189"/>
      <c r="G477" s="189"/>
    </row>
    <row r="478" spans="1:7" x14ac:dyDescent="0.2">
      <c r="A478" s="189"/>
      <c r="B478" s="190"/>
      <c r="C478" s="189"/>
      <c r="D478" s="189"/>
      <c r="E478" s="189"/>
      <c r="G478" s="189"/>
    </row>
    <row r="479" spans="1:7" x14ac:dyDescent="0.2">
      <c r="A479" s="189"/>
      <c r="B479" s="190"/>
      <c r="C479" s="189"/>
      <c r="D479" s="189"/>
      <c r="E479" s="189"/>
      <c r="G479" s="189"/>
    </row>
    <row r="480" spans="1:7" x14ac:dyDescent="0.2">
      <c r="A480" s="189"/>
      <c r="B480" s="190"/>
      <c r="C480" s="189"/>
      <c r="D480" s="189"/>
      <c r="E480" s="189"/>
      <c r="G480" s="189"/>
    </row>
    <row r="481" spans="1:7" x14ac:dyDescent="0.2">
      <c r="A481" s="189"/>
      <c r="B481" s="190"/>
      <c r="C481" s="189"/>
      <c r="D481" s="189"/>
      <c r="E481" s="189"/>
      <c r="G481" s="189"/>
    </row>
    <row r="482" spans="1:7" x14ac:dyDescent="0.2">
      <c r="A482" s="189"/>
      <c r="B482" s="190"/>
      <c r="C482" s="189"/>
      <c r="D482" s="189"/>
      <c r="E482" s="189"/>
      <c r="G482" s="189"/>
    </row>
    <row r="483" spans="1:7" x14ac:dyDescent="0.2">
      <c r="A483" s="189"/>
      <c r="B483" s="190"/>
      <c r="C483" s="189"/>
      <c r="D483" s="189"/>
      <c r="E483" s="189"/>
      <c r="G483" s="189"/>
    </row>
    <row r="484" spans="1:7" x14ac:dyDescent="0.2">
      <c r="A484" s="189"/>
      <c r="B484" s="190"/>
      <c r="C484" s="189"/>
      <c r="D484" s="189"/>
      <c r="E484" s="189"/>
      <c r="G484" s="189"/>
    </row>
    <row r="485" spans="1:7" x14ac:dyDescent="0.2">
      <c r="A485" s="189"/>
      <c r="B485" s="190"/>
      <c r="C485" s="189"/>
      <c r="D485" s="189"/>
      <c r="E485" s="189"/>
      <c r="G485" s="189"/>
    </row>
    <row r="486" spans="1:7" x14ac:dyDescent="0.2">
      <c r="A486" s="189"/>
      <c r="B486" s="190"/>
      <c r="C486" s="189"/>
      <c r="D486" s="189"/>
      <c r="E486" s="189"/>
      <c r="G486" s="189"/>
    </row>
    <row r="487" spans="1:7" x14ac:dyDescent="0.2">
      <c r="A487" s="189"/>
      <c r="B487" s="190"/>
      <c r="C487" s="189"/>
      <c r="D487" s="189"/>
      <c r="E487" s="189"/>
      <c r="G487" s="189"/>
    </row>
    <row r="488" spans="1:7" x14ac:dyDescent="0.2">
      <c r="A488" s="189"/>
      <c r="B488" s="190"/>
      <c r="C488" s="189"/>
      <c r="D488" s="189"/>
      <c r="E488" s="189"/>
      <c r="G488" s="189"/>
    </row>
    <row r="489" spans="1:7" x14ac:dyDescent="0.2">
      <c r="A489" s="189"/>
      <c r="B489" s="190"/>
      <c r="C489" s="189"/>
      <c r="D489" s="189"/>
      <c r="E489" s="189"/>
      <c r="G489" s="189"/>
    </row>
    <row r="490" spans="1:7" x14ac:dyDescent="0.2">
      <c r="A490" s="189"/>
      <c r="B490" s="190"/>
      <c r="C490" s="189"/>
      <c r="D490" s="189"/>
      <c r="E490" s="189"/>
      <c r="G490" s="189"/>
    </row>
    <row r="491" spans="1:7" x14ac:dyDescent="0.2">
      <c r="A491" s="189"/>
      <c r="B491" s="190"/>
      <c r="C491" s="189"/>
      <c r="D491" s="189"/>
      <c r="E491" s="189"/>
      <c r="G491" s="189"/>
    </row>
    <row r="492" spans="1:7" x14ac:dyDescent="0.2">
      <c r="A492" s="189"/>
      <c r="B492" s="190"/>
      <c r="C492" s="189"/>
      <c r="D492" s="189"/>
      <c r="E492" s="189"/>
      <c r="G492" s="189"/>
    </row>
    <row r="493" spans="1:7" x14ac:dyDescent="0.2">
      <c r="A493" s="189"/>
      <c r="B493" s="190"/>
      <c r="C493" s="189"/>
      <c r="D493" s="189"/>
      <c r="E493" s="189"/>
      <c r="G493" s="189"/>
    </row>
    <row r="494" spans="1:7" x14ac:dyDescent="0.2">
      <c r="A494" s="189"/>
      <c r="B494" s="190"/>
      <c r="C494" s="189"/>
      <c r="D494" s="189"/>
      <c r="E494" s="189"/>
      <c r="G494" s="189"/>
    </row>
    <row r="495" spans="1:7" x14ac:dyDescent="0.2">
      <c r="A495" s="189"/>
      <c r="B495" s="190"/>
      <c r="C495" s="189"/>
      <c r="D495" s="189"/>
      <c r="E495" s="189"/>
      <c r="G495" s="189"/>
    </row>
    <row r="496" spans="1:7" x14ac:dyDescent="0.2">
      <c r="A496" s="189"/>
      <c r="B496" s="190"/>
      <c r="C496" s="189"/>
      <c r="D496" s="189"/>
      <c r="E496" s="189"/>
      <c r="G496" s="189"/>
    </row>
    <row r="497" spans="1:7" x14ac:dyDescent="0.2">
      <c r="A497" s="189"/>
      <c r="B497" s="190"/>
      <c r="C497" s="189"/>
      <c r="D497" s="189"/>
      <c r="E497" s="189"/>
      <c r="G497" s="189"/>
    </row>
    <row r="498" spans="1:7" x14ac:dyDescent="0.2">
      <c r="A498" s="189"/>
      <c r="B498" s="190"/>
      <c r="C498" s="189"/>
      <c r="D498" s="189"/>
      <c r="E498" s="189"/>
      <c r="G498" s="189"/>
    </row>
    <row r="499" spans="1:7" x14ac:dyDescent="0.2">
      <c r="A499" s="189"/>
      <c r="B499" s="190"/>
      <c r="C499" s="189"/>
      <c r="D499" s="189"/>
      <c r="E499" s="189"/>
      <c r="G499" s="189"/>
    </row>
    <row r="500" spans="1:7" x14ac:dyDescent="0.2">
      <c r="A500" s="189"/>
      <c r="B500" s="190"/>
      <c r="C500" s="189"/>
      <c r="D500" s="189"/>
      <c r="E500" s="189"/>
      <c r="G500" s="189"/>
    </row>
    <row r="501" spans="1:7" x14ac:dyDescent="0.2">
      <c r="A501" s="189"/>
      <c r="B501" s="190"/>
      <c r="C501" s="189"/>
      <c r="D501" s="189"/>
      <c r="E501" s="189"/>
      <c r="G501" s="189"/>
    </row>
    <row r="502" spans="1:7" x14ac:dyDescent="0.2">
      <c r="A502" s="189"/>
      <c r="B502" s="190"/>
      <c r="C502" s="189"/>
      <c r="D502" s="189"/>
      <c r="E502" s="189"/>
      <c r="G502" s="189"/>
    </row>
    <row r="503" spans="1:7" x14ac:dyDescent="0.2">
      <c r="A503" s="189"/>
      <c r="B503" s="190"/>
      <c r="C503" s="189"/>
      <c r="D503" s="189"/>
      <c r="E503" s="189"/>
      <c r="G503" s="189"/>
    </row>
    <row r="504" spans="1:7" x14ac:dyDescent="0.2">
      <c r="A504" s="189"/>
      <c r="B504" s="190"/>
      <c r="C504" s="189"/>
      <c r="D504" s="189"/>
      <c r="E504" s="189"/>
      <c r="G504" s="189"/>
    </row>
    <row r="505" spans="1:7" x14ac:dyDescent="0.2">
      <c r="A505" s="189"/>
      <c r="B505" s="190"/>
      <c r="C505" s="189"/>
      <c r="D505" s="189"/>
      <c r="E505" s="189"/>
      <c r="G505" s="189"/>
    </row>
    <row r="506" spans="1:7" x14ac:dyDescent="0.2">
      <c r="A506" s="189"/>
      <c r="B506" s="190"/>
      <c r="C506" s="189"/>
      <c r="D506" s="189"/>
      <c r="E506" s="189"/>
      <c r="G506" s="189"/>
    </row>
    <row r="507" spans="1:7" x14ac:dyDescent="0.2">
      <c r="A507" s="189"/>
      <c r="B507" s="190"/>
      <c r="C507" s="189"/>
      <c r="D507" s="189"/>
      <c r="E507" s="189"/>
      <c r="G507" s="189"/>
    </row>
    <row r="508" spans="1:7" x14ac:dyDescent="0.2">
      <c r="A508" s="189"/>
      <c r="B508" s="190"/>
      <c r="C508" s="189"/>
      <c r="D508" s="189"/>
      <c r="E508" s="189"/>
      <c r="G508" s="189"/>
    </row>
    <row r="509" spans="1:7" x14ac:dyDescent="0.2">
      <c r="A509" s="189"/>
      <c r="B509" s="190"/>
      <c r="C509" s="189"/>
      <c r="D509" s="189"/>
      <c r="E509" s="189"/>
      <c r="G509" s="189"/>
    </row>
    <row r="510" spans="1:7" x14ac:dyDescent="0.2">
      <c r="A510" s="189"/>
      <c r="B510" s="190"/>
      <c r="C510" s="189"/>
      <c r="D510" s="189"/>
      <c r="E510" s="189"/>
      <c r="G510" s="189"/>
    </row>
    <row r="511" spans="1:7" x14ac:dyDescent="0.2">
      <c r="A511" s="189"/>
      <c r="B511" s="190"/>
      <c r="C511" s="189"/>
      <c r="D511" s="189"/>
      <c r="E511" s="189"/>
      <c r="G511" s="189"/>
    </row>
    <row r="512" spans="1:7" x14ac:dyDescent="0.2">
      <c r="A512" s="189"/>
      <c r="B512" s="190"/>
      <c r="C512" s="189"/>
      <c r="D512" s="189"/>
      <c r="E512" s="189"/>
      <c r="G512" s="189"/>
    </row>
    <row r="513" spans="1:7" x14ac:dyDescent="0.2">
      <c r="A513" s="189"/>
      <c r="B513" s="190"/>
      <c r="C513" s="189"/>
      <c r="D513" s="189"/>
      <c r="E513" s="189"/>
      <c r="G513" s="189"/>
    </row>
    <row r="514" spans="1:7" x14ac:dyDescent="0.2">
      <c r="A514" s="189"/>
      <c r="B514" s="190"/>
      <c r="C514" s="189"/>
      <c r="D514" s="189"/>
      <c r="E514" s="189"/>
      <c r="G514" s="189"/>
    </row>
    <row r="515" spans="1:7" x14ac:dyDescent="0.2">
      <c r="A515" s="189"/>
      <c r="B515" s="190"/>
      <c r="C515" s="189"/>
      <c r="D515" s="189"/>
      <c r="E515" s="189"/>
      <c r="G515" s="189"/>
    </row>
    <row r="516" spans="1:7" x14ac:dyDescent="0.2">
      <c r="A516" s="189"/>
      <c r="B516" s="190"/>
      <c r="C516" s="189"/>
      <c r="D516" s="189"/>
      <c r="E516" s="189"/>
      <c r="G516" s="189"/>
    </row>
    <row r="517" spans="1:7" x14ac:dyDescent="0.2">
      <c r="A517" s="189"/>
      <c r="B517" s="190"/>
      <c r="C517" s="189"/>
      <c r="D517" s="189"/>
      <c r="E517" s="189"/>
      <c r="G517" s="189"/>
    </row>
    <row r="518" spans="1:7" x14ac:dyDescent="0.2">
      <c r="A518" s="189"/>
      <c r="B518" s="190"/>
      <c r="C518" s="189"/>
      <c r="D518" s="189"/>
      <c r="E518" s="189"/>
      <c r="G518" s="189"/>
    </row>
    <row r="519" spans="1:7" x14ac:dyDescent="0.2">
      <c r="A519" s="189"/>
      <c r="B519" s="190"/>
      <c r="C519" s="189"/>
      <c r="D519" s="189"/>
      <c r="E519" s="189"/>
      <c r="G519" s="189"/>
    </row>
    <row r="520" spans="1:7" x14ac:dyDescent="0.2">
      <c r="A520" s="189"/>
      <c r="B520" s="190"/>
      <c r="C520" s="189"/>
      <c r="D520" s="189"/>
      <c r="E520" s="189"/>
      <c r="G520" s="189"/>
    </row>
    <row r="521" spans="1:7" x14ac:dyDescent="0.2">
      <c r="A521" s="189"/>
      <c r="B521" s="190"/>
      <c r="C521" s="189"/>
      <c r="D521" s="189"/>
      <c r="E521" s="189"/>
      <c r="G521" s="189"/>
    </row>
    <row r="522" spans="1:7" x14ac:dyDescent="0.2">
      <c r="A522" s="189"/>
      <c r="B522" s="190"/>
      <c r="C522" s="189"/>
      <c r="D522" s="189"/>
      <c r="E522" s="189"/>
      <c r="G522" s="189"/>
    </row>
    <row r="523" spans="1:7" x14ac:dyDescent="0.2">
      <c r="A523" s="189"/>
      <c r="B523" s="190"/>
      <c r="C523" s="189"/>
      <c r="D523" s="189"/>
      <c r="E523" s="189"/>
      <c r="G523" s="189"/>
    </row>
    <row r="524" spans="1:7" x14ac:dyDescent="0.2">
      <c r="A524" s="189"/>
      <c r="B524" s="190"/>
      <c r="C524" s="189"/>
      <c r="D524" s="189"/>
      <c r="E524" s="189"/>
      <c r="G524" s="189"/>
    </row>
    <row r="525" spans="1:7" x14ac:dyDescent="0.2">
      <c r="A525" s="189"/>
      <c r="B525" s="190"/>
      <c r="C525" s="189"/>
      <c r="D525" s="189"/>
      <c r="E525" s="189"/>
      <c r="G525" s="189"/>
    </row>
    <row r="526" spans="1:7" x14ac:dyDescent="0.2">
      <c r="A526" s="189"/>
      <c r="B526" s="190"/>
      <c r="C526" s="189"/>
      <c r="D526" s="189"/>
      <c r="E526" s="189"/>
      <c r="G526" s="189"/>
    </row>
    <row r="527" spans="1:7" x14ac:dyDescent="0.2">
      <c r="A527" s="189"/>
      <c r="B527" s="190"/>
      <c r="C527" s="189"/>
      <c r="D527" s="189"/>
      <c r="E527" s="189"/>
      <c r="G527" s="189"/>
    </row>
    <row r="528" spans="1:7" x14ac:dyDescent="0.2">
      <c r="A528" s="189"/>
      <c r="B528" s="190"/>
      <c r="C528" s="189"/>
      <c r="D528" s="189"/>
      <c r="E528" s="189"/>
      <c r="G528" s="189"/>
    </row>
    <row r="529" spans="1:7" x14ac:dyDescent="0.2">
      <c r="A529" s="189"/>
      <c r="B529" s="190"/>
      <c r="C529" s="189"/>
      <c r="D529" s="189"/>
      <c r="E529" s="189"/>
      <c r="G529" s="189"/>
    </row>
    <row r="530" spans="1:7" x14ac:dyDescent="0.2">
      <c r="A530" s="189"/>
      <c r="B530" s="190"/>
      <c r="C530" s="189"/>
      <c r="D530" s="189"/>
      <c r="E530" s="189"/>
      <c r="G530" s="189"/>
    </row>
    <row r="531" spans="1:7" x14ac:dyDescent="0.2">
      <c r="A531" s="189"/>
      <c r="B531" s="190"/>
      <c r="C531" s="189"/>
      <c r="D531" s="189"/>
      <c r="E531" s="189"/>
      <c r="G531" s="189"/>
    </row>
    <row r="532" spans="1:7" x14ac:dyDescent="0.2">
      <c r="A532" s="189"/>
      <c r="B532" s="190"/>
      <c r="C532" s="189"/>
      <c r="D532" s="189"/>
      <c r="E532" s="189"/>
      <c r="G532" s="189"/>
    </row>
    <row r="533" spans="1:7" x14ac:dyDescent="0.2">
      <c r="A533" s="189"/>
      <c r="B533" s="190"/>
      <c r="C533" s="189"/>
      <c r="D533" s="189"/>
      <c r="E533" s="189"/>
      <c r="G533" s="189"/>
    </row>
    <row r="534" spans="1:7" x14ac:dyDescent="0.2">
      <c r="A534" s="189"/>
      <c r="B534" s="190"/>
      <c r="C534" s="189"/>
      <c r="D534" s="189"/>
      <c r="E534" s="189"/>
      <c r="G534" s="189"/>
    </row>
    <row r="535" spans="1:7" x14ac:dyDescent="0.2">
      <c r="A535" s="189"/>
      <c r="B535" s="190"/>
      <c r="C535" s="189"/>
      <c r="D535" s="189"/>
      <c r="E535" s="189"/>
      <c r="G535" s="189"/>
    </row>
    <row r="536" spans="1:7" x14ac:dyDescent="0.2">
      <c r="A536" s="189"/>
      <c r="B536" s="190"/>
      <c r="C536" s="189"/>
      <c r="D536" s="189"/>
      <c r="E536" s="189"/>
      <c r="G536" s="189"/>
    </row>
    <row r="537" spans="1:7" x14ac:dyDescent="0.2">
      <c r="A537" s="189"/>
      <c r="B537" s="190"/>
      <c r="C537" s="189"/>
      <c r="D537" s="189"/>
      <c r="E537" s="189"/>
      <c r="G537" s="189"/>
    </row>
    <row r="538" spans="1:7" x14ac:dyDescent="0.2">
      <c r="A538" s="189"/>
      <c r="B538" s="190"/>
      <c r="C538" s="189"/>
      <c r="D538" s="189"/>
      <c r="E538" s="189"/>
      <c r="G538" s="189"/>
    </row>
    <row r="539" spans="1:7" x14ac:dyDescent="0.2">
      <c r="A539" s="189"/>
      <c r="B539" s="190"/>
      <c r="C539" s="189"/>
      <c r="D539" s="189"/>
      <c r="E539" s="189"/>
      <c r="G539" s="189"/>
    </row>
    <row r="540" spans="1:7" x14ac:dyDescent="0.2">
      <c r="A540" s="189"/>
      <c r="B540" s="190"/>
      <c r="C540" s="189"/>
      <c r="D540" s="189"/>
      <c r="E540" s="189"/>
      <c r="G540" s="189"/>
    </row>
    <row r="541" spans="1:7" x14ac:dyDescent="0.2">
      <c r="A541" s="189"/>
      <c r="B541" s="190"/>
      <c r="C541" s="189"/>
      <c r="D541" s="189"/>
      <c r="E541" s="189"/>
      <c r="G541" s="189"/>
    </row>
    <row r="542" spans="1:7" x14ac:dyDescent="0.2">
      <c r="A542" s="189"/>
      <c r="B542" s="190"/>
      <c r="C542" s="189"/>
      <c r="D542" s="189"/>
      <c r="E542" s="189"/>
      <c r="G542" s="189"/>
    </row>
    <row r="543" spans="1:7" x14ac:dyDescent="0.2">
      <c r="A543" s="189"/>
      <c r="B543" s="190"/>
      <c r="C543" s="189"/>
      <c r="D543" s="189"/>
      <c r="E543" s="189"/>
      <c r="G543" s="189"/>
    </row>
    <row r="544" spans="1:7" x14ac:dyDescent="0.2">
      <c r="A544" s="189"/>
      <c r="B544" s="190"/>
      <c r="C544" s="189"/>
      <c r="D544" s="189"/>
      <c r="E544" s="189"/>
      <c r="G544" s="189"/>
    </row>
    <row r="545" spans="1:7" x14ac:dyDescent="0.2">
      <c r="A545" s="189"/>
      <c r="B545" s="190"/>
      <c r="C545" s="189"/>
      <c r="D545" s="189"/>
      <c r="E545" s="189"/>
      <c r="G545" s="189"/>
    </row>
    <row r="546" spans="1:7" x14ac:dyDescent="0.2">
      <c r="A546" s="189"/>
      <c r="B546" s="190"/>
      <c r="C546" s="189"/>
      <c r="D546" s="189"/>
      <c r="E546" s="189"/>
      <c r="G546" s="189"/>
    </row>
    <row r="547" spans="1:7" x14ac:dyDescent="0.2">
      <c r="A547" s="189"/>
      <c r="B547" s="190"/>
      <c r="C547" s="189"/>
      <c r="D547" s="189"/>
      <c r="E547" s="189"/>
      <c r="G547" s="189"/>
    </row>
    <row r="548" spans="1:7" x14ac:dyDescent="0.2">
      <c r="A548" s="189"/>
      <c r="B548" s="190"/>
      <c r="C548" s="189"/>
      <c r="D548" s="189"/>
      <c r="E548" s="189"/>
      <c r="G548" s="189"/>
    </row>
    <row r="549" spans="1:7" x14ac:dyDescent="0.2">
      <c r="A549" s="189"/>
      <c r="B549" s="190"/>
      <c r="C549" s="189"/>
      <c r="D549" s="189"/>
      <c r="E549" s="189"/>
      <c r="G549" s="189"/>
    </row>
    <row r="550" spans="1:7" x14ac:dyDescent="0.2">
      <c r="A550" s="189"/>
      <c r="B550" s="190"/>
      <c r="C550" s="189"/>
      <c r="D550" s="189"/>
      <c r="E550" s="189"/>
      <c r="G550" s="189"/>
    </row>
    <row r="551" spans="1:7" x14ac:dyDescent="0.2">
      <c r="A551" s="189"/>
      <c r="B551" s="190"/>
      <c r="C551" s="189"/>
      <c r="D551" s="189"/>
      <c r="E551" s="189"/>
      <c r="G551" s="189"/>
    </row>
    <row r="552" spans="1:7" x14ac:dyDescent="0.2">
      <c r="A552" s="189"/>
      <c r="B552" s="190"/>
      <c r="C552" s="189"/>
      <c r="D552" s="189"/>
      <c r="E552" s="189"/>
      <c r="G552" s="189"/>
    </row>
    <row r="553" spans="1:7" x14ac:dyDescent="0.2">
      <c r="A553" s="189"/>
      <c r="B553" s="190"/>
      <c r="C553" s="189"/>
      <c r="D553" s="189"/>
      <c r="E553" s="189"/>
      <c r="G553" s="189"/>
    </row>
    <row r="554" spans="1:7" x14ac:dyDescent="0.2">
      <c r="A554" s="189"/>
      <c r="B554" s="190"/>
      <c r="C554" s="189"/>
      <c r="D554" s="189"/>
      <c r="E554" s="189"/>
      <c r="G554" s="189"/>
    </row>
    <row r="555" spans="1:7" x14ac:dyDescent="0.2">
      <c r="A555" s="189"/>
      <c r="B555" s="190"/>
      <c r="C555" s="189"/>
      <c r="D555" s="189"/>
      <c r="E555" s="189"/>
      <c r="G555" s="189"/>
    </row>
    <row r="556" spans="1:7" x14ac:dyDescent="0.2">
      <c r="A556" s="189"/>
      <c r="B556" s="190"/>
      <c r="C556" s="189"/>
      <c r="D556" s="189"/>
      <c r="E556" s="189"/>
      <c r="G556" s="189"/>
    </row>
    <row r="557" spans="1:7" x14ac:dyDescent="0.2">
      <c r="A557" s="189"/>
      <c r="B557" s="190"/>
      <c r="C557" s="189"/>
      <c r="D557" s="189"/>
      <c r="E557" s="189"/>
      <c r="G557" s="189"/>
    </row>
    <row r="558" spans="1:7" x14ac:dyDescent="0.2">
      <c r="A558" s="189"/>
      <c r="B558" s="190"/>
      <c r="C558" s="189"/>
      <c r="D558" s="189"/>
      <c r="E558" s="189"/>
      <c r="G558" s="189"/>
    </row>
    <row r="559" spans="1:7" x14ac:dyDescent="0.2">
      <c r="A559" s="189"/>
      <c r="B559" s="190"/>
      <c r="C559" s="189"/>
      <c r="D559" s="189"/>
      <c r="E559" s="189"/>
      <c r="G559" s="189"/>
    </row>
    <row r="560" spans="1:7" x14ac:dyDescent="0.2">
      <c r="A560" s="189"/>
      <c r="B560" s="190"/>
      <c r="C560" s="189"/>
      <c r="D560" s="189"/>
      <c r="E560" s="189"/>
      <c r="G560" s="189"/>
    </row>
    <row r="561" spans="1:7" x14ac:dyDescent="0.2">
      <c r="A561" s="189"/>
      <c r="B561" s="190"/>
      <c r="C561" s="189"/>
      <c r="D561" s="189"/>
      <c r="E561" s="189"/>
      <c r="G561" s="189"/>
    </row>
    <row r="562" spans="1:7" x14ac:dyDescent="0.2">
      <c r="A562" s="189"/>
      <c r="B562" s="190"/>
      <c r="C562" s="189"/>
      <c r="D562" s="189"/>
      <c r="E562" s="189"/>
      <c r="G562" s="189"/>
    </row>
    <row r="563" spans="1:7" x14ac:dyDescent="0.2">
      <c r="A563" s="189"/>
      <c r="B563" s="190"/>
      <c r="C563" s="189"/>
      <c r="D563" s="189"/>
      <c r="E563" s="189"/>
      <c r="G563" s="189"/>
    </row>
    <row r="564" spans="1:7" x14ac:dyDescent="0.2">
      <c r="A564" s="189"/>
      <c r="B564" s="190"/>
      <c r="C564" s="189"/>
      <c r="D564" s="189"/>
      <c r="E564" s="189"/>
      <c r="G564" s="189"/>
    </row>
    <row r="565" spans="1:7" x14ac:dyDescent="0.2">
      <c r="A565" s="189"/>
      <c r="B565" s="190"/>
      <c r="C565" s="189"/>
      <c r="D565" s="189"/>
      <c r="E565" s="189"/>
      <c r="G565" s="189"/>
    </row>
    <row r="566" spans="1:7" x14ac:dyDescent="0.2">
      <c r="A566" s="189"/>
      <c r="B566" s="190"/>
      <c r="C566" s="189"/>
      <c r="D566" s="189"/>
      <c r="E566" s="189"/>
      <c r="G566" s="189"/>
    </row>
    <row r="567" spans="1:7" x14ac:dyDescent="0.2">
      <c r="A567" s="189"/>
      <c r="B567" s="190"/>
      <c r="C567" s="189"/>
      <c r="D567" s="189"/>
      <c r="E567" s="189"/>
      <c r="G567" s="189"/>
    </row>
    <row r="568" spans="1:7" x14ac:dyDescent="0.2">
      <c r="A568" s="189"/>
      <c r="B568" s="190"/>
      <c r="C568" s="189"/>
      <c r="D568" s="189"/>
      <c r="E568" s="189"/>
      <c r="G568" s="189"/>
    </row>
    <row r="569" spans="1:7" x14ac:dyDescent="0.2">
      <c r="A569" s="189"/>
      <c r="B569" s="190"/>
      <c r="C569" s="189"/>
      <c r="D569" s="189"/>
      <c r="E569" s="189"/>
      <c r="G569" s="189"/>
    </row>
    <row r="570" spans="1:7" x14ac:dyDescent="0.2">
      <c r="A570" s="189"/>
      <c r="B570" s="190"/>
      <c r="C570" s="189"/>
      <c r="D570" s="189"/>
      <c r="E570" s="189"/>
      <c r="G570" s="189"/>
    </row>
    <row r="571" spans="1:7" x14ac:dyDescent="0.2">
      <c r="A571" s="189"/>
      <c r="B571" s="190"/>
      <c r="C571" s="189"/>
      <c r="D571" s="189"/>
      <c r="E571" s="189"/>
      <c r="G571" s="189"/>
    </row>
    <row r="572" spans="1:7" x14ac:dyDescent="0.2">
      <c r="A572" s="189"/>
      <c r="B572" s="190"/>
      <c r="C572" s="189"/>
      <c r="D572" s="189"/>
      <c r="E572" s="189"/>
      <c r="G572" s="189"/>
    </row>
    <row r="573" spans="1:7" x14ac:dyDescent="0.2">
      <c r="A573" s="189"/>
      <c r="B573" s="190"/>
      <c r="C573" s="189"/>
      <c r="D573" s="189"/>
      <c r="E573" s="189"/>
      <c r="G573" s="189"/>
    </row>
    <row r="574" spans="1:7" x14ac:dyDescent="0.2">
      <c r="A574" s="189"/>
      <c r="B574" s="190"/>
      <c r="C574" s="189"/>
      <c r="D574" s="189"/>
      <c r="E574" s="189"/>
      <c r="G574" s="189"/>
    </row>
    <row r="575" spans="1:7" x14ac:dyDescent="0.2">
      <c r="A575" s="189"/>
      <c r="B575" s="190"/>
      <c r="C575" s="189"/>
      <c r="D575" s="189"/>
      <c r="E575" s="189"/>
      <c r="G575" s="189"/>
    </row>
    <row r="576" spans="1:7" x14ac:dyDescent="0.2">
      <c r="A576" s="189"/>
      <c r="B576" s="190"/>
      <c r="C576" s="189"/>
      <c r="D576" s="189"/>
      <c r="E576" s="189"/>
      <c r="G576" s="189"/>
    </row>
    <row r="577" spans="1:7" x14ac:dyDescent="0.2">
      <c r="A577" s="189"/>
      <c r="B577" s="190"/>
      <c r="C577" s="189"/>
      <c r="D577" s="189"/>
      <c r="E577" s="189"/>
      <c r="G577" s="189"/>
    </row>
    <row r="578" spans="1:7" x14ac:dyDescent="0.2">
      <c r="A578" s="189"/>
      <c r="B578" s="190"/>
      <c r="C578" s="189"/>
      <c r="D578" s="189"/>
      <c r="E578" s="189"/>
      <c r="G578" s="189"/>
    </row>
    <row r="579" spans="1:7" x14ac:dyDescent="0.2">
      <c r="A579" s="189"/>
      <c r="B579" s="190"/>
      <c r="C579" s="189"/>
      <c r="D579" s="189"/>
      <c r="E579" s="189"/>
      <c r="G579" s="189"/>
    </row>
    <row r="580" spans="1:7" x14ac:dyDescent="0.2">
      <c r="A580" s="189"/>
      <c r="B580" s="190"/>
      <c r="C580" s="189"/>
      <c r="D580" s="189"/>
      <c r="E580" s="189"/>
      <c r="G580" s="189"/>
    </row>
    <row r="581" spans="1:7" x14ac:dyDescent="0.2">
      <c r="A581" s="189"/>
      <c r="B581" s="190"/>
      <c r="C581" s="189"/>
      <c r="D581" s="189"/>
      <c r="E581" s="189"/>
      <c r="G581" s="189"/>
    </row>
    <row r="582" spans="1:7" x14ac:dyDescent="0.2">
      <c r="A582" s="189"/>
      <c r="B582" s="190"/>
      <c r="C582" s="189"/>
      <c r="D582" s="189"/>
      <c r="E582" s="189"/>
      <c r="G582" s="189"/>
    </row>
    <row r="583" spans="1:7" x14ac:dyDescent="0.2">
      <c r="A583" s="189"/>
      <c r="B583" s="190"/>
      <c r="C583" s="189"/>
      <c r="D583" s="189"/>
      <c r="E583" s="189"/>
      <c r="G583" s="189"/>
    </row>
    <row r="584" spans="1:7" x14ac:dyDescent="0.2">
      <c r="A584" s="189"/>
      <c r="B584" s="190"/>
      <c r="C584" s="189"/>
      <c r="D584" s="189"/>
      <c r="E584" s="189"/>
      <c r="G584" s="189"/>
    </row>
    <row r="585" spans="1:7" x14ac:dyDescent="0.2">
      <c r="A585" s="189"/>
      <c r="B585" s="190"/>
      <c r="C585" s="189"/>
      <c r="D585" s="189"/>
      <c r="E585" s="189"/>
      <c r="G585" s="189"/>
    </row>
    <row r="586" spans="1:7" x14ac:dyDescent="0.2">
      <c r="A586" s="189"/>
      <c r="B586" s="190"/>
      <c r="C586" s="189"/>
      <c r="D586" s="189"/>
      <c r="E586" s="189"/>
      <c r="G586" s="189"/>
    </row>
    <row r="587" spans="1:7" x14ac:dyDescent="0.2">
      <c r="A587" s="189"/>
      <c r="B587" s="190"/>
      <c r="C587" s="189"/>
      <c r="D587" s="189"/>
      <c r="E587" s="189"/>
      <c r="G587" s="189"/>
    </row>
    <row r="588" spans="1:7" x14ac:dyDescent="0.2">
      <c r="A588" s="189"/>
      <c r="B588" s="190"/>
      <c r="C588" s="189"/>
      <c r="D588" s="189"/>
      <c r="E588" s="189"/>
      <c r="G588" s="189"/>
    </row>
    <row r="589" spans="1:7" x14ac:dyDescent="0.2">
      <c r="A589" s="189"/>
      <c r="B589" s="190"/>
      <c r="C589" s="189"/>
      <c r="D589" s="189"/>
      <c r="E589" s="189"/>
      <c r="G589" s="189"/>
    </row>
    <row r="590" spans="1:7" x14ac:dyDescent="0.2">
      <c r="A590" s="189"/>
      <c r="B590" s="190"/>
      <c r="C590" s="189"/>
      <c r="D590" s="189"/>
      <c r="E590" s="189"/>
      <c r="G590" s="189"/>
    </row>
    <row r="591" spans="1:7" x14ac:dyDescent="0.2">
      <c r="A591" s="189"/>
      <c r="B591" s="190"/>
      <c r="C591" s="189"/>
      <c r="D591" s="189"/>
      <c r="E591" s="189"/>
      <c r="G591" s="189"/>
    </row>
    <row r="592" spans="1:7" x14ac:dyDescent="0.2">
      <c r="A592" s="189"/>
      <c r="B592" s="190"/>
      <c r="C592" s="189"/>
      <c r="D592" s="189"/>
      <c r="E592" s="189"/>
      <c r="G592" s="189"/>
    </row>
    <row r="593" spans="1:7" x14ac:dyDescent="0.2">
      <c r="A593" s="189"/>
      <c r="B593" s="190"/>
      <c r="C593" s="189"/>
      <c r="D593" s="189"/>
      <c r="E593" s="189"/>
      <c r="G593" s="189"/>
    </row>
    <row r="594" spans="1:7" x14ac:dyDescent="0.2">
      <c r="A594" s="189"/>
      <c r="B594" s="190"/>
      <c r="C594" s="189"/>
      <c r="D594" s="189"/>
      <c r="E594" s="189"/>
      <c r="G594" s="189"/>
    </row>
    <row r="595" spans="1:7" x14ac:dyDescent="0.2">
      <c r="A595" s="189"/>
      <c r="B595" s="190"/>
      <c r="C595" s="189"/>
      <c r="D595" s="189"/>
      <c r="E595" s="189"/>
      <c r="G595" s="189"/>
    </row>
    <row r="596" spans="1:7" x14ac:dyDescent="0.2">
      <c r="A596" s="189"/>
      <c r="B596" s="190"/>
      <c r="C596" s="189"/>
      <c r="D596" s="189"/>
      <c r="E596" s="189"/>
      <c r="G596" s="189"/>
    </row>
    <row r="597" spans="1:7" x14ac:dyDescent="0.2">
      <c r="A597" s="189"/>
      <c r="B597" s="190"/>
      <c r="C597" s="189"/>
      <c r="D597" s="189"/>
      <c r="E597" s="189"/>
      <c r="G597" s="189"/>
    </row>
    <row r="598" spans="1:7" x14ac:dyDescent="0.2">
      <c r="A598" s="189"/>
      <c r="B598" s="190"/>
      <c r="C598" s="189"/>
      <c r="D598" s="189"/>
      <c r="E598" s="189"/>
      <c r="G598" s="189"/>
    </row>
    <row r="599" spans="1:7" x14ac:dyDescent="0.2">
      <c r="A599" s="189"/>
      <c r="B599" s="190"/>
      <c r="C599" s="189"/>
      <c r="D599" s="189"/>
      <c r="E599" s="189"/>
      <c r="G599" s="189"/>
    </row>
    <row r="600" spans="1:7" x14ac:dyDescent="0.2">
      <c r="A600" s="189"/>
      <c r="B600" s="190"/>
      <c r="C600" s="189"/>
      <c r="D600" s="189"/>
      <c r="E600" s="189"/>
      <c r="G600" s="189"/>
    </row>
    <row r="601" spans="1:7" x14ac:dyDescent="0.2">
      <c r="A601" s="189"/>
      <c r="B601" s="190"/>
      <c r="C601" s="189"/>
      <c r="D601" s="189"/>
      <c r="E601" s="189"/>
      <c r="G601" s="189"/>
    </row>
    <row r="602" spans="1:7" x14ac:dyDescent="0.2">
      <c r="A602" s="189"/>
      <c r="B602" s="190"/>
      <c r="C602" s="189"/>
      <c r="D602" s="189"/>
      <c r="E602" s="189"/>
      <c r="G602" s="189"/>
    </row>
    <row r="603" spans="1:7" x14ac:dyDescent="0.2">
      <c r="A603" s="189"/>
      <c r="B603" s="190"/>
      <c r="C603" s="189"/>
      <c r="D603" s="189"/>
      <c r="E603" s="189"/>
      <c r="G603" s="189"/>
    </row>
    <row r="604" spans="1:7" x14ac:dyDescent="0.2">
      <c r="A604" s="189"/>
      <c r="B604" s="190"/>
      <c r="C604" s="189"/>
      <c r="D604" s="189"/>
      <c r="E604" s="189"/>
      <c r="G604" s="189"/>
    </row>
    <row r="605" spans="1:7" x14ac:dyDescent="0.2">
      <c r="A605" s="189"/>
      <c r="B605" s="190"/>
      <c r="C605" s="189"/>
      <c r="D605" s="189"/>
      <c r="E605" s="189"/>
      <c r="G605" s="189"/>
    </row>
    <row r="606" spans="1:7" x14ac:dyDescent="0.2">
      <c r="A606" s="189"/>
      <c r="B606" s="190"/>
      <c r="C606" s="189"/>
      <c r="D606" s="189"/>
      <c r="E606" s="189"/>
      <c r="G606" s="189"/>
    </row>
    <row r="607" spans="1:7" x14ac:dyDescent="0.2">
      <c r="A607" s="189"/>
      <c r="B607" s="190"/>
      <c r="C607" s="189"/>
      <c r="D607" s="189"/>
      <c r="E607" s="189"/>
      <c r="G607" s="189"/>
    </row>
    <row r="608" spans="1:7" x14ac:dyDescent="0.2">
      <c r="A608" s="189"/>
      <c r="B608" s="190"/>
      <c r="C608" s="189"/>
      <c r="D608" s="189"/>
      <c r="E608" s="189"/>
      <c r="G608" s="189"/>
    </row>
    <row r="609" spans="1:7" x14ac:dyDescent="0.2">
      <c r="A609" s="189"/>
      <c r="B609" s="190"/>
      <c r="C609" s="189"/>
      <c r="D609" s="189"/>
      <c r="E609" s="189"/>
      <c r="G609" s="189"/>
    </row>
    <row r="610" spans="1:7" x14ac:dyDescent="0.2">
      <c r="A610" s="189"/>
      <c r="B610" s="190"/>
      <c r="C610" s="189"/>
      <c r="D610" s="189"/>
      <c r="E610" s="189"/>
      <c r="G610" s="189"/>
    </row>
    <row r="611" spans="1:7" x14ac:dyDescent="0.2">
      <c r="A611" s="189"/>
      <c r="B611" s="190"/>
      <c r="C611" s="189"/>
      <c r="D611" s="189"/>
      <c r="E611" s="189"/>
      <c r="G611" s="189"/>
    </row>
    <row r="612" spans="1:7" x14ac:dyDescent="0.2">
      <c r="A612" s="189"/>
      <c r="B612" s="190"/>
      <c r="C612" s="189"/>
      <c r="D612" s="189"/>
      <c r="E612" s="189"/>
      <c r="G612" s="189"/>
    </row>
    <row r="613" spans="1:7" x14ac:dyDescent="0.2">
      <c r="A613" s="189"/>
      <c r="B613" s="190"/>
      <c r="C613" s="189"/>
      <c r="D613" s="189"/>
      <c r="E613" s="189"/>
      <c r="G613" s="189"/>
    </row>
    <row r="614" spans="1:7" x14ac:dyDescent="0.2">
      <c r="A614" s="189"/>
      <c r="B614" s="190"/>
      <c r="C614" s="189"/>
      <c r="D614" s="189"/>
      <c r="E614" s="189"/>
      <c r="G614" s="189"/>
    </row>
    <row r="615" spans="1:7" x14ac:dyDescent="0.2">
      <c r="A615" s="189"/>
      <c r="B615" s="190"/>
      <c r="C615" s="189"/>
      <c r="D615" s="189"/>
      <c r="E615" s="189"/>
      <c r="G615" s="189"/>
    </row>
    <row r="616" spans="1:7" x14ac:dyDescent="0.2">
      <c r="A616" s="189"/>
      <c r="B616" s="190"/>
      <c r="C616" s="189"/>
      <c r="D616" s="189"/>
      <c r="E616" s="189"/>
      <c r="G616" s="189"/>
    </row>
    <row r="617" spans="1:7" x14ac:dyDescent="0.2">
      <c r="A617" s="189"/>
      <c r="B617" s="190"/>
      <c r="C617" s="189"/>
      <c r="D617" s="189"/>
      <c r="E617" s="189"/>
      <c r="G617" s="189"/>
    </row>
    <row r="618" spans="1:7" x14ac:dyDescent="0.2">
      <c r="A618" s="189"/>
      <c r="B618" s="190"/>
      <c r="C618" s="189"/>
      <c r="D618" s="189"/>
      <c r="E618" s="189"/>
      <c r="G618" s="189"/>
    </row>
    <row r="619" spans="1:7" x14ac:dyDescent="0.2">
      <c r="A619" s="189"/>
      <c r="B619" s="190"/>
      <c r="C619" s="189"/>
      <c r="D619" s="189"/>
      <c r="E619" s="189"/>
      <c r="G619" s="189"/>
    </row>
    <row r="620" spans="1:7" x14ac:dyDescent="0.2">
      <c r="A620" s="189"/>
      <c r="B620" s="190"/>
      <c r="C620" s="189"/>
      <c r="D620" s="189"/>
      <c r="E620" s="189"/>
      <c r="G620" s="189"/>
    </row>
    <row r="621" spans="1:7" x14ac:dyDescent="0.2">
      <c r="A621" s="189"/>
      <c r="B621" s="190"/>
      <c r="C621" s="189"/>
      <c r="D621" s="189"/>
      <c r="E621" s="189"/>
      <c r="G621" s="189"/>
    </row>
    <row r="622" spans="1:7" x14ac:dyDescent="0.2">
      <c r="A622" s="189"/>
      <c r="B622" s="190"/>
      <c r="C622" s="189"/>
      <c r="D622" s="189"/>
      <c r="E622" s="189"/>
      <c r="G622" s="189"/>
    </row>
    <row r="623" spans="1:7" x14ac:dyDescent="0.2">
      <c r="A623" s="189"/>
      <c r="B623" s="190"/>
      <c r="C623" s="189"/>
      <c r="D623" s="189"/>
      <c r="E623" s="189"/>
      <c r="G623" s="189"/>
    </row>
    <row r="624" spans="1:7" x14ac:dyDescent="0.2">
      <c r="A624" s="189"/>
      <c r="B624" s="190"/>
      <c r="C624" s="189"/>
      <c r="D624" s="189"/>
      <c r="E624" s="189"/>
      <c r="G624" s="189"/>
    </row>
    <row r="625" spans="1:7" x14ac:dyDescent="0.2">
      <c r="A625" s="189"/>
      <c r="B625" s="190"/>
      <c r="C625" s="189"/>
      <c r="D625" s="189"/>
      <c r="E625" s="189"/>
      <c r="G625" s="189"/>
    </row>
    <row r="626" spans="1:7" x14ac:dyDescent="0.2">
      <c r="A626" s="189"/>
      <c r="B626" s="190"/>
      <c r="C626" s="189"/>
      <c r="D626" s="189"/>
      <c r="E626" s="189"/>
      <c r="G626" s="189"/>
    </row>
    <row r="627" spans="1:7" x14ac:dyDescent="0.2">
      <c r="A627" s="189"/>
      <c r="B627" s="190"/>
      <c r="C627" s="189"/>
      <c r="D627" s="189"/>
      <c r="E627" s="189"/>
      <c r="G627" s="189"/>
    </row>
    <row r="628" spans="1:7" x14ac:dyDescent="0.2">
      <c r="A628" s="189"/>
      <c r="B628" s="190"/>
      <c r="C628" s="189"/>
      <c r="D628" s="189"/>
      <c r="E628" s="189"/>
      <c r="G628" s="189"/>
    </row>
    <row r="629" spans="1:7" x14ac:dyDescent="0.2">
      <c r="A629" s="189"/>
      <c r="B629" s="190"/>
      <c r="C629" s="189"/>
      <c r="D629" s="189"/>
      <c r="E629" s="189"/>
      <c r="G629" s="189"/>
    </row>
    <row r="630" spans="1:7" x14ac:dyDescent="0.2">
      <c r="A630" s="189"/>
      <c r="B630" s="190"/>
      <c r="C630" s="189"/>
      <c r="D630" s="189"/>
      <c r="E630" s="189"/>
      <c r="G630" s="189"/>
    </row>
    <row r="631" spans="1:7" x14ac:dyDescent="0.2">
      <c r="A631" s="189"/>
      <c r="B631" s="190"/>
      <c r="C631" s="189"/>
      <c r="D631" s="189"/>
      <c r="E631" s="189"/>
      <c r="G631" s="189"/>
    </row>
    <row r="632" spans="1:7" x14ac:dyDescent="0.2">
      <c r="A632" s="189"/>
      <c r="B632" s="190"/>
      <c r="C632" s="189"/>
      <c r="D632" s="189"/>
      <c r="E632" s="189"/>
      <c r="G632" s="189"/>
    </row>
    <row r="633" spans="1:7" x14ac:dyDescent="0.2">
      <c r="A633" s="189"/>
      <c r="B633" s="190"/>
      <c r="C633" s="189"/>
      <c r="D633" s="189"/>
      <c r="E633" s="189"/>
      <c r="G633" s="189"/>
    </row>
    <row r="634" spans="1:7" x14ac:dyDescent="0.2">
      <c r="A634" s="189"/>
      <c r="B634" s="190"/>
      <c r="C634" s="189"/>
      <c r="D634" s="189"/>
      <c r="E634" s="189"/>
      <c r="G634" s="189"/>
    </row>
    <row r="635" spans="1:7" x14ac:dyDescent="0.2">
      <c r="A635" s="189"/>
      <c r="B635" s="190"/>
      <c r="C635" s="189"/>
      <c r="D635" s="189"/>
      <c r="E635" s="189"/>
      <c r="G635" s="189"/>
    </row>
    <row r="636" spans="1:7" x14ac:dyDescent="0.2">
      <c r="A636" s="189"/>
      <c r="B636" s="190"/>
      <c r="C636" s="189"/>
      <c r="D636" s="189"/>
      <c r="E636" s="189"/>
      <c r="G636" s="189"/>
    </row>
    <row r="637" spans="1:7" x14ac:dyDescent="0.2">
      <c r="A637" s="189"/>
      <c r="B637" s="190"/>
      <c r="C637" s="189"/>
      <c r="D637" s="189"/>
      <c r="E637" s="189"/>
      <c r="G637" s="189"/>
    </row>
    <row r="638" spans="1:7" x14ac:dyDescent="0.2">
      <c r="A638" s="189"/>
      <c r="B638" s="190"/>
      <c r="C638" s="189"/>
      <c r="D638" s="189"/>
      <c r="E638" s="189"/>
      <c r="G638" s="189"/>
    </row>
    <row r="639" spans="1:7" x14ac:dyDescent="0.2">
      <c r="A639" s="189"/>
      <c r="B639" s="190"/>
      <c r="C639" s="189"/>
      <c r="D639" s="189"/>
      <c r="E639" s="189"/>
      <c r="G639" s="189"/>
    </row>
    <row r="640" spans="1:7" x14ac:dyDescent="0.2">
      <c r="A640" s="189"/>
      <c r="B640" s="190"/>
      <c r="C640" s="189"/>
      <c r="D640" s="189"/>
      <c r="E640" s="189"/>
      <c r="G640" s="189"/>
    </row>
    <row r="641" spans="1:7" x14ac:dyDescent="0.2">
      <c r="A641" s="189"/>
      <c r="B641" s="190"/>
      <c r="C641" s="189"/>
      <c r="D641" s="189"/>
      <c r="E641" s="189"/>
      <c r="G641" s="189"/>
    </row>
    <row r="642" spans="1:7" x14ac:dyDescent="0.2">
      <c r="A642" s="189"/>
      <c r="B642" s="190"/>
      <c r="C642" s="189"/>
      <c r="D642" s="189"/>
      <c r="E642" s="189"/>
      <c r="G642" s="189"/>
    </row>
    <row r="643" spans="1:7" x14ac:dyDescent="0.2">
      <c r="A643" s="189"/>
      <c r="B643" s="190"/>
      <c r="C643" s="189"/>
      <c r="D643" s="189"/>
      <c r="E643" s="189"/>
      <c r="G643" s="189"/>
    </row>
    <row r="644" spans="1:7" x14ac:dyDescent="0.2">
      <c r="A644" s="189"/>
      <c r="B644" s="190"/>
      <c r="C644" s="189"/>
      <c r="D644" s="189"/>
      <c r="E644" s="189"/>
      <c r="G644" s="189"/>
    </row>
    <row r="645" spans="1:7" x14ac:dyDescent="0.2">
      <c r="A645" s="189"/>
      <c r="B645" s="190"/>
      <c r="C645" s="189"/>
      <c r="D645" s="189"/>
      <c r="E645" s="189"/>
      <c r="G645" s="189"/>
    </row>
    <row r="646" spans="1:7" x14ac:dyDescent="0.2">
      <c r="A646" s="189"/>
      <c r="B646" s="190"/>
      <c r="C646" s="189"/>
      <c r="D646" s="189"/>
      <c r="E646" s="189"/>
      <c r="G646" s="189"/>
    </row>
    <row r="647" spans="1:7" x14ac:dyDescent="0.2">
      <c r="A647" s="189"/>
      <c r="B647" s="190"/>
      <c r="C647" s="189"/>
      <c r="D647" s="189"/>
      <c r="E647" s="189"/>
      <c r="G647" s="189"/>
    </row>
    <row r="648" spans="1:7" x14ac:dyDescent="0.2">
      <c r="A648" s="189"/>
      <c r="B648" s="190"/>
      <c r="C648" s="189"/>
      <c r="D648" s="189"/>
      <c r="E648" s="189"/>
      <c r="G648" s="189"/>
    </row>
    <row r="649" spans="1:7" x14ac:dyDescent="0.2">
      <c r="A649" s="189"/>
      <c r="B649" s="190"/>
      <c r="C649" s="189"/>
      <c r="D649" s="189"/>
      <c r="E649" s="189"/>
      <c r="G649" s="189"/>
    </row>
    <row r="650" spans="1:7" x14ac:dyDescent="0.2">
      <c r="A650" s="189"/>
      <c r="B650" s="190"/>
      <c r="C650" s="189"/>
      <c r="D650" s="189"/>
      <c r="E650" s="189"/>
      <c r="G650" s="189"/>
    </row>
    <row r="651" spans="1:7" x14ac:dyDescent="0.2">
      <c r="A651" s="189"/>
      <c r="B651" s="190"/>
      <c r="C651" s="189"/>
      <c r="D651" s="189"/>
      <c r="E651" s="189"/>
      <c r="G651" s="189"/>
    </row>
    <row r="652" spans="1:7" x14ac:dyDescent="0.2">
      <c r="A652" s="189"/>
      <c r="B652" s="190"/>
      <c r="C652" s="189"/>
      <c r="D652" s="189"/>
      <c r="E652" s="189"/>
      <c r="G652" s="189"/>
    </row>
    <row r="653" spans="1:7" x14ac:dyDescent="0.2">
      <c r="A653" s="189"/>
      <c r="B653" s="190"/>
      <c r="C653" s="189"/>
      <c r="D653" s="189"/>
      <c r="E653" s="189"/>
      <c r="G653" s="189"/>
    </row>
    <row r="654" spans="1:7" x14ac:dyDescent="0.2">
      <c r="A654" s="189"/>
      <c r="B654" s="190"/>
      <c r="C654" s="189"/>
      <c r="D654" s="189"/>
      <c r="E654" s="189"/>
      <c r="G654" s="189"/>
    </row>
    <row r="655" spans="1:7" x14ac:dyDescent="0.2">
      <c r="A655" s="189"/>
      <c r="B655" s="190"/>
      <c r="C655" s="189"/>
      <c r="D655" s="189"/>
      <c r="E655" s="189"/>
      <c r="G655" s="189"/>
    </row>
    <row r="656" spans="1:7" x14ac:dyDescent="0.2">
      <c r="A656" s="189"/>
      <c r="B656" s="190"/>
      <c r="C656" s="189"/>
      <c r="D656" s="189"/>
      <c r="E656" s="189"/>
      <c r="G656" s="189"/>
    </row>
    <row r="657" spans="1:7" x14ac:dyDescent="0.2">
      <c r="A657" s="189"/>
      <c r="B657" s="190"/>
      <c r="C657" s="189"/>
      <c r="D657" s="189"/>
      <c r="E657" s="189"/>
      <c r="G657" s="189"/>
    </row>
    <row r="658" spans="1:7" x14ac:dyDescent="0.2">
      <c r="A658" s="189"/>
      <c r="B658" s="190"/>
      <c r="C658" s="189"/>
      <c r="D658" s="189"/>
      <c r="E658" s="189"/>
      <c r="G658" s="189"/>
    </row>
    <row r="659" spans="1:7" x14ac:dyDescent="0.2">
      <c r="A659" s="189"/>
      <c r="B659" s="190"/>
      <c r="C659" s="189"/>
      <c r="D659" s="189"/>
      <c r="E659" s="189"/>
      <c r="G659" s="189"/>
    </row>
    <row r="660" spans="1:7" x14ac:dyDescent="0.2">
      <c r="A660" s="189"/>
      <c r="B660" s="190"/>
      <c r="C660" s="189"/>
      <c r="D660" s="189"/>
      <c r="E660" s="189"/>
      <c r="G660" s="189"/>
    </row>
    <row r="661" spans="1:7" x14ac:dyDescent="0.2">
      <c r="A661" s="189"/>
      <c r="B661" s="190"/>
      <c r="C661" s="189"/>
      <c r="D661" s="189"/>
      <c r="E661" s="189"/>
      <c r="G661" s="189"/>
    </row>
    <row r="662" spans="1:7" x14ac:dyDescent="0.2">
      <c r="A662" s="189"/>
      <c r="B662" s="190"/>
      <c r="C662" s="189"/>
      <c r="D662" s="189"/>
      <c r="E662" s="189"/>
      <c r="G662" s="189"/>
    </row>
    <row r="663" spans="1:7" x14ac:dyDescent="0.2">
      <c r="A663" s="189"/>
      <c r="B663" s="190"/>
      <c r="C663" s="189"/>
      <c r="D663" s="189"/>
      <c r="E663" s="189"/>
      <c r="G663" s="189"/>
    </row>
    <row r="664" spans="1:7" x14ac:dyDescent="0.2">
      <c r="A664" s="189"/>
      <c r="B664" s="190"/>
      <c r="C664" s="189"/>
      <c r="D664" s="189"/>
      <c r="E664" s="189"/>
      <c r="G664" s="189"/>
    </row>
    <row r="665" spans="1:7" x14ac:dyDescent="0.2">
      <c r="A665" s="189"/>
      <c r="B665" s="190"/>
      <c r="C665" s="189"/>
      <c r="D665" s="189"/>
      <c r="E665" s="189"/>
      <c r="G665" s="189"/>
    </row>
    <row r="666" spans="1:7" x14ac:dyDescent="0.2">
      <c r="A666" s="189"/>
      <c r="B666" s="190"/>
      <c r="C666" s="189"/>
      <c r="D666" s="189"/>
      <c r="E666" s="189"/>
      <c r="G666" s="189"/>
    </row>
    <row r="667" spans="1:7" x14ac:dyDescent="0.2">
      <c r="A667" s="189"/>
      <c r="B667" s="190"/>
      <c r="C667" s="189"/>
      <c r="D667" s="189"/>
      <c r="E667" s="189"/>
      <c r="G667" s="189"/>
    </row>
    <row r="668" spans="1:7" x14ac:dyDescent="0.2">
      <c r="A668" s="189"/>
      <c r="B668" s="190"/>
      <c r="C668" s="189"/>
      <c r="D668" s="189"/>
      <c r="E668" s="189"/>
      <c r="G668" s="189"/>
    </row>
    <row r="669" spans="1:7" x14ac:dyDescent="0.2">
      <c r="A669" s="189"/>
      <c r="B669" s="190"/>
      <c r="C669" s="189"/>
      <c r="D669" s="189"/>
      <c r="E669" s="189"/>
      <c r="G669" s="189"/>
    </row>
    <row r="670" spans="1:7" x14ac:dyDescent="0.2">
      <c r="A670" s="189"/>
      <c r="B670" s="190"/>
      <c r="C670" s="189"/>
      <c r="D670" s="189"/>
      <c r="E670" s="189"/>
      <c r="G670" s="189"/>
    </row>
    <row r="671" spans="1:7" x14ac:dyDescent="0.2">
      <c r="A671" s="189"/>
      <c r="B671" s="190"/>
      <c r="C671" s="189"/>
      <c r="D671" s="189"/>
      <c r="E671" s="189"/>
      <c r="G671" s="189"/>
    </row>
    <row r="672" spans="1:7" x14ac:dyDescent="0.2">
      <c r="A672" s="189"/>
      <c r="B672" s="190"/>
      <c r="C672" s="189"/>
      <c r="D672" s="189"/>
      <c r="E672" s="189"/>
      <c r="G672" s="189"/>
    </row>
    <row r="673" spans="1:7" x14ac:dyDescent="0.2">
      <c r="A673" s="189"/>
      <c r="B673" s="190"/>
      <c r="C673" s="189"/>
      <c r="D673" s="189"/>
      <c r="E673" s="189"/>
      <c r="G673" s="189"/>
    </row>
    <row r="674" spans="1:7" x14ac:dyDescent="0.2">
      <c r="A674" s="189"/>
      <c r="B674" s="190"/>
      <c r="C674" s="189"/>
      <c r="D674" s="189"/>
      <c r="E674" s="189"/>
      <c r="G674" s="189"/>
    </row>
    <row r="675" spans="1:7" x14ac:dyDescent="0.2">
      <c r="A675" s="189"/>
      <c r="B675" s="190"/>
      <c r="C675" s="189"/>
      <c r="D675" s="189"/>
      <c r="E675" s="189"/>
      <c r="G675" s="189"/>
    </row>
    <row r="676" spans="1:7" x14ac:dyDescent="0.2">
      <c r="A676" s="189"/>
      <c r="B676" s="190"/>
      <c r="C676" s="189"/>
      <c r="D676" s="189"/>
      <c r="E676" s="189"/>
      <c r="G676" s="189"/>
    </row>
    <row r="677" spans="1:7" x14ac:dyDescent="0.2">
      <c r="A677" s="189"/>
      <c r="B677" s="190"/>
      <c r="C677" s="189"/>
      <c r="D677" s="189"/>
      <c r="E677" s="189"/>
      <c r="G677" s="189"/>
    </row>
    <row r="678" spans="1:7" x14ac:dyDescent="0.2">
      <c r="A678" s="189"/>
      <c r="B678" s="190"/>
      <c r="C678" s="189"/>
      <c r="D678" s="189"/>
      <c r="E678" s="189"/>
      <c r="G678" s="189"/>
    </row>
    <row r="679" spans="1:7" x14ac:dyDescent="0.2">
      <c r="A679" s="189"/>
      <c r="B679" s="190"/>
      <c r="C679" s="189"/>
      <c r="D679" s="189"/>
      <c r="E679" s="189"/>
      <c r="G679" s="189"/>
    </row>
    <row r="680" spans="1:7" x14ac:dyDescent="0.2">
      <c r="A680" s="189"/>
      <c r="B680" s="190"/>
      <c r="C680" s="189"/>
      <c r="D680" s="189"/>
      <c r="E680" s="189"/>
      <c r="G680" s="189"/>
    </row>
    <row r="681" spans="1:7" x14ac:dyDescent="0.2">
      <c r="A681" s="189"/>
      <c r="B681" s="190"/>
      <c r="C681" s="189"/>
      <c r="D681" s="189"/>
      <c r="E681" s="189"/>
      <c r="G681" s="189"/>
    </row>
    <row r="682" spans="1:7" x14ac:dyDescent="0.2">
      <c r="A682" s="189"/>
      <c r="B682" s="190"/>
      <c r="C682" s="189"/>
      <c r="D682" s="189"/>
      <c r="E682" s="189"/>
      <c r="G682" s="189"/>
    </row>
    <row r="683" spans="1:7" x14ac:dyDescent="0.2">
      <c r="A683" s="189"/>
      <c r="B683" s="190"/>
      <c r="C683" s="189"/>
      <c r="D683" s="189"/>
      <c r="E683" s="189"/>
      <c r="G683" s="189"/>
    </row>
    <row r="684" spans="1:7" x14ac:dyDescent="0.2">
      <c r="A684" s="189"/>
      <c r="B684" s="190"/>
      <c r="C684" s="189"/>
      <c r="D684" s="189"/>
      <c r="E684" s="189"/>
      <c r="G684" s="189"/>
    </row>
    <row r="685" spans="1:7" x14ac:dyDescent="0.2">
      <c r="A685" s="189"/>
      <c r="B685" s="190"/>
      <c r="C685" s="189"/>
      <c r="D685" s="189"/>
      <c r="E685" s="189"/>
      <c r="G685" s="189"/>
    </row>
    <row r="686" spans="1:7" x14ac:dyDescent="0.2">
      <c r="A686" s="189"/>
      <c r="B686" s="190"/>
      <c r="C686" s="189"/>
      <c r="D686" s="189"/>
      <c r="E686" s="189"/>
      <c r="G686" s="189"/>
    </row>
    <row r="687" spans="1:7" x14ac:dyDescent="0.2">
      <c r="A687" s="189"/>
      <c r="B687" s="190"/>
      <c r="C687" s="189"/>
      <c r="D687" s="189"/>
      <c r="E687" s="189"/>
      <c r="G687" s="189"/>
    </row>
    <row r="688" spans="1:7" x14ac:dyDescent="0.2">
      <c r="A688" s="189"/>
      <c r="B688" s="190"/>
      <c r="C688" s="189"/>
      <c r="D688" s="189"/>
      <c r="E688" s="189"/>
      <c r="G688" s="189"/>
    </row>
    <row r="689" spans="1:7" x14ac:dyDescent="0.2">
      <c r="A689" s="189"/>
      <c r="B689" s="190"/>
      <c r="C689" s="189"/>
      <c r="D689" s="189"/>
      <c r="E689" s="189"/>
      <c r="G689" s="189"/>
    </row>
    <row r="690" spans="1:7" x14ac:dyDescent="0.2">
      <c r="A690" s="189"/>
      <c r="B690" s="190"/>
      <c r="C690" s="189"/>
      <c r="D690" s="189"/>
      <c r="E690" s="189"/>
      <c r="G690" s="189"/>
    </row>
    <row r="691" spans="1:7" x14ac:dyDescent="0.2">
      <c r="A691" s="189"/>
      <c r="B691" s="190"/>
      <c r="C691" s="189"/>
      <c r="D691" s="189"/>
      <c r="E691" s="189"/>
      <c r="G691" s="189"/>
    </row>
    <row r="692" spans="1:7" x14ac:dyDescent="0.2">
      <c r="A692" s="189"/>
      <c r="B692" s="190"/>
      <c r="C692" s="189"/>
      <c r="D692" s="189"/>
      <c r="E692" s="189"/>
      <c r="G692" s="189"/>
    </row>
    <row r="693" spans="1:7" x14ac:dyDescent="0.2">
      <c r="A693" s="189"/>
      <c r="B693" s="190"/>
      <c r="C693" s="189"/>
      <c r="D693" s="189"/>
      <c r="E693" s="189"/>
      <c r="G693" s="189"/>
    </row>
    <row r="694" spans="1:7" x14ac:dyDescent="0.2">
      <c r="A694" s="189"/>
      <c r="B694" s="190"/>
      <c r="C694" s="189"/>
      <c r="D694" s="189"/>
      <c r="E694" s="189"/>
      <c r="G694" s="189"/>
    </row>
    <row r="695" spans="1:7" x14ac:dyDescent="0.2">
      <c r="A695" s="189"/>
      <c r="B695" s="190"/>
      <c r="C695" s="189"/>
      <c r="D695" s="189"/>
      <c r="E695" s="189"/>
      <c r="G695" s="189"/>
    </row>
    <row r="696" spans="1:7" x14ac:dyDescent="0.2">
      <c r="A696" s="189"/>
      <c r="B696" s="190"/>
      <c r="C696" s="189"/>
      <c r="D696" s="189"/>
      <c r="E696" s="189"/>
      <c r="G696" s="189"/>
    </row>
    <row r="697" spans="1:7" x14ac:dyDescent="0.2">
      <c r="A697" s="189"/>
      <c r="B697" s="190"/>
      <c r="C697" s="189"/>
      <c r="D697" s="189"/>
      <c r="E697" s="189"/>
      <c r="G697" s="189"/>
    </row>
    <row r="698" spans="1:7" x14ac:dyDescent="0.2">
      <c r="A698" s="189"/>
      <c r="B698" s="190"/>
      <c r="C698" s="189"/>
      <c r="D698" s="189"/>
      <c r="E698" s="189"/>
      <c r="G698" s="189"/>
    </row>
    <row r="699" spans="1:7" x14ac:dyDescent="0.2">
      <c r="A699" s="189"/>
      <c r="B699" s="190"/>
      <c r="C699" s="189"/>
      <c r="D699" s="189"/>
      <c r="E699" s="189"/>
      <c r="G699" s="189"/>
    </row>
    <row r="700" spans="1:7" x14ac:dyDescent="0.2">
      <c r="A700" s="189"/>
      <c r="B700" s="190"/>
      <c r="C700" s="189"/>
      <c r="D700" s="189"/>
      <c r="E700" s="189"/>
      <c r="G700" s="189"/>
    </row>
    <row r="701" spans="1:7" x14ac:dyDescent="0.2">
      <c r="A701" s="189"/>
      <c r="B701" s="190"/>
      <c r="C701" s="189"/>
      <c r="D701" s="189"/>
      <c r="E701" s="189"/>
      <c r="G701" s="189"/>
    </row>
    <row r="702" spans="1:7" x14ac:dyDescent="0.2">
      <c r="A702" s="189"/>
      <c r="B702" s="190"/>
      <c r="C702" s="189"/>
      <c r="D702" s="189"/>
      <c r="E702" s="189"/>
      <c r="G702" s="189"/>
    </row>
    <row r="703" spans="1:7" x14ac:dyDescent="0.2">
      <c r="A703" s="189"/>
      <c r="B703" s="190"/>
      <c r="C703" s="189"/>
      <c r="D703" s="189"/>
      <c r="E703" s="189"/>
      <c r="G703" s="189"/>
    </row>
    <row r="704" spans="1:7" x14ac:dyDescent="0.2">
      <c r="A704" s="189"/>
      <c r="B704" s="190"/>
      <c r="C704" s="189"/>
      <c r="D704" s="189"/>
      <c r="E704" s="189"/>
      <c r="G704" s="189"/>
    </row>
    <row r="705" spans="1:7" x14ac:dyDescent="0.2">
      <c r="A705" s="189"/>
      <c r="B705" s="190"/>
      <c r="C705" s="189"/>
      <c r="D705" s="189"/>
      <c r="E705" s="189"/>
      <c r="G705" s="189"/>
    </row>
    <row r="706" spans="1:7" x14ac:dyDescent="0.2">
      <c r="A706" s="189"/>
      <c r="B706" s="190"/>
      <c r="C706" s="189"/>
      <c r="D706" s="189"/>
      <c r="E706" s="189"/>
      <c r="G706" s="189"/>
    </row>
    <row r="707" spans="1:7" x14ac:dyDescent="0.2">
      <c r="A707" s="189"/>
      <c r="B707" s="190"/>
      <c r="C707" s="189"/>
      <c r="D707" s="189"/>
      <c r="E707" s="189"/>
      <c r="G707" s="189"/>
    </row>
    <row r="708" spans="1:7" x14ac:dyDescent="0.2">
      <c r="A708" s="189"/>
      <c r="B708" s="190"/>
      <c r="C708" s="189"/>
      <c r="D708" s="189"/>
      <c r="E708" s="189"/>
      <c r="G708" s="189"/>
    </row>
    <row r="709" spans="1:7" x14ac:dyDescent="0.2">
      <c r="A709" s="189"/>
      <c r="B709" s="190"/>
      <c r="C709" s="189"/>
      <c r="D709" s="189"/>
      <c r="E709" s="189"/>
      <c r="G709" s="189"/>
    </row>
    <row r="710" spans="1:7" x14ac:dyDescent="0.2">
      <c r="A710" s="189"/>
      <c r="B710" s="190"/>
      <c r="C710" s="189"/>
      <c r="D710" s="189"/>
      <c r="E710" s="189"/>
      <c r="G710" s="189"/>
    </row>
    <row r="711" spans="1:7" x14ac:dyDescent="0.2">
      <c r="A711" s="189"/>
      <c r="B711" s="190"/>
      <c r="C711" s="189"/>
      <c r="D711" s="189"/>
      <c r="E711" s="189"/>
      <c r="G711" s="189"/>
    </row>
    <row r="712" spans="1:7" x14ac:dyDescent="0.2">
      <c r="A712" s="189"/>
      <c r="B712" s="190"/>
      <c r="C712" s="189"/>
      <c r="D712" s="189"/>
      <c r="E712" s="189"/>
      <c r="G712" s="189"/>
    </row>
    <row r="713" spans="1:7" x14ac:dyDescent="0.2">
      <c r="A713" s="189"/>
      <c r="B713" s="190"/>
      <c r="C713" s="189"/>
      <c r="D713" s="189"/>
      <c r="E713" s="189"/>
      <c r="G713" s="189"/>
    </row>
    <row r="714" spans="1:7" x14ac:dyDescent="0.2">
      <c r="A714" s="189"/>
      <c r="B714" s="190"/>
      <c r="C714" s="189"/>
      <c r="D714" s="189"/>
      <c r="E714" s="189"/>
      <c r="G714" s="189"/>
    </row>
    <row r="715" spans="1:7" x14ac:dyDescent="0.2">
      <c r="A715" s="189"/>
      <c r="B715" s="190"/>
      <c r="C715" s="189"/>
      <c r="D715" s="189"/>
      <c r="E715" s="189"/>
      <c r="G715" s="189"/>
    </row>
    <row r="716" spans="1:7" x14ac:dyDescent="0.2">
      <c r="A716" s="189"/>
      <c r="B716" s="190"/>
      <c r="C716" s="189"/>
      <c r="D716" s="189"/>
      <c r="E716" s="189"/>
      <c r="G716" s="189"/>
    </row>
    <row r="717" spans="1:7" x14ac:dyDescent="0.2">
      <c r="A717" s="189"/>
      <c r="B717" s="190"/>
      <c r="C717" s="189"/>
      <c r="D717" s="189"/>
      <c r="E717" s="189"/>
      <c r="G717" s="189"/>
    </row>
    <row r="718" spans="1:7" x14ac:dyDescent="0.2">
      <c r="A718" s="189"/>
      <c r="B718" s="190"/>
      <c r="C718" s="189"/>
      <c r="D718" s="189"/>
      <c r="E718" s="189"/>
      <c r="G718" s="189"/>
    </row>
    <row r="719" spans="1:7" x14ac:dyDescent="0.2">
      <c r="A719" s="189"/>
      <c r="B719" s="190"/>
      <c r="C719" s="189"/>
      <c r="D719" s="189"/>
      <c r="E719" s="189"/>
      <c r="G719" s="189"/>
    </row>
    <row r="720" spans="1:7" x14ac:dyDescent="0.2">
      <c r="A720" s="189"/>
      <c r="B720" s="190"/>
      <c r="C720" s="189"/>
      <c r="D720" s="189"/>
      <c r="E720" s="189"/>
      <c r="G720" s="189"/>
    </row>
    <row r="721" spans="1:7" x14ac:dyDescent="0.2">
      <c r="A721" s="189"/>
      <c r="B721" s="190"/>
      <c r="C721" s="189"/>
      <c r="D721" s="189"/>
      <c r="E721" s="189"/>
      <c r="G721" s="189"/>
    </row>
    <row r="722" spans="1:7" x14ac:dyDescent="0.2">
      <c r="A722" s="189"/>
      <c r="B722" s="190"/>
      <c r="C722" s="189"/>
      <c r="D722" s="189"/>
      <c r="E722" s="189"/>
      <c r="G722" s="189"/>
    </row>
    <row r="723" spans="1:7" x14ac:dyDescent="0.2">
      <c r="A723" s="189"/>
      <c r="B723" s="190"/>
      <c r="C723" s="189"/>
      <c r="D723" s="189"/>
      <c r="E723" s="189"/>
      <c r="G723" s="189"/>
    </row>
    <row r="724" spans="1:7" x14ac:dyDescent="0.2">
      <c r="A724" s="189"/>
      <c r="B724" s="190"/>
      <c r="C724" s="189"/>
      <c r="D724" s="189"/>
      <c r="E724" s="189"/>
      <c r="G724" s="189"/>
    </row>
    <row r="725" spans="1:7" x14ac:dyDescent="0.2">
      <c r="A725" s="189"/>
      <c r="B725" s="190"/>
      <c r="C725" s="189"/>
      <c r="D725" s="189"/>
      <c r="E725" s="189"/>
      <c r="G725" s="189"/>
    </row>
    <row r="726" spans="1:7" x14ac:dyDescent="0.2">
      <c r="A726" s="189"/>
      <c r="B726" s="190"/>
      <c r="C726" s="189"/>
      <c r="D726" s="189"/>
      <c r="E726" s="189"/>
      <c r="G726" s="189"/>
    </row>
    <row r="727" spans="1:7" x14ac:dyDescent="0.2">
      <c r="A727" s="189"/>
      <c r="B727" s="190"/>
      <c r="C727" s="189"/>
      <c r="D727" s="189"/>
      <c r="E727" s="189"/>
      <c r="G727" s="189"/>
    </row>
    <row r="728" spans="1:7" x14ac:dyDescent="0.2">
      <c r="A728" s="189"/>
      <c r="B728" s="190"/>
      <c r="C728" s="189"/>
      <c r="D728" s="189"/>
      <c r="E728" s="189"/>
      <c r="G728" s="189"/>
    </row>
    <row r="729" spans="1:7" x14ac:dyDescent="0.2">
      <c r="A729" s="189"/>
      <c r="B729" s="190"/>
      <c r="C729" s="189"/>
      <c r="D729" s="189"/>
      <c r="E729" s="189"/>
      <c r="G729" s="189"/>
    </row>
    <row r="730" spans="1:7" x14ac:dyDescent="0.2">
      <c r="A730" s="189"/>
      <c r="B730" s="190"/>
      <c r="C730" s="189"/>
      <c r="D730" s="189"/>
      <c r="E730" s="189"/>
      <c r="G730" s="189"/>
    </row>
    <row r="731" spans="1:7" x14ac:dyDescent="0.2">
      <c r="A731" s="189"/>
      <c r="B731" s="190"/>
      <c r="C731" s="189"/>
      <c r="D731" s="189"/>
      <c r="E731" s="189"/>
      <c r="G731" s="189"/>
    </row>
    <row r="732" spans="1:7" x14ac:dyDescent="0.2">
      <c r="A732" s="189"/>
      <c r="B732" s="190"/>
      <c r="C732" s="189"/>
      <c r="D732" s="189"/>
      <c r="E732" s="189"/>
      <c r="G732" s="189"/>
    </row>
    <row r="733" spans="1:7" x14ac:dyDescent="0.2">
      <c r="A733" s="189"/>
      <c r="B733" s="190"/>
      <c r="C733" s="189"/>
      <c r="D733" s="189"/>
      <c r="E733" s="189"/>
      <c r="G733" s="189"/>
    </row>
    <row r="734" spans="1:7" x14ac:dyDescent="0.2">
      <c r="A734" s="189"/>
      <c r="B734" s="190"/>
      <c r="C734" s="189"/>
      <c r="D734" s="189"/>
      <c r="E734" s="189"/>
      <c r="G734" s="189"/>
    </row>
    <row r="735" spans="1:7" x14ac:dyDescent="0.2">
      <c r="A735" s="189"/>
      <c r="B735" s="190"/>
      <c r="C735" s="189"/>
      <c r="D735" s="189"/>
      <c r="E735" s="189"/>
      <c r="G735" s="189"/>
    </row>
    <row r="736" spans="1:7" x14ac:dyDescent="0.2">
      <c r="A736" s="189"/>
      <c r="B736" s="190"/>
      <c r="C736" s="189"/>
      <c r="D736" s="189"/>
      <c r="E736" s="189"/>
      <c r="G736" s="189"/>
    </row>
    <row r="737" spans="1:7" x14ac:dyDescent="0.2">
      <c r="A737" s="189"/>
      <c r="B737" s="190"/>
      <c r="C737" s="189"/>
      <c r="D737" s="189"/>
      <c r="E737" s="189"/>
      <c r="G737" s="189"/>
    </row>
    <row r="738" spans="1:7" x14ac:dyDescent="0.2">
      <c r="A738" s="189"/>
      <c r="B738" s="190"/>
      <c r="C738" s="189"/>
      <c r="D738" s="189"/>
      <c r="E738" s="189"/>
      <c r="G738" s="189"/>
    </row>
    <row r="739" spans="1:7" x14ac:dyDescent="0.2">
      <c r="A739" s="189"/>
      <c r="B739" s="190"/>
      <c r="C739" s="189"/>
      <c r="D739" s="189"/>
      <c r="E739" s="189"/>
      <c r="G739" s="189"/>
    </row>
    <row r="740" spans="1:7" x14ac:dyDescent="0.2">
      <c r="A740" s="189"/>
      <c r="B740" s="190"/>
      <c r="C740" s="189"/>
      <c r="D740" s="189"/>
      <c r="E740" s="189"/>
      <c r="G740" s="189"/>
    </row>
    <row r="741" spans="1:7" x14ac:dyDescent="0.2">
      <c r="A741" s="189"/>
      <c r="B741" s="190"/>
      <c r="C741" s="189"/>
      <c r="D741" s="189"/>
      <c r="E741" s="189"/>
      <c r="G741" s="189"/>
    </row>
    <row r="742" spans="1:7" x14ac:dyDescent="0.2">
      <c r="A742" s="189"/>
      <c r="B742" s="190"/>
      <c r="C742" s="189"/>
      <c r="D742" s="189"/>
      <c r="E742" s="189"/>
      <c r="G742" s="189"/>
    </row>
    <row r="743" spans="1:7" x14ac:dyDescent="0.2">
      <c r="A743" s="189"/>
      <c r="B743" s="190"/>
      <c r="C743" s="189"/>
      <c r="D743" s="189"/>
      <c r="E743" s="189"/>
      <c r="G743" s="189"/>
    </row>
    <row r="744" spans="1:7" x14ac:dyDescent="0.2">
      <c r="A744" s="189"/>
      <c r="B744" s="190"/>
      <c r="C744" s="189"/>
      <c r="D744" s="189"/>
      <c r="E744" s="189"/>
      <c r="G744" s="189"/>
    </row>
    <row r="745" spans="1:7" x14ac:dyDescent="0.2">
      <c r="A745" s="189"/>
      <c r="B745" s="190"/>
      <c r="C745" s="189"/>
      <c r="D745" s="189"/>
      <c r="E745" s="189"/>
      <c r="G745" s="189"/>
    </row>
    <row r="746" spans="1:7" x14ac:dyDescent="0.2">
      <c r="A746" s="189"/>
      <c r="B746" s="190"/>
      <c r="C746" s="189"/>
      <c r="D746" s="189"/>
      <c r="E746" s="189"/>
      <c r="G746" s="189"/>
    </row>
    <row r="747" spans="1:7" x14ac:dyDescent="0.2">
      <c r="A747" s="189"/>
      <c r="B747" s="190"/>
      <c r="C747" s="189"/>
      <c r="D747" s="189"/>
      <c r="E747" s="189"/>
      <c r="G747" s="189"/>
    </row>
    <row r="748" spans="1:7" x14ac:dyDescent="0.2">
      <c r="A748" s="189"/>
      <c r="B748" s="190"/>
      <c r="C748" s="189"/>
      <c r="D748" s="189"/>
      <c r="E748" s="189"/>
      <c r="G748" s="189"/>
    </row>
    <row r="749" spans="1:7" x14ac:dyDescent="0.2">
      <c r="A749" s="189"/>
      <c r="B749" s="190"/>
      <c r="C749" s="189"/>
      <c r="D749" s="189"/>
      <c r="E749" s="189"/>
      <c r="G749" s="189"/>
    </row>
    <row r="750" spans="1:7" x14ac:dyDescent="0.2">
      <c r="A750" s="189"/>
      <c r="B750" s="190"/>
      <c r="C750" s="189"/>
      <c r="D750" s="189"/>
      <c r="E750" s="189"/>
      <c r="G750" s="189"/>
    </row>
    <row r="751" spans="1:7" x14ac:dyDescent="0.2">
      <c r="A751" s="189"/>
      <c r="B751" s="190"/>
      <c r="C751" s="189"/>
      <c r="D751" s="189"/>
      <c r="E751" s="189"/>
      <c r="G751" s="189"/>
    </row>
  </sheetData>
  <autoFilter ref="A5:G5" xr:uid="{EB3B1B92-5993-4BEB-8F5F-9D11AC4D7E91}">
    <sortState xmlns:xlrd2="http://schemas.microsoft.com/office/spreadsheetml/2017/richdata2" ref="A6:G323">
      <sortCondition ref="A5"/>
    </sortState>
  </autoFilter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>
    <tabColor rgb="FF66FFFF"/>
    <pageSetUpPr fitToPage="1"/>
  </sheetPr>
  <dimension ref="A1:M361"/>
  <sheetViews>
    <sheetView showGridLines="0" zoomScale="80" zoomScaleNormal="80" workbookViewId="0">
      <pane ySplit="2" topLeftCell="A3" activePane="bottomLeft" state="frozen"/>
      <selection activeCell="N2" sqref="N2"/>
      <selection pane="bottomLeft"/>
    </sheetView>
  </sheetViews>
  <sheetFormatPr defaultColWidth="0" defaultRowHeight="12" zeroHeight="1" x14ac:dyDescent="0.2"/>
  <cols>
    <col min="1" max="1" width="4.875" style="9" customWidth="1"/>
    <col min="2" max="2" width="5.25" style="9" customWidth="1"/>
    <col min="3" max="3" width="15.25" style="9" customWidth="1"/>
    <col min="4" max="4" width="40.5" style="9" customWidth="1"/>
    <col min="5" max="9" width="13.125" style="9" customWidth="1"/>
    <col min="10" max="10" width="5.125" style="9" customWidth="1"/>
    <col min="11" max="11" width="13.125" style="9" customWidth="1"/>
    <col min="12" max="13" width="8.75" style="9" customWidth="1"/>
    <col min="14" max="16384" width="9" style="9" hidden="1"/>
  </cols>
  <sheetData>
    <row r="1" spans="1:13" s="7" customFormat="1" ht="18.75" x14ac:dyDescent="0.3">
      <c r="A1" s="14" t="str">
        <f>bus</f>
        <v>Powercor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3" s="7" customFormat="1" ht="18.75" x14ac:dyDescent="0.3">
      <c r="A2" s="46" t="str">
        <f>proj</f>
        <v>Quick connect points</v>
      </c>
      <c r="B2" s="14"/>
      <c r="C2" s="14"/>
      <c r="D2" s="14"/>
      <c r="E2" s="14"/>
      <c r="F2" s="14"/>
      <c r="G2" s="14"/>
      <c r="H2" s="14"/>
      <c r="I2" s="14"/>
      <c r="J2" s="14"/>
      <c r="K2" s="14"/>
    </row>
    <row r="3" spans="1:13" s="2" customFormat="1" ht="18.75" x14ac:dyDescent="0.3">
      <c r="A3" s="89" t="s">
        <v>1</v>
      </c>
      <c r="B3" s="29"/>
      <c r="C3" s="29"/>
      <c r="D3" s="28"/>
      <c r="E3" s="28"/>
      <c r="F3" s="28"/>
      <c r="G3" s="28"/>
      <c r="H3" s="28"/>
      <c r="I3" s="28"/>
      <c r="J3" s="28"/>
      <c r="K3" s="28"/>
      <c r="L3" s="7"/>
      <c r="M3" s="7"/>
    </row>
    <row r="4" spans="1:13" s="2" customFormat="1" ht="18.75" x14ac:dyDescent="0.3">
      <c r="A4" s="29"/>
      <c r="B4" s="29"/>
      <c r="C4" s="29"/>
      <c r="D4" s="28"/>
      <c r="E4" s="28"/>
      <c r="F4" s="28"/>
      <c r="G4" s="28"/>
      <c r="H4" s="28"/>
      <c r="I4" s="28"/>
      <c r="J4" s="28"/>
      <c r="K4" s="28"/>
      <c r="L4" s="7"/>
      <c r="M4" s="7"/>
    </row>
    <row r="5" spans="1:13" s="2" customFormat="1" ht="15" x14ac:dyDescent="0.25">
      <c r="A5" s="18" t="s">
        <v>2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7"/>
      <c r="M5" s="7"/>
    </row>
    <row r="6" spans="1:13" s="2" customFormat="1" ht="12.75" x14ac:dyDescent="0.2">
      <c r="A6" s="8"/>
      <c r="B6" s="8"/>
      <c r="C6" s="8"/>
      <c r="D6" s="4"/>
      <c r="E6" s="8"/>
      <c r="F6" s="8"/>
      <c r="G6" s="8"/>
      <c r="H6" s="8"/>
      <c r="I6" s="8"/>
      <c r="J6" s="8"/>
      <c r="K6" s="8"/>
      <c r="L6" s="7"/>
      <c r="M6" s="7"/>
    </row>
    <row r="7" spans="1:13" s="2" customFormat="1" ht="12.75" x14ac:dyDescent="0.2">
      <c r="G7" s="76" t="s">
        <v>3</v>
      </c>
      <c r="H7" s="76" t="s">
        <v>4</v>
      </c>
      <c r="I7" s="76" t="s">
        <v>5</v>
      </c>
      <c r="K7" s="76" t="s">
        <v>303</v>
      </c>
    </row>
    <row r="8" spans="1:13" s="2" customFormat="1" ht="12.75" x14ac:dyDescent="0.2">
      <c r="C8" s="26" t="s">
        <v>6</v>
      </c>
      <c r="D8" s="26"/>
      <c r="E8" s="26"/>
      <c r="F8" s="26"/>
      <c r="G8" s="87">
        <f>output_dollars</f>
        <v>46203</v>
      </c>
      <c r="H8" s="87">
        <f>output_dollars</f>
        <v>46203</v>
      </c>
      <c r="I8" s="87">
        <f>output_dollars</f>
        <v>46203</v>
      </c>
      <c r="K8" s="87">
        <f>output_dollars</f>
        <v>46203</v>
      </c>
    </row>
    <row r="9" spans="1:13" s="2" customFormat="1" ht="12.75" x14ac:dyDescent="0.2">
      <c r="C9" s="59" t="s">
        <v>86</v>
      </c>
      <c r="D9" s="59" t="str">
        <f>Assumptions!E14</f>
        <v>No change to existing practices</v>
      </c>
      <c r="G9" s="69">
        <v>0</v>
      </c>
      <c r="H9" s="69">
        <v>0</v>
      </c>
      <c r="I9" s="69">
        <v>0</v>
      </c>
      <c r="K9" s="69">
        <v>0</v>
      </c>
    </row>
    <row r="10" spans="1:13" s="2" customFormat="1" ht="12.75" x14ac:dyDescent="0.2">
      <c r="C10" s="59" t="s">
        <v>85</v>
      </c>
      <c r="D10" s="59" t="str">
        <f>Assumptions!E15</f>
        <v>Install quick connect points</v>
      </c>
      <c r="G10" s="69">
        <f>Calcs!EA27*conv_2026/10^6</f>
        <v>-2.7465752989803134</v>
      </c>
      <c r="H10" s="69">
        <f>Calcs!DX27*conv_2026/10^6</f>
        <v>46.839610334364345</v>
      </c>
      <c r="I10" s="187">
        <f>Calcs!EC27*conv_2026/10^6</f>
        <v>44.093035035384034</v>
      </c>
      <c r="K10" s="69">
        <f>Calcs!Q27*conv_2026/10^6</f>
        <v>5.2236590742101416</v>
      </c>
      <c r="L10" s="214"/>
    </row>
    <row r="11" spans="1:13" s="2" customFormat="1" ht="12.75" x14ac:dyDescent="0.2">
      <c r="C11" s="59"/>
      <c r="D11" s="59"/>
      <c r="G11" s="69"/>
      <c r="H11" s="69"/>
      <c r="I11" s="69"/>
      <c r="M11" s="47"/>
    </row>
    <row r="12" spans="1:13" s="2" customFormat="1" ht="12.75" x14ac:dyDescent="0.2">
      <c r="C12" s="59"/>
      <c r="D12" s="59"/>
      <c r="G12" s="69"/>
      <c r="H12" s="69"/>
      <c r="I12" s="186"/>
    </row>
    <row r="13" spans="1:13" s="2" customFormat="1" ht="12.75" x14ac:dyDescent="0.2">
      <c r="C13" s="59"/>
      <c r="D13" s="59"/>
      <c r="G13" s="69"/>
      <c r="H13" s="69"/>
      <c r="I13" s="69"/>
    </row>
    <row r="14" spans="1:13" s="2" customFormat="1" ht="12.75" x14ac:dyDescent="0.2">
      <c r="E14" s="76" t="s">
        <v>5</v>
      </c>
      <c r="F14"/>
      <c r="H14" s="8"/>
    </row>
    <row r="15" spans="1:13" s="2" customFormat="1" ht="12.75" x14ac:dyDescent="0.2">
      <c r="C15" s="24" t="s">
        <v>7</v>
      </c>
      <c r="D15" s="26"/>
      <c r="E15" s="87">
        <f>output_dollars</f>
        <v>46203</v>
      </c>
      <c r="F15"/>
      <c r="H15" s="8"/>
    </row>
    <row r="16" spans="1:13" s="2" customFormat="1" ht="12.75" x14ac:dyDescent="0.2">
      <c r="C16" s="30" t="str">
        <f>INDEX($C$9:$C$13,MATCH(E16, $I$9:$I$13,0))</f>
        <v>Option 2</v>
      </c>
      <c r="D16" s="43" t="str">
        <f>INDEX($D$9:$D$13,MATCH(E16, $I$9:$I$13,0))</f>
        <v>Install quick connect points</v>
      </c>
      <c r="E16" s="90">
        <f>MAX(I9:I11)</f>
        <v>44.093035035384034</v>
      </c>
      <c r="F16"/>
    </row>
    <row r="17" spans="1:13" s="2" customFormat="1" ht="12.75" x14ac:dyDescent="0.2">
      <c r="F17"/>
    </row>
    <row r="18" spans="1:13" x14ac:dyDescent="0.2"/>
    <row r="19" spans="1:13" ht="12.75" x14ac:dyDescent="0.2">
      <c r="E19" s="104"/>
    </row>
    <row r="20" spans="1:13" s="7" customFormat="1" ht="15" x14ac:dyDescent="0.25">
      <c r="A20" s="18" t="s">
        <v>358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9"/>
    </row>
    <row r="21" spans="1:13" s="7" customFormat="1" ht="12.75" x14ac:dyDescent="0.2">
      <c r="A21" s="9"/>
      <c r="B21" s="9"/>
      <c r="C21" s="28"/>
      <c r="E21" s="9"/>
      <c r="F21" s="9"/>
      <c r="G21" s="9"/>
      <c r="H21" s="9"/>
      <c r="I21" s="9"/>
      <c r="J21" s="9"/>
      <c r="K21" s="9"/>
      <c r="L21" s="9"/>
    </row>
    <row r="22" spans="1:13" s="7" customFormat="1" ht="12.75" x14ac:dyDescent="0.2"/>
    <row r="23" spans="1:13" s="7" customFormat="1" ht="12.75" x14ac:dyDescent="0.2"/>
    <row r="24" spans="1:13" s="7" customFormat="1" ht="12.75" x14ac:dyDescent="0.2">
      <c r="A24"/>
      <c r="B24"/>
      <c r="D24"/>
      <c r="E24"/>
      <c r="F24"/>
      <c r="G24"/>
      <c r="H24"/>
      <c r="I24"/>
      <c r="J24"/>
      <c r="K24"/>
      <c r="L24" s="9"/>
    </row>
    <row r="25" spans="1:13" ht="12.75" x14ac:dyDescent="0.2">
      <c r="A25"/>
      <c r="B25"/>
      <c r="C25" s="44" t="s">
        <v>472</v>
      </c>
      <c r="D25" s="240">
        <f>output_dollars</f>
        <v>46203</v>
      </c>
      <c r="E25" s="122" t="str">
        <f>Misc_calcs!G$27</f>
        <v>2026-27</v>
      </c>
      <c r="F25" s="122" t="str">
        <f>Misc_calcs!H$27</f>
        <v>2027-28</v>
      </c>
      <c r="G25" s="122" t="str">
        <f>Misc_calcs!I$27</f>
        <v>2028-29</v>
      </c>
      <c r="H25" s="122" t="str">
        <f>Misc_calcs!J$27</f>
        <v>2029-30</v>
      </c>
      <c r="I25" s="122" t="str">
        <f>Misc_calcs!K$27</f>
        <v>2030-31</v>
      </c>
      <c r="J25"/>
      <c r="K25" s="122" t="s">
        <v>8</v>
      </c>
      <c r="L25"/>
      <c r="M25"/>
    </row>
    <row r="26" spans="1:13" ht="12.75" x14ac:dyDescent="0.2">
      <c r="A26"/>
      <c r="B26"/>
      <c r="C26" s="123" t="str">
        <f>D10</f>
        <v>Install quick connect points</v>
      </c>
      <c r="D26" s="59"/>
      <c r="E26" s="142">
        <f>Calcs!$Q27*conv_2026/10^6/5</f>
        <v>1.0447318148420284</v>
      </c>
      <c r="F26" s="142">
        <f>Calcs!$Q27*conv_2026/10^6/5</f>
        <v>1.0447318148420284</v>
      </c>
      <c r="G26" s="142">
        <f>Calcs!$Q27*conv_2026/10^6/5</f>
        <v>1.0447318148420284</v>
      </c>
      <c r="H26" s="142">
        <f>Calcs!$Q27*conv_2026/10^6/5</f>
        <v>1.0447318148420284</v>
      </c>
      <c r="I26" s="142">
        <f>Calcs!$Q27*conv_2026/10^6/5</f>
        <v>1.0447318148420284</v>
      </c>
      <c r="J26"/>
      <c r="K26" s="142">
        <f>SUM(E26:I26)</f>
        <v>5.2236590742101416</v>
      </c>
      <c r="L26"/>
      <c r="M26"/>
    </row>
    <row r="27" spans="1:13" ht="12.75" x14ac:dyDescent="0.2">
      <c r="A27"/>
      <c r="B27"/>
      <c r="C27" s="59"/>
      <c r="D27" s="59"/>
      <c r="E27" s="124"/>
      <c r="F27" s="124"/>
      <c r="G27" s="124"/>
      <c r="H27" s="124"/>
      <c r="I27" s="124"/>
      <c r="J27"/>
      <c r="K27"/>
      <c r="L27"/>
      <c r="M27"/>
    </row>
    <row r="28" spans="1:13" ht="12.75" x14ac:dyDescent="0.2">
      <c r="A28"/>
      <c r="B28"/>
      <c r="C28" s="59"/>
      <c r="D28" s="59"/>
      <c r="E28" s="124"/>
      <c r="F28" s="124"/>
      <c r="G28" s="124"/>
      <c r="H28" s="124"/>
      <c r="I28"/>
      <c r="J28"/>
      <c r="K28"/>
      <c r="L28"/>
      <c r="M28"/>
    </row>
    <row r="29" spans="1:13" ht="12.75" x14ac:dyDescent="0.2">
      <c r="A29"/>
      <c r="B29"/>
      <c r="C29"/>
      <c r="D29"/>
      <c r="E29"/>
      <c r="F29"/>
      <c r="G29"/>
      <c r="H29"/>
      <c r="I29"/>
      <c r="J29"/>
      <c r="K29"/>
      <c r="L29"/>
      <c r="M29"/>
    </row>
    <row r="30" spans="1:13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</row>
    <row r="31" spans="1:13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</row>
    <row r="32" spans="1:13" ht="15" x14ac:dyDescent="0.25">
      <c r="A32" s="18" t="s">
        <v>368</v>
      </c>
      <c r="B32" s="18"/>
      <c r="C32" s="18"/>
      <c r="D32" s="18"/>
      <c r="E32" s="18"/>
      <c r="F32" s="18"/>
      <c r="G32" s="18"/>
      <c r="H32" s="18"/>
      <c r="I32" s="18"/>
      <c r="J32" s="18"/>
      <c r="K32" s="18"/>
      <c r="M32" s="7"/>
    </row>
    <row r="33" spans="1:13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</row>
    <row r="34" spans="1:13" ht="12.75" x14ac:dyDescent="0.2">
      <c r="A34"/>
      <c r="B34"/>
      <c r="C34"/>
      <c r="D34"/>
      <c r="E34" s="143" t="s">
        <v>5</v>
      </c>
      <c r="G34"/>
      <c r="H34"/>
      <c r="I34"/>
      <c r="J34"/>
      <c r="K34"/>
      <c r="L34"/>
      <c r="M34"/>
    </row>
    <row r="35" spans="1:13" ht="12.75" x14ac:dyDescent="0.2">
      <c r="A35"/>
      <c r="B35"/>
      <c r="C35" s="141"/>
      <c r="D35" s="141"/>
      <c r="E35" s="141">
        <f>output_dollars</f>
        <v>46203</v>
      </c>
      <c r="G35"/>
      <c r="H35"/>
      <c r="I35"/>
      <c r="J35"/>
      <c r="K35"/>
      <c r="L35"/>
      <c r="M35"/>
    </row>
    <row r="36" spans="1:13" ht="12.75" x14ac:dyDescent="0.2">
      <c r="A36"/>
      <c r="B36"/>
      <c r="C36" s="144" t="s">
        <v>85</v>
      </c>
      <c r="D36" s="145"/>
      <c r="E36" s="146">
        <f>Calcs!EC27*conv_2026/10^6</f>
        <v>44.093035035384034</v>
      </c>
      <c r="G36"/>
      <c r="H36"/>
      <c r="I36"/>
      <c r="J36"/>
      <c r="K36"/>
      <c r="L36"/>
      <c r="M36"/>
    </row>
    <row r="37" spans="1:13" ht="12.75" x14ac:dyDescent="0.2">
      <c r="A37"/>
      <c r="B37"/>
      <c r="C37" s="123"/>
      <c r="D37"/>
      <c r="E37" s="140"/>
      <c r="G37"/>
      <c r="H37"/>
      <c r="I37"/>
      <c r="J37"/>
      <c r="K37"/>
      <c r="L37"/>
      <c r="M37"/>
    </row>
    <row r="38" spans="1:13" ht="12.75" x14ac:dyDescent="0.2">
      <c r="A38"/>
      <c r="B38"/>
      <c r="C38" s="123" t="str">
        <f>Assumptions!C104</f>
        <v>Capex 10% higher</v>
      </c>
      <c r="D38"/>
      <c r="E38" s="124" cm="1">
        <f t="array" ref="E38">SUMPRODUCT((Sensitivities!M$9:M$26)*(Sensitivities!$M$9:$M$26&gt;0))/10^6*conv_2026</f>
        <v>43.818377505486012</v>
      </c>
      <c r="J38"/>
      <c r="K38"/>
      <c r="L38"/>
      <c r="M38"/>
    </row>
    <row r="39" spans="1:13" ht="12.75" x14ac:dyDescent="0.2">
      <c r="A39"/>
      <c r="B39"/>
      <c r="C39" s="123" t="str">
        <f>Assumptions!C105</f>
        <v>Capex 10% lower</v>
      </c>
      <c r="D39"/>
      <c r="E39" s="124" cm="1">
        <f t="array" ref="E39">SUMPRODUCT((Sensitivities!N$9:N$26)*(Sensitivities!$M$9:$M$26&gt;0))/10^6*conv_2026</f>
        <v>44.367692565282063</v>
      </c>
      <c r="G39"/>
      <c r="H39"/>
      <c r="I39"/>
      <c r="J39"/>
      <c r="K39"/>
      <c r="L39"/>
      <c r="M39"/>
    </row>
    <row r="40" spans="1:13" ht="12.75" x14ac:dyDescent="0.2">
      <c r="A40"/>
      <c r="B40"/>
      <c r="C40" s="123" t="str">
        <f>Assumptions!C106</f>
        <v>Total benefits 10% higher</v>
      </c>
      <c r="D40"/>
      <c r="E40" s="124" cm="1">
        <f t="array" ref="E40">SUMPRODUCT((Sensitivities!O$9:O$26)*(Sensitivities!$M$9:$M$26&gt;0))/10^6*conv_2026</f>
        <v>48.776996068820473</v>
      </c>
      <c r="G40"/>
      <c r="H40"/>
      <c r="I40"/>
      <c r="J40"/>
      <c r="K40"/>
      <c r="L40"/>
      <c r="M40"/>
    </row>
    <row r="41" spans="1:13" ht="12.75" x14ac:dyDescent="0.2">
      <c r="A41"/>
      <c r="B41"/>
      <c r="C41" s="123" t="str">
        <f>Assumptions!C107</f>
        <v>Total benefits 10% lower</v>
      </c>
      <c r="D41"/>
      <c r="E41" s="124" cm="1">
        <f t="array" ref="E41">SUMPRODUCT((Sensitivities!P$9:P$26)*(Sensitivities!$M$9:$M$26&gt;0))/10^6*conv_2026</f>
        <v>39.409074001947602</v>
      </c>
      <c r="H41"/>
      <c r="I41"/>
      <c r="J41"/>
      <c r="K41"/>
      <c r="L41"/>
      <c r="M41"/>
    </row>
    <row r="42" spans="1:13" ht="12.75" x14ac:dyDescent="0.2">
      <c r="A42"/>
      <c r="B42"/>
      <c r="C42" s="123" t="str">
        <f>Assumptions!C108</f>
        <v>Capex 10% higher &amp; Total benefits 10% lower</v>
      </c>
      <c r="D42"/>
      <c r="E42" s="124" cm="1">
        <f t="array" ref="E42">SUMPRODUCT((Sensitivities!Q$9:Q$26)*(Sensitivities!$M$9:$M$26&gt;0))/10^6*conv_2026</f>
        <v>39.134416472049558</v>
      </c>
      <c r="G42"/>
      <c r="H42"/>
      <c r="I42"/>
      <c r="J42"/>
      <c r="K42"/>
      <c r="L42"/>
      <c r="M42"/>
    </row>
    <row r="43" spans="1:13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</row>
    <row r="44" spans="1:13" ht="12.75" x14ac:dyDescent="0.2">
      <c r="A44"/>
      <c r="B44"/>
      <c r="C44"/>
      <c r="D44"/>
      <c r="E44"/>
      <c r="F44"/>
      <c r="G44"/>
      <c r="H44"/>
      <c r="I44"/>
      <c r="J44"/>
      <c r="K44"/>
      <c r="L44"/>
      <c r="M44"/>
    </row>
    <row r="45" spans="1:13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</row>
    <row r="46" spans="1:13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</row>
    <row r="47" spans="1:13" ht="12.75" x14ac:dyDescent="0.2">
      <c r="A47"/>
      <c r="B47"/>
      <c r="C47"/>
      <c r="D47"/>
      <c r="E47"/>
      <c r="F47"/>
      <c r="G47"/>
      <c r="H47"/>
      <c r="I47"/>
      <c r="J47"/>
      <c r="K47"/>
      <c r="L47"/>
      <c r="M47"/>
    </row>
    <row r="48" spans="1:13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</row>
    <row r="49" spans="1:1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</row>
    <row r="50" spans="1:13" ht="12.75" x14ac:dyDescent="0.2">
      <c r="A50"/>
      <c r="B50"/>
      <c r="C50"/>
      <c r="D50"/>
      <c r="E50"/>
      <c r="F50"/>
      <c r="G50"/>
      <c r="H50"/>
      <c r="I50"/>
      <c r="J50"/>
      <c r="K50"/>
      <c r="L50"/>
      <c r="M50"/>
    </row>
    <row r="51" spans="1:13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</row>
    <row r="52" spans="1:1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</row>
    <row r="53" spans="1:13" ht="12.75" x14ac:dyDescent="0.2">
      <c r="A53" s="45" t="s">
        <v>9</v>
      </c>
      <c r="B53" s="45"/>
      <c r="C53" s="45"/>
      <c r="D53" s="45"/>
      <c r="E53" s="45" t="s">
        <v>10</v>
      </c>
      <c r="F53" s="45" t="s">
        <v>10</v>
      </c>
      <c r="G53" s="45" t="s">
        <v>10</v>
      </c>
      <c r="H53" s="45" t="s">
        <v>10</v>
      </c>
      <c r="I53" s="45" t="s">
        <v>10</v>
      </c>
      <c r="J53" s="45" t="s">
        <v>10</v>
      </c>
      <c r="K53" s="45" t="s">
        <v>10</v>
      </c>
      <c r="L53" s="7"/>
      <c r="M53" s="7"/>
    </row>
    <row r="54" spans="1:13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</row>
    <row r="55" spans="1:1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</row>
    <row r="56" spans="1:13" ht="12.75" x14ac:dyDescent="0.2">
      <c r="A56"/>
      <c r="B56"/>
      <c r="C56"/>
      <c r="D56"/>
      <c r="E56"/>
      <c r="F56"/>
      <c r="G56"/>
      <c r="H56"/>
      <c r="I56"/>
      <c r="J56"/>
      <c r="K56"/>
      <c r="L56"/>
      <c r="M56"/>
    </row>
    <row r="57" spans="1:13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</row>
    <row r="58" spans="1:1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</row>
    <row r="59" spans="1:13" ht="12.75" x14ac:dyDescent="0.2">
      <c r="A59"/>
      <c r="B59"/>
      <c r="C59"/>
      <c r="D59"/>
      <c r="E59"/>
      <c r="F59"/>
      <c r="G59"/>
      <c r="H59"/>
      <c r="I59"/>
      <c r="J59"/>
      <c r="K59"/>
      <c r="L59"/>
      <c r="M59"/>
    </row>
    <row r="60" spans="1:13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</row>
    <row r="61" spans="1:1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</row>
    <row r="62" spans="1:13" ht="12.75" x14ac:dyDescent="0.2">
      <c r="A62"/>
      <c r="B62"/>
      <c r="C62"/>
      <c r="D62"/>
      <c r="E62"/>
      <c r="F62"/>
      <c r="G62"/>
      <c r="H62"/>
      <c r="I62"/>
      <c r="J62"/>
      <c r="K62"/>
      <c r="L62"/>
      <c r="M62"/>
    </row>
    <row r="63" spans="1:13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</row>
    <row r="64" spans="1:1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</row>
    <row r="65" spans="1:13" ht="12.75" x14ac:dyDescent="0.2">
      <c r="A65"/>
      <c r="B65"/>
      <c r="C65"/>
      <c r="D65"/>
      <c r="E65"/>
      <c r="F65"/>
      <c r="G65"/>
      <c r="H65"/>
      <c r="I65"/>
      <c r="J65"/>
      <c r="K65"/>
      <c r="L65"/>
      <c r="M65"/>
    </row>
    <row r="66" spans="1:13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</row>
    <row r="67" spans="1:1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</row>
    <row r="68" spans="1:13" ht="12.75" x14ac:dyDescent="0.2">
      <c r="A68"/>
      <c r="B68"/>
      <c r="C68"/>
      <c r="D68"/>
      <c r="E68"/>
      <c r="F68"/>
      <c r="G68"/>
      <c r="H68"/>
      <c r="I68"/>
      <c r="J68"/>
      <c r="K68"/>
      <c r="L68"/>
      <c r="M68"/>
    </row>
    <row r="69" spans="1:13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</row>
    <row r="70" spans="1:1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</row>
    <row r="71" spans="1:13" ht="12.75" x14ac:dyDescent="0.2">
      <c r="A71"/>
      <c r="B71"/>
      <c r="C71"/>
      <c r="D71"/>
      <c r="E71"/>
      <c r="F71"/>
      <c r="G71"/>
      <c r="H71"/>
      <c r="I71"/>
      <c r="J71"/>
      <c r="K71"/>
      <c r="L71"/>
      <c r="M71"/>
    </row>
    <row r="72" spans="1:13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</row>
    <row r="73" spans="1:1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</row>
    <row r="74" spans="1:13" ht="12.75" x14ac:dyDescent="0.2">
      <c r="A74"/>
      <c r="B74"/>
      <c r="C74"/>
      <c r="D74"/>
      <c r="E74"/>
      <c r="F74"/>
      <c r="G74"/>
      <c r="H74"/>
      <c r="I74"/>
      <c r="J74"/>
      <c r="K74"/>
      <c r="L74"/>
      <c r="M74"/>
    </row>
    <row r="75" spans="1:13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</row>
    <row r="76" spans="1:1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</row>
    <row r="77" spans="1:13" ht="12.75" x14ac:dyDescent="0.2">
      <c r="A77"/>
      <c r="B77"/>
      <c r="C77"/>
      <c r="D77"/>
      <c r="E77"/>
      <c r="F77"/>
      <c r="G77"/>
      <c r="H77"/>
      <c r="I77"/>
      <c r="J77"/>
      <c r="K77"/>
      <c r="L77"/>
      <c r="M77"/>
    </row>
    <row r="78" spans="1:13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</row>
    <row r="79" spans="1:1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</row>
    <row r="80" spans="1:13" ht="12.75" x14ac:dyDescent="0.2">
      <c r="A80"/>
      <c r="B80"/>
      <c r="C80"/>
      <c r="D80"/>
      <c r="E80"/>
      <c r="F80"/>
      <c r="G80"/>
      <c r="H80"/>
      <c r="I80"/>
      <c r="J80"/>
      <c r="K80"/>
      <c r="L80"/>
      <c r="M80"/>
    </row>
    <row r="81" spans="1:13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</row>
    <row r="82" spans="1:1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</row>
    <row r="83" spans="1:13" ht="12.75" x14ac:dyDescent="0.2">
      <c r="A83"/>
      <c r="B83"/>
      <c r="C83"/>
      <c r="D83"/>
      <c r="E83"/>
      <c r="F83"/>
      <c r="G83"/>
      <c r="H83"/>
      <c r="I83"/>
      <c r="J83"/>
      <c r="K83"/>
      <c r="L83"/>
      <c r="M83"/>
    </row>
    <row r="84" spans="1:13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</row>
    <row r="85" spans="1:1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</row>
    <row r="86" spans="1:13" ht="12.75" x14ac:dyDescent="0.2">
      <c r="A86"/>
      <c r="B86"/>
      <c r="C86"/>
      <c r="D86"/>
      <c r="E86"/>
      <c r="F86"/>
      <c r="G86"/>
      <c r="H86"/>
      <c r="I86"/>
      <c r="J86"/>
      <c r="K86"/>
      <c r="L86"/>
      <c r="M86"/>
    </row>
    <row r="87" spans="1:13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</row>
    <row r="88" spans="1:1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</row>
    <row r="89" spans="1:13" ht="12.75" x14ac:dyDescent="0.2">
      <c r="A89"/>
      <c r="B89"/>
      <c r="C89"/>
      <c r="D89"/>
      <c r="E89"/>
      <c r="F89"/>
      <c r="G89"/>
      <c r="H89"/>
      <c r="I89"/>
      <c r="J89"/>
      <c r="K89"/>
      <c r="L89"/>
      <c r="M89"/>
    </row>
    <row r="90" spans="1:13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</row>
    <row r="91" spans="1:1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</row>
    <row r="92" spans="1:13" ht="12.75" x14ac:dyDescent="0.2">
      <c r="A92"/>
      <c r="B92"/>
      <c r="C92"/>
      <c r="D92"/>
      <c r="E92"/>
      <c r="F92"/>
      <c r="G92"/>
      <c r="H92"/>
      <c r="I92"/>
      <c r="J92"/>
      <c r="K92"/>
      <c r="L92"/>
      <c r="M92"/>
    </row>
    <row r="93" spans="1:13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</row>
    <row r="94" spans="1:1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</row>
    <row r="95" spans="1:13" ht="12.75" x14ac:dyDescent="0.2">
      <c r="A95"/>
      <c r="B95"/>
      <c r="C95"/>
      <c r="D95"/>
      <c r="E95"/>
      <c r="F95"/>
      <c r="G95"/>
      <c r="H95"/>
      <c r="I95"/>
      <c r="J95"/>
      <c r="K95"/>
      <c r="L95"/>
      <c r="M95"/>
    </row>
    <row r="96" spans="1:13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</row>
    <row r="97" spans="1:1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</row>
    <row r="98" spans="1:13" ht="12.75" x14ac:dyDescent="0.2">
      <c r="A98"/>
      <c r="B98"/>
      <c r="C98"/>
      <c r="D98"/>
      <c r="E98"/>
      <c r="F98"/>
      <c r="G98"/>
      <c r="H98"/>
      <c r="I98"/>
      <c r="J98"/>
      <c r="K98"/>
      <c r="L98"/>
      <c r="M98"/>
    </row>
    <row r="99" spans="1:13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</row>
    <row r="100" spans="1:1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</row>
    <row r="101" spans="1:13" ht="12.75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</row>
    <row r="102" spans="1:13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</row>
    <row r="103" spans="1:1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</row>
    <row r="104" spans="1:13" ht="12.75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</row>
    <row r="105" spans="1:13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</row>
    <row r="106" spans="1:1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</row>
    <row r="107" spans="1:13" ht="12.75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</row>
    <row r="108" spans="1:13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</row>
    <row r="109" spans="1:1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</row>
    <row r="110" spans="1:13" ht="12.75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</row>
    <row r="111" spans="1:13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</row>
    <row r="112" spans="1:1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</row>
    <row r="113" spans="1:13" ht="12.75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</row>
    <row r="114" spans="1:13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</row>
    <row r="115" spans="1:1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</row>
    <row r="116" spans="1:13" ht="12.75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</row>
    <row r="117" spans="1:13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</row>
    <row r="118" spans="1:1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</row>
    <row r="119" spans="1:13" ht="12.75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</row>
    <row r="120" spans="1:13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</row>
    <row r="121" spans="1:1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</row>
    <row r="122" spans="1:13" ht="12.75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</row>
    <row r="123" spans="1:13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</row>
    <row r="124" spans="1:1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</row>
    <row r="125" spans="1:13" ht="12.75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</row>
    <row r="126" spans="1:13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</row>
    <row r="127" spans="1:1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</row>
    <row r="128" spans="1:13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</row>
    <row r="129" spans="1:13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</row>
    <row r="130" spans="1:1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</row>
    <row r="131" spans="1:13" ht="12.75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</row>
    <row r="132" spans="1:13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</row>
    <row r="133" spans="1:1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</row>
    <row r="134" spans="1:13" ht="12.75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</row>
    <row r="135" spans="1:13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</row>
    <row r="136" spans="1:1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</row>
    <row r="137" spans="1:13" ht="12.75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</row>
    <row r="138" spans="1:13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</row>
    <row r="139" spans="1:1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</row>
    <row r="140" spans="1:13" ht="12.75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</row>
    <row r="141" spans="1:13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</row>
    <row r="142" spans="1:1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</row>
    <row r="143" spans="1:13" ht="12.75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</row>
    <row r="144" spans="1:13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</row>
    <row r="145" spans="1:1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</row>
    <row r="146" spans="1:13" ht="12.75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</row>
    <row r="147" spans="1:13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</row>
    <row r="148" spans="1:1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</row>
    <row r="149" spans="1:13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</row>
    <row r="150" spans="1:13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</row>
    <row r="151" spans="1:1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</row>
    <row r="152" spans="1:13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</row>
    <row r="153" spans="1:13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</row>
    <row r="154" spans="1:1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</row>
    <row r="155" spans="1:13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</row>
    <row r="156" spans="1:13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</row>
    <row r="157" spans="1:1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</row>
    <row r="158" spans="1:13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</row>
    <row r="159" spans="1:13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</row>
    <row r="160" spans="1:1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</row>
    <row r="161" spans="1:13" ht="12.75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</row>
    <row r="162" spans="1:13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</row>
    <row r="163" spans="1:13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</row>
    <row r="164" spans="1:13" ht="12.75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</row>
    <row r="165" spans="1:13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</row>
    <row r="166" spans="1:13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</row>
    <row r="167" spans="1:13" ht="12.75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</row>
    <row r="168" spans="1:13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</row>
    <row r="169" spans="1:13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</row>
    <row r="170" spans="1:13" ht="12.75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</row>
    <row r="171" spans="1:13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</row>
    <row r="172" spans="1:13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</row>
    <row r="173" spans="1:13" ht="12.75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</row>
    <row r="174" spans="1:13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</row>
    <row r="175" spans="1:13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</row>
    <row r="176" spans="1:13" ht="12.75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</row>
    <row r="177" spans="1:13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</row>
    <row r="178" spans="1:13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</row>
    <row r="179" spans="1:13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</row>
    <row r="180" spans="1:13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</row>
    <row r="181" spans="1:13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</row>
    <row r="182" spans="1:13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</row>
    <row r="183" spans="1:13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</row>
    <row r="184" spans="1:13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</row>
    <row r="185" spans="1:13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</row>
    <row r="186" spans="1:13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</row>
    <row r="187" spans="1:13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</row>
    <row r="188" spans="1:13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</row>
    <row r="189" spans="1:13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</row>
    <row r="190" spans="1:13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</row>
    <row r="191" spans="1:13" ht="12.75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</row>
    <row r="192" spans="1:13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</row>
    <row r="193" spans="1:13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</row>
    <row r="194" spans="1:13" ht="12.75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</row>
    <row r="195" spans="1:13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</row>
    <row r="196" spans="1:13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</row>
    <row r="197" spans="1:13" ht="12.75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</row>
    <row r="198" spans="1:13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</row>
    <row r="199" spans="1:13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</row>
    <row r="200" spans="1:13" ht="12.75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</row>
    <row r="201" spans="1:13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</row>
    <row r="202" spans="1:13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</row>
    <row r="203" spans="1:13" ht="12.75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/>
    </row>
    <row r="204" spans="1:13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</row>
    <row r="205" spans="1:13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</row>
    <row r="206" spans="1:13" ht="12.75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/>
    </row>
    <row r="207" spans="1:13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</row>
    <row r="208" spans="1:13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</row>
    <row r="209" spans="1:13" ht="12.75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/>
    </row>
    <row r="210" spans="1:13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</row>
    <row r="211" spans="1:13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</row>
    <row r="212" spans="1:13" ht="12.75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/>
    </row>
    <row r="213" spans="1:13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</row>
    <row r="214" spans="1:13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</row>
    <row r="215" spans="1:13" ht="12.75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/>
    </row>
    <row r="216" spans="1:13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</row>
    <row r="217" spans="1:13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</row>
    <row r="218" spans="1:13" ht="12.75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/>
    </row>
    <row r="219" spans="1:13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</row>
    <row r="220" spans="1:13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</row>
    <row r="221" spans="1:13" ht="12.75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/>
    </row>
    <row r="222" spans="1:13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</row>
    <row r="223" spans="1:13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</row>
    <row r="224" spans="1:13" ht="12.75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/>
    </row>
    <row r="225" spans="1:13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</row>
    <row r="226" spans="1:13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</row>
    <row r="227" spans="1:13" ht="12.75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/>
    </row>
    <row r="228" spans="1:13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</row>
    <row r="229" spans="1:13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</row>
    <row r="230" spans="1:13" ht="12.75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</row>
    <row r="231" spans="1:13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</row>
    <row r="232" spans="1:13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</row>
    <row r="233" spans="1:13" ht="12.75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</row>
    <row r="234" spans="1:13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</row>
    <row r="235" spans="1:13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</row>
    <row r="236" spans="1:13" ht="12.75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</row>
    <row r="237" spans="1:13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</row>
    <row r="238" spans="1:13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</row>
    <row r="239" spans="1:13" ht="12.75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</row>
    <row r="240" spans="1:13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</row>
    <row r="241" spans="1:13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</row>
    <row r="242" spans="1:13" ht="12.75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</row>
    <row r="243" spans="1:13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</row>
    <row r="244" spans="1:13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</row>
    <row r="245" spans="1:13" ht="12.75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</row>
    <row r="246" spans="1:13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</row>
    <row r="247" spans="1:13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</row>
    <row r="248" spans="1:13" ht="12.75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</row>
    <row r="249" spans="1:13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</row>
    <row r="250" spans="1:13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</row>
    <row r="251" spans="1:13" ht="12.75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</row>
    <row r="252" spans="1:13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</row>
    <row r="253" spans="1:13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</row>
    <row r="254" spans="1:13" ht="12.75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</row>
    <row r="255" spans="1:13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</row>
    <row r="256" spans="1:13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</row>
    <row r="257" spans="1:13" ht="12.75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</row>
    <row r="258" spans="1:13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</row>
    <row r="259" spans="1:13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</row>
    <row r="260" spans="1:13" ht="12.75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</row>
    <row r="261" spans="1:13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</row>
    <row r="262" spans="1:13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</row>
    <row r="263" spans="1:13" ht="12.75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</row>
    <row r="264" spans="1:13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</row>
    <row r="265" spans="1:13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</row>
    <row r="266" spans="1:13" ht="12.75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</row>
    <row r="267" spans="1:13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</row>
    <row r="268" spans="1:13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</row>
    <row r="269" spans="1:13" ht="12.75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</row>
    <row r="270" spans="1:13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</row>
    <row r="271" spans="1:13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</row>
    <row r="272" spans="1:13" ht="12.75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</row>
    <row r="273" spans="1:13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</row>
    <row r="274" spans="1:13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</row>
    <row r="275" spans="1:13" ht="12.75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</row>
    <row r="276" spans="1:13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</row>
    <row r="277" spans="1:13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</row>
    <row r="278" spans="1:13" ht="12.75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</row>
    <row r="279" spans="1:13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</row>
    <row r="280" spans="1:13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</row>
    <row r="281" spans="1:13" ht="12.75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</row>
    <row r="282" spans="1:13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</row>
    <row r="283" spans="1:13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</row>
    <row r="284" spans="1:13" ht="12.75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</row>
    <row r="285" spans="1:13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</row>
    <row r="286" spans="1:13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</row>
    <row r="287" spans="1:13" ht="12.75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</row>
    <row r="288" spans="1:13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</row>
    <row r="289" spans="1:13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</row>
    <row r="290" spans="1:13" ht="12.75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</row>
    <row r="291" spans="1:13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</row>
    <row r="292" spans="1:13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</row>
    <row r="293" spans="1:13" ht="12.75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</row>
    <row r="294" spans="1:13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</row>
    <row r="295" spans="1:13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</row>
    <row r="296" spans="1:13" ht="12.75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</row>
    <row r="297" spans="1:13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</row>
    <row r="298" spans="1:13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</row>
    <row r="299" spans="1:13" ht="12.75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</row>
    <row r="300" spans="1:13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</row>
    <row r="301" spans="1:13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</row>
    <row r="302" spans="1:13" ht="12.75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</row>
    <row r="303" spans="1:13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</row>
    <row r="304" spans="1:13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</row>
    <row r="305" spans="1:13" ht="12.75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</row>
    <row r="306" spans="1:13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</row>
    <row r="307" spans="1:13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</row>
    <row r="308" spans="1:13" ht="12.75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</row>
    <row r="309" spans="1:13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</row>
    <row r="310" spans="1:13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</row>
    <row r="311" spans="1:13" ht="12.75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</row>
    <row r="312" spans="1:13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</row>
    <row r="313" spans="1:13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</row>
    <row r="314" spans="1:13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</row>
    <row r="315" spans="1:13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</row>
    <row r="316" spans="1:13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</row>
    <row r="317" spans="1:13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</row>
    <row r="318" spans="1:13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</row>
    <row r="319" spans="1:13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</row>
    <row r="320" spans="1:13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</row>
    <row r="321" spans="1:13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</row>
    <row r="322" spans="1:13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</row>
    <row r="323" spans="1:13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</row>
    <row r="324" spans="1:13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</row>
    <row r="325" spans="1:13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</row>
    <row r="326" spans="1:13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</row>
    <row r="327" spans="1:13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</row>
    <row r="328" spans="1:13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</row>
    <row r="329" spans="1:13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</row>
    <row r="330" spans="1:13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</row>
    <row r="331" spans="1:13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</row>
    <row r="332" spans="1:13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</row>
    <row r="333" spans="1:13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</row>
    <row r="334" spans="1:13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</row>
    <row r="335" spans="1:13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</row>
    <row r="336" spans="1:13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</row>
    <row r="337" spans="1:13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</row>
    <row r="338" spans="1:13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</row>
    <row r="339" spans="1:13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</row>
    <row r="340" spans="1:13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</row>
    <row r="341" spans="1:13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</row>
    <row r="342" spans="1:13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</row>
    <row r="343" spans="1:13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</row>
    <row r="344" spans="1:13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</row>
    <row r="345" spans="1:13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</row>
    <row r="346" spans="1:13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</row>
    <row r="347" spans="1:13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</row>
    <row r="348" spans="1:13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</row>
    <row r="349" spans="1:13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</row>
    <row r="350" spans="1:13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</row>
    <row r="351" spans="1:13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</row>
    <row r="352" spans="1:13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</row>
    <row r="353" spans="1:13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</row>
    <row r="354" spans="1:13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</row>
    <row r="355" spans="1:13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</row>
    <row r="356" spans="1:13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</row>
    <row r="357" spans="1:13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</row>
    <row r="358" spans="1:13" x14ac:dyDescent="0.2"/>
    <row r="359" spans="1:13" x14ac:dyDescent="0.2"/>
    <row r="360" spans="1:13" x14ac:dyDescent="0.2"/>
    <row r="361" spans="1:13" x14ac:dyDescent="0.2"/>
  </sheetData>
  <pageMargins left="0.25" right="0.25" top="0.75" bottom="0.75" header="0.3" footer="0.3"/>
  <pageSetup paperSize="9" scale="38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2AC031D-7234-488B-9D38-EA5D3519E762}">
            <xm:f>Data!#REF!</xm:f>
            <x14:dxf>
              <font>
                <color theme="0"/>
              </font>
            </x14:dxf>
          </x14:cfRule>
          <xm:sqref>E19</xm:sqref>
        </x14:conditionalFormatting>
        <x14:conditionalFormatting xmlns:xm="http://schemas.microsoft.com/office/excel/2006/main">
          <x14:cfRule type="expression" priority="198" id="{6E0000F2-4B34-40F0-A950-26A22E7F516A}">
            <xm:f>Data!#REF!</xm:f>
            <x14:dxf>
              <font>
                <color theme="0"/>
              </font>
            </x14:dxf>
          </x14:cfRule>
          <xm:sqref>K9:K10 C9:D13 G9:I13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EEEA9-DF92-454A-AC78-2AB747F8189C}">
  <sheetPr codeName="Sheet2">
    <tabColor rgb="FFFFFFCC"/>
  </sheetPr>
  <dimension ref="A1:CM110"/>
  <sheetViews>
    <sheetView showGridLines="0" zoomScale="80" zoomScaleNormal="80" workbookViewId="0">
      <pane ySplit="2" topLeftCell="A3" activePane="bottomLeft" state="frozen"/>
      <selection activeCell="N2" sqref="N2"/>
      <selection pane="bottomLeft" activeCell="E9" sqref="E9"/>
    </sheetView>
  </sheetViews>
  <sheetFormatPr defaultColWidth="9" defaultRowHeight="12.75" x14ac:dyDescent="0.2"/>
  <cols>
    <col min="1" max="1" width="3.625" style="7" customWidth="1"/>
    <col min="2" max="2" width="2.625" style="7" customWidth="1"/>
    <col min="3" max="3" width="14.75" style="7" customWidth="1"/>
    <col min="4" max="4" width="13.875" style="7" customWidth="1"/>
    <col min="5" max="5" width="14.625" style="7" customWidth="1"/>
    <col min="6" max="6" width="1.125" style="7" customWidth="1"/>
    <col min="7" max="7" width="14.75" style="7" customWidth="1"/>
    <col min="8" max="8" width="12.875" style="7" customWidth="1"/>
    <col min="9" max="9" width="11.5" style="7" customWidth="1"/>
    <col min="10" max="10" width="6.875" style="7" customWidth="1"/>
    <col min="11" max="16" width="8.125" style="7" customWidth="1"/>
    <col min="17" max="19" width="9" style="7"/>
    <col min="20" max="20" width="17.625" style="7" customWidth="1"/>
    <col min="21" max="16384" width="9" style="7"/>
  </cols>
  <sheetData>
    <row r="1" spans="1:91" ht="18.75" x14ac:dyDescent="0.3">
      <c r="A1" s="10" t="str">
        <f>bus</f>
        <v>Powercor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</row>
    <row r="2" spans="1:91" ht="15" x14ac:dyDescent="0.25">
      <c r="A2" s="165" t="str">
        <f>Summary!A2</f>
        <v>Quick connect points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5"/>
      <c r="AH2" s="165"/>
      <c r="AI2" s="165"/>
      <c r="AJ2" s="165"/>
      <c r="AK2" s="165"/>
      <c r="AL2" s="165"/>
      <c r="AM2" s="165"/>
      <c r="AN2" s="165"/>
      <c r="AO2" s="165"/>
      <c r="AP2" s="165"/>
      <c r="AQ2" s="165"/>
      <c r="AR2" s="165"/>
      <c r="AS2" s="165"/>
      <c r="AT2" s="165"/>
      <c r="AU2" s="165"/>
      <c r="AV2" s="165"/>
      <c r="AW2" s="165"/>
      <c r="AX2" s="165"/>
      <c r="AY2" s="165"/>
      <c r="AZ2" s="165"/>
      <c r="BA2" s="165"/>
      <c r="BB2" s="165"/>
      <c r="BC2" s="165"/>
      <c r="BD2" s="165"/>
      <c r="BE2" s="165"/>
      <c r="BF2" s="165"/>
      <c r="BG2" s="165"/>
      <c r="BH2" s="165"/>
      <c r="BI2" s="165"/>
      <c r="BJ2" s="165"/>
      <c r="BK2" s="165"/>
      <c r="BL2" s="165"/>
      <c r="BM2" s="165"/>
      <c r="BN2" s="165"/>
      <c r="BO2" s="165"/>
      <c r="BP2" s="165"/>
      <c r="BQ2" s="165"/>
      <c r="BR2" s="165"/>
      <c r="BS2" s="165"/>
      <c r="BT2" s="165"/>
      <c r="BU2" s="165"/>
      <c r="BV2" s="165"/>
      <c r="BW2" s="165"/>
      <c r="BX2" s="165"/>
      <c r="BY2" s="165"/>
      <c r="BZ2" s="165"/>
      <c r="CA2" s="165"/>
      <c r="CB2" s="165"/>
      <c r="CC2" s="165"/>
      <c r="CD2" s="165"/>
      <c r="CE2" s="165"/>
      <c r="CF2" s="165"/>
      <c r="CG2" s="165"/>
      <c r="CH2" s="165"/>
      <c r="CI2" s="165"/>
      <c r="CJ2" s="165"/>
      <c r="CK2" s="165"/>
      <c r="CL2" s="165"/>
      <c r="CM2" s="165"/>
    </row>
    <row r="4" spans="1:91" s="1" customFormat="1" ht="15" x14ac:dyDescent="0.2">
      <c r="A4" s="17" t="s">
        <v>11</v>
      </c>
      <c r="B4" s="17"/>
      <c r="C4" s="15"/>
      <c r="D4" s="15"/>
      <c r="E4" s="15"/>
      <c r="F4" s="15"/>
      <c r="G4" s="15"/>
      <c r="H4" s="15"/>
      <c r="I4" s="15"/>
      <c r="J4" s="15"/>
      <c r="K4" s="16"/>
      <c r="L4" s="16"/>
      <c r="M4" s="16"/>
      <c r="N4" s="16"/>
      <c r="O4" s="16"/>
      <c r="P4" s="16"/>
    </row>
    <row r="5" spans="1:91" s="1" customFormat="1" x14ac:dyDescent="0.2">
      <c r="M5" s="11"/>
      <c r="N5" s="11"/>
      <c r="O5" s="11"/>
      <c r="P5" s="11"/>
    </row>
    <row r="6" spans="1:91" ht="12.75" customHeight="1" x14ac:dyDescent="0.2">
      <c r="C6" s="13" t="s">
        <v>12</v>
      </c>
      <c r="D6" s="52"/>
      <c r="E6" s="12" t="s">
        <v>13</v>
      </c>
    </row>
    <row r="7" spans="1:91" s="1" customFormat="1" ht="12.75" customHeight="1" x14ac:dyDescent="0.2">
      <c r="M7" s="11"/>
      <c r="N7" s="11"/>
      <c r="O7" s="11"/>
      <c r="P7" s="11"/>
    </row>
    <row r="8" spans="1:91" x14ac:dyDescent="0.2">
      <c r="C8" s="13" t="s">
        <v>14</v>
      </c>
      <c r="D8" s="13"/>
      <c r="E8" s="234" t="s">
        <v>473</v>
      </c>
      <c r="F8" s="234"/>
      <c r="G8" s="234"/>
      <c r="H8" s="234"/>
      <c r="I8" s="1"/>
      <c r="J8" s="1"/>
    </row>
    <row r="9" spans="1:91" x14ac:dyDescent="0.2">
      <c r="C9" s="13"/>
      <c r="D9" s="13"/>
    </row>
    <row r="10" spans="1:91" s="1" customFormat="1" x14ac:dyDescent="0.2">
      <c r="C10" s="3" t="s">
        <v>15</v>
      </c>
      <c r="D10" s="52"/>
      <c r="E10" s="49" t="s">
        <v>138</v>
      </c>
      <c r="F10" s="7"/>
      <c r="G10" s="31">
        <v>2023</v>
      </c>
      <c r="I10" s="53"/>
      <c r="J10" s="53"/>
    </row>
    <row r="11" spans="1:91" x14ac:dyDescent="0.2">
      <c r="I11" s="53"/>
      <c r="J11" s="53"/>
    </row>
    <row r="12" spans="1:91" x14ac:dyDescent="0.2">
      <c r="H12" s="34"/>
      <c r="I12" s="34"/>
      <c r="J12" s="34"/>
    </row>
    <row r="13" spans="1:91" s="59" customFormat="1" x14ac:dyDescent="0.2">
      <c r="C13" s="60" t="s">
        <v>6</v>
      </c>
      <c r="D13" s="60"/>
      <c r="E13" s="60" t="s">
        <v>17</v>
      </c>
      <c r="F13" s="60"/>
      <c r="G13" s="60"/>
      <c r="H13" s="61"/>
      <c r="I13" s="61"/>
      <c r="J13" s="61"/>
      <c r="K13" s="61"/>
      <c r="L13"/>
    </row>
    <row r="14" spans="1:91" s="1" customFormat="1" ht="12.75" customHeight="1" x14ac:dyDescent="0.2">
      <c r="C14" s="50" t="s">
        <v>86</v>
      </c>
      <c r="D14" s="50"/>
      <c r="E14" s="235" t="s">
        <v>18</v>
      </c>
      <c r="F14" s="235"/>
      <c r="G14" s="235"/>
      <c r="H14" s="235"/>
      <c r="I14" s="235"/>
      <c r="J14" s="235"/>
      <c r="K14" s="235"/>
      <c r="L14"/>
    </row>
    <row r="15" spans="1:91" s="1" customFormat="1" x14ac:dyDescent="0.2">
      <c r="C15" s="50" t="s">
        <v>85</v>
      </c>
      <c r="D15" s="50"/>
      <c r="E15" s="236" t="s">
        <v>455</v>
      </c>
      <c r="F15" s="236"/>
      <c r="G15" s="236"/>
      <c r="H15" s="236"/>
      <c r="I15" s="236"/>
      <c r="J15" s="236"/>
      <c r="K15" s="236"/>
      <c r="L15"/>
    </row>
    <row r="16" spans="1:91" s="1" customFormat="1" ht="12.75" customHeight="1" x14ac:dyDescent="0.2">
      <c r="C16"/>
      <c r="D16"/>
      <c r="E16"/>
      <c r="F16"/>
      <c r="G16"/>
      <c r="H16"/>
      <c r="I16"/>
      <c r="J16"/>
      <c r="K16"/>
      <c r="L16"/>
      <c r="M16"/>
    </row>
    <row r="17" spans="1:16" s="1" customFormat="1" ht="15.75" x14ac:dyDescent="0.25">
      <c r="E17" s="5"/>
      <c r="F17" s="5"/>
      <c r="L17" s="7"/>
    </row>
    <row r="18" spans="1:16" s="1" customFormat="1" ht="15" x14ac:dyDescent="0.2">
      <c r="A18" s="17" t="s">
        <v>19</v>
      </c>
      <c r="B18" s="17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6"/>
      <c r="N18" s="16"/>
      <c r="O18" s="16"/>
      <c r="P18" s="16"/>
    </row>
    <row r="19" spans="1:16" s="1" customFormat="1" x14ac:dyDescent="0.2"/>
    <row r="20" spans="1:16" s="1" customFormat="1" x14ac:dyDescent="0.2">
      <c r="C20" s="1" t="s">
        <v>20</v>
      </c>
      <c r="G20" s="54">
        <f>EOMONTH(DATE(Assumptions!$G$10,INDEX(Data!$J$62:$J$63, MATCH(Assumptions!$E$10, Data!$I$62:$I$63,0)), 1),0)</f>
        <v>45291</v>
      </c>
      <c r="H20" s="55" t="s">
        <v>21</v>
      </c>
    </row>
    <row r="21" spans="1:16" s="1" customFormat="1" x14ac:dyDescent="0.2">
      <c r="C21" s="1" t="s">
        <v>22</v>
      </c>
      <c r="G21" s="100">
        <v>3.5000000000000003E-2</v>
      </c>
      <c r="H21" s="55" t="s">
        <v>23</v>
      </c>
      <c r="J21" s="55"/>
    </row>
    <row r="22" spans="1:16" s="1" customFormat="1" x14ac:dyDescent="0.2">
      <c r="C22" s="1" t="s">
        <v>24</v>
      </c>
      <c r="G22" s="101">
        <v>45657</v>
      </c>
      <c r="H22" s="55" t="s">
        <v>25</v>
      </c>
      <c r="J22" s="55"/>
    </row>
    <row r="23" spans="1:16" s="1" customFormat="1" x14ac:dyDescent="0.2">
      <c r="J23" s="55"/>
    </row>
    <row r="24" spans="1:16" s="1" customFormat="1" x14ac:dyDescent="0.2">
      <c r="C24" s="1" t="s">
        <v>26</v>
      </c>
      <c r="G24" s="106" t="s">
        <v>48</v>
      </c>
      <c r="H24" s="55" t="s">
        <v>27</v>
      </c>
      <c r="J24" s="55"/>
    </row>
    <row r="25" spans="1:16" s="1" customFormat="1" x14ac:dyDescent="0.2"/>
    <row r="26" spans="1:16" x14ac:dyDescent="0.2">
      <c r="C26" s="7" t="s">
        <v>28</v>
      </c>
      <c r="G26" s="42">
        <v>20</v>
      </c>
      <c r="H26" s="55" t="s">
        <v>29</v>
      </c>
    </row>
    <row r="27" spans="1:16" s="1" customFormat="1" x14ac:dyDescent="0.2"/>
    <row r="28" spans="1:16" s="1" customFormat="1" x14ac:dyDescent="0.2">
      <c r="C28" s="1" t="s">
        <v>30</v>
      </c>
      <c r="G28" s="102">
        <v>46203</v>
      </c>
      <c r="H28" s="55" t="s">
        <v>31</v>
      </c>
      <c r="J28" s="55"/>
    </row>
    <row r="29" spans="1:16" s="1" customFormat="1" x14ac:dyDescent="0.2">
      <c r="C29" s="1" t="s">
        <v>32</v>
      </c>
      <c r="G29" s="101">
        <v>45291</v>
      </c>
      <c r="H29" s="55" t="s">
        <v>33</v>
      </c>
      <c r="J29" s="55"/>
    </row>
    <row r="30" spans="1:16" s="1" customFormat="1" ht="13.5" x14ac:dyDescent="0.25">
      <c r="C30" s="1" t="s">
        <v>34</v>
      </c>
      <c r="G30" s="101">
        <v>45107</v>
      </c>
      <c r="H30" s="55"/>
      <c r="J30" s="55"/>
    </row>
    <row r="35" spans="1:17" s="1" customFormat="1" ht="15" x14ac:dyDescent="0.2">
      <c r="A35" s="17" t="s">
        <v>0</v>
      </c>
      <c r="B35" s="17"/>
      <c r="C35" s="15"/>
      <c r="D35" s="15"/>
      <c r="E35" s="15"/>
      <c r="F35" s="15"/>
      <c r="G35" s="15"/>
      <c r="H35" s="15"/>
      <c r="I35" s="15"/>
      <c r="J35" s="15"/>
      <c r="K35" s="15"/>
      <c r="L35" s="16"/>
      <c r="M35" s="16"/>
      <c r="N35" s="16"/>
      <c r="O35" s="16"/>
      <c r="P35" s="16"/>
    </row>
    <row r="37" spans="1:17" x14ac:dyDescent="0.2">
      <c r="C37" s="211"/>
      <c r="D37" s="211"/>
      <c r="E37" s="211"/>
      <c r="F37" s="211"/>
      <c r="G37" s="212"/>
      <c r="H37" s="212"/>
    </row>
    <row r="38" spans="1:17" x14ac:dyDescent="0.2">
      <c r="A38"/>
      <c r="C38" s="208" t="s">
        <v>458</v>
      </c>
      <c r="D38" s="208"/>
      <c r="E38" s="209">
        <v>45809</v>
      </c>
      <c r="F38" s="209"/>
      <c r="G38" s="98">
        <v>300000</v>
      </c>
      <c r="H38" s="210"/>
      <c r="I38"/>
      <c r="J38"/>
      <c r="K38"/>
      <c r="L38"/>
      <c r="M38"/>
      <c r="N38"/>
      <c r="O38"/>
      <c r="P38"/>
      <c r="Q38"/>
    </row>
    <row r="39" spans="1:17" x14ac:dyDescent="0.2">
      <c r="A39"/>
      <c r="C39" s="208" t="s">
        <v>458</v>
      </c>
      <c r="D39" s="92"/>
      <c r="E39" s="209">
        <v>45291</v>
      </c>
      <c r="G39" s="215">
        <f>G38*Misc_calcs!G23</f>
        <v>277649.8236361419</v>
      </c>
      <c r="I39"/>
      <c r="J39"/>
      <c r="K39"/>
      <c r="L39"/>
      <c r="M39"/>
      <c r="N39"/>
      <c r="O39"/>
      <c r="P39"/>
      <c r="Q39"/>
    </row>
    <row r="40" spans="1:17" x14ac:dyDescent="0.2">
      <c r="A40" s="1"/>
      <c r="C40" s="1" t="s">
        <v>220</v>
      </c>
      <c r="D40" s="1"/>
      <c r="F40" s="1"/>
      <c r="G40" s="192">
        <v>55</v>
      </c>
      <c r="H40" s="197"/>
    </row>
    <row r="41" spans="1:17" x14ac:dyDescent="0.2">
      <c r="A41" s="1"/>
      <c r="B41" s="1"/>
      <c r="C41" s="1"/>
      <c r="D41" s="1"/>
      <c r="E41" s="1"/>
      <c r="F41" s="1"/>
      <c r="G41" s="1"/>
    </row>
    <row r="42" spans="1:17" x14ac:dyDescent="0.2">
      <c r="A42" s="1"/>
      <c r="B42" s="1"/>
      <c r="C42" s="1"/>
      <c r="D42" s="1"/>
      <c r="E42" s="1"/>
      <c r="F42" s="1"/>
      <c r="G42" s="1"/>
    </row>
    <row r="43" spans="1:17" x14ac:dyDescent="0.2">
      <c r="A43" s="1"/>
      <c r="B43" s="1"/>
      <c r="C43" s="1"/>
      <c r="D43" s="1"/>
      <c r="E43" s="1"/>
      <c r="F43" s="1"/>
      <c r="G43" s="1"/>
    </row>
    <row r="44" spans="1:17" s="1" customFormat="1" ht="15" x14ac:dyDescent="0.2">
      <c r="A44" s="17" t="s">
        <v>321</v>
      </c>
      <c r="B44" s="17"/>
      <c r="C44" s="15"/>
      <c r="D44" s="15"/>
      <c r="E44" s="15"/>
      <c r="F44" s="15"/>
      <c r="G44" s="15"/>
      <c r="H44" s="15"/>
      <c r="I44" s="15"/>
      <c r="J44" s="15"/>
      <c r="K44" s="15"/>
      <c r="L44" s="16"/>
      <c r="M44" s="16"/>
      <c r="N44" s="16"/>
      <c r="O44" s="16"/>
      <c r="P44" s="16"/>
    </row>
    <row r="45" spans="1:17" x14ac:dyDescent="0.2">
      <c r="A45" s="1"/>
      <c r="B45" s="1"/>
      <c r="C45" s="1"/>
      <c r="D45" s="1"/>
      <c r="E45" s="1"/>
      <c r="F45" s="1"/>
      <c r="G45" s="1"/>
    </row>
    <row r="46" spans="1:17" x14ac:dyDescent="0.2">
      <c r="A46" s="1"/>
      <c r="B46" s="1"/>
      <c r="C46" s="1"/>
      <c r="D46" s="1"/>
      <c r="E46" s="1"/>
      <c r="F46" s="1"/>
      <c r="G46" s="1"/>
    </row>
    <row r="47" spans="1:17" x14ac:dyDescent="0.2">
      <c r="A47" s="1"/>
      <c r="B47" s="1"/>
      <c r="C47" s="1"/>
      <c r="D47" s="1"/>
      <c r="E47" s="1"/>
      <c r="F47" s="1"/>
      <c r="G47" s="57" t="s">
        <v>387</v>
      </c>
      <c r="H47" s="122" t="s">
        <v>388</v>
      </c>
      <c r="I47" s="122" t="s">
        <v>389</v>
      </c>
    </row>
    <row r="48" spans="1:17" x14ac:dyDescent="0.2">
      <c r="A48" s="1"/>
      <c r="B48" s="1"/>
      <c r="C48" s="11" t="s">
        <v>390</v>
      </c>
      <c r="D48" s="1"/>
      <c r="E48" s="56">
        <f>vcr_date</f>
        <v>45657</v>
      </c>
      <c r="F48" s="1"/>
      <c r="G48" s="98">
        <v>34390</v>
      </c>
      <c r="H48" s="98">
        <v>33490</v>
      </c>
      <c r="I48" s="98">
        <v>22250</v>
      </c>
    </row>
    <row r="49" spans="1:16" x14ac:dyDescent="0.2">
      <c r="A49" s="1"/>
      <c r="B49" s="1"/>
      <c r="C49" s="1" t="s">
        <v>463</v>
      </c>
      <c r="D49" s="1"/>
      <c r="E49" s="56">
        <f>vcr_date</f>
        <v>45657</v>
      </c>
      <c r="F49" s="1"/>
      <c r="G49" s="98">
        <v>10120.346334172</v>
      </c>
      <c r="H49" s="98">
        <v>8296.0059374104003</v>
      </c>
      <c r="I49" s="98">
        <v>8532.6010035645195</v>
      </c>
    </row>
    <row r="50" spans="1:16" x14ac:dyDescent="0.2">
      <c r="A50" s="1"/>
      <c r="B50" s="1"/>
      <c r="C50" s="1"/>
      <c r="D50" s="1"/>
      <c r="E50" s="1"/>
      <c r="F50" s="1"/>
      <c r="G50" s="1"/>
    </row>
    <row r="51" spans="1:16" x14ac:dyDescent="0.2">
      <c r="A51" s="1"/>
      <c r="B51" s="1"/>
      <c r="C51" s="1"/>
      <c r="D51" s="1"/>
      <c r="E51" s="1"/>
      <c r="F51" s="1"/>
      <c r="G51" s="1"/>
    </row>
    <row r="52" spans="1:16" x14ac:dyDescent="0.2">
      <c r="A52" s="1"/>
      <c r="B52" s="1"/>
      <c r="C52" s="1" t="s">
        <v>404</v>
      </c>
      <c r="D52" s="1"/>
      <c r="E52" s="1"/>
      <c r="F52" s="1"/>
      <c r="G52" s="192">
        <v>5</v>
      </c>
      <c r="H52" s="7" t="s">
        <v>405</v>
      </c>
    </row>
    <row r="53" spans="1:16" x14ac:dyDescent="0.2">
      <c r="C53" s="1"/>
      <c r="G53" s="213"/>
    </row>
    <row r="55" spans="1:16" ht="15" x14ac:dyDescent="0.2">
      <c r="A55" s="17" t="s">
        <v>221</v>
      </c>
      <c r="B55" s="17"/>
      <c r="C55" s="15"/>
      <c r="D55" s="15"/>
      <c r="E55" s="15"/>
      <c r="F55" s="15"/>
      <c r="G55" s="15"/>
      <c r="H55" s="15"/>
      <c r="I55" s="15"/>
      <c r="J55" s="15"/>
      <c r="K55" s="15"/>
      <c r="L55" s="16"/>
      <c r="M55" s="16"/>
      <c r="N55" s="16"/>
      <c r="O55" s="16"/>
      <c r="P55" s="16"/>
    </row>
    <row r="58" spans="1:16" x14ac:dyDescent="0.2">
      <c r="B58" s="27" t="s">
        <v>35</v>
      </c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</row>
    <row r="60" spans="1:16" x14ac:dyDescent="0.2">
      <c r="C60" s="7" t="s">
        <v>36</v>
      </c>
      <c r="G60" s="78">
        <v>5400000</v>
      </c>
      <c r="H60" s="56">
        <v>45107</v>
      </c>
    </row>
    <row r="62" spans="1:16" x14ac:dyDescent="0.2">
      <c r="C62" s="7" t="s">
        <v>37</v>
      </c>
      <c r="G62" s="78">
        <v>0</v>
      </c>
      <c r="H62" s="56">
        <f>input_dollars</f>
        <v>45291</v>
      </c>
    </row>
    <row r="64" spans="1:16" x14ac:dyDescent="0.2">
      <c r="C64" s="13" t="str">
        <f>Data!A45</f>
        <v>Disproportionate factors applied to various bushfire and other risk valuations</v>
      </c>
    </row>
    <row r="65" spans="3:13" x14ac:dyDescent="0.2">
      <c r="C65" s="7" t="str">
        <f>Data!B47</f>
        <v>Harm to property from network</v>
      </c>
      <c r="G65" s="42">
        <f>Data!F47</f>
        <v>1</v>
      </c>
    </row>
    <row r="66" spans="3:13" x14ac:dyDescent="0.2">
      <c r="C66" s="7" t="str">
        <f>Data!B48</f>
        <v>Harm to property from bushfire</v>
      </c>
      <c r="G66" s="42">
        <f>Data!F48</f>
        <v>1</v>
      </c>
    </row>
    <row r="67" spans="3:13" x14ac:dyDescent="0.2">
      <c r="C67" s="7" t="str">
        <f>Data!B49</f>
        <v>Harm to environment</v>
      </c>
      <c r="G67" s="42">
        <f>Data!F49</f>
        <v>1</v>
      </c>
    </row>
    <row r="68" spans="3:13" x14ac:dyDescent="0.2">
      <c r="C68" s="7" t="str">
        <f>Data!B50</f>
        <v>Safety - Public trespass</v>
      </c>
      <c r="G68" s="42">
        <f>Data!F50</f>
        <v>1</v>
      </c>
    </row>
    <row r="69" spans="3:13" x14ac:dyDescent="0.2">
      <c r="C69" s="7" t="str">
        <f>Data!B51</f>
        <v>Safety - Single fatality or serious injury ^</v>
      </c>
      <c r="G69" s="42">
        <f>Data!F51</f>
        <v>3</v>
      </c>
    </row>
    <row r="70" spans="3:13" x14ac:dyDescent="0.2">
      <c r="C70" s="7" t="str">
        <f>Data!B52</f>
        <v>Safety from bushfire in HBRA</v>
      </c>
      <c r="G70" s="42">
        <f>Data!F52</f>
        <v>3</v>
      </c>
    </row>
    <row r="71" spans="3:13" x14ac:dyDescent="0.2">
      <c r="C71" s="7" t="str">
        <f>Data!B53</f>
        <v>Safety - Multiple fatality or serious injury ^</v>
      </c>
      <c r="G71" s="42">
        <f>Data!F53</f>
        <v>6</v>
      </c>
    </row>
    <row r="72" spans="3:13" x14ac:dyDescent="0.2">
      <c r="C72" s="7" t="str">
        <f>Data!B54</f>
        <v>Safety from bushfire (REFCL declared areas)</v>
      </c>
      <c r="G72" s="42">
        <f>Data!F54</f>
        <v>6</v>
      </c>
    </row>
    <row r="73" spans="3:13" x14ac:dyDescent="0.2">
      <c r="C73" s="7" t="str">
        <f>Data!B55</f>
        <v>Safety from bushfire (electric line construction areas)</v>
      </c>
      <c r="G73" s="42">
        <f>Data!F55</f>
        <v>10</v>
      </c>
    </row>
    <row r="74" spans="3:13" x14ac:dyDescent="0.2">
      <c r="E74"/>
      <c r="F74"/>
      <c r="G74"/>
      <c r="H74"/>
    </row>
    <row r="76" spans="3:13" x14ac:dyDescent="0.2">
      <c r="C76" s="66" t="s">
        <v>38</v>
      </c>
    </row>
    <row r="79" spans="3:13" x14ac:dyDescent="0.2">
      <c r="C79" s="44" t="s">
        <v>39</v>
      </c>
      <c r="D79" s="48"/>
      <c r="E79" s="48"/>
      <c r="F79" s="48"/>
      <c r="G79" s="81" t="s">
        <v>40</v>
      </c>
      <c r="H79" s="81" t="s">
        <v>41</v>
      </c>
      <c r="I79" s="81" t="s">
        <v>42</v>
      </c>
      <c r="J79" s="80" t="s">
        <v>43</v>
      </c>
      <c r="K79" s="81"/>
      <c r="L79" s="81"/>
      <c r="M79" s="81"/>
    </row>
    <row r="80" spans="3:13" x14ac:dyDescent="0.2">
      <c r="C80" s="7" t="s">
        <v>44</v>
      </c>
      <c r="G80" s="70">
        <f>G60*INDEX(hy_escalation, MATCH(input_dollars,hy_dates,0))/INDEX(hy_escalation, MATCH(H60,hy_dates,0))</f>
        <v>5607473.5197347086</v>
      </c>
      <c r="H80" s="84">
        <v>0</v>
      </c>
      <c r="I80" s="85">
        <v>0</v>
      </c>
      <c r="J80" s="228">
        <v>0</v>
      </c>
      <c r="K80" s="229"/>
      <c r="L80" s="229"/>
      <c r="M80" s="230"/>
    </row>
    <row r="81" spans="1:16" x14ac:dyDescent="0.2">
      <c r="C81" s="7" t="s">
        <v>45</v>
      </c>
      <c r="G81" s="70">
        <f>G62*INDEX(hy_escalation, MATCH(input_dollars,hy_dates,0))/INDEX(hy_escalation, MATCH(H62,hy_dates,0))</f>
        <v>0</v>
      </c>
      <c r="H81" s="83">
        <v>0</v>
      </c>
      <c r="I81" s="85">
        <v>0</v>
      </c>
      <c r="J81" s="231">
        <v>0</v>
      </c>
      <c r="K81" s="232"/>
      <c r="L81" s="232"/>
      <c r="M81" s="233"/>
    </row>
    <row r="82" spans="1:16" x14ac:dyDescent="0.2">
      <c r="I82" s="82"/>
      <c r="M82"/>
    </row>
    <row r="83" spans="1:16" x14ac:dyDescent="0.2">
      <c r="G83" s="86"/>
    </row>
    <row r="85" spans="1:16" x14ac:dyDescent="0.2">
      <c r="A85" s="1"/>
      <c r="B85" s="1"/>
      <c r="C85" s="1"/>
      <c r="D85" s="1"/>
      <c r="E85" s="1"/>
      <c r="F85" s="1"/>
      <c r="K85" s="1"/>
      <c r="L85" s="1"/>
      <c r="M85" s="1"/>
      <c r="N85" s="1"/>
      <c r="O85" s="1"/>
    </row>
    <row r="86" spans="1:16" ht="15" x14ac:dyDescent="0.2">
      <c r="A86" s="17" t="s">
        <v>46</v>
      </c>
      <c r="B86" s="17"/>
      <c r="C86" s="15"/>
      <c r="D86" s="15"/>
      <c r="E86" s="15"/>
      <c r="F86" s="15"/>
      <c r="G86" s="15"/>
      <c r="H86" s="15"/>
      <c r="I86" s="15"/>
      <c r="J86" s="15"/>
      <c r="K86" s="15"/>
      <c r="L86" s="16"/>
      <c r="M86" s="16"/>
      <c r="N86" s="16"/>
      <c r="O86" s="16"/>
      <c r="P86" s="16"/>
    </row>
    <row r="87" spans="1:16" x14ac:dyDescent="0.2">
      <c r="A87" s="1"/>
      <c r="B87" s="1"/>
      <c r="C87" s="1"/>
      <c r="D87" s="1"/>
      <c r="F87" s="1"/>
      <c r="H87" s="1"/>
      <c r="L87" s="1"/>
      <c r="N87" s="1"/>
      <c r="O87" s="1"/>
    </row>
    <row r="88" spans="1:16" x14ac:dyDescent="0.2">
      <c r="A88" s="1"/>
      <c r="B88" s="27" t="s">
        <v>47</v>
      </c>
      <c r="C88" s="27"/>
      <c r="D88" s="27"/>
      <c r="E88" s="27"/>
      <c r="F88" s="27"/>
      <c r="G88" s="27"/>
      <c r="H88" s="44"/>
      <c r="I88" s="44"/>
      <c r="J88" s="44"/>
      <c r="K88" s="57" t="s">
        <v>48</v>
      </c>
      <c r="L88" s="57" t="s">
        <v>49</v>
      </c>
      <c r="M88" s="57" t="s">
        <v>50</v>
      </c>
      <c r="N88" s="57" t="s">
        <v>51</v>
      </c>
      <c r="O88" s="57" t="s">
        <v>52</v>
      </c>
      <c r="P88" s="57" t="s">
        <v>53</v>
      </c>
    </row>
    <row r="89" spans="1:16" ht="13.5" x14ac:dyDescent="0.25">
      <c r="A89" s="1"/>
      <c r="B89" s="1"/>
      <c r="C89" s="1" t="s">
        <v>54</v>
      </c>
      <c r="D89" s="1"/>
      <c r="F89" s="1"/>
      <c r="G89" s="55"/>
      <c r="H89" s="56">
        <f>G30</f>
        <v>45107</v>
      </c>
      <c r="I89" s="58" t="s">
        <v>55</v>
      </c>
      <c r="J89" s="58"/>
      <c r="K89" s="103">
        <v>2.4730486797759084E-2</v>
      </c>
      <c r="L89" s="103">
        <v>2.2340740091772258E-2</v>
      </c>
      <c r="M89" s="103">
        <v>2.0196329122153123E-2</v>
      </c>
      <c r="N89" s="103">
        <v>1.806294207659629E-2</v>
      </c>
      <c r="O89" s="103">
        <v>1.5913397615084226E-2</v>
      </c>
      <c r="P89" s="103">
        <v>1.3715069432539001E-2</v>
      </c>
    </row>
    <row r="90" spans="1:16" x14ac:dyDescent="0.2">
      <c r="A90" s="1"/>
      <c r="B90" s="1"/>
      <c r="C90" s="1"/>
      <c r="D90" s="1"/>
      <c r="E90" s="1"/>
      <c r="F90" s="1"/>
      <c r="G90" s="1"/>
      <c r="K90" s="1"/>
      <c r="L90" s="1"/>
      <c r="M90" s="1"/>
      <c r="N90" s="1"/>
      <c r="O90" s="1"/>
    </row>
    <row r="91" spans="1:16" x14ac:dyDescent="0.2">
      <c r="A91" s="1"/>
      <c r="B91" s="1"/>
      <c r="C91" s="1"/>
      <c r="D91" s="1"/>
      <c r="E91" s="1"/>
      <c r="F91" s="1"/>
      <c r="K91" s="1"/>
      <c r="L91" s="1"/>
      <c r="M91" s="1"/>
      <c r="N91" s="1"/>
      <c r="O91" s="1"/>
    </row>
    <row r="92" spans="1:16" x14ac:dyDescent="0.2">
      <c r="A92" s="1"/>
      <c r="B92" s="27" t="s">
        <v>56</v>
      </c>
      <c r="C92" s="27"/>
      <c r="D92" s="27"/>
      <c r="E92" s="27"/>
      <c r="F92" s="27"/>
      <c r="G92" s="57" t="s">
        <v>40</v>
      </c>
      <c r="H92" s="27"/>
      <c r="I92" s="27"/>
      <c r="J92" s="3"/>
      <c r="K92" s="1"/>
      <c r="L92" s="1"/>
    </row>
    <row r="93" spans="1:16" x14ac:dyDescent="0.2">
      <c r="A93" s="1"/>
      <c r="B93" s="1"/>
      <c r="C93" s="1" t="s">
        <v>65</v>
      </c>
      <c r="D93" s="1"/>
      <c r="E93"/>
      <c r="F93" s="1"/>
      <c r="G93" s="98">
        <v>151432.81740793545</v>
      </c>
      <c r="H93" s="56">
        <f t="shared" ref="H93:H99" si="0">custval_date</f>
        <v>45291</v>
      </c>
      <c r="I93" s="58" t="s">
        <v>57</v>
      </c>
      <c r="J93" s="58"/>
      <c r="K93" s="1"/>
      <c r="P93" s="1"/>
    </row>
    <row r="94" spans="1:16" x14ac:dyDescent="0.2">
      <c r="A94" s="1"/>
      <c r="B94" s="1"/>
      <c r="C94" s="1" t="s">
        <v>67</v>
      </c>
      <c r="D94" s="1"/>
      <c r="E94"/>
      <c r="G94" s="98">
        <v>88.357719508603083</v>
      </c>
      <c r="H94" s="56">
        <f t="shared" si="0"/>
        <v>45291</v>
      </c>
      <c r="I94" s="58" t="s">
        <v>57</v>
      </c>
      <c r="J94" s="58"/>
      <c r="P94" s="1"/>
    </row>
    <row r="95" spans="1:16" x14ac:dyDescent="0.2">
      <c r="A95" s="1"/>
      <c r="B95" s="1"/>
      <c r="C95" s="1" t="s">
        <v>68</v>
      </c>
      <c r="D95" s="1"/>
      <c r="E95"/>
      <c r="G95" s="99">
        <v>0</v>
      </c>
      <c r="H95" s="56">
        <f t="shared" si="0"/>
        <v>45291</v>
      </c>
      <c r="I95" s="58" t="s">
        <v>58</v>
      </c>
      <c r="J95" s="58"/>
      <c r="P95" s="1"/>
    </row>
    <row r="96" spans="1:16" x14ac:dyDescent="0.2">
      <c r="A96" s="1"/>
      <c r="B96" s="1"/>
      <c r="C96" s="1" t="s">
        <v>106</v>
      </c>
      <c r="D96" s="1"/>
      <c r="E96"/>
      <c r="G96" s="99">
        <v>0.35181336539087127</v>
      </c>
      <c r="H96" s="56">
        <f t="shared" si="0"/>
        <v>45291</v>
      </c>
      <c r="I96" s="58" t="s">
        <v>59</v>
      </c>
      <c r="J96" s="58"/>
      <c r="P96" s="1"/>
    </row>
    <row r="97" spans="1:16" x14ac:dyDescent="0.2">
      <c r="A97" s="1"/>
      <c r="B97" s="1"/>
      <c r="C97" s="1" t="s">
        <v>108</v>
      </c>
      <c r="D97" s="1"/>
      <c r="E97"/>
      <c r="G97" s="99">
        <v>0.35181336539087127</v>
      </c>
      <c r="H97" s="56">
        <f t="shared" si="0"/>
        <v>45291</v>
      </c>
      <c r="I97" s="58" t="s">
        <v>59</v>
      </c>
      <c r="J97" s="58"/>
      <c r="P97" s="1"/>
    </row>
    <row r="98" spans="1:16" x14ac:dyDescent="0.2">
      <c r="A98" s="1"/>
      <c r="B98" s="1"/>
      <c r="C98" s="1" t="s">
        <v>69</v>
      </c>
      <c r="D98" s="1"/>
      <c r="E98"/>
      <c r="G98" s="99">
        <v>0</v>
      </c>
      <c r="H98" s="56">
        <f t="shared" si="0"/>
        <v>45291</v>
      </c>
      <c r="I98" s="58" t="s">
        <v>58</v>
      </c>
      <c r="J98" s="58"/>
      <c r="P98" s="1"/>
    </row>
    <row r="99" spans="1:16" x14ac:dyDescent="0.2">
      <c r="A99" s="1"/>
      <c r="B99" s="1"/>
      <c r="C99" s="1" t="s">
        <v>417</v>
      </c>
      <c r="D99" s="1"/>
      <c r="E99"/>
      <c r="G99" s="99">
        <v>865.61</v>
      </c>
      <c r="H99" s="56">
        <f t="shared" si="0"/>
        <v>45291</v>
      </c>
      <c r="I99" s="58" t="s">
        <v>418</v>
      </c>
      <c r="J99" s="58"/>
      <c r="P99" s="1"/>
    </row>
    <row r="100" spans="1:16" x14ac:dyDescent="0.2">
      <c r="A100" s="1"/>
      <c r="B100" s="1"/>
      <c r="C100" s="1"/>
      <c r="D100" s="1"/>
      <c r="E100"/>
      <c r="F100" s="1"/>
      <c r="L100" s="1"/>
      <c r="N100" s="1"/>
      <c r="O100" s="1"/>
    </row>
    <row r="102" spans="1:16" ht="15" x14ac:dyDescent="0.2">
      <c r="A102" s="17" t="s">
        <v>359</v>
      </c>
      <c r="B102" s="17"/>
      <c r="C102" s="15"/>
      <c r="D102" s="15"/>
      <c r="E102" s="15"/>
      <c r="F102" s="15"/>
      <c r="G102" s="15"/>
      <c r="H102" s="15"/>
      <c r="I102" s="15"/>
      <c r="J102" s="15"/>
      <c r="K102" s="15"/>
      <c r="L102" s="16"/>
      <c r="M102" s="16"/>
      <c r="N102" s="16"/>
      <c r="O102" s="16"/>
      <c r="P102" s="16"/>
    </row>
    <row r="103" spans="1:16" x14ac:dyDescent="0.2">
      <c r="A103" s="1"/>
      <c r="B103" s="126"/>
      <c r="C103" s="126"/>
      <c r="D103" s="48"/>
      <c r="E103" s="127"/>
      <c r="F103" s="126"/>
      <c r="G103" s="126" t="s">
        <v>61</v>
      </c>
      <c r="H103" s="126" t="s">
        <v>360</v>
      </c>
      <c r="I103"/>
      <c r="J103"/>
      <c r="K103"/>
      <c r="L103"/>
      <c r="M103"/>
      <c r="N103"/>
      <c r="O103"/>
      <c r="P103"/>
    </row>
    <row r="104" spans="1:16" x14ac:dyDescent="0.2">
      <c r="B104" s="7">
        <v>1</v>
      </c>
      <c r="C104" s="7" t="s">
        <v>361</v>
      </c>
      <c r="E104" s="128"/>
      <c r="G104" s="129">
        <v>0.1</v>
      </c>
      <c r="H104" s="129">
        <v>0</v>
      </c>
      <c r="I104" s="130"/>
      <c r="J104"/>
      <c r="K104"/>
      <c r="L104"/>
      <c r="M104"/>
      <c r="N104"/>
      <c r="O104"/>
      <c r="P104"/>
    </row>
    <row r="105" spans="1:16" x14ac:dyDescent="0.2">
      <c r="B105" s="7">
        <v>2</v>
      </c>
      <c r="C105" s="7" t="s">
        <v>362</v>
      </c>
      <c r="E105" s="128"/>
      <c r="G105" s="129">
        <v>-0.1</v>
      </c>
      <c r="H105" s="129">
        <v>0</v>
      </c>
      <c r="I105" s="130"/>
      <c r="J105"/>
      <c r="K105"/>
      <c r="L105"/>
      <c r="M105"/>
      <c r="N105"/>
      <c r="O105"/>
      <c r="P105"/>
    </row>
    <row r="106" spans="1:16" x14ac:dyDescent="0.2">
      <c r="B106" s="7">
        <v>3</v>
      </c>
      <c r="C106" s="7" t="s">
        <v>363</v>
      </c>
      <c r="E106" s="128"/>
      <c r="G106" s="131">
        <v>0</v>
      </c>
      <c r="H106" s="129">
        <v>0.1</v>
      </c>
      <c r="I106" s="130"/>
      <c r="J106"/>
      <c r="K106"/>
      <c r="L106"/>
      <c r="M106"/>
      <c r="N106"/>
      <c r="O106"/>
      <c r="P106"/>
    </row>
    <row r="107" spans="1:16" x14ac:dyDescent="0.2">
      <c r="B107" s="7">
        <v>4</v>
      </c>
      <c r="C107" s="7" t="s">
        <v>364</v>
      </c>
      <c r="E107" s="128"/>
      <c r="G107" s="131">
        <v>0</v>
      </c>
      <c r="H107" s="129">
        <v>-0.1</v>
      </c>
      <c r="I107" s="130"/>
      <c r="J107"/>
      <c r="K107"/>
      <c r="L107"/>
      <c r="M107"/>
      <c r="N107"/>
      <c r="O107"/>
      <c r="P107"/>
    </row>
    <row r="108" spans="1:16" x14ac:dyDescent="0.2">
      <c r="B108" s="7">
        <v>5</v>
      </c>
      <c r="C108" s="7" t="s">
        <v>365</v>
      </c>
      <c r="E108" s="128"/>
      <c r="G108" s="129">
        <v>0.1</v>
      </c>
      <c r="H108" s="129">
        <v>-0.1</v>
      </c>
      <c r="I108" s="130"/>
      <c r="J108"/>
      <c r="K108"/>
      <c r="L108"/>
      <c r="M108"/>
      <c r="N108"/>
      <c r="O108"/>
      <c r="P108"/>
    </row>
    <row r="109" spans="1:16" x14ac:dyDescent="0.2">
      <c r="E109" s="128"/>
      <c r="H109"/>
      <c r="I109"/>
      <c r="J109"/>
      <c r="K109"/>
      <c r="L109"/>
      <c r="M109"/>
      <c r="N109"/>
      <c r="O109"/>
      <c r="P109"/>
    </row>
    <row r="110" spans="1:16" x14ac:dyDescent="0.2">
      <c r="E110" s="132"/>
      <c r="H110"/>
      <c r="I110"/>
      <c r="J110"/>
      <c r="K110"/>
      <c r="L110"/>
      <c r="M110"/>
      <c r="N110"/>
      <c r="O110"/>
      <c r="P110"/>
    </row>
  </sheetData>
  <mergeCells count="5">
    <mergeCell ref="J80:M80"/>
    <mergeCell ref="J81:M81"/>
    <mergeCell ref="E8:H8"/>
    <mergeCell ref="E14:K14"/>
    <mergeCell ref="E15:K15"/>
  </mergeCells>
  <pageMargins left="0.7" right="0.7" top="0.75" bottom="0.75" header="0.3" footer="0.3"/>
  <pageSetup paperSize="9" orientation="portrait" horizontalDpi="90" verticalDpi="9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4" id="{F3F10DC4-43C8-4325-9D02-19BA52A23CAF}">
            <xm:f>E6=Data!#REF!</xm:f>
            <x14:dxf>
              <font>
                <color rgb="FFFF0000"/>
              </font>
            </x14:dxf>
          </x14:cfRule>
          <xm:sqref>D6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B77F821-7C4E-4D40-87BE-74B4C1E5BB39}">
          <x14:formula1>
            <xm:f>Data!$Q$62:$Q$66</xm:f>
          </x14:formula1>
          <xm:sqref>G10</xm:sqref>
        </x14:dataValidation>
        <x14:dataValidation type="list" allowBlank="1" showInputMessage="1" showErrorMessage="1" xr:uid="{093A524C-E45A-4CD6-9037-0C9A8CB9BEDE}">
          <x14:formula1>
            <xm:f>Data!$I$62:$I$63</xm:f>
          </x14:formula1>
          <xm:sqref>E10</xm:sqref>
        </x14:dataValidation>
        <x14:dataValidation type="list" allowBlank="1" showInputMessage="1" showErrorMessage="1" xr:uid="{1BE0C1A5-1FEF-43B4-9D82-88E510F52F93}">
          <x14:formula1>
            <xm:f>Data!$V$62:$V$65</xm:f>
          </x14:formula1>
          <xm:sqref>G24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D5E99-2C22-4364-A0B4-C7E109AFF75E}">
  <sheetPr codeName="Sheet3">
    <tabColor rgb="FFFFFFCC"/>
  </sheetPr>
  <dimension ref="A1:CJ909"/>
  <sheetViews>
    <sheetView showGridLines="0" zoomScale="80" zoomScaleNormal="80" workbookViewId="0">
      <selection activeCell="A2" sqref="A2"/>
    </sheetView>
  </sheetViews>
  <sheetFormatPr defaultRowHeight="12.75" x14ac:dyDescent="0.2"/>
  <cols>
    <col min="1" max="1" width="3.25" customWidth="1"/>
    <col min="2" max="2" width="11" customWidth="1"/>
    <col min="3" max="3" width="10.25" customWidth="1"/>
    <col min="4" max="4" width="19.75" customWidth="1"/>
    <col min="5" max="5" width="11.875" customWidth="1"/>
    <col min="6" max="6" width="12.375" customWidth="1"/>
    <col min="7" max="7" width="7.875" customWidth="1"/>
    <col min="8" max="27" width="9.25" customWidth="1"/>
    <col min="28" max="28" width="8.5" customWidth="1"/>
    <col min="29" max="48" width="9.25" customWidth="1"/>
    <col min="49" max="49" width="8" customWidth="1"/>
    <col min="50" max="69" width="9.25" customWidth="1"/>
    <col min="70" max="70" width="7.5" customWidth="1"/>
  </cols>
  <sheetData>
    <row r="1" spans="1:88" s="7" customFormat="1" ht="18.75" x14ac:dyDescent="0.3">
      <c r="A1" s="10" t="str">
        <f>bus</f>
        <v>Powercor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</row>
    <row r="2" spans="1:88" s="7" customFormat="1" ht="15" x14ac:dyDescent="0.25">
      <c r="A2" s="165" t="str">
        <f>Summary!A2</f>
        <v>Quick connect points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5"/>
      <c r="AH2" s="165"/>
      <c r="AI2" s="165"/>
      <c r="AJ2" s="165"/>
      <c r="AK2" s="165"/>
      <c r="AL2" s="165"/>
      <c r="AM2" s="165"/>
      <c r="AN2" s="165"/>
      <c r="AO2" s="165"/>
      <c r="AP2" s="165"/>
      <c r="AQ2" s="165"/>
      <c r="AR2" s="165"/>
      <c r="AS2" s="165"/>
      <c r="AT2" s="165"/>
      <c r="AU2" s="165"/>
      <c r="AV2" s="165"/>
      <c r="AW2" s="165"/>
      <c r="AX2" s="165"/>
      <c r="AY2" s="165"/>
      <c r="AZ2" s="165"/>
      <c r="BA2" s="165"/>
      <c r="BB2" s="165"/>
      <c r="BC2" s="165"/>
      <c r="BD2" s="165"/>
      <c r="BE2" s="165"/>
      <c r="BF2" s="165"/>
      <c r="BG2" s="165"/>
      <c r="BH2" s="165"/>
      <c r="BI2" s="165"/>
      <c r="BJ2" s="165"/>
      <c r="BK2" s="165"/>
      <c r="BL2" s="165"/>
      <c r="BM2" s="165"/>
      <c r="BN2" s="165"/>
      <c r="BO2" s="165"/>
      <c r="BP2" s="165"/>
      <c r="BQ2" s="165"/>
      <c r="BR2" s="165"/>
      <c r="BS2" s="165"/>
      <c r="BT2" s="165"/>
      <c r="BU2" s="165"/>
      <c r="BV2" s="165"/>
      <c r="BW2" s="165"/>
      <c r="BX2" s="165"/>
      <c r="BY2" s="165"/>
      <c r="BZ2" s="165"/>
      <c r="CA2" s="165"/>
      <c r="CB2" s="165"/>
      <c r="CC2" s="165"/>
      <c r="CD2" s="165"/>
      <c r="CE2" s="165"/>
      <c r="CF2" s="165"/>
      <c r="CG2" s="165"/>
      <c r="CH2" s="165"/>
      <c r="CI2" s="165"/>
      <c r="CJ2" s="165"/>
    </row>
    <row r="3" spans="1:88" s="207" customFormat="1" x14ac:dyDescent="0.2"/>
    <row r="4" spans="1:88" s="207" customFormat="1" x14ac:dyDescent="0.2"/>
    <row r="5" spans="1:88" x14ac:dyDescent="0.2">
      <c r="A5" s="207"/>
      <c r="B5" s="207"/>
      <c r="C5" s="207"/>
      <c r="D5" s="207"/>
      <c r="E5" s="207"/>
      <c r="F5" s="237" t="s">
        <v>447</v>
      </c>
      <c r="G5" s="237"/>
      <c r="H5" s="237"/>
      <c r="I5" s="237"/>
      <c r="J5" s="237"/>
      <c r="K5" s="237"/>
      <c r="L5" s="237"/>
      <c r="M5" s="237"/>
      <c r="N5" s="237"/>
      <c r="O5" s="237"/>
      <c r="P5" s="237"/>
      <c r="Q5" s="237"/>
      <c r="R5" s="237"/>
      <c r="S5" s="237"/>
      <c r="T5" s="237"/>
      <c r="U5" s="237"/>
      <c r="V5" s="237"/>
      <c r="W5" s="237"/>
      <c r="X5" s="237"/>
      <c r="Y5" s="237"/>
      <c r="Z5" s="207"/>
      <c r="AA5" s="237" t="s">
        <v>448</v>
      </c>
      <c r="AB5" s="237"/>
      <c r="AC5" s="237"/>
      <c r="AD5" s="237"/>
      <c r="AE5" s="237"/>
      <c r="AF5" s="237"/>
      <c r="AG5" s="237"/>
      <c r="AH5" s="237"/>
      <c r="AI5" s="237"/>
      <c r="AJ5" s="237"/>
      <c r="AK5" s="237"/>
      <c r="AL5" s="237"/>
      <c r="AM5" s="237"/>
      <c r="AN5" s="237"/>
      <c r="AO5" s="237"/>
      <c r="AP5" s="237"/>
      <c r="AQ5" s="237"/>
      <c r="AR5" s="237"/>
      <c r="AS5" s="237"/>
      <c r="AT5" s="237"/>
      <c r="AU5" s="207"/>
      <c r="AV5" s="238" t="s">
        <v>449</v>
      </c>
      <c r="AW5" s="238"/>
      <c r="AX5" s="238"/>
      <c r="AY5" s="238"/>
      <c r="AZ5" s="238"/>
      <c r="BA5" s="238"/>
      <c r="BB5" s="238"/>
      <c r="BC5" s="238"/>
      <c r="BD5" s="238"/>
      <c r="BE5" s="238"/>
      <c r="BF5" s="238"/>
      <c r="BG5" s="238"/>
      <c r="BH5" s="238"/>
      <c r="BI5" s="238"/>
      <c r="BJ5" s="238"/>
      <c r="BK5" s="238"/>
      <c r="BL5" s="238"/>
      <c r="BM5" s="238"/>
      <c r="BN5" s="238"/>
      <c r="BO5" s="238"/>
      <c r="BP5" s="207"/>
      <c r="BQ5" s="239" t="s">
        <v>451</v>
      </c>
      <c r="BR5" s="239"/>
      <c r="BS5" s="239"/>
      <c r="BT5" s="239"/>
      <c r="BU5" s="239"/>
      <c r="BV5" s="239"/>
      <c r="BW5" s="239"/>
      <c r="BX5" s="239"/>
      <c r="BY5" s="239"/>
      <c r="BZ5" s="239"/>
      <c r="CA5" s="239"/>
      <c r="CB5" s="239"/>
      <c r="CC5" s="239"/>
      <c r="CD5" s="239"/>
      <c r="CE5" s="239"/>
      <c r="CF5" s="239"/>
      <c r="CG5" s="239"/>
      <c r="CH5" s="239"/>
      <c r="CI5" s="239"/>
      <c r="CJ5" s="239"/>
    </row>
    <row r="6" spans="1:88" s="7" customFormat="1" x14ac:dyDescent="0.2">
      <c r="B6" s="223" t="s">
        <v>422</v>
      </c>
      <c r="C6" s="223" t="s">
        <v>344</v>
      </c>
      <c r="D6" s="223" t="s">
        <v>450</v>
      </c>
      <c r="F6" s="224">
        <v>2026</v>
      </c>
      <c r="G6" s="224">
        <f>F6+1</f>
        <v>2027</v>
      </c>
      <c r="H6" s="224">
        <f t="shared" ref="H6:Y6" si="0">G6+1</f>
        <v>2028</v>
      </c>
      <c r="I6" s="224">
        <f t="shared" si="0"/>
        <v>2029</v>
      </c>
      <c r="J6" s="224">
        <f t="shared" si="0"/>
        <v>2030</v>
      </c>
      <c r="K6" s="224">
        <f t="shared" si="0"/>
        <v>2031</v>
      </c>
      <c r="L6" s="224">
        <f t="shared" si="0"/>
        <v>2032</v>
      </c>
      <c r="M6" s="224">
        <f t="shared" si="0"/>
        <v>2033</v>
      </c>
      <c r="N6" s="224">
        <f t="shared" si="0"/>
        <v>2034</v>
      </c>
      <c r="O6" s="224">
        <f t="shared" si="0"/>
        <v>2035</v>
      </c>
      <c r="P6" s="224">
        <f t="shared" si="0"/>
        <v>2036</v>
      </c>
      <c r="Q6" s="224">
        <f t="shared" si="0"/>
        <v>2037</v>
      </c>
      <c r="R6" s="224">
        <f t="shared" si="0"/>
        <v>2038</v>
      </c>
      <c r="S6" s="224">
        <f>R6+1</f>
        <v>2039</v>
      </c>
      <c r="T6" s="224">
        <f t="shared" si="0"/>
        <v>2040</v>
      </c>
      <c r="U6" s="224">
        <f t="shared" si="0"/>
        <v>2041</v>
      </c>
      <c r="V6" s="224">
        <f t="shared" si="0"/>
        <v>2042</v>
      </c>
      <c r="W6" s="224">
        <f t="shared" si="0"/>
        <v>2043</v>
      </c>
      <c r="X6" s="224">
        <f t="shared" si="0"/>
        <v>2044</v>
      </c>
      <c r="Y6" s="224">
        <f t="shared" si="0"/>
        <v>2045</v>
      </c>
      <c r="AA6" s="224">
        <v>2026</v>
      </c>
      <c r="AB6" s="224">
        <f>AA6+1</f>
        <v>2027</v>
      </c>
      <c r="AC6" s="224">
        <f t="shared" ref="AC6:AM6" si="1">AB6+1</f>
        <v>2028</v>
      </c>
      <c r="AD6" s="224">
        <f t="shared" si="1"/>
        <v>2029</v>
      </c>
      <c r="AE6" s="224">
        <f t="shared" si="1"/>
        <v>2030</v>
      </c>
      <c r="AF6" s="224">
        <f t="shared" si="1"/>
        <v>2031</v>
      </c>
      <c r="AG6" s="224">
        <f t="shared" si="1"/>
        <v>2032</v>
      </c>
      <c r="AH6" s="224">
        <f t="shared" si="1"/>
        <v>2033</v>
      </c>
      <c r="AI6" s="224">
        <f t="shared" si="1"/>
        <v>2034</v>
      </c>
      <c r="AJ6" s="224">
        <f t="shared" si="1"/>
        <v>2035</v>
      </c>
      <c r="AK6" s="224">
        <f t="shared" si="1"/>
        <v>2036</v>
      </c>
      <c r="AL6" s="224">
        <f t="shared" si="1"/>
        <v>2037</v>
      </c>
      <c r="AM6" s="224">
        <f t="shared" si="1"/>
        <v>2038</v>
      </c>
      <c r="AN6" s="224">
        <f>AM6+1</f>
        <v>2039</v>
      </c>
      <c r="AO6" s="224">
        <f t="shared" ref="AO6:AT6" si="2">AN6+1</f>
        <v>2040</v>
      </c>
      <c r="AP6" s="224">
        <f t="shared" si="2"/>
        <v>2041</v>
      </c>
      <c r="AQ6" s="224">
        <f t="shared" si="2"/>
        <v>2042</v>
      </c>
      <c r="AR6" s="224">
        <f t="shared" si="2"/>
        <v>2043</v>
      </c>
      <c r="AS6" s="224">
        <f t="shared" si="2"/>
        <v>2044</v>
      </c>
      <c r="AT6" s="224">
        <f t="shared" si="2"/>
        <v>2045</v>
      </c>
      <c r="AV6" s="225">
        <v>2026</v>
      </c>
      <c r="AW6" s="225">
        <f>AV6+1</f>
        <v>2027</v>
      </c>
      <c r="AX6" s="225">
        <f t="shared" ref="AX6:BH6" si="3">AW6+1</f>
        <v>2028</v>
      </c>
      <c r="AY6" s="225">
        <f t="shared" si="3"/>
        <v>2029</v>
      </c>
      <c r="AZ6" s="225">
        <f t="shared" si="3"/>
        <v>2030</v>
      </c>
      <c r="BA6" s="225">
        <f t="shared" si="3"/>
        <v>2031</v>
      </c>
      <c r="BB6" s="225">
        <f t="shared" si="3"/>
        <v>2032</v>
      </c>
      <c r="BC6" s="225">
        <f t="shared" si="3"/>
        <v>2033</v>
      </c>
      <c r="BD6" s="225">
        <f t="shared" si="3"/>
        <v>2034</v>
      </c>
      <c r="BE6" s="225">
        <f t="shared" si="3"/>
        <v>2035</v>
      </c>
      <c r="BF6" s="225">
        <f t="shared" si="3"/>
        <v>2036</v>
      </c>
      <c r="BG6" s="225">
        <f t="shared" si="3"/>
        <v>2037</v>
      </c>
      <c r="BH6" s="225">
        <f t="shared" si="3"/>
        <v>2038</v>
      </c>
      <c r="BI6" s="225">
        <f>BH6+1</f>
        <v>2039</v>
      </c>
      <c r="BJ6" s="225">
        <f t="shared" ref="BJ6:BO6" si="4">BI6+1</f>
        <v>2040</v>
      </c>
      <c r="BK6" s="225">
        <f t="shared" si="4"/>
        <v>2041</v>
      </c>
      <c r="BL6" s="225">
        <f t="shared" si="4"/>
        <v>2042</v>
      </c>
      <c r="BM6" s="225">
        <f t="shared" si="4"/>
        <v>2043</v>
      </c>
      <c r="BN6" s="225">
        <f t="shared" si="4"/>
        <v>2044</v>
      </c>
      <c r="BO6" s="225">
        <f t="shared" si="4"/>
        <v>2045</v>
      </c>
      <c r="BQ6" s="226">
        <v>2026</v>
      </c>
      <c r="BR6" s="226">
        <f>BQ6+1</f>
        <v>2027</v>
      </c>
      <c r="BS6" s="226">
        <f t="shared" ref="BS6:CC6" si="5">BR6+1</f>
        <v>2028</v>
      </c>
      <c r="BT6" s="226">
        <f t="shared" si="5"/>
        <v>2029</v>
      </c>
      <c r="BU6" s="226">
        <f t="shared" si="5"/>
        <v>2030</v>
      </c>
      <c r="BV6" s="226">
        <f t="shared" si="5"/>
        <v>2031</v>
      </c>
      <c r="BW6" s="226">
        <f t="shared" si="5"/>
        <v>2032</v>
      </c>
      <c r="BX6" s="226">
        <f t="shared" si="5"/>
        <v>2033</v>
      </c>
      <c r="BY6" s="226">
        <f t="shared" si="5"/>
        <v>2034</v>
      </c>
      <c r="BZ6" s="226">
        <f t="shared" si="5"/>
        <v>2035</v>
      </c>
      <c r="CA6" s="226">
        <f t="shared" si="5"/>
        <v>2036</v>
      </c>
      <c r="CB6" s="226">
        <f t="shared" si="5"/>
        <v>2037</v>
      </c>
      <c r="CC6" s="226">
        <f t="shared" si="5"/>
        <v>2038</v>
      </c>
      <c r="CD6" s="226">
        <f>CC6+1</f>
        <v>2039</v>
      </c>
      <c r="CE6" s="226">
        <f t="shared" ref="CE6:CJ6" si="6">CD6+1</f>
        <v>2040</v>
      </c>
      <c r="CF6" s="226">
        <f t="shared" si="6"/>
        <v>2041</v>
      </c>
      <c r="CG6" s="226">
        <f t="shared" si="6"/>
        <v>2042</v>
      </c>
      <c r="CH6" s="226">
        <f t="shared" si="6"/>
        <v>2043</v>
      </c>
      <c r="CI6" s="226">
        <f t="shared" si="6"/>
        <v>2044</v>
      </c>
      <c r="CJ6" s="226">
        <f t="shared" si="6"/>
        <v>2045</v>
      </c>
    </row>
    <row r="7" spans="1:88" s="211" customFormat="1" x14ac:dyDescent="0.2">
      <c r="B7" s="21" t="s">
        <v>423</v>
      </c>
      <c r="C7" s="21">
        <v>-37.429966</v>
      </c>
      <c r="D7" s="21">
        <v>143.383567</v>
      </c>
      <c r="F7" s="227">
        <v>1.6631528571428572E-4</v>
      </c>
      <c r="G7" s="227">
        <v>1.6790671428571429E-4</v>
      </c>
      <c r="H7" s="227">
        <v>1.6949814285714286E-4</v>
      </c>
      <c r="I7" s="227">
        <v>1.7108957142857143E-4</v>
      </c>
      <c r="J7" s="227">
        <v>1.72681E-4</v>
      </c>
      <c r="K7" s="227">
        <v>1.7328765E-4</v>
      </c>
      <c r="L7" s="227">
        <v>1.7389430000000001E-4</v>
      </c>
      <c r="M7" s="227">
        <v>1.7450095000000001E-4</v>
      </c>
      <c r="N7" s="227">
        <v>1.7510760000000002E-4</v>
      </c>
      <c r="O7" s="227">
        <v>1.7571425000000002E-4</v>
      </c>
      <c r="P7" s="227">
        <v>1.7632090000000003E-4</v>
      </c>
      <c r="Q7" s="227">
        <v>1.7692755000000003E-4</v>
      </c>
      <c r="R7" s="227">
        <v>1.7753420000000004E-4</v>
      </c>
      <c r="S7" s="227">
        <v>1.7814085000000004E-4</v>
      </c>
      <c r="T7" s="227">
        <v>1.7874750000000005E-4</v>
      </c>
      <c r="U7" s="227">
        <v>1.7935415000000006E-4</v>
      </c>
      <c r="V7" s="227">
        <v>1.7996080000000006E-4</v>
      </c>
      <c r="W7" s="227">
        <v>1.8056745000000007E-4</v>
      </c>
      <c r="X7" s="227">
        <v>1.8117410000000007E-4</v>
      </c>
      <c r="Y7" s="227">
        <v>1.8178075000000008E-4</v>
      </c>
      <c r="AA7" s="211">
        <f>F7/$F7</f>
        <v>1</v>
      </c>
      <c r="AB7" s="211">
        <f>G7/$F7</f>
        <v>1.0095687450771211</v>
      </c>
      <c r="AC7" s="211">
        <f t="shared" ref="AC7" si="7">H7/$F7</f>
        <v>1.0191374901542423</v>
      </c>
      <c r="AD7" s="211">
        <f t="shared" ref="AD7" si="8">I7/$F7</f>
        <v>1.0287062352313634</v>
      </c>
      <c r="AE7" s="211">
        <f t="shared" ref="AE7" si="9">J7/$F7</f>
        <v>1.0382749803084845</v>
      </c>
      <c r="AF7" s="211">
        <f t="shared" ref="AF7" si="10">K7/$F7</f>
        <v>1.0419225704707151</v>
      </c>
      <c r="AG7" s="211">
        <f t="shared" ref="AG7" si="11">L7/$F7</f>
        <v>1.0455701606329459</v>
      </c>
      <c r="AH7" s="211">
        <f t="shared" ref="AH7" si="12">M7/$F7</f>
        <v>1.0492177507951765</v>
      </c>
      <c r="AI7" s="211">
        <f t="shared" ref="AI7" si="13">N7/$F7</f>
        <v>1.0528653409574071</v>
      </c>
      <c r="AJ7" s="211">
        <f t="shared" ref="AJ7" si="14">O7/$F7</f>
        <v>1.0565129311196377</v>
      </c>
      <c r="AK7" s="211">
        <f t="shared" ref="AK7" si="15">P7/$F7</f>
        <v>1.0601605212818683</v>
      </c>
      <c r="AL7" s="211">
        <f t="shared" ref="AL7" si="16">Q7/$F7</f>
        <v>1.0638081114440989</v>
      </c>
      <c r="AM7" s="211">
        <f t="shared" ref="AM7" si="17">R7/$F7</f>
        <v>1.0674557016063297</v>
      </c>
      <c r="AN7" s="211">
        <f t="shared" ref="AN7" si="18">S7/$F7</f>
        <v>1.0711032917685603</v>
      </c>
      <c r="AO7" s="211">
        <f t="shared" ref="AO7" si="19">T7/$F7</f>
        <v>1.0747508819307909</v>
      </c>
      <c r="AP7" s="211">
        <f t="shared" ref="AP7" si="20">U7/$F7</f>
        <v>1.0783984720930215</v>
      </c>
      <c r="AQ7" s="211">
        <f t="shared" ref="AQ7" si="21">V7/$F7</f>
        <v>1.0820460622552521</v>
      </c>
      <c r="AR7" s="211">
        <f t="shared" ref="AR7" si="22">W7/$F7</f>
        <v>1.0856936524174827</v>
      </c>
      <c r="AS7" s="211">
        <f t="shared" ref="AS7" si="23">X7/$F7</f>
        <v>1.0893412425797135</v>
      </c>
      <c r="AT7" s="211">
        <f t="shared" ref="AT7:AT12" si="24">Y7/$F7</f>
        <v>1.0929888327419441</v>
      </c>
      <c r="AV7" s="227">
        <v>1</v>
      </c>
      <c r="AW7" s="227">
        <v>1.0017438109424606</v>
      </c>
      <c r="AX7" s="227">
        <v>1.0034876218849205</v>
      </c>
      <c r="AY7" s="227">
        <v>1.005231432827381</v>
      </c>
      <c r="AZ7" s="227">
        <v>1.0069752437698416</v>
      </c>
      <c r="BA7" s="227">
        <v>1.005733495764092</v>
      </c>
      <c r="BB7" s="227">
        <v>1.0044917477583419</v>
      </c>
      <c r="BC7" s="227">
        <v>1.0032499997525919</v>
      </c>
      <c r="BD7" s="227">
        <v>1.0020082517468423</v>
      </c>
      <c r="BE7" s="227">
        <v>1.0007665037410922</v>
      </c>
      <c r="BF7" s="227">
        <v>0.99952475573534216</v>
      </c>
      <c r="BG7" s="227">
        <v>0.99828300772959211</v>
      </c>
      <c r="BH7" s="227">
        <v>0.99704125972384239</v>
      </c>
      <c r="BI7" s="227">
        <v>0.99579951171809233</v>
      </c>
      <c r="BJ7" s="227">
        <v>0.99455776371234228</v>
      </c>
      <c r="BK7" s="227">
        <v>0.99331601570659234</v>
      </c>
      <c r="BL7" s="227">
        <v>0.99207426770084262</v>
      </c>
      <c r="BM7" s="227">
        <v>0.99083251969509256</v>
      </c>
      <c r="BN7" s="227">
        <v>0.98959077168934251</v>
      </c>
      <c r="BO7" s="227">
        <v>0.98834902368359245</v>
      </c>
      <c r="BQ7" s="211">
        <f t="shared" ref="BQ7" si="25">AA7*AV7</f>
        <v>1</v>
      </c>
      <c r="BR7" s="211">
        <f t="shared" ref="BR7" si="26">AB7*AW7</f>
        <v>1.0113292421019529</v>
      </c>
      <c r="BS7" s="211">
        <f t="shared" ref="BS7" si="27">AC7*AX7</f>
        <v>1.0226918563686471</v>
      </c>
      <c r="BT7" s="211">
        <f t="shared" ref="BT7" si="28">AD7*AY7</f>
        <v>1.0340878428000844</v>
      </c>
      <c r="BU7" s="211">
        <f t="shared" ref="BU7" si="29">AE7*AZ7</f>
        <v>1.0455172013962637</v>
      </c>
      <c r="BV7" s="211">
        <f t="shared" ref="BV7" si="30">AF7*BA7</f>
        <v>1.0478964291150208</v>
      </c>
      <c r="BW7" s="211">
        <f t="shared" ref="BW7" si="31">AG7*BB7</f>
        <v>1.0502665980581583</v>
      </c>
      <c r="BX7" s="211">
        <f t="shared" ref="BX7" si="32">AH7*BC7</f>
        <v>1.0526277082256759</v>
      </c>
      <c r="BY7" s="211">
        <f t="shared" ref="BY7" si="33">AI7*BD7</f>
        <v>1.0549797596175745</v>
      </c>
      <c r="BZ7" s="211">
        <f t="shared" ref="BZ7" si="34">AJ7*BE7</f>
        <v>1.0573227522338533</v>
      </c>
      <c r="CA7" s="211">
        <f t="shared" ref="CA7" si="35">AK7*BF7</f>
        <v>1.0596566860745125</v>
      </c>
      <c r="CB7" s="211">
        <f t="shared" ref="CB7" si="36">AL7*BG7</f>
        <v>1.0619815611395522</v>
      </c>
      <c r="CC7" s="211">
        <f t="shared" ref="CC7" si="37">AM7*BH7</f>
        <v>1.064297377428973</v>
      </c>
      <c r="CD7" s="211">
        <f t="shared" ref="CD7" si="38">AN7*BI7</f>
        <v>1.0666041349427737</v>
      </c>
      <c r="CE7" s="211">
        <f t="shared" ref="CE7" si="39">AO7*BJ7</f>
        <v>1.068901833680955</v>
      </c>
      <c r="CF7" s="211">
        <f t="shared" ref="CF7" si="40">AP7*BK7</f>
        <v>1.0711904736435169</v>
      </c>
      <c r="CG7" s="211">
        <f t="shared" ref="CG7" si="41">AQ7*BL7</f>
        <v>1.0734700548304597</v>
      </c>
      <c r="CH7" s="211">
        <f t="shared" ref="CH7" si="42">AR7*BM7</f>
        <v>1.0757405772417825</v>
      </c>
      <c r="CI7" s="211">
        <f t="shared" ref="CI7" si="43">AS7*BN7</f>
        <v>1.078002040877486</v>
      </c>
      <c r="CJ7" s="211">
        <f t="shared" ref="CJ7" si="44">AT7*BO7</f>
        <v>1.0802544457375698</v>
      </c>
    </row>
    <row r="8" spans="1:88" s="211" customFormat="1" x14ac:dyDescent="0.2">
      <c r="B8" s="21" t="s">
        <v>424</v>
      </c>
      <c r="C8" s="21">
        <v>-37.036040999999997</v>
      </c>
      <c r="D8" s="21">
        <v>141.296955</v>
      </c>
      <c r="F8" s="227">
        <v>5.1208493428571422E-3</v>
      </c>
      <c r="G8" s="227">
        <v>5.1464272571428568E-3</v>
      </c>
      <c r="H8" s="227">
        <v>5.1720051714285713E-3</v>
      </c>
      <c r="I8" s="227">
        <v>5.1975830857142859E-3</v>
      </c>
      <c r="J8" s="227">
        <v>5.2231610000000005E-3</v>
      </c>
      <c r="K8" s="227">
        <v>5.1957357000000006E-3</v>
      </c>
      <c r="L8" s="227">
        <v>5.1683104000000007E-3</v>
      </c>
      <c r="M8" s="227">
        <v>5.1408851000000009E-3</v>
      </c>
      <c r="N8" s="227">
        <v>5.113459800000001E-3</v>
      </c>
      <c r="O8" s="227">
        <v>5.0860345000000012E-3</v>
      </c>
      <c r="P8" s="227">
        <v>5.0586092000000013E-3</v>
      </c>
      <c r="Q8" s="227">
        <v>5.0311839000000014E-3</v>
      </c>
      <c r="R8" s="227">
        <v>5.0037586000000016E-3</v>
      </c>
      <c r="S8" s="227">
        <v>4.9763333000000017E-3</v>
      </c>
      <c r="T8" s="227">
        <v>4.9489080000000019E-3</v>
      </c>
      <c r="U8" s="227">
        <v>4.921482700000002E-3</v>
      </c>
      <c r="V8" s="227">
        <v>4.8940574000000021E-3</v>
      </c>
      <c r="W8" s="227">
        <v>4.8666321000000023E-3</v>
      </c>
      <c r="X8" s="227">
        <v>4.8392068000000024E-3</v>
      </c>
      <c r="Y8" s="227">
        <v>4.8117815000000026E-3</v>
      </c>
      <c r="AA8" s="211">
        <f>F8/$F8</f>
        <v>1</v>
      </c>
      <c r="AB8" s="211">
        <f>G8/$F8</f>
        <v>1.0049948578005701</v>
      </c>
      <c r="AC8" s="211">
        <f t="shared" ref="AC8" si="45">H8/$F8</f>
        <v>1.0099897156011404</v>
      </c>
      <c r="AD8" s="211">
        <f t="shared" ref="AD8" si="46">I8/$F8</f>
        <v>1.0149845734017104</v>
      </c>
      <c r="AE8" s="211">
        <f t="shared" ref="AE8" si="47">J8/$F8</f>
        <v>1.0199794312022807</v>
      </c>
      <c r="AF8" s="211">
        <f t="shared" ref="AF8" si="48">K8/$F8</f>
        <v>1.0146238157244978</v>
      </c>
      <c r="AG8" s="211">
        <f t="shared" ref="AG8" si="49">L8/$F8</f>
        <v>1.0092682002467148</v>
      </c>
      <c r="AH8" s="211">
        <f t="shared" ref="AH8" si="50">M8/$F8</f>
        <v>1.0039125847689321</v>
      </c>
      <c r="AI8" s="211">
        <f t="shared" ref="AI8" si="51">N8/$F8</f>
        <v>0.99855696929114923</v>
      </c>
      <c r="AJ8" s="211">
        <f t="shared" ref="AJ8" si="52">O8/$F8</f>
        <v>0.99320135381336638</v>
      </c>
      <c r="AK8" s="211">
        <f t="shared" ref="AK8" si="53">P8/$F8</f>
        <v>0.98784573833558353</v>
      </c>
      <c r="AL8" s="211">
        <f t="shared" ref="AL8" si="54">Q8/$F8</f>
        <v>0.98249012285780069</v>
      </c>
      <c r="AM8" s="211">
        <f t="shared" ref="AM8" si="55">R8/$F8</f>
        <v>0.97713450738001784</v>
      </c>
      <c r="AN8" s="211">
        <f t="shared" ref="AN8" si="56">S8/$F8</f>
        <v>0.97177889190223499</v>
      </c>
      <c r="AO8" s="211">
        <f t="shared" ref="AO8" si="57">T8/$F8</f>
        <v>0.96642327642445214</v>
      </c>
      <c r="AP8" s="211">
        <f t="shared" ref="AP8" si="58">U8/$F8</f>
        <v>0.96106766094666929</v>
      </c>
      <c r="AQ8" s="211">
        <f t="shared" ref="AQ8" si="59">V8/$F8</f>
        <v>0.95571204546888644</v>
      </c>
      <c r="AR8" s="211">
        <f t="shared" ref="AR8" si="60">W8/$F8</f>
        <v>0.95035642999110359</v>
      </c>
      <c r="AS8" s="211">
        <f t="shared" ref="AS8" si="61">X8/$F8</f>
        <v>0.94500081451332074</v>
      </c>
      <c r="AT8" s="211">
        <f t="shared" si="24"/>
        <v>0.93964519903553789</v>
      </c>
      <c r="AV8" s="227">
        <v>1</v>
      </c>
      <c r="AW8" s="227">
        <v>1</v>
      </c>
      <c r="AX8" s="227">
        <v>1</v>
      </c>
      <c r="AY8" s="227">
        <v>1</v>
      </c>
      <c r="AZ8" s="227">
        <v>1</v>
      </c>
      <c r="BA8" s="227">
        <v>1</v>
      </c>
      <c r="BB8" s="227">
        <v>1</v>
      </c>
      <c r="BC8" s="227">
        <v>1</v>
      </c>
      <c r="BD8" s="227">
        <v>1</v>
      </c>
      <c r="BE8" s="227">
        <v>1</v>
      </c>
      <c r="BF8" s="227">
        <v>1</v>
      </c>
      <c r="BG8" s="227">
        <v>1</v>
      </c>
      <c r="BH8" s="227">
        <v>1</v>
      </c>
      <c r="BI8" s="227">
        <v>1</v>
      </c>
      <c r="BJ8" s="227">
        <v>1</v>
      </c>
      <c r="BK8" s="227">
        <v>1</v>
      </c>
      <c r="BL8" s="227">
        <v>1</v>
      </c>
      <c r="BM8" s="227">
        <v>1</v>
      </c>
      <c r="BN8" s="227">
        <v>1</v>
      </c>
      <c r="BO8" s="227">
        <v>1</v>
      </c>
      <c r="BQ8" s="211">
        <f t="shared" ref="BQ8" si="62">AA8*AV8</f>
        <v>1</v>
      </c>
      <c r="BR8" s="211">
        <f t="shared" ref="BR8" si="63">AB8*AW8</f>
        <v>1.0049948578005701</v>
      </c>
      <c r="BS8" s="211">
        <f t="shared" ref="BS8" si="64">AC8*AX8</f>
        <v>1.0099897156011404</v>
      </c>
      <c r="BT8" s="211">
        <f t="shared" ref="BT8" si="65">AD8*AY8</f>
        <v>1.0149845734017104</v>
      </c>
      <c r="BU8" s="211">
        <f t="shared" ref="BU8" si="66">AE8*AZ8</f>
        <v>1.0199794312022807</v>
      </c>
      <c r="BV8" s="211">
        <f t="shared" ref="BV8" si="67">AF8*BA8</f>
        <v>1.0146238157244978</v>
      </c>
      <c r="BW8" s="211">
        <f t="shared" ref="BW8" si="68">AG8*BB8</f>
        <v>1.0092682002467148</v>
      </c>
      <c r="BX8" s="211">
        <f t="shared" ref="BX8" si="69">AH8*BC8</f>
        <v>1.0039125847689321</v>
      </c>
      <c r="BY8" s="211">
        <f t="shared" ref="BY8" si="70">AI8*BD8</f>
        <v>0.99855696929114923</v>
      </c>
      <c r="BZ8" s="211">
        <f t="shared" ref="BZ8" si="71">AJ8*BE8</f>
        <v>0.99320135381336638</v>
      </c>
      <c r="CA8" s="211">
        <f t="shared" ref="CA8" si="72">AK8*BF8</f>
        <v>0.98784573833558353</v>
      </c>
      <c r="CB8" s="211">
        <f t="shared" ref="CB8" si="73">AL8*BG8</f>
        <v>0.98249012285780069</v>
      </c>
      <c r="CC8" s="211">
        <f t="shared" ref="CC8" si="74">AM8*BH8</f>
        <v>0.97713450738001784</v>
      </c>
      <c r="CD8" s="211">
        <f t="shared" ref="CD8" si="75">AN8*BI8</f>
        <v>0.97177889190223499</v>
      </c>
      <c r="CE8" s="211">
        <f t="shared" ref="CE8" si="76">AO8*BJ8</f>
        <v>0.96642327642445214</v>
      </c>
      <c r="CF8" s="211">
        <f t="shared" ref="CF8" si="77">AP8*BK8</f>
        <v>0.96106766094666929</v>
      </c>
      <c r="CG8" s="211">
        <f t="shared" ref="CG8" si="78">AQ8*BL8</f>
        <v>0.95571204546888644</v>
      </c>
      <c r="CH8" s="211">
        <f t="shared" ref="CH8" si="79">AR8*BM8</f>
        <v>0.95035642999110359</v>
      </c>
      <c r="CI8" s="211">
        <f t="shared" ref="CI8" si="80">AS8*BN8</f>
        <v>0.94500081451332074</v>
      </c>
      <c r="CJ8" s="211">
        <f t="shared" ref="CJ8" si="81">AT8*BO8</f>
        <v>0.93964519903553789</v>
      </c>
    </row>
    <row r="9" spans="1:88" s="211" customFormat="1" x14ac:dyDescent="0.2">
      <c r="B9" s="21" t="s">
        <v>425</v>
      </c>
      <c r="C9" s="21">
        <v>-36.859299</v>
      </c>
      <c r="D9" s="21">
        <v>143.73136299999999</v>
      </c>
      <c r="F9" s="227">
        <v>3.0353895799999999E-2</v>
      </c>
      <c r="G9" s="227">
        <v>3.05628116E-2</v>
      </c>
      <c r="H9" s="227">
        <v>3.0771727400000001E-2</v>
      </c>
      <c r="I9" s="227">
        <v>3.0980643200000001E-2</v>
      </c>
      <c r="J9" s="227">
        <v>3.1189559000000002E-2</v>
      </c>
      <c r="K9" s="227">
        <v>3.1236494600000001E-2</v>
      </c>
      <c r="L9" s="227">
        <v>3.1283430200000004E-2</v>
      </c>
      <c r="M9" s="227">
        <v>3.1330365800000003E-2</v>
      </c>
      <c r="N9" s="227">
        <v>3.1377301400000002E-2</v>
      </c>
      <c r="O9" s="227">
        <v>3.1424237000000001E-2</v>
      </c>
      <c r="P9" s="227">
        <v>3.14711726E-2</v>
      </c>
      <c r="Q9" s="227">
        <v>3.1518108199999999E-2</v>
      </c>
      <c r="R9" s="227">
        <v>3.1565043799999998E-2</v>
      </c>
      <c r="S9" s="227">
        <v>3.1611979399999997E-2</v>
      </c>
      <c r="T9" s="227">
        <v>3.1658914999999996E-2</v>
      </c>
      <c r="U9" s="227">
        <v>3.1705850599999995E-2</v>
      </c>
      <c r="V9" s="227">
        <v>3.1752786199999994E-2</v>
      </c>
      <c r="W9" s="227">
        <v>3.1799721799999993E-2</v>
      </c>
      <c r="X9" s="227">
        <v>3.1846657399999992E-2</v>
      </c>
      <c r="Y9" s="227">
        <v>3.1893592999999991E-2</v>
      </c>
      <c r="AA9" s="211">
        <f t="shared" ref="AA9:AB14" si="82">F9/$F9</f>
        <v>1</v>
      </c>
      <c r="AB9" s="211">
        <f t="shared" si="82"/>
        <v>1.0068826684184637</v>
      </c>
      <c r="AC9" s="211">
        <f t="shared" ref="AC9:AS9" si="83">H9/$F9</f>
        <v>1.0137653368369275</v>
      </c>
      <c r="AD9" s="211">
        <f t="shared" si="83"/>
        <v>1.0206480052553915</v>
      </c>
      <c r="AE9" s="211">
        <f t="shared" si="83"/>
        <v>1.0275306736738552</v>
      </c>
      <c r="AF9" s="211">
        <f t="shared" si="83"/>
        <v>1.0290769529491499</v>
      </c>
      <c r="AG9" s="211">
        <f t="shared" si="83"/>
        <v>1.0306232322244449</v>
      </c>
      <c r="AH9" s="211">
        <f t="shared" si="83"/>
        <v>1.0321695114997398</v>
      </c>
      <c r="AI9" s="211">
        <f t="shared" si="83"/>
        <v>1.0337157907750347</v>
      </c>
      <c r="AJ9" s="211">
        <f t="shared" si="83"/>
        <v>1.0352620700503294</v>
      </c>
      <c r="AK9" s="211">
        <f t="shared" si="83"/>
        <v>1.0368083493256244</v>
      </c>
      <c r="AL9" s="211">
        <f t="shared" si="83"/>
        <v>1.0383546286009191</v>
      </c>
      <c r="AM9" s="211">
        <f t="shared" si="83"/>
        <v>1.039900907876214</v>
      </c>
      <c r="AN9" s="211">
        <f t="shared" si="83"/>
        <v>1.0414471871515087</v>
      </c>
      <c r="AO9" s="211">
        <f t="shared" si="83"/>
        <v>1.0429934664268037</v>
      </c>
      <c r="AP9" s="211">
        <f t="shared" si="83"/>
        <v>1.0445397457020984</v>
      </c>
      <c r="AQ9" s="211">
        <f t="shared" si="83"/>
        <v>1.0460860249773933</v>
      </c>
      <c r="AR9" s="211">
        <f t="shared" si="83"/>
        <v>1.0476323042526883</v>
      </c>
      <c r="AS9" s="211">
        <f t="shared" si="83"/>
        <v>1.049178583527983</v>
      </c>
      <c r="AT9" s="211">
        <f t="shared" si="24"/>
        <v>1.0507248628032779</v>
      </c>
      <c r="AV9" s="227">
        <v>1</v>
      </c>
      <c r="AW9" s="227">
        <v>1.01174777304249</v>
      </c>
      <c r="AX9" s="227">
        <v>1.0234955460849844</v>
      </c>
      <c r="AY9" s="227">
        <v>1.0352433191274788</v>
      </c>
      <c r="AZ9" s="227">
        <v>1.0469910921699688</v>
      </c>
      <c r="BA9" s="227">
        <v>1.0450025908115765</v>
      </c>
      <c r="BB9" s="227">
        <v>1.0430140894531852</v>
      </c>
      <c r="BC9" s="227">
        <v>1.0410255880947934</v>
      </c>
      <c r="BD9" s="227">
        <v>1.0390370867364023</v>
      </c>
      <c r="BE9" s="227">
        <v>1.0370485853780105</v>
      </c>
      <c r="BF9" s="227">
        <v>1.0350600840196187</v>
      </c>
      <c r="BG9" s="227">
        <v>1.0330715826612273</v>
      </c>
      <c r="BH9" s="227">
        <v>1.0310830813028355</v>
      </c>
      <c r="BI9" s="227">
        <v>1.0290945799444444</v>
      </c>
      <c r="BJ9" s="227">
        <v>1.0271060785860526</v>
      </c>
      <c r="BK9" s="227">
        <v>1.0251175772276608</v>
      </c>
      <c r="BL9" s="227">
        <v>1.0231290758692695</v>
      </c>
      <c r="BM9" s="227">
        <v>1.0211405745108777</v>
      </c>
      <c r="BN9" s="227">
        <v>1.0191520731524859</v>
      </c>
      <c r="BO9" s="227">
        <v>1.0171635717940948</v>
      </c>
      <c r="BQ9" s="211">
        <f t="shared" ref="BQ9:BS10" si="84">AA9*AV9</f>
        <v>1</v>
      </c>
      <c r="BR9" s="211">
        <f t="shared" si="84"/>
        <v>1.0187112974874606</v>
      </c>
      <c r="BS9" s="211">
        <f t="shared" si="84"/>
        <v>1.0375843070279391</v>
      </c>
      <c r="BT9" s="211">
        <f t="shared" ref="BT9:CJ9" si="85">AD9*AY9</f>
        <v>1.0566190286214319</v>
      </c>
      <c r="BU9" s="211">
        <f t="shared" si="85"/>
        <v>1.0758154622679335</v>
      </c>
      <c r="BV9" s="211">
        <f t="shared" si="85"/>
        <v>1.0753880819763446</v>
      </c>
      <c r="BW9" s="211">
        <f t="shared" si="85"/>
        <v>1.074954552127878</v>
      </c>
      <c r="BX9" s="211">
        <f t="shared" si="85"/>
        <v>1.0745148727225322</v>
      </c>
      <c r="BY9" s="211">
        <f t="shared" si="85"/>
        <v>1.0740690437603084</v>
      </c>
      <c r="BZ9" s="211">
        <f t="shared" si="85"/>
        <v>1.0736170652412049</v>
      </c>
      <c r="CA9" s="211">
        <f t="shared" si="85"/>
        <v>1.073158937165223</v>
      </c>
      <c r="CB9" s="211">
        <f t="shared" si="85"/>
        <v>1.0726946595323623</v>
      </c>
      <c r="CC9" s="211">
        <f t="shared" si="85"/>
        <v>1.072224232342623</v>
      </c>
      <c r="CD9" s="211">
        <f t="shared" si="85"/>
        <v>1.071747655596005</v>
      </c>
      <c r="CE9" s="211">
        <f t="shared" si="85"/>
        <v>1.0712649292925081</v>
      </c>
      <c r="CF9" s="211">
        <f t="shared" si="85"/>
        <v>1.070776053432132</v>
      </c>
      <c r="CG9" s="211">
        <f t="shared" si="85"/>
        <v>1.070281028014878</v>
      </c>
      <c r="CH9" s="211">
        <f t="shared" si="85"/>
        <v>1.0697798530407447</v>
      </c>
      <c r="CI9" s="211">
        <f t="shared" si="85"/>
        <v>1.0692725285097324</v>
      </c>
      <c r="CJ9" s="211">
        <f t="shared" si="85"/>
        <v>1.0687590544218424</v>
      </c>
    </row>
    <row r="10" spans="1:88" s="211" customFormat="1" x14ac:dyDescent="0.2">
      <c r="B10" s="21" t="s">
        <v>426</v>
      </c>
      <c r="C10" s="21">
        <v>-38.047424999999997</v>
      </c>
      <c r="D10" s="21">
        <v>141.00825399999999</v>
      </c>
      <c r="F10" s="227">
        <v>5.263743285714286E-3</v>
      </c>
      <c r="G10" s="227">
        <v>5.3074367142857144E-3</v>
      </c>
      <c r="H10" s="227">
        <v>5.3511301428571427E-3</v>
      </c>
      <c r="I10" s="227">
        <v>5.3948235714285711E-3</v>
      </c>
      <c r="J10" s="227">
        <v>5.4385169999999995E-3</v>
      </c>
      <c r="K10" s="227">
        <v>5.3380436499999998E-3</v>
      </c>
      <c r="L10" s="227">
        <v>5.2375703000000001E-3</v>
      </c>
      <c r="M10" s="227">
        <v>5.1370969500000004E-3</v>
      </c>
      <c r="N10" s="227">
        <v>5.0366236000000007E-3</v>
      </c>
      <c r="O10" s="227">
        <v>4.936150250000001E-3</v>
      </c>
      <c r="P10" s="227">
        <v>4.8356769000000013E-3</v>
      </c>
      <c r="Q10" s="227">
        <v>4.7352035500000016E-3</v>
      </c>
      <c r="R10" s="227">
        <v>4.6347302000000019E-3</v>
      </c>
      <c r="S10" s="227">
        <v>4.5342568500000022E-3</v>
      </c>
      <c r="T10" s="227">
        <v>4.4337835000000025E-3</v>
      </c>
      <c r="U10" s="227">
        <v>4.3333101500000028E-3</v>
      </c>
      <c r="V10" s="227">
        <v>4.2328368000000031E-3</v>
      </c>
      <c r="W10" s="227">
        <v>4.1323634500000034E-3</v>
      </c>
      <c r="X10" s="227">
        <v>4.0318901000000037E-3</v>
      </c>
      <c r="Y10" s="227">
        <v>3.931416750000004E-3</v>
      </c>
      <c r="AA10" s="211">
        <f t="shared" si="82"/>
        <v>1</v>
      </c>
      <c r="AB10" s="211">
        <f t="shared" si="82"/>
        <v>1.0083008281748869</v>
      </c>
      <c r="AC10" s="211">
        <f t="shared" ref="AC10:AC11" si="86">H10/$F10</f>
        <v>1.0166016563497735</v>
      </c>
      <c r="AD10" s="211">
        <f t="shared" ref="AD10:AD11" si="87">I10/$F10</f>
        <v>1.0249024845246604</v>
      </c>
      <c r="AE10" s="211">
        <f t="shared" ref="AE10:AE11" si="88">J10/$F10</f>
        <v>1.0332033126995472</v>
      </c>
      <c r="AF10" s="211">
        <f t="shared" ref="AF10:AF11" si="89">K10/$F10</f>
        <v>1.0141154992279664</v>
      </c>
      <c r="AG10" s="211">
        <f t="shared" ref="AG10:AG11" si="90">L10/$F10</f>
        <v>0.99502768575638578</v>
      </c>
      <c r="AH10" s="211">
        <f t="shared" ref="AH10:AH11" si="91">M10/$F10</f>
        <v>0.97593987228480505</v>
      </c>
      <c r="AI10" s="211">
        <f t="shared" ref="AI10:AI11" si="92">N10/$F10</f>
        <v>0.95685205881322433</v>
      </c>
      <c r="AJ10" s="211">
        <f t="shared" ref="AJ10:AJ11" si="93">O10/$F10</f>
        <v>0.9377642453416436</v>
      </c>
      <c r="AK10" s="211">
        <f t="shared" ref="AK10:AK11" si="94">P10/$F10</f>
        <v>0.91867643187006287</v>
      </c>
      <c r="AL10" s="211">
        <f t="shared" ref="AL10:AL11" si="95">Q10/$F10</f>
        <v>0.89958861839848214</v>
      </c>
      <c r="AM10" s="211">
        <f t="shared" ref="AM10:AM11" si="96">R10/$F10</f>
        <v>0.88050080492690141</v>
      </c>
      <c r="AN10" s="211">
        <f t="shared" ref="AN10:AN11" si="97">S10/$F10</f>
        <v>0.8614129914553208</v>
      </c>
      <c r="AO10" s="211">
        <f t="shared" ref="AO10:AO11" si="98">T10/$F10</f>
        <v>0.84232517798374007</v>
      </c>
      <c r="AP10" s="211">
        <f t="shared" ref="AP10:AP11" si="99">U10/$F10</f>
        <v>0.82323736451215934</v>
      </c>
      <c r="AQ10" s="211">
        <f t="shared" ref="AQ10:AQ11" si="100">V10/$F10</f>
        <v>0.80414955104057861</v>
      </c>
      <c r="AR10" s="211">
        <f t="shared" ref="AR10:AR11" si="101">W10/$F10</f>
        <v>0.78506173756899789</v>
      </c>
      <c r="AS10" s="211">
        <f t="shared" ref="AS10:AS11" si="102">X10/$F10</f>
        <v>0.76597392409741716</v>
      </c>
      <c r="AT10" s="211">
        <f t="shared" si="24"/>
        <v>0.74688611062583643</v>
      </c>
      <c r="AV10" s="227">
        <v>1</v>
      </c>
      <c r="AW10" s="227">
        <v>1.0039043520936657</v>
      </c>
      <c r="AX10" s="227">
        <v>1.0078087041873298</v>
      </c>
      <c r="AY10" s="227">
        <v>1.0117130562809955</v>
      </c>
      <c r="AZ10" s="227">
        <v>1.0156174083746599</v>
      </c>
      <c r="BA10" s="227">
        <v>1.0107369611903974</v>
      </c>
      <c r="BB10" s="227">
        <v>1.0058565140061348</v>
      </c>
      <c r="BC10" s="227">
        <v>1.0009760668218723</v>
      </c>
      <c r="BD10" s="227">
        <v>0.99609561963760829</v>
      </c>
      <c r="BE10" s="227">
        <v>0.99121517245334578</v>
      </c>
      <c r="BF10" s="227">
        <v>0.98633472526908328</v>
      </c>
      <c r="BG10" s="227">
        <v>0.98145427808482077</v>
      </c>
      <c r="BH10" s="227">
        <v>0.97657383090055683</v>
      </c>
      <c r="BI10" s="227">
        <v>0.97169338371629421</v>
      </c>
      <c r="BJ10" s="227">
        <v>0.96681293653203171</v>
      </c>
      <c r="BK10" s="227">
        <v>0.9619324893477692</v>
      </c>
      <c r="BL10" s="227">
        <v>0.95705204216350526</v>
      </c>
      <c r="BM10" s="227">
        <v>0.95217159497924275</v>
      </c>
      <c r="BN10" s="227">
        <v>0.94729114779498025</v>
      </c>
      <c r="BO10" s="227">
        <v>0.94241070061071763</v>
      </c>
      <c r="BQ10" s="211">
        <f t="shared" si="84"/>
        <v>1</v>
      </c>
      <c r="BR10" s="211">
        <f t="shared" si="84"/>
        <v>1.0122375896244162</v>
      </c>
      <c r="BS10" s="211">
        <f t="shared" si="84"/>
        <v>1.0245399979605585</v>
      </c>
      <c r="BT10" s="211">
        <f t="shared" ref="BT10:BT14" si="103">AD10*AY10</f>
        <v>1.0369072250084299</v>
      </c>
      <c r="BU10" s="211">
        <f t="shared" ref="BU10:BU14" si="104">AE10*AZ10</f>
        <v>1.0493392707680274</v>
      </c>
      <c r="BV10" s="211">
        <f t="shared" ref="BV10:BV14" si="105">AF10*BA10</f>
        <v>1.0250040179857576</v>
      </c>
      <c r="BW10" s="211">
        <f t="shared" ref="BW10:BW14" si="106">AG10*BB10</f>
        <v>1.0008550793345099</v>
      </c>
      <c r="BX10" s="211">
        <f t="shared" ref="BX10:BX14" si="107">AH10*BC10</f>
        <v>0.97689245481428455</v>
      </c>
      <c r="BY10" s="211">
        <f t="shared" ref="BY10:BY14" si="108">AI10*BD10</f>
        <v>0.95311614442507986</v>
      </c>
      <c r="BZ10" s="211">
        <f t="shared" ref="BZ10:BZ14" si="109">AJ10*BE10</f>
        <v>0.92952614816689894</v>
      </c>
      <c r="CA10" s="211">
        <f t="shared" ref="CA10:CA14" si="110">AK10*BF10</f>
        <v>0.90612246603974012</v>
      </c>
      <c r="CB10" s="211">
        <f t="shared" ref="CB10:CB14" si="111">AL10*BG10</f>
        <v>0.88290509804360362</v>
      </c>
      <c r="CC10" s="211">
        <f t="shared" ref="CC10:CC14" si="112">AM10*BH10</f>
        <v>0.85987404417848801</v>
      </c>
      <c r="CD10" s="211">
        <f t="shared" ref="CD10:CD14" si="113">AN10*BI10</f>
        <v>0.83702930444439594</v>
      </c>
      <c r="CE10" s="211">
        <f t="shared" ref="CE10:CE14" si="114">AO10*BJ10</f>
        <v>0.81437087884132597</v>
      </c>
      <c r="CF10" s="211">
        <f t="shared" ref="CF10:CF14" si="115">AP10*BK10</f>
        <v>0.79189876736927833</v>
      </c>
      <c r="CG10" s="211">
        <f t="shared" ref="CG10:CG14" si="116">AQ10*BL10</f>
        <v>0.76961297002825169</v>
      </c>
      <c r="CH10" s="211">
        <f t="shared" ref="CH10:CH14" si="117">AR10*BM10</f>
        <v>0.74751348681824847</v>
      </c>
      <c r="CI10" s="211">
        <f t="shared" ref="CI10:CI14" si="118">AS10*BN10</f>
        <v>0.72560031773926736</v>
      </c>
      <c r="CJ10" s="211">
        <f t="shared" ref="CJ10:CJ14" si="119">AT10*BO10</f>
        <v>0.70387346279130847</v>
      </c>
    </row>
    <row r="11" spans="1:88" s="211" customFormat="1" x14ac:dyDescent="0.2">
      <c r="B11" s="21" t="s">
        <v>427</v>
      </c>
      <c r="C11" s="21">
        <v>-37.088340000000002</v>
      </c>
      <c r="D11" s="21">
        <v>143.475123</v>
      </c>
      <c r="F11" s="227">
        <v>1.1673052571428571E-3</v>
      </c>
      <c r="G11" s="227">
        <v>1.1764589428571429E-3</v>
      </c>
      <c r="H11" s="227">
        <v>1.1856126285714286E-3</v>
      </c>
      <c r="I11" s="227">
        <v>1.1947663142857143E-3</v>
      </c>
      <c r="J11" s="227">
        <v>1.20392E-3</v>
      </c>
      <c r="K11" s="227">
        <v>1.20379395E-3</v>
      </c>
      <c r="L11" s="227">
        <v>1.2036678999999999E-3</v>
      </c>
      <c r="M11" s="227">
        <v>1.2035418499999999E-3</v>
      </c>
      <c r="N11" s="227">
        <v>1.2034157999999998E-3</v>
      </c>
      <c r="O11" s="227">
        <v>1.2032897499999998E-3</v>
      </c>
      <c r="P11" s="227">
        <v>1.2031636999999997E-3</v>
      </c>
      <c r="Q11" s="227">
        <v>1.2030376499999997E-3</v>
      </c>
      <c r="R11" s="227">
        <v>1.2029115999999996E-3</v>
      </c>
      <c r="S11" s="227">
        <v>1.2027855499999996E-3</v>
      </c>
      <c r="T11" s="227">
        <v>1.2026594999999995E-3</v>
      </c>
      <c r="U11" s="227">
        <v>1.2025334499999995E-3</v>
      </c>
      <c r="V11" s="227">
        <v>1.2024073999999994E-3</v>
      </c>
      <c r="W11" s="227">
        <v>1.2022813499999994E-3</v>
      </c>
      <c r="X11" s="227">
        <v>1.2021552999999993E-3</v>
      </c>
      <c r="Y11" s="227">
        <v>1.2020292499999993E-3</v>
      </c>
      <c r="AA11" s="211">
        <f t="shared" si="82"/>
        <v>1</v>
      </c>
      <c r="AB11" s="211">
        <f t="shared" si="82"/>
        <v>1.0078417240548463</v>
      </c>
      <c r="AC11" s="211">
        <f t="shared" si="86"/>
        <v>1.0156834481096926</v>
      </c>
      <c r="AD11" s="211">
        <f t="shared" si="87"/>
        <v>1.0235251721645391</v>
      </c>
      <c r="AE11" s="211">
        <f t="shared" si="88"/>
        <v>1.0313668962193854</v>
      </c>
      <c r="AF11" s="211">
        <f t="shared" si="89"/>
        <v>1.0312589124685809</v>
      </c>
      <c r="AG11" s="211">
        <f t="shared" si="90"/>
        <v>1.0311509287177765</v>
      </c>
      <c r="AH11" s="211">
        <f t="shared" si="91"/>
        <v>1.031042944966972</v>
      </c>
      <c r="AI11" s="211">
        <f t="shared" si="92"/>
        <v>1.0309349612161676</v>
      </c>
      <c r="AJ11" s="211">
        <f t="shared" si="93"/>
        <v>1.0308269774653631</v>
      </c>
      <c r="AK11" s="211">
        <f t="shared" si="94"/>
        <v>1.0307189937145587</v>
      </c>
      <c r="AL11" s="211">
        <f t="shared" si="95"/>
        <v>1.0306110099637542</v>
      </c>
      <c r="AM11" s="211">
        <f t="shared" si="96"/>
        <v>1.0305030262129498</v>
      </c>
      <c r="AN11" s="211">
        <f t="shared" si="97"/>
        <v>1.0303950424621453</v>
      </c>
      <c r="AO11" s="211">
        <f t="shared" si="98"/>
        <v>1.0302870587113406</v>
      </c>
      <c r="AP11" s="211">
        <f t="shared" si="99"/>
        <v>1.0301790749605362</v>
      </c>
      <c r="AQ11" s="211">
        <f t="shared" si="100"/>
        <v>1.0300710912097317</v>
      </c>
      <c r="AR11" s="211">
        <f t="shared" si="101"/>
        <v>1.0299631074589273</v>
      </c>
      <c r="AS11" s="211">
        <f t="shared" si="102"/>
        <v>1.0298551237081228</v>
      </c>
      <c r="AT11" s="211">
        <f t="shared" si="24"/>
        <v>1.0297471399573184</v>
      </c>
      <c r="AV11" s="227">
        <v>1</v>
      </c>
      <c r="AW11" s="227">
        <v>1.0085483867687179</v>
      </c>
      <c r="AX11" s="227">
        <v>1.0170967735374321</v>
      </c>
      <c r="AY11" s="227">
        <v>1.0256451603061461</v>
      </c>
      <c r="AZ11" s="227">
        <v>1.034193547074864</v>
      </c>
      <c r="BA11" s="227">
        <v>1.0288508053444159</v>
      </c>
      <c r="BB11" s="227">
        <v>1.0235080636139695</v>
      </c>
      <c r="BC11" s="227">
        <v>1.0181653218835232</v>
      </c>
      <c r="BD11" s="227">
        <v>1.012822580153075</v>
      </c>
      <c r="BE11" s="227">
        <v>1.0074798384226287</v>
      </c>
      <c r="BF11" s="227">
        <v>1.0021370966921823</v>
      </c>
      <c r="BG11" s="227">
        <v>0.99679435496173407</v>
      </c>
      <c r="BH11" s="227">
        <v>0.99145161323128783</v>
      </c>
      <c r="BI11" s="227">
        <v>0.98610887150083959</v>
      </c>
      <c r="BJ11" s="227">
        <v>0.98076612977039324</v>
      </c>
      <c r="BK11" s="227">
        <v>0.97542338803994688</v>
      </c>
      <c r="BL11" s="227">
        <v>0.97008064630949875</v>
      </c>
      <c r="BM11" s="227">
        <v>0.9647379045790524</v>
      </c>
      <c r="BN11" s="227">
        <v>0.95939516284860604</v>
      </c>
      <c r="BO11" s="227">
        <v>0.9540524211181578</v>
      </c>
      <c r="BQ11" s="211">
        <f t="shared" ref="BQ11:BQ14" si="120">AA11*AV11</f>
        <v>1</v>
      </c>
      <c r="BR11" s="211">
        <f t="shared" ref="BR11:BR14" si="121">AB11*AW11</f>
        <v>1.0164571449137185</v>
      </c>
      <c r="BS11" s="211">
        <f t="shared" ref="BS11:BS14" si="122">AC11*AX11</f>
        <v>1.0330483580077421</v>
      </c>
      <c r="BT11" s="211">
        <f t="shared" si="103"/>
        <v>1.0497736392820745</v>
      </c>
      <c r="BU11" s="211">
        <f t="shared" si="104"/>
        <v>1.0666329887367192</v>
      </c>
      <c r="BV11" s="211">
        <f t="shared" si="105"/>
        <v>1.0610115626119059</v>
      </c>
      <c r="BW11" s="211">
        <f t="shared" si="106"/>
        <v>1.0553912903456777</v>
      </c>
      <c r="BX11" s="211">
        <f t="shared" si="107"/>
        <v>1.0497721719380326</v>
      </c>
      <c r="BY11" s="211">
        <f t="shared" si="108"/>
        <v>1.0441542073889691</v>
      </c>
      <c r="BZ11" s="211">
        <f t="shared" si="109"/>
        <v>1.0385373966984908</v>
      </c>
      <c r="CA11" s="211">
        <f t="shared" si="110"/>
        <v>1.0329217398665955</v>
      </c>
      <c r="CB11" s="211">
        <f t="shared" si="111"/>
        <v>1.0273072368932816</v>
      </c>
      <c r="CC11" s="211">
        <f t="shared" si="112"/>
        <v>1.0216938877785531</v>
      </c>
      <c r="CD11" s="211">
        <f t="shared" si="113"/>
        <v>1.0160816925224059</v>
      </c>
      <c r="CE11" s="211">
        <f t="shared" si="114"/>
        <v>1.0104706511248434</v>
      </c>
      <c r="CF11" s="211">
        <f t="shared" si="115"/>
        <v>1.0048607635858646</v>
      </c>
      <c r="CG11" s="211">
        <f t="shared" si="116"/>
        <v>0.99925202990546724</v>
      </c>
      <c r="CH11" s="211">
        <f t="shared" si="117"/>
        <v>0.99364445008365487</v>
      </c>
      <c r="CI11" s="211">
        <f t="shared" si="118"/>
        <v>0.98803802412042585</v>
      </c>
      <c r="CJ11" s="211">
        <f t="shared" si="119"/>
        <v>0.98243275201577807</v>
      </c>
    </row>
    <row r="12" spans="1:88" s="211" customFormat="1" x14ac:dyDescent="0.2">
      <c r="B12" s="21" t="s">
        <v>428</v>
      </c>
      <c r="C12" s="21">
        <v>-36.769331999999999</v>
      </c>
      <c r="D12" s="21">
        <v>143.82977099999999</v>
      </c>
      <c r="F12" s="227">
        <v>1.3197195657142858E-2</v>
      </c>
      <c r="G12" s="227">
        <v>1.3306336742857144E-2</v>
      </c>
      <c r="H12" s="227">
        <v>1.3415477828571431E-2</v>
      </c>
      <c r="I12" s="227">
        <v>1.3524618914285717E-2</v>
      </c>
      <c r="J12" s="227">
        <v>1.3633760000000003E-2</v>
      </c>
      <c r="K12" s="227">
        <v>1.3690705400000003E-2</v>
      </c>
      <c r="L12" s="227">
        <v>1.3747650800000002E-2</v>
      </c>
      <c r="M12" s="227">
        <v>1.3804596200000002E-2</v>
      </c>
      <c r="N12" s="227">
        <v>1.3861541600000001E-2</v>
      </c>
      <c r="O12" s="227">
        <v>1.3918487E-2</v>
      </c>
      <c r="P12" s="227">
        <v>1.39754324E-2</v>
      </c>
      <c r="Q12" s="227">
        <v>1.4032377799999999E-2</v>
      </c>
      <c r="R12" s="227">
        <v>1.4089323199999998E-2</v>
      </c>
      <c r="S12" s="227">
        <v>1.4146268599999998E-2</v>
      </c>
      <c r="T12" s="227">
        <v>1.4203213999999997E-2</v>
      </c>
      <c r="U12" s="227">
        <v>1.4260159399999996E-2</v>
      </c>
      <c r="V12" s="227">
        <v>1.4317104799999996E-2</v>
      </c>
      <c r="W12" s="227">
        <v>1.4374050199999995E-2</v>
      </c>
      <c r="X12" s="227">
        <v>1.4430995599999994E-2</v>
      </c>
      <c r="Y12" s="227">
        <v>1.4487940999999994E-2</v>
      </c>
      <c r="AA12" s="211">
        <f t="shared" si="82"/>
        <v>1</v>
      </c>
      <c r="AB12" s="211">
        <f t="shared" si="82"/>
        <v>1.0082700210370235</v>
      </c>
      <c r="AC12" s="211">
        <f t="shared" ref="AC12:AC14" si="123">H12/$F12</f>
        <v>1.0165400420740469</v>
      </c>
      <c r="AD12" s="211">
        <f t="shared" ref="AD12:AD14" si="124">I12/$F12</f>
        <v>1.0248100631110704</v>
      </c>
      <c r="AE12" s="211">
        <f t="shared" ref="AE12:AE14" si="125">J12/$F12</f>
        <v>1.033080084148094</v>
      </c>
      <c r="AF12" s="211">
        <f t="shared" ref="AF12:AF14" si="126">K12/$F12</f>
        <v>1.0373950463172861</v>
      </c>
      <c r="AG12" s="211">
        <f t="shared" ref="AG12:AG14" si="127">L12/$F12</f>
        <v>1.0417100084864783</v>
      </c>
      <c r="AH12" s="211">
        <f t="shared" ref="AH12:AH14" si="128">M12/$F12</f>
        <v>1.0460249706556706</v>
      </c>
      <c r="AI12" s="211">
        <f t="shared" ref="AI12:AI14" si="129">N12/$F12</f>
        <v>1.0503399328248628</v>
      </c>
      <c r="AJ12" s="211">
        <f t="shared" ref="AJ12:AJ14" si="130">O12/$F12</f>
        <v>1.0546548949940551</v>
      </c>
      <c r="AK12" s="211">
        <f t="shared" ref="AK12:AK14" si="131">P12/$F12</f>
        <v>1.0589698571632473</v>
      </c>
      <c r="AL12" s="211">
        <f t="shared" ref="AL12:AL14" si="132">Q12/$F12</f>
        <v>1.0632848193324396</v>
      </c>
      <c r="AM12" s="211">
        <f t="shared" ref="AM12:AM14" si="133">R12/$F12</f>
        <v>1.0675997815016318</v>
      </c>
      <c r="AN12" s="211">
        <f t="shared" ref="AN12:AN14" si="134">S12/$F12</f>
        <v>1.0719147436708241</v>
      </c>
      <c r="AO12" s="211">
        <f t="shared" ref="AO12:AO14" si="135">T12/$F12</f>
        <v>1.0762297058400163</v>
      </c>
      <c r="AP12" s="211">
        <f t="shared" ref="AP12:AP14" si="136">U12/$F12</f>
        <v>1.0805446680092083</v>
      </c>
      <c r="AQ12" s="211">
        <f t="shared" ref="AQ12:AQ14" si="137">V12/$F12</f>
        <v>1.0848596301784006</v>
      </c>
      <c r="AR12" s="211">
        <f t="shared" ref="AR12:AR14" si="138">W12/$F12</f>
        <v>1.0891745923475928</v>
      </c>
      <c r="AS12" s="211">
        <f t="shared" ref="AS12:AS14" si="139">X12/$F12</f>
        <v>1.0934895545167851</v>
      </c>
      <c r="AT12" s="211">
        <f t="shared" si="24"/>
        <v>1.0978045166859773</v>
      </c>
      <c r="AV12" s="227">
        <v>1</v>
      </c>
      <c r="AW12" s="227">
        <v>1.0173410474452471</v>
      </c>
      <c r="AX12" s="227">
        <v>1.0346820948904902</v>
      </c>
      <c r="AY12" s="227">
        <v>1.0520231423357331</v>
      </c>
      <c r="AZ12" s="227">
        <v>1.0693641897809802</v>
      </c>
      <c r="BA12" s="227">
        <v>1.0693641897809789</v>
      </c>
      <c r="BB12" s="227">
        <v>1.0693641897809789</v>
      </c>
      <c r="BC12" s="227">
        <v>1.0693641897809789</v>
      </c>
      <c r="BD12" s="227">
        <v>1.0693641897809789</v>
      </c>
      <c r="BE12" s="227">
        <v>1.0693641897809789</v>
      </c>
      <c r="BF12" s="227">
        <v>1.0693641897809789</v>
      </c>
      <c r="BG12" s="227">
        <v>1.0693641897809789</v>
      </c>
      <c r="BH12" s="227">
        <v>1.0693641897809789</v>
      </c>
      <c r="BI12" s="227">
        <v>1.0693641897809789</v>
      </c>
      <c r="BJ12" s="227">
        <v>1.0693641897809789</v>
      </c>
      <c r="BK12" s="227">
        <v>1.0693641897809789</v>
      </c>
      <c r="BL12" s="227">
        <v>1.0693641897809789</v>
      </c>
      <c r="BM12" s="227">
        <v>1.0693641897809789</v>
      </c>
      <c r="BN12" s="227">
        <v>1.0693641897809789</v>
      </c>
      <c r="BO12" s="227">
        <v>1.0693641897809789</v>
      </c>
      <c r="BQ12" s="211">
        <f t="shared" si="120"/>
        <v>1</v>
      </c>
      <c r="BR12" s="211">
        <f>AB12*AW12</f>
        <v>1.0257544793094469</v>
      </c>
      <c r="BS12" s="211">
        <f t="shared" si="122"/>
        <v>1.0517957802732418</v>
      </c>
      <c r="BT12" s="211">
        <f t="shared" si="103"/>
        <v>1.0781239028913892</v>
      </c>
      <c r="BU12" s="211">
        <f t="shared" si="104"/>
        <v>1.1047388471638935</v>
      </c>
      <c r="BV12" s="211">
        <f t="shared" si="105"/>
        <v>1.1093531131878858</v>
      </c>
      <c r="BW12" s="211">
        <f t="shared" si="106"/>
        <v>1.1139673792118796</v>
      </c>
      <c r="BX12" s="211">
        <f t="shared" si="107"/>
        <v>1.1185816452358734</v>
      </c>
      <c r="BY12" s="211">
        <f t="shared" si="108"/>
        <v>1.1231959112598673</v>
      </c>
      <c r="BZ12" s="211">
        <f t="shared" si="109"/>
        <v>1.1278101772838611</v>
      </c>
      <c r="CA12" s="211">
        <f t="shared" si="110"/>
        <v>1.132424443307855</v>
      </c>
      <c r="CB12" s="211">
        <f t="shared" si="111"/>
        <v>1.1370387093318488</v>
      </c>
      <c r="CC12" s="211">
        <f t="shared" si="112"/>
        <v>1.1416529753558426</v>
      </c>
      <c r="CD12" s="211">
        <f t="shared" si="113"/>
        <v>1.1462672413798365</v>
      </c>
      <c r="CE12" s="211">
        <f t="shared" si="114"/>
        <v>1.1508815074038303</v>
      </c>
      <c r="CF12" s="211">
        <f t="shared" si="115"/>
        <v>1.1554957734278239</v>
      </c>
      <c r="CG12" s="211">
        <f t="shared" si="116"/>
        <v>1.1601100394518178</v>
      </c>
      <c r="CH12" s="211">
        <f t="shared" si="117"/>
        <v>1.1647243054758116</v>
      </c>
      <c r="CI12" s="211">
        <f t="shared" si="118"/>
        <v>1.1693385714998055</v>
      </c>
      <c r="CJ12" s="211">
        <f t="shared" si="119"/>
        <v>1.1739528375237993</v>
      </c>
    </row>
    <row r="13" spans="1:88" s="211" customFormat="1" x14ac:dyDescent="0.2">
      <c r="B13" s="21" t="s">
        <v>429</v>
      </c>
      <c r="C13" s="21">
        <v>-38.495744000000002</v>
      </c>
      <c r="D13" s="21">
        <v>143.20644200000001</v>
      </c>
      <c r="F13" s="227">
        <v>1.2231456857142856E-3</v>
      </c>
      <c r="G13" s="227">
        <v>1.2343595142857143E-3</v>
      </c>
      <c r="H13" s="227">
        <v>1.2455733428571429E-3</v>
      </c>
      <c r="I13" s="227">
        <v>1.2567871714285715E-3</v>
      </c>
      <c r="J13" s="227">
        <v>1.2680010000000002E-3</v>
      </c>
      <c r="K13" s="227">
        <v>1.2514043500000001E-3</v>
      </c>
      <c r="L13" s="227">
        <v>1.2348077000000001E-3</v>
      </c>
      <c r="M13" s="227">
        <v>1.2182110500000001E-3</v>
      </c>
      <c r="N13" s="227">
        <v>1.2016144000000001E-3</v>
      </c>
      <c r="O13" s="227">
        <v>1.1850177500000001E-3</v>
      </c>
      <c r="P13" s="227">
        <v>1.1684211E-3</v>
      </c>
      <c r="Q13" s="227">
        <v>1.15182445E-3</v>
      </c>
      <c r="R13" s="227">
        <v>1.1352278E-3</v>
      </c>
      <c r="S13" s="227">
        <v>1.11863115E-3</v>
      </c>
      <c r="T13" s="227">
        <v>1.1020345E-3</v>
      </c>
      <c r="U13" s="227">
        <v>1.0854378499999999E-3</v>
      </c>
      <c r="V13" s="227">
        <v>1.0688411999999999E-3</v>
      </c>
      <c r="W13" s="227">
        <v>1.0522445499999999E-3</v>
      </c>
      <c r="X13" s="227">
        <v>1.0356478999999999E-3</v>
      </c>
      <c r="Y13" s="227">
        <v>1.0190512499999999E-3</v>
      </c>
      <c r="AA13" s="211">
        <f>F13/$F13</f>
        <v>1</v>
      </c>
      <c r="AB13" s="211">
        <f t="shared" si="82"/>
        <v>1.0091680236478782</v>
      </c>
      <c r="AC13" s="211">
        <f t="shared" si="123"/>
        <v>1.0183360472957561</v>
      </c>
      <c r="AD13" s="211">
        <f t="shared" si="124"/>
        <v>1.0275040709436343</v>
      </c>
      <c r="AE13" s="211">
        <f t="shared" si="125"/>
        <v>1.0366720945915124</v>
      </c>
      <c r="AF13" s="211">
        <f t="shared" si="126"/>
        <v>1.0231032693944484</v>
      </c>
      <c r="AG13" s="211">
        <f t="shared" si="127"/>
        <v>1.0095344441973846</v>
      </c>
      <c r="AH13" s="211">
        <f t="shared" si="128"/>
        <v>0.99596561900032066</v>
      </c>
      <c r="AI13" s="211">
        <f t="shared" si="129"/>
        <v>0.98239679380325673</v>
      </c>
      <c r="AJ13" s="211">
        <f t="shared" si="130"/>
        <v>0.9688279686061928</v>
      </c>
      <c r="AK13" s="211">
        <f t="shared" si="131"/>
        <v>0.95525914340912887</v>
      </c>
      <c r="AL13" s="211">
        <f t="shared" si="132"/>
        <v>0.94169031821206495</v>
      </c>
      <c r="AM13" s="211">
        <f t="shared" si="133"/>
        <v>0.92812149301500102</v>
      </c>
      <c r="AN13" s="211">
        <f t="shared" si="134"/>
        <v>0.91455266781793709</v>
      </c>
      <c r="AO13" s="211">
        <f t="shared" si="135"/>
        <v>0.90098384262087317</v>
      </c>
      <c r="AP13" s="211">
        <f t="shared" si="136"/>
        <v>0.88741501742380924</v>
      </c>
      <c r="AQ13" s="211">
        <f t="shared" si="137"/>
        <v>0.87384619222674542</v>
      </c>
      <c r="AR13" s="211">
        <f t="shared" si="138"/>
        <v>0.86027736702968149</v>
      </c>
      <c r="AS13" s="211">
        <f t="shared" si="139"/>
        <v>0.84670854183261757</v>
      </c>
      <c r="AT13" s="211">
        <f t="shared" ref="AT13:AT14" si="140">Y13/$F13</f>
        <v>0.83313971663555364</v>
      </c>
      <c r="AV13" s="227">
        <v>1</v>
      </c>
      <c r="AW13" s="227">
        <v>0.98718261044549271</v>
      </c>
      <c r="AX13" s="227">
        <v>0.97436522089098843</v>
      </c>
      <c r="AY13" s="227">
        <v>0.96154783133648414</v>
      </c>
      <c r="AZ13" s="227">
        <v>0.94873044178197685</v>
      </c>
      <c r="BA13" s="227">
        <v>0.95205575834691725</v>
      </c>
      <c r="BB13" s="227">
        <v>0.95538107491185831</v>
      </c>
      <c r="BC13" s="227">
        <v>0.95870639147679937</v>
      </c>
      <c r="BD13" s="227">
        <v>0.96203170804174043</v>
      </c>
      <c r="BE13" s="227">
        <v>0.96535702460668149</v>
      </c>
      <c r="BF13" s="227">
        <v>0.96868234117162111</v>
      </c>
      <c r="BG13" s="227">
        <v>0.97200765773656217</v>
      </c>
      <c r="BH13" s="227">
        <v>0.97533297430150323</v>
      </c>
      <c r="BI13" s="227">
        <v>0.97865829086644429</v>
      </c>
      <c r="BJ13" s="227">
        <v>0.98198360743138535</v>
      </c>
      <c r="BK13" s="227">
        <v>0.98530892399632486</v>
      </c>
      <c r="BL13" s="227">
        <v>0.98863424056126603</v>
      </c>
      <c r="BM13" s="227">
        <v>0.99195955712620709</v>
      </c>
      <c r="BN13" s="227">
        <v>0.99528487369114815</v>
      </c>
      <c r="BO13" s="227">
        <v>0.99861019025608921</v>
      </c>
      <c r="BQ13" s="211">
        <f t="shared" si="120"/>
        <v>1</v>
      </c>
      <c r="BR13" s="211">
        <f t="shared" si="121"/>
        <v>0.99623312396283104</v>
      </c>
      <c r="BS13" s="211">
        <f t="shared" si="122"/>
        <v>0.99223122766458549</v>
      </c>
      <c r="BT13" s="211">
        <f t="shared" si="103"/>
        <v>0.98799431110526048</v>
      </c>
      <c r="BU13" s="211">
        <f t="shared" si="104"/>
        <v>0.9835223742848529</v>
      </c>
      <c r="BV13" s="211">
        <f t="shared" si="105"/>
        <v>0.97405135901054196</v>
      </c>
      <c r="BW13" s="211">
        <f t="shared" si="106"/>
        <v>0.96449010245784272</v>
      </c>
      <c r="BX13" s="211">
        <f t="shared" si="107"/>
        <v>0.95483860462675418</v>
      </c>
      <c r="BY13" s="211">
        <f t="shared" si="108"/>
        <v>0.94509686551727656</v>
      </c>
      <c r="BZ13" s="211">
        <f t="shared" si="109"/>
        <v>0.93526488512940975</v>
      </c>
      <c r="CA13" s="211">
        <f t="shared" si="110"/>
        <v>0.9253426634631523</v>
      </c>
      <c r="CB13" s="211">
        <f t="shared" si="111"/>
        <v>0.91533020051850711</v>
      </c>
      <c r="CC13" s="211">
        <f t="shared" si="112"/>
        <v>0.90522749629547283</v>
      </c>
      <c r="CD13" s="211">
        <f t="shared" si="113"/>
        <v>0.89503455079404926</v>
      </c>
      <c r="CE13" s="211">
        <f t="shared" si="114"/>
        <v>0.8847513640142366</v>
      </c>
      <c r="CF13" s="211">
        <f t="shared" si="115"/>
        <v>0.8743779359560333</v>
      </c>
      <c r="CG13" s="211">
        <f t="shared" si="116"/>
        <v>0.86391426661944259</v>
      </c>
      <c r="CH13" s="211">
        <f t="shared" si="117"/>
        <v>0.85336035600446236</v>
      </c>
      <c r="CI13" s="211">
        <f t="shared" si="118"/>
        <v>0.84271620411109305</v>
      </c>
      <c r="CJ13" s="211">
        <f t="shared" si="119"/>
        <v>0.83198181093933443</v>
      </c>
    </row>
    <row r="14" spans="1:88" s="211" customFormat="1" x14ac:dyDescent="0.2">
      <c r="B14" s="21" t="s">
        <v>430</v>
      </c>
      <c r="C14" s="21">
        <v>-37.546342000000003</v>
      </c>
      <c r="D14" s="21">
        <v>142.74102600000001</v>
      </c>
      <c r="F14" s="227">
        <v>3.3479146285714284E-3</v>
      </c>
      <c r="G14" s="227">
        <v>3.3731729714285711E-3</v>
      </c>
      <c r="H14" s="227">
        <v>3.3984313142857137E-3</v>
      </c>
      <c r="I14" s="227">
        <v>3.4236896571428563E-3</v>
      </c>
      <c r="J14" s="227">
        <v>3.448947999999999E-3</v>
      </c>
      <c r="K14" s="227">
        <v>3.4390607999999988E-3</v>
      </c>
      <c r="L14" s="227">
        <v>3.4291735999999987E-3</v>
      </c>
      <c r="M14" s="227">
        <v>3.4192863999999985E-3</v>
      </c>
      <c r="N14" s="227">
        <v>3.4093991999999984E-3</v>
      </c>
      <c r="O14" s="227">
        <v>3.3995119999999982E-3</v>
      </c>
      <c r="P14" s="227">
        <v>3.389624799999998E-3</v>
      </c>
      <c r="Q14" s="227">
        <v>3.3797375999999979E-3</v>
      </c>
      <c r="R14" s="227">
        <v>3.3698503999999977E-3</v>
      </c>
      <c r="S14" s="227">
        <v>3.3599631999999976E-3</v>
      </c>
      <c r="T14" s="227">
        <v>3.3500759999999974E-3</v>
      </c>
      <c r="U14" s="227">
        <v>3.3401887999999972E-3</v>
      </c>
      <c r="V14" s="227">
        <v>3.3303015999999971E-3</v>
      </c>
      <c r="W14" s="227">
        <v>3.3204143999999969E-3</v>
      </c>
      <c r="X14" s="227">
        <v>3.3105271999999968E-3</v>
      </c>
      <c r="Y14" s="227">
        <v>3.3006399999999966E-3</v>
      </c>
      <c r="AA14" s="211">
        <f t="shared" si="82"/>
        <v>1</v>
      </c>
      <c r="AB14" s="211">
        <f t="shared" si="82"/>
        <v>1.007544500281335</v>
      </c>
      <c r="AC14" s="211">
        <f t="shared" si="123"/>
        <v>1.01508900056267</v>
      </c>
      <c r="AD14" s="211">
        <f t="shared" si="124"/>
        <v>1.0226335008440048</v>
      </c>
      <c r="AE14" s="211">
        <f t="shared" si="125"/>
        <v>1.0301780011253399</v>
      </c>
      <c r="AF14" s="211">
        <f t="shared" si="126"/>
        <v>1.0272247597506579</v>
      </c>
      <c r="AG14" s="211">
        <f t="shared" si="127"/>
        <v>1.0242715183759761</v>
      </c>
      <c r="AH14" s="211">
        <f t="shared" si="128"/>
        <v>1.0213182770012941</v>
      </c>
      <c r="AI14" s="211">
        <f t="shared" si="129"/>
        <v>1.0183650356266121</v>
      </c>
      <c r="AJ14" s="211">
        <f t="shared" si="130"/>
        <v>1.0154117942519301</v>
      </c>
      <c r="AK14" s="211">
        <f t="shared" si="131"/>
        <v>1.0124585528772481</v>
      </c>
      <c r="AL14" s="211">
        <f t="shared" si="132"/>
        <v>1.0095053115025661</v>
      </c>
      <c r="AM14" s="211">
        <f t="shared" si="133"/>
        <v>1.0065520701278843</v>
      </c>
      <c r="AN14" s="211">
        <f t="shared" si="134"/>
        <v>1.0035988287532023</v>
      </c>
      <c r="AO14" s="211">
        <f t="shared" si="135"/>
        <v>1.0006455873785203</v>
      </c>
      <c r="AP14" s="211">
        <f t="shared" si="136"/>
        <v>0.99769234600383827</v>
      </c>
      <c r="AQ14" s="211">
        <f t="shared" si="137"/>
        <v>0.99473910462915627</v>
      </c>
      <c r="AR14" s="211">
        <f t="shared" si="138"/>
        <v>0.99178586325447438</v>
      </c>
      <c r="AS14" s="211">
        <f t="shared" si="139"/>
        <v>0.98883262187979237</v>
      </c>
      <c r="AT14" s="211">
        <f t="shared" si="140"/>
        <v>0.98587938050511037</v>
      </c>
      <c r="AV14" s="227">
        <v>1</v>
      </c>
      <c r="AW14" s="227">
        <v>1</v>
      </c>
      <c r="AX14" s="227">
        <v>1</v>
      </c>
      <c r="AY14" s="227">
        <v>1</v>
      </c>
      <c r="AZ14" s="227">
        <v>1</v>
      </c>
      <c r="BA14" s="227">
        <v>0.99877920490865846</v>
      </c>
      <c r="BB14" s="227">
        <v>0.99755840981731647</v>
      </c>
      <c r="BC14" s="227">
        <v>0.99633761472597504</v>
      </c>
      <c r="BD14" s="227">
        <v>0.99511681963463305</v>
      </c>
      <c r="BE14" s="227">
        <v>0.99389602454329118</v>
      </c>
      <c r="BF14" s="227">
        <v>0.99267522945194964</v>
      </c>
      <c r="BG14" s="227">
        <v>0.99145443436060776</v>
      </c>
      <c r="BH14" s="227">
        <v>0.99023363926926633</v>
      </c>
      <c r="BI14" s="227">
        <v>0.98901284417792434</v>
      </c>
      <c r="BJ14" s="227">
        <v>0.98779204908658291</v>
      </c>
      <c r="BK14" s="227">
        <v>0.98657125399524093</v>
      </c>
      <c r="BL14" s="227">
        <v>0.98535045890389905</v>
      </c>
      <c r="BM14" s="227">
        <v>0.98412966381255751</v>
      </c>
      <c r="BN14" s="227">
        <v>0.98290886872121563</v>
      </c>
      <c r="BO14" s="227">
        <v>0.9816880736298742</v>
      </c>
      <c r="BQ14" s="211">
        <f t="shared" si="120"/>
        <v>1</v>
      </c>
      <c r="BR14" s="211">
        <f t="shared" si="121"/>
        <v>1.007544500281335</v>
      </c>
      <c r="BS14" s="211">
        <f t="shared" si="122"/>
        <v>1.01508900056267</v>
      </c>
      <c r="BT14" s="211">
        <f t="shared" si="103"/>
        <v>1.0226335008440048</v>
      </c>
      <c r="BU14" s="211">
        <f t="shared" si="104"/>
        <v>1.0301780011253399</v>
      </c>
      <c r="BV14" s="211">
        <f t="shared" si="105"/>
        <v>1.0259707288062498</v>
      </c>
      <c r="BW14" s="211">
        <f t="shared" si="106"/>
        <v>1.021770667092307</v>
      </c>
      <c r="BX14" s="211">
        <f t="shared" si="107"/>
        <v>1.017577815983512</v>
      </c>
      <c r="BY14" s="211">
        <f t="shared" si="108"/>
        <v>1.013392175479864</v>
      </c>
      <c r="BZ14" s="211">
        <f t="shared" si="109"/>
        <v>1.0092137455813637</v>
      </c>
      <c r="CA14" s="211">
        <f t="shared" si="110"/>
        <v>1.0050425262880112</v>
      </c>
      <c r="CB14" s="211">
        <f t="shared" si="111"/>
        <v>1.0008785175998058</v>
      </c>
      <c r="CC14" s="211">
        <f t="shared" si="112"/>
        <v>0.99672171951674859</v>
      </c>
      <c r="CD14" s="211">
        <f t="shared" si="113"/>
        <v>0.99257213203883821</v>
      </c>
      <c r="CE14" s="211">
        <f t="shared" si="114"/>
        <v>0.9884297551660759</v>
      </c>
      <c r="CF14" s="211">
        <f t="shared" si="115"/>
        <v>0.98429458889846055</v>
      </c>
      <c r="CG14" s="211">
        <f t="shared" si="116"/>
        <v>0.98016663323599273</v>
      </c>
      <c r="CH14" s="211">
        <f t="shared" si="117"/>
        <v>0.97604588817867299</v>
      </c>
      <c r="CI14" s="211">
        <f t="shared" si="118"/>
        <v>0.97193235372650033</v>
      </c>
      <c r="CJ14" s="211">
        <f t="shared" si="119"/>
        <v>0.96782602987947552</v>
      </c>
    </row>
    <row r="15" spans="1:88" s="211" customFormat="1" x14ac:dyDescent="0.2">
      <c r="B15" s="21" t="s">
        <v>431</v>
      </c>
      <c r="C15" s="21">
        <v>-37.140610000000002</v>
      </c>
      <c r="D15" s="21">
        <v>142.51917</v>
      </c>
      <c r="F15" s="227">
        <v>1.0957133771428571E-2</v>
      </c>
      <c r="G15" s="227">
        <v>1.1028758828571428E-2</v>
      </c>
      <c r="H15" s="227">
        <v>1.1100383885714285E-2</v>
      </c>
      <c r="I15" s="227">
        <v>1.1172008942857142E-2</v>
      </c>
      <c r="J15" s="227">
        <v>1.1243633999999999E-2</v>
      </c>
      <c r="K15" s="227">
        <v>1.1252183549999999E-2</v>
      </c>
      <c r="L15" s="227">
        <v>1.12607331E-2</v>
      </c>
      <c r="M15" s="227">
        <v>1.126928265E-2</v>
      </c>
      <c r="N15" s="227">
        <v>1.1277832200000001E-2</v>
      </c>
      <c r="O15" s="227">
        <v>1.1286381750000001E-2</v>
      </c>
      <c r="P15" s="227">
        <v>1.1294931300000002E-2</v>
      </c>
      <c r="Q15" s="227">
        <v>1.1303480850000002E-2</v>
      </c>
      <c r="R15" s="227">
        <v>1.1312030400000003E-2</v>
      </c>
      <c r="S15" s="227">
        <v>1.1320579950000003E-2</v>
      </c>
      <c r="T15" s="227">
        <v>1.1329129500000003E-2</v>
      </c>
      <c r="U15" s="227">
        <v>1.1337679050000004E-2</v>
      </c>
      <c r="V15" s="227">
        <v>1.1346228600000004E-2</v>
      </c>
      <c r="W15" s="227">
        <v>1.1354778150000005E-2</v>
      </c>
      <c r="X15" s="227">
        <v>1.1363327700000005E-2</v>
      </c>
      <c r="Y15" s="227">
        <v>1.1371877250000006E-2</v>
      </c>
      <c r="AA15" s="211">
        <f t="shared" ref="AA15:AB18" si="141">F15/$F15</f>
        <v>1</v>
      </c>
      <c r="AB15" s="211">
        <f t="shared" si="141"/>
        <v>1.0065368424477599</v>
      </c>
      <c r="AC15" s="211">
        <f t="shared" ref="AC15:AC18" si="142">H15/$F15</f>
        <v>1.0130736848955197</v>
      </c>
      <c r="AD15" s="211">
        <f t="shared" ref="AD15:AD18" si="143">I15/$F15</f>
        <v>1.0196105273432794</v>
      </c>
      <c r="AE15" s="211">
        <f t="shared" ref="AE15:AE18" si="144">J15/$F15</f>
        <v>1.0261473697910393</v>
      </c>
      <c r="AF15" s="211">
        <f t="shared" ref="AF15:AF18" si="145">K15/$F15</f>
        <v>1.026927642276376</v>
      </c>
      <c r="AG15" s="211">
        <f t="shared" ref="AG15:AG18" si="146">L15/$F15</f>
        <v>1.027707914761713</v>
      </c>
      <c r="AH15" s="211">
        <f t="shared" ref="AH15:AH18" si="147">M15/$F15</f>
        <v>1.0284881872470497</v>
      </c>
      <c r="AI15" s="211">
        <f t="shared" ref="AI15:AI18" si="148">N15/$F15</f>
        <v>1.0292684597323865</v>
      </c>
      <c r="AJ15" s="211">
        <f t="shared" ref="AJ15:AJ18" si="149">O15/$F15</f>
        <v>1.0300487322177234</v>
      </c>
      <c r="AK15" s="211">
        <f t="shared" ref="AK15:AK18" si="150">P15/$F15</f>
        <v>1.0308290047030602</v>
      </c>
      <c r="AL15" s="211">
        <f t="shared" ref="AL15:AL18" si="151">Q15/$F15</f>
        <v>1.0316092771883969</v>
      </c>
      <c r="AM15" s="211">
        <f t="shared" ref="AM15:AM18" si="152">R15/$F15</f>
        <v>1.0323895496737339</v>
      </c>
      <c r="AN15" s="211">
        <f t="shared" ref="AN15:AN18" si="153">S15/$F15</f>
        <v>1.0331698221590706</v>
      </c>
      <c r="AO15" s="211">
        <f t="shared" ref="AO15:AO18" si="154">T15/$F15</f>
        <v>1.0339500946444073</v>
      </c>
      <c r="AP15" s="211">
        <f t="shared" ref="AP15:AP18" si="155">U15/$F15</f>
        <v>1.0347303671297441</v>
      </c>
      <c r="AQ15" s="211">
        <f t="shared" ref="AQ15:AQ18" si="156">V15/$F15</f>
        <v>1.0355106396150811</v>
      </c>
      <c r="AR15" s="211">
        <f t="shared" ref="AR15:AR18" si="157">W15/$F15</f>
        <v>1.0362909121004178</v>
      </c>
      <c r="AS15" s="211">
        <f t="shared" ref="AS15:AS18" si="158">X15/$F15</f>
        <v>1.0370711845857545</v>
      </c>
      <c r="AT15" s="211">
        <f t="shared" ref="AT15:AT22" si="159">Y15/$F15</f>
        <v>1.0378514570710915</v>
      </c>
      <c r="AV15" s="227">
        <v>1</v>
      </c>
      <c r="AW15" s="227">
        <v>1</v>
      </c>
      <c r="AX15" s="227">
        <v>1</v>
      </c>
      <c r="AY15" s="227">
        <v>1</v>
      </c>
      <c r="AZ15" s="227">
        <v>1</v>
      </c>
      <c r="BA15" s="227">
        <v>0.99987936392606258</v>
      </c>
      <c r="BB15" s="227">
        <v>0.99975872785212516</v>
      </c>
      <c r="BC15" s="227">
        <v>0.99963809177818774</v>
      </c>
      <c r="BD15" s="227">
        <v>0.99951745570425021</v>
      </c>
      <c r="BE15" s="227">
        <v>0.99939681963031279</v>
      </c>
      <c r="BF15" s="227">
        <v>0.99927618355637537</v>
      </c>
      <c r="BG15" s="227">
        <v>0.99915554748243784</v>
      </c>
      <c r="BH15" s="227">
        <v>0.99903491140850043</v>
      </c>
      <c r="BI15" s="227">
        <v>0.99891427533456301</v>
      </c>
      <c r="BJ15" s="227">
        <v>0.99879363926062548</v>
      </c>
      <c r="BK15" s="227">
        <v>0.99867300318668806</v>
      </c>
      <c r="BL15" s="227">
        <v>0.99855236711275064</v>
      </c>
      <c r="BM15" s="227">
        <v>0.99843173103881311</v>
      </c>
      <c r="BN15" s="227">
        <v>0.99831109496487569</v>
      </c>
      <c r="BO15" s="227">
        <v>0.99819045889093827</v>
      </c>
      <c r="BQ15" s="211">
        <f t="shared" ref="BQ15:BQ18" si="160">AA15*AV15</f>
        <v>1</v>
      </c>
      <c r="BR15" s="211">
        <f t="shared" ref="BR15:BR18" si="161">AB15*AW15</f>
        <v>1.0065368424477599</v>
      </c>
      <c r="BS15" s="211">
        <f t="shared" ref="BS15:BS18" si="162">AC15*AX15</f>
        <v>1.0130736848955197</v>
      </c>
      <c r="BT15" s="211">
        <f t="shared" ref="BT15:BT18" si="163">AD15*AY15</f>
        <v>1.0196105273432794</v>
      </c>
      <c r="BU15" s="211">
        <f t="shared" ref="BU15:BU18" si="164">AE15*AZ15</f>
        <v>1.0261473697910393</v>
      </c>
      <c r="BV15" s="211">
        <f t="shared" ref="BV15:BV18" si="165">AF15*BA15</f>
        <v>1.0268037577573941</v>
      </c>
      <c r="BW15" s="211">
        <f t="shared" ref="BW15:BW18" si="166">AG15*BB15</f>
        <v>1.0274599574657304</v>
      </c>
      <c r="BX15" s="211">
        <f t="shared" ref="BX15:BX18" si="167">AH15*BC15</f>
        <v>1.0281159689160482</v>
      </c>
      <c r="BY15" s="211">
        <f t="shared" ref="BY15:BY18" si="168">AI15*BD15</f>
        <v>1.0287717921083475</v>
      </c>
      <c r="BZ15" s="211">
        <f t="shared" ref="BZ15:BZ18" si="169">AJ15*BE15</f>
        <v>1.0294274270426285</v>
      </c>
      <c r="CA15" s="211">
        <f t="shared" ref="CA15:CA18" si="170">AK15*BF15</f>
        <v>1.030082873718891</v>
      </c>
      <c r="CB15" s="211">
        <f t="shared" ref="CB15:CB18" si="171">AL15*BG15</f>
        <v>1.0307381321371347</v>
      </c>
      <c r="CC15" s="211">
        <f t="shared" ref="CC15:CC18" si="172">AM15*BH15</f>
        <v>1.0313932022973604</v>
      </c>
      <c r="CD15" s="211">
        <f t="shared" ref="CD15:CD18" si="173">AN15*BI15</f>
        <v>1.0320480841995674</v>
      </c>
      <c r="CE15" s="211">
        <f t="shared" ref="CE15:CE18" si="174">AO15*BJ15</f>
        <v>1.0327027778437559</v>
      </c>
      <c r="CF15" s="211">
        <f t="shared" ref="CF15:CF18" si="175">AP15*BK15</f>
        <v>1.0333572832299258</v>
      </c>
      <c r="CG15" s="211">
        <f t="shared" ref="CG15:CG18" si="176">AQ15*BL15</f>
        <v>1.0340116003580777</v>
      </c>
      <c r="CH15" s="211">
        <f t="shared" ref="CH15:CH18" si="177">AR15*BM15</f>
        <v>1.0346657292282107</v>
      </c>
      <c r="CI15" s="211">
        <f t="shared" ref="CI15:CI18" si="178">AS15*BN15</f>
        <v>1.0353196698403253</v>
      </c>
      <c r="CJ15" s="211">
        <f t="shared" ref="CJ15:CJ18" si="179">AT15*BO15</f>
        <v>1.0359734221944217</v>
      </c>
    </row>
    <row r="16" spans="1:88" s="211" customFormat="1" x14ac:dyDescent="0.2">
      <c r="B16" s="21" t="s">
        <v>432</v>
      </c>
      <c r="C16" s="21">
        <v>-37.294263999999998</v>
      </c>
      <c r="D16" s="21">
        <v>143.78716900000001</v>
      </c>
      <c r="F16" s="227">
        <v>1.0767911514285713E-2</v>
      </c>
      <c r="G16" s="227">
        <v>1.0871006885714284E-2</v>
      </c>
      <c r="H16" s="227">
        <v>1.0974102257142855E-2</v>
      </c>
      <c r="I16" s="227">
        <v>1.1077197628571426E-2</v>
      </c>
      <c r="J16" s="227">
        <v>1.1180292999999997E-2</v>
      </c>
      <c r="K16" s="227">
        <v>1.1198761699999997E-2</v>
      </c>
      <c r="L16" s="227">
        <v>1.1217230399999997E-2</v>
      </c>
      <c r="M16" s="227">
        <v>1.1235699099999996E-2</v>
      </c>
      <c r="N16" s="227">
        <v>1.1254167799999996E-2</v>
      </c>
      <c r="O16" s="227">
        <v>1.1272636499999995E-2</v>
      </c>
      <c r="P16" s="227">
        <v>1.1291105199999995E-2</v>
      </c>
      <c r="Q16" s="227">
        <v>1.1309573899999995E-2</v>
      </c>
      <c r="R16" s="227">
        <v>1.1328042599999994E-2</v>
      </c>
      <c r="S16" s="227">
        <v>1.1346511299999994E-2</v>
      </c>
      <c r="T16" s="227">
        <v>1.1364979999999993E-2</v>
      </c>
      <c r="U16" s="227">
        <v>1.1383448699999993E-2</v>
      </c>
      <c r="V16" s="227">
        <v>1.1401917399999992E-2</v>
      </c>
      <c r="W16" s="227">
        <v>1.1420386099999992E-2</v>
      </c>
      <c r="X16" s="227">
        <v>1.1438854799999992E-2</v>
      </c>
      <c r="Y16" s="227">
        <v>1.1457323499999991E-2</v>
      </c>
      <c r="AA16" s="211">
        <f t="shared" si="141"/>
        <v>1</v>
      </c>
      <c r="AB16" s="211">
        <f t="shared" si="141"/>
        <v>1.0095743145076737</v>
      </c>
      <c r="AC16" s="211">
        <f t="shared" si="142"/>
        <v>1.0191486290153471</v>
      </c>
      <c r="AD16" s="211">
        <f t="shared" si="143"/>
        <v>1.0287229435230207</v>
      </c>
      <c r="AE16" s="211">
        <f t="shared" si="144"/>
        <v>1.0382972580306944</v>
      </c>
      <c r="AF16" s="211">
        <f t="shared" si="145"/>
        <v>1.0400124188560316</v>
      </c>
      <c r="AG16" s="211">
        <f t="shared" si="146"/>
        <v>1.0417275796813685</v>
      </c>
      <c r="AH16" s="211">
        <f t="shared" si="147"/>
        <v>1.0434427405067057</v>
      </c>
      <c r="AI16" s="211">
        <f t="shared" si="148"/>
        <v>1.0451579013320429</v>
      </c>
      <c r="AJ16" s="211">
        <f t="shared" si="149"/>
        <v>1.0468730621573801</v>
      </c>
      <c r="AK16" s="211">
        <f t="shared" si="150"/>
        <v>1.0485882229827173</v>
      </c>
      <c r="AL16" s="211">
        <f t="shared" si="151"/>
        <v>1.0503033838080544</v>
      </c>
      <c r="AM16" s="211">
        <f t="shared" si="152"/>
        <v>1.0520185446333914</v>
      </c>
      <c r="AN16" s="211">
        <f t="shared" si="153"/>
        <v>1.0537337054587286</v>
      </c>
      <c r="AO16" s="211">
        <f t="shared" si="154"/>
        <v>1.0554488662840658</v>
      </c>
      <c r="AP16" s="211">
        <f t="shared" si="155"/>
        <v>1.0571640271094029</v>
      </c>
      <c r="AQ16" s="211">
        <f t="shared" si="156"/>
        <v>1.0588791879347401</v>
      </c>
      <c r="AR16" s="211">
        <f t="shared" si="157"/>
        <v>1.0605943487600771</v>
      </c>
      <c r="AS16" s="211">
        <f t="shared" si="158"/>
        <v>1.0623095095854143</v>
      </c>
      <c r="AT16" s="211">
        <f t="shared" si="159"/>
        <v>1.0640246704107514</v>
      </c>
      <c r="AV16" s="227">
        <v>1</v>
      </c>
      <c r="AW16" s="227">
        <v>1.0004723222800569</v>
      </c>
      <c r="AX16" s="227">
        <v>1.0009446445601136</v>
      </c>
      <c r="AY16" s="227">
        <v>1.0014169668401702</v>
      </c>
      <c r="AZ16" s="227">
        <v>1.0018892891202269</v>
      </c>
      <c r="BA16" s="227">
        <v>1.0015940876951914</v>
      </c>
      <c r="BB16" s="227">
        <v>1.001298886270156</v>
      </c>
      <c r="BC16" s="227">
        <v>1.0010036848451205</v>
      </c>
      <c r="BD16" s="227">
        <v>1.000708483420085</v>
      </c>
      <c r="BE16" s="227">
        <v>1.0004132819950498</v>
      </c>
      <c r="BF16" s="227">
        <v>1.0001180805700143</v>
      </c>
      <c r="BG16" s="227">
        <v>0.99982287914497869</v>
      </c>
      <c r="BH16" s="227">
        <v>0.99952767771994322</v>
      </c>
      <c r="BI16" s="227">
        <v>0.99923247629490775</v>
      </c>
      <c r="BJ16" s="227">
        <v>0.99893727486987227</v>
      </c>
      <c r="BK16" s="227">
        <v>0.99864207344483691</v>
      </c>
      <c r="BL16" s="227">
        <v>0.99834687201980143</v>
      </c>
      <c r="BM16" s="227">
        <v>0.99805167059476596</v>
      </c>
      <c r="BN16" s="227">
        <v>0.99775646916973038</v>
      </c>
      <c r="BO16" s="227">
        <v>0.99746126774469501</v>
      </c>
      <c r="BQ16" s="211">
        <f t="shared" si="160"/>
        <v>1</v>
      </c>
      <c r="BR16" s="211">
        <f t="shared" si="161"/>
        <v>1.0100511589497887</v>
      </c>
      <c r="BS16" s="211">
        <f t="shared" si="162"/>
        <v>1.0201113622236937</v>
      </c>
      <c r="BT16" s="211">
        <f t="shared" si="163"/>
        <v>1.0301806098217152</v>
      </c>
      <c r="BU16" s="211">
        <f t="shared" si="164"/>
        <v>1.0402589017438533</v>
      </c>
      <c r="BV16" s="211">
        <f t="shared" si="165"/>
        <v>1.0416702898557761</v>
      </c>
      <c r="BW16" s="211">
        <f t="shared" si="166"/>
        <v>1.0430806653318594</v>
      </c>
      <c r="BX16" s="211">
        <f t="shared" si="167"/>
        <v>1.0444900281721032</v>
      </c>
      <c r="BY16" s="211">
        <f t="shared" si="168"/>
        <v>1.0458983783765075</v>
      </c>
      <c r="BZ16" s="211">
        <f t="shared" si="169"/>
        <v>1.0473057159450723</v>
      </c>
      <c r="CA16" s="211">
        <f t="shared" si="170"/>
        <v>1.0487120408777972</v>
      </c>
      <c r="CB16" s="211">
        <f t="shared" si="171"/>
        <v>1.0501173531746826</v>
      </c>
      <c r="CC16" s="211">
        <f t="shared" si="172"/>
        <v>1.0515216528357281</v>
      </c>
      <c r="CD16" s="211">
        <f t="shared" si="173"/>
        <v>1.0529249398609344</v>
      </c>
      <c r="CE16" s="211">
        <f t="shared" si="174"/>
        <v>1.0543272142503008</v>
      </c>
      <c r="CF16" s="211">
        <f t="shared" si="175"/>
        <v>1.0557284760038279</v>
      </c>
      <c r="CG16" s="211">
        <f t="shared" si="176"/>
        <v>1.0571287251215153</v>
      </c>
      <c r="CH16" s="211">
        <f t="shared" si="177"/>
        <v>1.0585279616033627</v>
      </c>
      <c r="CI16" s="211">
        <f t="shared" si="178"/>
        <v>1.0599261854493707</v>
      </c>
      <c r="CJ16" s="211">
        <f t="shared" si="179"/>
        <v>1.0613233966595395</v>
      </c>
    </row>
    <row r="17" spans="2:88" s="211" customFormat="1" x14ac:dyDescent="0.2">
      <c r="B17" s="21" t="s">
        <v>433</v>
      </c>
      <c r="C17" s="21">
        <v>-37.312736000000001</v>
      </c>
      <c r="D17" s="21">
        <v>144.13854499999999</v>
      </c>
      <c r="F17" s="227">
        <v>4.2940152828571429E-2</v>
      </c>
      <c r="G17" s="227">
        <v>4.3171497371428572E-2</v>
      </c>
      <c r="H17" s="227">
        <v>4.3402841914285714E-2</v>
      </c>
      <c r="I17" s="227">
        <v>4.3634186457142857E-2</v>
      </c>
      <c r="J17" s="227">
        <v>4.3865530999999999E-2</v>
      </c>
      <c r="K17" s="227">
        <v>4.4052960750000002E-2</v>
      </c>
      <c r="L17" s="227">
        <v>4.4240390500000004E-2</v>
      </c>
      <c r="M17" s="227">
        <v>4.4427820250000007E-2</v>
      </c>
      <c r="N17" s="227">
        <v>4.4615250000000009E-2</v>
      </c>
      <c r="O17" s="227">
        <v>4.4802679750000012E-2</v>
      </c>
      <c r="P17" s="227">
        <v>4.4990109500000014E-2</v>
      </c>
      <c r="Q17" s="227">
        <v>4.5177539250000016E-2</v>
      </c>
      <c r="R17" s="227">
        <v>4.5364969000000019E-2</v>
      </c>
      <c r="S17" s="227">
        <v>4.5552398750000021E-2</v>
      </c>
      <c r="T17" s="227">
        <v>4.5739828500000024E-2</v>
      </c>
      <c r="U17" s="227">
        <v>4.5927258250000026E-2</v>
      </c>
      <c r="V17" s="227">
        <v>4.6114688000000029E-2</v>
      </c>
      <c r="W17" s="227">
        <v>4.6302117750000031E-2</v>
      </c>
      <c r="X17" s="227">
        <v>4.6489547500000034E-2</v>
      </c>
      <c r="Y17" s="227">
        <v>4.6676977250000036E-2</v>
      </c>
      <c r="AA17" s="211">
        <f t="shared" si="141"/>
        <v>1</v>
      </c>
      <c r="AB17" s="211">
        <f t="shared" si="141"/>
        <v>1.0053876040865697</v>
      </c>
      <c r="AC17" s="211">
        <f t="shared" si="142"/>
        <v>1.0107752081731396</v>
      </c>
      <c r="AD17" s="211">
        <f t="shared" si="143"/>
        <v>1.0161628122597093</v>
      </c>
      <c r="AE17" s="211">
        <f t="shared" si="144"/>
        <v>1.0215504163462792</v>
      </c>
      <c r="AF17" s="211">
        <f t="shared" si="145"/>
        <v>1.0259153227952216</v>
      </c>
      <c r="AG17" s="211">
        <f t="shared" si="146"/>
        <v>1.030280229244164</v>
      </c>
      <c r="AH17" s="211">
        <f t="shared" si="147"/>
        <v>1.0346451356931063</v>
      </c>
      <c r="AI17" s="211">
        <f t="shared" si="148"/>
        <v>1.0390100421420487</v>
      </c>
      <c r="AJ17" s="211">
        <f t="shared" si="149"/>
        <v>1.0433749485909909</v>
      </c>
      <c r="AK17" s="211">
        <f t="shared" si="150"/>
        <v>1.0477398550399333</v>
      </c>
      <c r="AL17" s="211">
        <f t="shared" si="151"/>
        <v>1.0521047614888757</v>
      </c>
      <c r="AM17" s="211">
        <f t="shared" si="152"/>
        <v>1.056469667937818</v>
      </c>
      <c r="AN17" s="211">
        <f t="shared" si="153"/>
        <v>1.0608345743867604</v>
      </c>
      <c r="AO17" s="211">
        <f t="shared" si="154"/>
        <v>1.0651994808357028</v>
      </c>
      <c r="AP17" s="211">
        <f t="shared" si="155"/>
        <v>1.0695643872846452</v>
      </c>
      <c r="AQ17" s="211">
        <f t="shared" si="156"/>
        <v>1.0739292937335876</v>
      </c>
      <c r="AR17" s="211">
        <f t="shared" si="157"/>
        <v>1.07829420018253</v>
      </c>
      <c r="AS17" s="211">
        <f t="shared" si="158"/>
        <v>1.0826591066314724</v>
      </c>
      <c r="AT17" s="211">
        <f t="shared" si="159"/>
        <v>1.0870240130804147</v>
      </c>
      <c r="AV17" s="227">
        <v>1</v>
      </c>
      <c r="AW17" s="227">
        <v>1.0201363030307544</v>
      </c>
      <c r="AX17" s="227">
        <v>1.0402726060615088</v>
      </c>
      <c r="AY17" s="227">
        <v>1.0604089090922633</v>
      </c>
      <c r="AZ17" s="227">
        <v>1.0805452121230177</v>
      </c>
      <c r="BA17" s="227">
        <v>1.0742526174259095</v>
      </c>
      <c r="BB17" s="227">
        <v>1.0679600227287982</v>
      </c>
      <c r="BC17" s="227">
        <v>1.0616674280316871</v>
      </c>
      <c r="BD17" s="227">
        <v>1.055374833334576</v>
      </c>
      <c r="BE17" s="227">
        <v>1.049082238637465</v>
      </c>
      <c r="BF17" s="227">
        <v>1.0427896439403566</v>
      </c>
      <c r="BG17" s="227">
        <v>1.0364970492432455</v>
      </c>
      <c r="BH17" s="227">
        <v>1.0302044545461344</v>
      </c>
      <c r="BI17" s="227">
        <v>1.0239118598490233</v>
      </c>
      <c r="BJ17" s="227">
        <v>1.0176192651519123</v>
      </c>
      <c r="BK17" s="227">
        <v>1.0113266704548038</v>
      </c>
      <c r="BL17" s="227">
        <v>1.0050340757576928</v>
      </c>
      <c r="BM17" s="227">
        <v>0.99874148106058169</v>
      </c>
      <c r="BN17" s="227">
        <v>0.99244888636347051</v>
      </c>
      <c r="BO17" s="227">
        <v>0.98615629166635943</v>
      </c>
      <c r="BQ17" s="211">
        <f t="shared" si="160"/>
        <v>1</v>
      </c>
      <c r="BR17" s="211">
        <f t="shared" si="161"/>
        <v>1.0256323935458209</v>
      </c>
      <c r="BS17" s="211">
        <f t="shared" si="162"/>
        <v>1.0514817599486361</v>
      </c>
      <c r="BT17" s="211">
        <f t="shared" si="163"/>
        <v>1.0775480992084447</v>
      </c>
      <c r="BU17" s="211">
        <f t="shared" si="164"/>
        <v>1.1038314113252472</v>
      </c>
      <c r="BV17" s="211">
        <f t="shared" si="165"/>
        <v>1.1020922207701136</v>
      </c>
      <c r="BW17" s="211">
        <f t="shared" si="166"/>
        <v>1.1002980970406289</v>
      </c>
      <c r="BX17" s="211">
        <f t="shared" si="167"/>
        <v>1.0984490401367961</v>
      </c>
      <c r="BY17" s="211">
        <f t="shared" si="168"/>
        <v>1.0965450500586156</v>
      </c>
      <c r="BZ17" s="211">
        <f t="shared" si="169"/>
        <v>1.0945861268060866</v>
      </c>
      <c r="CA17" s="211">
        <f t="shared" si="170"/>
        <v>1.0925722703792129</v>
      </c>
      <c r="CB17" s="211">
        <f t="shared" si="171"/>
        <v>1.0905034807779883</v>
      </c>
      <c r="CC17" s="211">
        <f t="shared" si="172"/>
        <v>1.0883797580024155</v>
      </c>
      <c r="CD17" s="211">
        <f t="shared" si="173"/>
        <v>1.0862011020524949</v>
      </c>
      <c r="CE17" s="211">
        <f t="shared" si="174"/>
        <v>1.0839675129282262</v>
      </c>
      <c r="CF17" s="211">
        <f t="shared" si="175"/>
        <v>1.0816789906296125</v>
      </c>
      <c r="CG17" s="211">
        <f t="shared" si="176"/>
        <v>1.079335535156648</v>
      </c>
      <c r="CH17" s="211">
        <f t="shared" si="177"/>
        <v>1.0769371465093354</v>
      </c>
      <c r="CI17" s="211">
        <f t="shared" si="178"/>
        <v>1.0744838246876747</v>
      </c>
      <c r="CJ17" s="211">
        <f t="shared" si="179"/>
        <v>1.071975569691666</v>
      </c>
    </row>
    <row r="18" spans="2:88" s="211" customFormat="1" x14ac:dyDescent="0.2">
      <c r="B18" s="21" t="s">
        <v>434</v>
      </c>
      <c r="C18" s="21">
        <v>-37.349412000000001</v>
      </c>
      <c r="D18" s="21">
        <v>144.74309</v>
      </c>
      <c r="F18" s="227">
        <v>5.3567867142857144E-3</v>
      </c>
      <c r="G18" s="227">
        <v>5.4040952857142858E-3</v>
      </c>
      <c r="H18" s="227">
        <v>5.4514038571428572E-3</v>
      </c>
      <c r="I18" s="227">
        <v>5.4987124285714286E-3</v>
      </c>
      <c r="J18" s="227">
        <v>5.5460209999999999E-3</v>
      </c>
      <c r="K18" s="227">
        <v>5.5447725500000003E-3</v>
      </c>
      <c r="L18" s="227">
        <v>5.5435241000000007E-3</v>
      </c>
      <c r="M18" s="227">
        <v>5.542275650000001E-3</v>
      </c>
      <c r="N18" s="227">
        <v>5.5410272000000014E-3</v>
      </c>
      <c r="O18" s="227">
        <v>5.5397787500000018E-3</v>
      </c>
      <c r="P18" s="227">
        <v>5.5385303000000021E-3</v>
      </c>
      <c r="Q18" s="227">
        <v>5.5372818500000025E-3</v>
      </c>
      <c r="R18" s="227">
        <v>5.5360334000000028E-3</v>
      </c>
      <c r="S18" s="227">
        <v>5.5347849500000032E-3</v>
      </c>
      <c r="T18" s="227">
        <v>5.5335365000000036E-3</v>
      </c>
      <c r="U18" s="227">
        <v>5.5322880500000039E-3</v>
      </c>
      <c r="V18" s="227">
        <v>5.5310396000000043E-3</v>
      </c>
      <c r="W18" s="227">
        <v>5.5297911500000047E-3</v>
      </c>
      <c r="X18" s="227">
        <v>5.528542700000005E-3</v>
      </c>
      <c r="Y18" s="227">
        <v>5.5272942500000054E-3</v>
      </c>
      <c r="AA18" s="211">
        <f t="shared" si="141"/>
        <v>1</v>
      </c>
      <c r="AB18" s="211">
        <f t="shared" si="141"/>
        <v>1.0088315204528131</v>
      </c>
      <c r="AC18" s="211">
        <f t="shared" si="142"/>
        <v>1.017663040905626</v>
      </c>
      <c r="AD18" s="211">
        <f t="shared" si="143"/>
        <v>1.0264945613584391</v>
      </c>
      <c r="AE18" s="211">
        <f t="shared" si="144"/>
        <v>1.0353260818112522</v>
      </c>
      <c r="AF18" s="211">
        <f t="shared" si="145"/>
        <v>1.035093022317457</v>
      </c>
      <c r="AG18" s="211">
        <f t="shared" si="146"/>
        <v>1.0348599628236619</v>
      </c>
      <c r="AH18" s="211">
        <f t="shared" si="147"/>
        <v>1.034626903329867</v>
      </c>
      <c r="AI18" s="211">
        <f t="shared" si="148"/>
        <v>1.0343938438360718</v>
      </c>
      <c r="AJ18" s="211">
        <f t="shared" si="149"/>
        <v>1.0341607843422767</v>
      </c>
      <c r="AK18" s="211">
        <f t="shared" si="150"/>
        <v>1.0339277248484817</v>
      </c>
      <c r="AL18" s="211">
        <f t="shared" si="151"/>
        <v>1.0336946653546866</v>
      </c>
      <c r="AM18" s="211">
        <f t="shared" si="152"/>
        <v>1.0334616058608914</v>
      </c>
      <c r="AN18" s="211">
        <f t="shared" si="153"/>
        <v>1.0332285463670965</v>
      </c>
      <c r="AO18" s="211">
        <f t="shared" si="154"/>
        <v>1.0329954868733013</v>
      </c>
      <c r="AP18" s="211">
        <f t="shared" si="155"/>
        <v>1.0327624273795062</v>
      </c>
      <c r="AQ18" s="211">
        <f t="shared" si="156"/>
        <v>1.032529367885711</v>
      </c>
      <c r="AR18" s="211">
        <f t="shared" si="157"/>
        <v>1.0322963083919161</v>
      </c>
      <c r="AS18" s="211">
        <f t="shared" si="158"/>
        <v>1.032063248898121</v>
      </c>
      <c r="AT18" s="211">
        <f t="shared" si="159"/>
        <v>1.0318301894043258</v>
      </c>
      <c r="AV18" s="227">
        <v>1</v>
      </c>
      <c r="AW18" s="227">
        <v>1.0122171367109392</v>
      </c>
      <c r="AX18" s="227">
        <v>1.0244342734218783</v>
      </c>
      <c r="AY18" s="227">
        <v>1.0366514101328212</v>
      </c>
      <c r="AZ18" s="227">
        <v>1.0488685468437604</v>
      </c>
      <c r="BA18" s="227">
        <v>1.0488685468437589</v>
      </c>
      <c r="BB18" s="227">
        <v>1.0488685468437589</v>
      </c>
      <c r="BC18" s="227">
        <v>1.0488685468437589</v>
      </c>
      <c r="BD18" s="227">
        <v>1.0488685468437589</v>
      </c>
      <c r="BE18" s="227">
        <v>1.0488685468437589</v>
      </c>
      <c r="BF18" s="227">
        <v>1.0488685468437589</v>
      </c>
      <c r="BG18" s="227">
        <v>1.0488685468437589</v>
      </c>
      <c r="BH18" s="227">
        <v>1.0488685468437589</v>
      </c>
      <c r="BI18" s="227">
        <v>1.0488685468437589</v>
      </c>
      <c r="BJ18" s="227">
        <v>1.0488685468437589</v>
      </c>
      <c r="BK18" s="227">
        <v>1.0488685468437589</v>
      </c>
      <c r="BL18" s="227">
        <v>1.0488685468437589</v>
      </c>
      <c r="BM18" s="227">
        <v>1.0488685468437589</v>
      </c>
      <c r="BN18" s="227">
        <v>1.0488685468437589</v>
      </c>
      <c r="BO18" s="227">
        <v>1.0488685468437589</v>
      </c>
      <c r="BQ18" s="211">
        <f t="shared" si="160"/>
        <v>1</v>
      </c>
      <c r="BR18" s="211">
        <f t="shared" si="161"/>
        <v>1.0211565530564897</v>
      </c>
      <c r="BS18" s="211">
        <f t="shared" si="162"/>
        <v>1.0425288978984542</v>
      </c>
      <c r="BT18" s="211">
        <f t="shared" si="163"/>
        <v>1.0641170345258977</v>
      </c>
      <c r="BU18" s="211">
        <f t="shared" si="164"/>
        <v>1.0859209629388122</v>
      </c>
      <c r="BV18" s="211">
        <f t="shared" si="165"/>
        <v>1.0856765141662257</v>
      </c>
      <c r="BW18" s="211">
        <f t="shared" si="166"/>
        <v>1.0854320653936405</v>
      </c>
      <c r="BX18" s="211">
        <f t="shared" si="167"/>
        <v>1.0851876166210557</v>
      </c>
      <c r="BY18" s="211">
        <f t="shared" si="168"/>
        <v>1.0849431678484707</v>
      </c>
      <c r="BZ18" s="211">
        <f t="shared" si="169"/>
        <v>1.0846987190758857</v>
      </c>
      <c r="CA18" s="211">
        <f t="shared" si="170"/>
        <v>1.0844542703033007</v>
      </c>
      <c r="CB18" s="211">
        <f t="shared" si="171"/>
        <v>1.0842098215307157</v>
      </c>
      <c r="CC18" s="211">
        <f t="shared" si="172"/>
        <v>1.0839653727581307</v>
      </c>
      <c r="CD18" s="211">
        <f t="shared" si="173"/>
        <v>1.0837209239855459</v>
      </c>
      <c r="CE18" s="211">
        <f t="shared" si="174"/>
        <v>1.0834764752129606</v>
      </c>
      <c r="CF18" s="211">
        <f t="shared" si="175"/>
        <v>1.0832320264403756</v>
      </c>
      <c r="CG18" s="211">
        <f t="shared" si="176"/>
        <v>1.0829875776677906</v>
      </c>
      <c r="CH18" s="211">
        <f t="shared" si="177"/>
        <v>1.0827431288952059</v>
      </c>
      <c r="CI18" s="211">
        <f t="shared" si="178"/>
        <v>1.0824986801226206</v>
      </c>
      <c r="CJ18" s="211">
        <f t="shared" si="179"/>
        <v>1.0822542313500356</v>
      </c>
    </row>
    <row r="19" spans="2:88" s="211" customFormat="1" x14ac:dyDescent="0.2">
      <c r="B19" s="21" t="s">
        <v>435</v>
      </c>
      <c r="C19" s="21">
        <v>-36.116455000000002</v>
      </c>
      <c r="D19" s="21">
        <v>143.72271499999999</v>
      </c>
      <c r="F19" s="227">
        <v>8.6160161428571434E-3</v>
      </c>
      <c r="G19" s="227">
        <v>8.6605418571428575E-3</v>
      </c>
      <c r="H19" s="227">
        <v>8.7050675714285715E-3</v>
      </c>
      <c r="I19" s="227">
        <v>8.7495932857142855E-3</v>
      </c>
      <c r="J19" s="227">
        <v>8.7941189999999995E-3</v>
      </c>
      <c r="K19" s="227">
        <v>8.8018533499999996E-3</v>
      </c>
      <c r="L19" s="227">
        <v>8.8095876999999996E-3</v>
      </c>
      <c r="M19" s="227">
        <v>8.8173220499999996E-3</v>
      </c>
      <c r="N19" s="227">
        <v>8.8250563999999997E-3</v>
      </c>
      <c r="O19" s="227">
        <v>8.8327907499999997E-3</v>
      </c>
      <c r="P19" s="227">
        <v>8.8405250999999997E-3</v>
      </c>
      <c r="Q19" s="227">
        <v>8.8482594499999997E-3</v>
      </c>
      <c r="R19" s="227">
        <v>8.8559937999999998E-3</v>
      </c>
      <c r="S19" s="227">
        <v>8.8637281499999998E-3</v>
      </c>
      <c r="T19" s="227">
        <v>8.8714624999999998E-3</v>
      </c>
      <c r="U19" s="227">
        <v>8.8791968499999999E-3</v>
      </c>
      <c r="V19" s="227">
        <v>8.8869311999999999E-3</v>
      </c>
      <c r="W19" s="227">
        <v>8.8946655499999999E-3</v>
      </c>
      <c r="X19" s="227">
        <v>8.9023998999999999E-3</v>
      </c>
      <c r="Y19" s="227">
        <v>8.91013425E-3</v>
      </c>
      <c r="AA19" s="211">
        <f t="shared" ref="AA19:AB21" si="180">F19/$F19</f>
        <v>1</v>
      </c>
      <c r="AB19" s="211">
        <f t="shared" si="180"/>
        <v>1.0051677844548408</v>
      </c>
      <c r="AC19" s="211">
        <f t="shared" ref="AC19:AC23" si="181">H19/$F19</f>
        <v>1.0103355689096816</v>
      </c>
      <c r="AD19" s="211">
        <f t="shared" ref="AD19:AD23" si="182">I19/$F19</f>
        <v>1.0155033533645221</v>
      </c>
      <c r="AE19" s="211">
        <f t="shared" ref="AE19:AE23" si="183">J19/$F19</f>
        <v>1.0206711378193629</v>
      </c>
      <c r="AF19" s="211">
        <f t="shared" ref="AF19:AF23" si="184">K19/$F19</f>
        <v>1.0215688090715707</v>
      </c>
      <c r="AG19" s="211">
        <f t="shared" ref="AG19:AG23" si="185">L19/$F19</f>
        <v>1.0224664803237784</v>
      </c>
      <c r="AH19" s="211">
        <f t="shared" ref="AH19:AH23" si="186">M19/$F19</f>
        <v>1.0233641515759859</v>
      </c>
      <c r="AI19" s="211">
        <f t="shared" ref="AI19:AI23" si="187">N19/$F19</f>
        <v>1.0242618228281937</v>
      </c>
      <c r="AJ19" s="211">
        <f t="shared" ref="AJ19:AJ23" si="188">O19/$F19</f>
        <v>1.0251594940804012</v>
      </c>
      <c r="AK19" s="211">
        <f t="shared" ref="AK19:AK23" si="189">P19/$F19</f>
        <v>1.0260571653326089</v>
      </c>
      <c r="AL19" s="211">
        <f t="shared" ref="AL19:AL23" si="190">Q19/$F19</f>
        <v>1.0269548365848167</v>
      </c>
      <c r="AM19" s="211">
        <f t="shared" ref="AM19:AM23" si="191">R19/$F19</f>
        <v>1.0278525078370242</v>
      </c>
      <c r="AN19" s="211">
        <f t="shared" ref="AN19:AN23" si="192">S19/$F19</f>
        <v>1.0287501790892319</v>
      </c>
      <c r="AO19" s="211">
        <f t="shared" ref="AO19:AO23" si="193">T19/$F19</f>
        <v>1.0296478503414397</v>
      </c>
      <c r="AP19" s="211">
        <f t="shared" ref="AP19:AP23" si="194">U19/$F19</f>
        <v>1.0305455215936472</v>
      </c>
      <c r="AQ19" s="211">
        <f t="shared" ref="AQ19:AQ23" si="195">V19/$F19</f>
        <v>1.031443192845855</v>
      </c>
      <c r="AR19" s="211">
        <f t="shared" ref="AR19:AR23" si="196">W19/$F19</f>
        <v>1.0323408640980627</v>
      </c>
      <c r="AS19" s="211">
        <f t="shared" ref="AS19:AS23" si="197">X19/$F19</f>
        <v>1.0332385353502702</v>
      </c>
      <c r="AT19" s="211">
        <f t="shared" si="159"/>
        <v>1.034136206602478</v>
      </c>
      <c r="AV19" s="227">
        <v>1</v>
      </c>
      <c r="AW19" s="227">
        <v>1</v>
      </c>
      <c r="AX19" s="227">
        <v>1</v>
      </c>
      <c r="AY19" s="227">
        <v>1</v>
      </c>
      <c r="AZ19" s="227">
        <v>1</v>
      </c>
      <c r="BA19" s="227">
        <v>1.0057411852495619</v>
      </c>
      <c r="BB19" s="227">
        <v>1.0114823704991238</v>
      </c>
      <c r="BC19" s="227">
        <v>1.0172235557486839</v>
      </c>
      <c r="BD19" s="227">
        <v>1.0229647409982456</v>
      </c>
      <c r="BE19" s="227">
        <v>1.028705926247806</v>
      </c>
      <c r="BF19" s="227">
        <v>1.0344471114973677</v>
      </c>
      <c r="BG19" s="227">
        <v>1.0401882967469296</v>
      </c>
      <c r="BH19" s="227">
        <v>1.0459294819964897</v>
      </c>
      <c r="BI19" s="227">
        <v>1.0516706672460516</v>
      </c>
      <c r="BJ19" s="227">
        <v>1.0574118524956118</v>
      </c>
      <c r="BK19" s="227">
        <v>1.0631530377451737</v>
      </c>
      <c r="BL19" s="227">
        <v>1.0688942229947338</v>
      </c>
      <c r="BM19" s="227">
        <v>1.0746354082442957</v>
      </c>
      <c r="BN19" s="227">
        <v>1.0803765934938576</v>
      </c>
      <c r="BO19" s="227">
        <v>1.0861177787434177</v>
      </c>
      <c r="BQ19" s="211">
        <f t="shared" ref="BQ19:BS23" si="198">AA19*AV19</f>
        <v>1</v>
      </c>
      <c r="BR19" s="211">
        <f t="shared" si="198"/>
        <v>1.0051677844548408</v>
      </c>
      <c r="BS19" s="211">
        <f t="shared" si="198"/>
        <v>1.0103355689096816</v>
      </c>
      <c r="BT19" s="211">
        <f t="shared" ref="BT19:BT23" si="199">AD19*AY19</f>
        <v>1.0155033533645221</v>
      </c>
      <c r="BU19" s="211">
        <f t="shared" ref="BU19:BU23" si="200">AE19*AZ19</f>
        <v>1.0206711378193629</v>
      </c>
      <c r="BV19" s="211">
        <f t="shared" ref="BV19:BV23" si="201">AF19*BA19</f>
        <v>1.0274338248496249</v>
      </c>
      <c r="BW19" s="211">
        <f t="shared" ref="BW19:BW23" si="202">AG19*BB19</f>
        <v>1.0342068192737912</v>
      </c>
      <c r="BX19" s="211">
        <f t="shared" ref="BX19:BX23" si="203">AH19*BC19</f>
        <v>1.0409901210918595</v>
      </c>
      <c r="BY19" s="211">
        <f t="shared" ref="BY19:BY23" si="204">AI19*BD19</f>
        <v>1.0477837303038342</v>
      </c>
      <c r="BZ19" s="211">
        <f t="shared" ref="BZ19:BZ23" si="205">AJ19*BE19</f>
        <v>1.0545876469097113</v>
      </c>
      <c r="CA19" s="211">
        <f t="shared" ref="CA19:CA23" si="206">AK19*BF19</f>
        <v>1.0614018709094943</v>
      </c>
      <c r="CB19" s="211">
        <f t="shared" ref="CB19:CB23" si="207">AL19*BG19</f>
        <v>1.0682264023031818</v>
      </c>
      <c r="CC19" s="211">
        <f t="shared" ref="CC19:CC23" si="208">AM19*BH19</f>
        <v>1.0750612410907716</v>
      </c>
      <c r="CD19" s="211">
        <f t="shared" ref="CD19:CD23" si="209">AN19*BI19</f>
        <v>1.0819063872722676</v>
      </c>
      <c r="CE19" s="211">
        <f t="shared" ref="CE19:CE23" si="210">AO19*BJ19</f>
        <v>1.0887618408476663</v>
      </c>
      <c r="CF19" s="211">
        <f t="shared" ref="CF19:CF23" si="211">AP19*BK19</f>
        <v>1.0956276018169704</v>
      </c>
      <c r="CG19" s="211">
        <f t="shared" ref="CG19:CG23" si="212">AQ19*BL19</f>
        <v>1.1025036701801776</v>
      </c>
      <c r="CH19" s="211">
        <f t="shared" ref="CH19:CH23" si="213">AR19*BM19</f>
        <v>1.1093900459372905</v>
      </c>
      <c r="CI19" s="211">
        <f t="shared" ref="CI19:CI23" si="214">AS19*BN19</f>
        <v>1.1162867290883076</v>
      </c>
      <c r="CJ19" s="211">
        <f t="shared" ref="CJ19:CJ23" si="215">AT19*BO19</f>
        <v>1.1231937196332276</v>
      </c>
    </row>
    <row r="20" spans="2:88" s="211" customFormat="1" x14ac:dyDescent="0.2">
      <c r="B20" s="21" t="s">
        <v>436</v>
      </c>
      <c r="C20" s="21">
        <v>-35.982306000000001</v>
      </c>
      <c r="D20" s="21">
        <v>142.91740999999999</v>
      </c>
      <c r="F20" s="227">
        <v>4.389336428571429E-3</v>
      </c>
      <c r="G20" s="227">
        <v>4.393114571428572E-3</v>
      </c>
      <c r="H20" s="227">
        <v>4.3968927142857151E-3</v>
      </c>
      <c r="I20" s="227">
        <v>4.4006708571428582E-3</v>
      </c>
      <c r="J20" s="227">
        <v>4.4044490000000013E-3</v>
      </c>
      <c r="K20" s="227">
        <v>4.3998735000000009E-3</v>
      </c>
      <c r="L20" s="227">
        <v>4.3952980000000006E-3</v>
      </c>
      <c r="M20" s="227">
        <v>4.3907225000000003E-3</v>
      </c>
      <c r="N20" s="227">
        <v>4.386147E-3</v>
      </c>
      <c r="O20" s="227">
        <v>4.3815714999999996E-3</v>
      </c>
      <c r="P20" s="227">
        <v>4.3769959999999993E-3</v>
      </c>
      <c r="Q20" s="227">
        <v>4.372420499999999E-3</v>
      </c>
      <c r="R20" s="227">
        <v>4.3678449999999987E-3</v>
      </c>
      <c r="S20" s="227">
        <v>4.3632694999999984E-3</v>
      </c>
      <c r="T20" s="227">
        <v>4.358693999999998E-3</v>
      </c>
      <c r="U20" s="227">
        <v>4.3541184999999977E-3</v>
      </c>
      <c r="V20" s="227">
        <v>4.3495429999999974E-3</v>
      </c>
      <c r="W20" s="227">
        <v>4.3449674999999971E-3</v>
      </c>
      <c r="X20" s="227">
        <v>4.3403919999999967E-3</v>
      </c>
      <c r="Y20" s="227">
        <v>4.3358164999999964E-3</v>
      </c>
      <c r="AA20" s="211">
        <f t="shared" si="180"/>
        <v>1</v>
      </c>
      <c r="AB20" s="211">
        <f t="shared" si="180"/>
        <v>1.0008607549042152</v>
      </c>
      <c r="AC20" s="211">
        <f t="shared" si="181"/>
        <v>1.0017215098084302</v>
      </c>
      <c r="AD20" s="211">
        <f t="shared" si="182"/>
        <v>1.0025822647126454</v>
      </c>
      <c r="AE20" s="211">
        <f t="shared" si="183"/>
        <v>1.0034430196168607</v>
      </c>
      <c r="AF20" s="211">
        <f t="shared" si="184"/>
        <v>1.002400606925453</v>
      </c>
      <c r="AG20" s="211">
        <f t="shared" si="185"/>
        <v>1.0013581942340455</v>
      </c>
      <c r="AH20" s="211">
        <f t="shared" si="186"/>
        <v>1.000315781542638</v>
      </c>
      <c r="AI20" s="211">
        <f t="shared" si="187"/>
        <v>0.99927336885123041</v>
      </c>
      <c r="AJ20" s="211">
        <f t="shared" si="188"/>
        <v>0.99823095615982282</v>
      </c>
      <c r="AK20" s="211">
        <f t="shared" si="189"/>
        <v>0.99718854346841534</v>
      </c>
      <c r="AL20" s="211">
        <f t="shared" si="190"/>
        <v>0.99614613077700775</v>
      </c>
      <c r="AM20" s="211">
        <f t="shared" si="191"/>
        <v>0.99510371808560028</v>
      </c>
      <c r="AN20" s="211">
        <f t="shared" si="192"/>
        <v>0.99406130539419268</v>
      </c>
      <c r="AO20" s="211">
        <f t="shared" si="193"/>
        <v>0.99301889270278521</v>
      </c>
      <c r="AP20" s="211">
        <f t="shared" si="194"/>
        <v>0.99197648001137761</v>
      </c>
      <c r="AQ20" s="211">
        <f t="shared" si="195"/>
        <v>0.99093406731997002</v>
      </c>
      <c r="AR20" s="211">
        <f t="shared" si="196"/>
        <v>0.98989165462856255</v>
      </c>
      <c r="AS20" s="211">
        <f t="shared" si="197"/>
        <v>0.98884924193715495</v>
      </c>
      <c r="AT20" s="211">
        <f t="shared" si="159"/>
        <v>0.98780682924574748</v>
      </c>
      <c r="AV20" s="227">
        <v>1</v>
      </c>
      <c r="AW20" s="227">
        <v>1</v>
      </c>
      <c r="AX20" s="227">
        <v>1</v>
      </c>
      <c r="AY20" s="227">
        <v>1</v>
      </c>
      <c r="AZ20" s="227">
        <v>1</v>
      </c>
      <c r="BA20" s="227">
        <v>1</v>
      </c>
      <c r="BB20" s="227">
        <v>1</v>
      </c>
      <c r="BC20" s="227">
        <v>1</v>
      </c>
      <c r="BD20" s="227">
        <v>1</v>
      </c>
      <c r="BE20" s="227">
        <v>1</v>
      </c>
      <c r="BF20" s="227">
        <v>1</v>
      </c>
      <c r="BG20" s="227">
        <v>1</v>
      </c>
      <c r="BH20" s="227">
        <v>1</v>
      </c>
      <c r="BI20" s="227">
        <v>1</v>
      </c>
      <c r="BJ20" s="227">
        <v>1</v>
      </c>
      <c r="BK20" s="227">
        <v>1</v>
      </c>
      <c r="BL20" s="227">
        <v>1</v>
      </c>
      <c r="BM20" s="227">
        <v>1</v>
      </c>
      <c r="BN20" s="227">
        <v>1</v>
      </c>
      <c r="BO20" s="227">
        <v>1</v>
      </c>
      <c r="BQ20" s="211">
        <f t="shared" si="198"/>
        <v>1</v>
      </c>
      <c r="BR20" s="211">
        <f t="shared" si="198"/>
        <v>1.0008607549042152</v>
      </c>
      <c r="BS20" s="211">
        <f t="shared" si="198"/>
        <v>1.0017215098084302</v>
      </c>
      <c r="BT20" s="211">
        <f t="shared" si="199"/>
        <v>1.0025822647126454</v>
      </c>
      <c r="BU20" s="211">
        <f t="shared" si="200"/>
        <v>1.0034430196168607</v>
      </c>
      <c r="BV20" s="211">
        <f t="shared" si="201"/>
        <v>1.002400606925453</v>
      </c>
      <c r="BW20" s="211">
        <f t="shared" si="202"/>
        <v>1.0013581942340455</v>
      </c>
      <c r="BX20" s="211">
        <f t="shared" si="203"/>
        <v>1.000315781542638</v>
      </c>
      <c r="BY20" s="211">
        <f t="shared" si="204"/>
        <v>0.99927336885123041</v>
      </c>
      <c r="BZ20" s="211">
        <f t="shared" si="205"/>
        <v>0.99823095615982282</v>
      </c>
      <c r="CA20" s="211">
        <f t="shared" si="206"/>
        <v>0.99718854346841534</v>
      </c>
      <c r="CB20" s="211">
        <f t="shared" si="207"/>
        <v>0.99614613077700775</v>
      </c>
      <c r="CC20" s="211">
        <f t="shared" si="208"/>
        <v>0.99510371808560028</v>
      </c>
      <c r="CD20" s="211">
        <f t="shared" si="209"/>
        <v>0.99406130539419268</v>
      </c>
      <c r="CE20" s="211">
        <f t="shared" si="210"/>
        <v>0.99301889270278521</v>
      </c>
      <c r="CF20" s="211">
        <f t="shared" si="211"/>
        <v>0.99197648001137761</v>
      </c>
      <c r="CG20" s="211">
        <f t="shared" si="212"/>
        <v>0.99093406731997002</v>
      </c>
      <c r="CH20" s="211">
        <f t="shared" si="213"/>
        <v>0.98989165462856255</v>
      </c>
      <c r="CI20" s="211">
        <f t="shared" si="214"/>
        <v>0.98884924193715495</v>
      </c>
      <c r="CJ20" s="211">
        <f t="shared" si="215"/>
        <v>0.98780682924574748</v>
      </c>
    </row>
    <row r="21" spans="2:88" s="211" customFormat="1" x14ac:dyDescent="0.2">
      <c r="B21" s="21" t="s">
        <v>437</v>
      </c>
      <c r="C21" s="21">
        <v>-36.076484000000001</v>
      </c>
      <c r="D21" s="21">
        <v>143.225247</v>
      </c>
      <c r="F21" s="227">
        <v>1.1897504285714286E-3</v>
      </c>
      <c r="G21" s="227">
        <v>1.2024345714285714E-3</v>
      </c>
      <c r="H21" s="227">
        <v>1.2151187142857142E-3</v>
      </c>
      <c r="I21" s="227">
        <v>1.227802857142857E-3</v>
      </c>
      <c r="J21" s="227">
        <v>1.2404869999999998E-3</v>
      </c>
      <c r="K21" s="227">
        <v>1.2430407999999998E-3</v>
      </c>
      <c r="L21" s="227">
        <v>1.2455945999999998E-3</v>
      </c>
      <c r="M21" s="227">
        <v>1.2481483999999998E-3</v>
      </c>
      <c r="N21" s="227">
        <v>1.2507021999999999E-3</v>
      </c>
      <c r="O21" s="227">
        <v>1.2532559999999999E-3</v>
      </c>
      <c r="P21" s="227">
        <v>1.2558097999999999E-3</v>
      </c>
      <c r="Q21" s="227">
        <v>1.2583636E-3</v>
      </c>
      <c r="R21" s="227">
        <v>1.2609174E-3</v>
      </c>
      <c r="S21" s="227">
        <v>1.2634712E-3</v>
      </c>
      <c r="T21" s="227">
        <v>1.266025E-3</v>
      </c>
      <c r="U21" s="227">
        <v>1.2685788000000001E-3</v>
      </c>
      <c r="V21" s="227">
        <v>1.2711326000000001E-3</v>
      </c>
      <c r="W21" s="227">
        <v>1.2736864000000001E-3</v>
      </c>
      <c r="X21" s="227">
        <v>1.2762402000000002E-3</v>
      </c>
      <c r="Y21" s="227">
        <v>1.2787940000000002E-3</v>
      </c>
      <c r="AA21" s="211">
        <f t="shared" si="180"/>
        <v>1</v>
      </c>
      <c r="AB21" s="211">
        <f t="shared" si="180"/>
        <v>1.0106611794814591</v>
      </c>
      <c r="AC21" s="211">
        <f t="shared" si="181"/>
        <v>1.0213223589629181</v>
      </c>
      <c r="AD21" s="211">
        <f t="shared" si="182"/>
        <v>1.031983538444377</v>
      </c>
      <c r="AE21" s="211">
        <f t="shared" si="183"/>
        <v>1.042644717925836</v>
      </c>
      <c r="AF21" s="211">
        <f t="shared" si="184"/>
        <v>1.0447912185184574</v>
      </c>
      <c r="AG21" s="211">
        <f t="shared" si="185"/>
        <v>1.0469377191110787</v>
      </c>
      <c r="AH21" s="211">
        <f t="shared" si="186"/>
        <v>1.0490842197037</v>
      </c>
      <c r="AI21" s="211">
        <f t="shared" si="187"/>
        <v>1.0512307202963214</v>
      </c>
      <c r="AJ21" s="211">
        <f t="shared" si="188"/>
        <v>1.0533772208889427</v>
      </c>
      <c r="AK21" s="211">
        <f t="shared" si="189"/>
        <v>1.0555237214815638</v>
      </c>
      <c r="AL21" s="211">
        <f t="shared" si="190"/>
        <v>1.0576702220741852</v>
      </c>
      <c r="AM21" s="211">
        <f t="shared" si="191"/>
        <v>1.0598167226668065</v>
      </c>
      <c r="AN21" s="211">
        <f t="shared" si="192"/>
        <v>1.0619632232594278</v>
      </c>
      <c r="AO21" s="211">
        <f t="shared" si="193"/>
        <v>1.0641097238520492</v>
      </c>
      <c r="AP21" s="211">
        <f t="shared" si="194"/>
        <v>1.0662562244446705</v>
      </c>
      <c r="AQ21" s="211">
        <f t="shared" si="195"/>
        <v>1.0684027250372918</v>
      </c>
      <c r="AR21" s="211">
        <f t="shared" si="196"/>
        <v>1.0705492256299132</v>
      </c>
      <c r="AS21" s="211">
        <f t="shared" si="197"/>
        <v>1.0726957262225345</v>
      </c>
      <c r="AT21" s="211">
        <f t="shared" si="159"/>
        <v>1.0748422268151556</v>
      </c>
      <c r="AV21" s="227">
        <v>1</v>
      </c>
      <c r="AW21" s="227">
        <v>1</v>
      </c>
      <c r="AX21" s="227">
        <v>1</v>
      </c>
      <c r="AY21" s="227">
        <v>1</v>
      </c>
      <c r="AZ21" s="227">
        <v>1</v>
      </c>
      <c r="BA21" s="227">
        <v>1.035987866675526</v>
      </c>
      <c r="BB21" s="227">
        <v>1.0719757333510631</v>
      </c>
      <c r="BC21" s="227">
        <v>1.1079636000265882</v>
      </c>
      <c r="BD21" s="227">
        <v>1.1439514667021253</v>
      </c>
      <c r="BE21" s="227">
        <v>1.1799393333776624</v>
      </c>
      <c r="BF21" s="227">
        <v>1.2159272000531873</v>
      </c>
      <c r="BG21" s="227">
        <v>1.2519150667287244</v>
      </c>
      <c r="BH21" s="227">
        <v>1.2879029334042493</v>
      </c>
      <c r="BI21" s="227">
        <v>1.3238908000797864</v>
      </c>
      <c r="BJ21" s="227">
        <v>1.3598786667553113</v>
      </c>
      <c r="BK21" s="227">
        <v>1.3958665334308484</v>
      </c>
      <c r="BL21" s="227">
        <v>1.4318544001063858</v>
      </c>
      <c r="BM21" s="227">
        <v>1.4678422667819107</v>
      </c>
      <c r="BN21" s="227">
        <v>1.5038301334574478</v>
      </c>
      <c r="BO21" s="227">
        <v>1.5398180001329727</v>
      </c>
      <c r="BQ21" s="211">
        <f t="shared" si="198"/>
        <v>1</v>
      </c>
      <c r="BR21" s="211">
        <f t="shared" si="198"/>
        <v>1.0106611794814591</v>
      </c>
      <c r="BS21" s="211">
        <f t="shared" si="198"/>
        <v>1.0213223589629181</v>
      </c>
      <c r="BT21" s="211">
        <f t="shared" si="199"/>
        <v>1.031983538444377</v>
      </c>
      <c r="BU21" s="211">
        <f t="shared" si="200"/>
        <v>1.042644717925836</v>
      </c>
      <c r="BV21" s="211">
        <f t="shared" si="201"/>
        <v>1.0823910255942599</v>
      </c>
      <c r="BW21" s="211">
        <f t="shared" si="202"/>
        <v>1.1222918292169879</v>
      </c>
      <c r="BX21" s="211">
        <f t="shared" si="203"/>
        <v>1.1623471287939957</v>
      </c>
      <c r="BY21" s="211">
        <f t="shared" si="204"/>
        <v>1.2025569243253085</v>
      </c>
      <c r="BZ21" s="211">
        <f t="shared" si="205"/>
        <v>1.2429212158109137</v>
      </c>
      <c r="CA21" s="211">
        <f t="shared" si="206"/>
        <v>1.2834400032507982</v>
      </c>
      <c r="CB21" s="211">
        <f t="shared" si="207"/>
        <v>1.3241132866449883</v>
      </c>
      <c r="CC21" s="211">
        <f t="shared" si="208"/>
        <v>1.3649410659934578</v>
      </c>
      <c r="CD21" s="211">
        <f t="shared" si="209"/>
        <v>1.4059233412962329</v>
      </c>
      <c r="CE21" s="211">
        <f t="shared" si="210"/>
        <v>1.4470601125532871</v>
      </c>
      <c r="CF21" s="211">
        <f t="shared" si="211"/>
        <v>1.4883513797646468</v>
      </c>
      <c r="CG21" s="211">
        <f t="shared" si="212"/>
        <v>1.5297971429302992</v>
      </c>
      <c r="CH21" s="211">
        <f t="shared" si="213"/>
        <v>1.5713974020502308</v>
      </c>
      <c r="CI21" s="211">
        <f t="shared" si="214"/>
        <v>1.613152157124468</v>
      </c>
      <c r="CJ21" s="211">
        <f t="shared" si="215"/>
        <v>1.655061408152984</v>
      </c>
    </row>
    <row r="22" spans="2:88" s="211" customFormat="1" x14ac:dyDescent="0.2">
      <c r="B22" s="21" t="s">
        <v>178</v>
      </c>
      <c r="C22" s="21">
        <v>-36.333295</v>
      </c>
      <c r="D22" s="21">
        <v>141.65138300000001</v>
      </c>
      <c r="F22" s="227">
        <v>1.0137351399999999E-2</v>
      </c>
      <c r="G22" s="227">
        <v>1.0230345799999999E-2</v>
      </c>
      <c r="H22" s="227">
        <v>1.0323340199999998E-2</v>
      </c>
      <c r="I22" s="227">
        <v>1.0416334599999997E-2</v>
      </c>
      <c r="J22" s="227">
        <v>1.0509328999999996E-2</v>
      </c>
      <c r="K22" s="227">
        <v>1.0471726399999996E-2</v>
      </c>
      <c r="L22" s="227">
        <v>1.0434123799999995E-2</v>
      </c>
      <c r="M22" s="227">
        <v>1.0396521199999995E-2</v>
      </c>
      <c r="N22" s="227">
        <v>1.0358918599999994E-2</v>
      </c>
      <c r="O22" s="227">
        <v>1.0321315999999994E-2</v>
      </c>
      <c r="P22" s="227">
        <v>1.0283713399999993E-2</v>
      </c>
      <c r="Q22" s="227">
        <v>1.0246110799999993E-2</v>
      </c>
      <c r="R22" s="227">
        <v>1.0208508199999992E-2</v>
      </c>
      <c r="S22" s="227">
        <v>1.0170905599999992E-2</v>
      </c>
      <c r="T22" s="227">
        <v>1.0133302999999991E-2</v>
      </c>
      <c r="U22" s="227">
        <v>1.0095700399999991E-2</v>
      </c>
      <c r="V22" s="227">
        <v>1.005809779999999E-2</v>
      </c>
      <c r="W22" s="227">
        <v>1.002049519999999E-2</v>
      </c>
      <c r="X22" s="227">
        <v>9.9828925999999891E-3</v>
      </c>
      <c r="Y22" s="227">
        <v>9.9452899999999886E-3</v>
      </c>
      <c r="AA22" s="211">
        <f t="shared" ref="AA22:AB26" si="216">F22/$F22</f>
        <v>1</v>
      </c>
      <c r="AB22" s="211">
        <f t="shared" si="216"/>
        <v>1.0091734414967601</v>
      </c>
      <c r="AC22" s="211">
        <f t="shared" si="181"/>
        <v>1.0183468829935203</v>
      </c>
      <c r="AD22" s="211">
        <f t="shared" si="182"/>
        <v>1.0275203244902804</v>
      </c>
      <c r="AE22" s="211">
        <f t="shared" si="183"/>
        <v>1.0366937659870403</v>
      </c>
      <c r="AF22" s="211">
        <f t="shared" si="184"/>
        <v>1.0329844539077531</v>
      </c>
      <c r="AG22" s="211">
        <f t="shared" si="185"/>
        <v>1.0292751418284658</v>
      </c>
      <c r="AH22" s="211">
        <f t="shared" si="186"/>
        <v>1.0255658297491783</v>
      </c>
      <c r="AI22" s="211">
        <f t="shared" si="187"/>
        <v>1.0218565176698911</v>
      </c>
      <c r="AJ22" s="211">
        <f t="shared" si="188"/>
        <v>1.0181472055906038</v>
      </c>
      <c r="AK22" s="211">
        <f t="shared" si="189"/>
        <v>1.0144378935113163</v>
      </c>
      <c r="AL22" s="211">
        <f t="shared" si="190"/>
        <v>1.010728581432029</v>
      </c>
      <c r="AM22" s="211">
        <f t="shared" si="191"/>
        <v>1.0070192693527416</v>
      </c>
      <c r="AN22" s="211">
        <f t="shared" si="192"/>
        <v>1.0033099572734543</v>
      </c>
      <c r="AO22" s="211">
        <f t="shared" si="193"/>
        <v>0.99960064519416691</v>
      </c>
      <c r="AP22" s="211">
        <f t="shared" si="194"/>
        <v>0.99589133311487965</v>
      </c>
      <c r="AQ22" s="211">
        <f t="shared" si="195"/>
        <v>0.99218202103559228</v>
      </c>
      <c r="AR22" s="211">
        <f t="shared" si="196"/>
        <v>0.9884727089563049</v>
      </c>
      <c r="AS22" s="211">
        <f t="shared" si="197"/>
        <v>0.98476339687701753</v>
      </c>
      <c r="AT22" s="211">
        <f t="shared" si="159"/>
        <v>0.98105408479773026</v>
      </c>
      <c r="AV22" s="227">
        <v>1</v>
      </c>
      <c r="AW22" s="227">
        <v>1</v>
      </c>
      <c r="AX22" s="227">
        <v>1</v>
      </c>
      <c r="AY22" s="227">
        <v>1</v>
      </c>
      <c r="AZ22" s="227">
        <v>1</v>
      </c>
      <c r="BA22" s="227">
        <v>1</v>
      </c>
      <c r="BB22" s="227">
        <v>1</v>
      </c>
      <c r="BC22" s="227">
        <v>1</v>
      </c>
      <c r="BD22" s="227">
        <v>1</v>
      </c>
      <c r="BE22" s="227">
        <v>1</v>
      </c>
      <c r="BF22" s="227">
        <v>1</v>
      </c>
      <c r="BG22" s="227">
        <v>1</v>
      </c>
      <c r="BH22" s="227">
        <v>1</v>
      </c>
      <c r="BI22" s="227">
        <v>1</v>
      </c>
      <c r="BJ22" s="227">
        <v>1</v>
      </c>
      <c r="BK22" s="227">
        <v>1</v>
      </c>
      <c r="BL22" s="227">
        <v>1</v>
      </c>
      <c r="BM22" s="227">
        <v>1</v>
      </c>
      <c r="BN22" s="227">
        <v>1</v>
      </c>
      <c r="BO22" s="227">
        <v>1</v>
      </c>
      <c r="BQ22" s="211">
        <f t="shared" si="198"/>
        <v>1</v>
      </c>
      <c r="BR22" s="211">
        <f t="shared" si="198"/>
        <v>1.0091734414967601</v>
      </c>
      <c r="BS22" s="211">
        <f t="shared" si="198"/>
        <v>1.0183468829935203</v>
      </c>
      <c r="BT22" s="211">
        <f t="shared" si="199"/>
        <v>1.0275203244902804</v>
      </c>
      <c r="BU22" s="211">
        <f t="shared" si="200"/>
        <v>1.0366937659870403</v>
      </c>
      <c r="BV22" s="211">
        <f t="shared" si="201"/>
        <v>1.0329844539077531</v>
      </c>
      <c r="BW22" s="211">
        <f t="shared" si="202"/>
        <v>1.0292751418284658</v>
      </c>
      <c r="BX22" s="211">
        <f t="shared" si="203"/>
        <v>1.0255658297491783</v>
      </c>
      <c r="BY22" s="211">
        <f t="shared" si="204"/>
        <v>1.0218565176698911</v>
      </c>
      <c r="BZ22" s="211">
        <f t="shared" si="205"/>
        <v>1.0181472055906038</v>
      </c>
      <c r="CA22" s="211">
        <f t="shared" si="206"/>
        <v>1.0144378935113163</v>
      </c>
      <c r="CB22" s="211">
        <f t="shared" si="207"/>
        <v>1.010728581432029</v>
      </c>
      <c r="CC22" s="211">
        <f t="shared" si="208"/>
        <v>1.0070192693527416</v>
      </c>
      <c r="CD22" s="211">
        <f t="shared" si="209"/>
        <v>1.0033099572734543</v>
      </c>
      <c r="CE22" s="211">
        <f t="shared" si="210"/>
        <v>0.99960064519416691</v>
      </c>
      <c r="CF22" s="211">
        <f t="shared" si="211"/>
        <v>0.99589133311487965</v>
      </c>
      <c r="CG22" s="211">
        <f t="shared" si="212"/>
        <v>0.99218202103559228</v>
      </c>
      <c r="CH22" s="211">
        <f t="shared" si="213"/>
        <v>0.9884727089563049</v>
      </c>
      <c r="CI22" s="211">
        <f t="shared" si="214"/>
        <v>0.98476339687701753</v>
      </c>
      <c r="CJ22" s="211">
        <f t="shared" si="215"/>
        <v>0.98105408479773026</v>
      </c>
    </row>
    <row r="23" spans="2:88" s="211" customFormat="1" x14ac:dyDescent="0.2">
      <c r="B23" s="21" t="s">
        <v>438</v>
      </c>
      <c r="C23" s="21">
        <v>-36.379075999999998</v>
      </c>
      <c r="D23" s="21">
        <v>141.240735</v>
      </c>
      <c r="F23" s="227">
        <v>9.4943065428571422E-3</v>
      </c>
      <c r="G23" s="227">
        <v>9.5786946571428562E-3</v>
      </c>
      <c r="H23" s="227">
        <v>9.6630827714285703E-3</v>
      </c>
      <c r="I23" s="227">
        <v>9.7474708857142843E-3</v>
      </c>
      <c r="J23" s="227">
        <v>9.8318589999999983E-3</v>
      </c>
      <c r="K23" s="227">
        <v>9.7600277499999989E-3</v>
      </c>
      <c r="L23" s="227">
        <v>9.6881964999999994E-3</v>
      </c>
      <c r="M23" s="227">
        <v>9.6163652499999999E-3</v>
      </c>
      <c r="N23" s="227">
        <v>9.5445340000000004E-3</v>
      </c>
      <c r="O23" s="227">
        <v>9.4727027500000009E-3</v>
      </c>
      <c r="P23" s="227">
        <v>9.4008715000000014E-3</v>
      </c>
      <c r="Q23" s="227">
        <v>9.3290402500000019E-3</v>
      </c>
      <c r="R23" s="227">
        <v>9.2572090000000024E-3</v>
      </c>
      <c r="S23" s="227">
        <v>9.1853777500000029E-3</v>
      </c>
      <c r="T23" s="227">
        <v>9.1135465000000034E-3</v>
      </c>
      <c r="U23" s="227">
        <v>9.0417152500000039E-3</v>
      </c>
      <c r="V23" s="227">
        <v>8.9698840000000044E-3</v>
      </c>
      <c r="W23" s="227">
        <v>8.8980527500000049E-3</v>
      </c>
      <c r="X23" s="227">
        <v>8.8262215000000054E-3</v>
      </c>
      <c r="Y23" s="227">
        <v>8.7543902500000059E-3</v>
      </c>
      <c r="AA23" s="211">
        <f t="shared" si="216"/>
        <v>1</v>
      </c>
      <c r="AB23" s="211">
        <f t="shared" si="216"/>
        <v>1.008888286248689</v>
      </c>
      <c r="AC23" s="211">
        <f t="shared" si="181"/>
        <v>1.0177765724973777</v>
      </c>
      <c r="AD23" s="211">
        <f t="shared" si="182"/>
        <v>1.0266648587460667</v>
      </c>
      <c r="AE23" s="211">
        <f t="shared" si="183"/>
        <v>1.0355531449947555</v>
      </c>
      <c r="AF23" s="211">
        <f t="shared" si="184"/>
        <v>1.027987426563846</v>
      </c>
      <c r="AG23" s="211">
        <f t="shared" si="185"/>
        <v>1.0204217081329365</v>
      </c>
      <c r="AH23" s="211">
        <f t="shared" si="186"/>
        <v>1.0128559897020268</v>
      </c>
      <c r="AI23" s="211">
        <f t="shared" si="187"/>
        <v>1.0052902712711174</v>
      </c>
      <c r="AJ23" s="211">
        <f t="shared" si="188"/>
        <v>0.99772455284020778</v>
      </c>
      <c r="AK23" s="211">
        <f t="shared" si="189"/>
        <v>0.99015883440929819</v>
      </c>
      <c r="AL23" s="211">
        <f t="shared" si="190"/>
        <v>0.98259311597838861</v>
      </c>
      <c r="AM23" s="211">
        <f t="shared" si="191"/>
        <v>0.97502739754747902</v>
      </c>
      <c r="AN23" s="211">
        <f t="shared" si="192"/>
        <v>0.96746167911656955</v>
      </c>
      <c r="AO23" s="211">
        <f t="shared" si="193"/>
        <v>0.95989596068565997</v>
      </c>
      <c r="AP23" s="211">
        <f t="shared" si="194"/>
        <v>0.95233024225475038</v>
      </c>
      <c r="AQ23" s="211">
        <f t="shared" si="195"/>
        <v>0.9447645238238408</v>
      </c>
      <c r="AR23" s="211">
        <f t="shared" si="196"/>
        <v>0.93719880539293132</v>
      </c>
      <c r="AS23" s="211">
        <f t="shared" si="197"/>
        <v>0.92963308696202174</v>
      </c>
      <c r="AT23" s="211">
        <f>Y23/$F23</f>
        <v>0.92206736853111215</v>
      </c>
      <c r="AV23" s="227">
        <v>1</v>
      </c>
      <c r="AW23" s="227">
        <v>1.0155914804061443</v>
      </c>
      <c r="AX23" s="227">
        <v>1.0311829608122884</v>
      </c>
      <c r="AY23" s="227">
        <v>1.0467744412184328</v>
      </c>
      <c r="AZ23" s="227">
        <v>1.0623659216245769</v>
      </c>
      <c r="BA23" s="227">
        <v>1.0526212463707403</v>
      </c>
      <c r="BB23" s="227">
        <v>1.0428765711169012</v>
      </c>
      <c r="BC23" s="227">
        <v>1.03313189586306</v>
      </c>
      <c r="BD23" s="227">
        <v>1.0233872206092209</v>
      </c>
      <c r="BE23" s="227">
        <v>1.0136425453553797</v>
      </c>
      <c r="BF23" s="227">
        <v>1.0038978701015406</v>
      </c>
      <c r="BG23" s="227">
        <v>0.99415319484769926</v>
      </c>
      <c r="BH23" s="227">
        <v>0.984408519593858</v>
      </c>
      <c r="BI23" s="227">
        <v>0.97466384434001896</v>
      </c>
      <c r="BJ23" s="227">
        <v>0.9649191690861777</v>
      </c>
      <c r="BK23" s="227">
        <v>0.95517449383233866</v>
      </c>
      <c r="BL23" s="227">
        <v>0.94542981857849739</v>
      </c>
      <c r="BM23" s="227">
        <v>0.93568514332465835</v>
      </c>
      <c r="BN23" s="227">
        <v>0.92594046807081709</v>
      </c>
      <c r="BO23" s="227">
        <v>0.91619579281697805</v>
      </c>
      <c r="BQ23" s="211">
        <f t="shared" si="198"/>
        <v>1</v>
      </c>
      <c r="BR23" s="211">
        <f t="shared" si="198"/>
        <v>1.0246183481957238</v>
      </c>
      <c r="BS23" s="211">
        <f t="shared" si="198"/>
        <v>1.0495138594732287</v>
      </c>
      <c r="BT23" s="211">
        <f t="shared" si="199"/>
        <v>1.0746865338325151</v>
      </c>
      <c r="BU23" s="211">
        <f t="shared" si="200"/>
        <v>1.1001363712735825</v>
      </c>
      <c r="BV23" s="211">
        <f t="shared" si="201"/>
        <v>1.0820814062030855</v>
      </c>
      <c r="BW23" s="211">
        <f t="shared" si="202"/>
        <v>1.0641738920709283</v>
      </c>
      <c r="BX23" s="211">
        <f t="shared" si="203"/>
        <v>1.046413828877111</v>
      </c>
      <c r="BY23" s="211">
        <f t="shared" si="204"/>
        <v>1.0288012166216385</v>
      </c>
      <c r="BZ23" s="211">
        <f t="shared" si="205"/>
        <v>1.0113360553045063</v>
      </c>
      <c r="CA23" s="211">
        <f t="shared" si="206"/>
        <v>0.9940183449257185</v>
      </c>
      <c r="CB23" s="211">
        <f t="shared" si="207"/>
        <v>0.97684808548527091</v>
      </c>
      <c r="CC23" s="211">
        <f t="shared" si="208"/>
        <v>0.95982527698316589</v>
      </c>
      <c r="CD23" s="211">
        <f t="shared" si="209"/>
        <v>0.94294991941940554</v>
      </c>
      <c r="CE23" s="211">
        <f t="shared" si="210"/>
        <v>0.92622201279398531</v>
      </c>
      <c r="CF23" s="211">
        <f t="shared" si="211"/>
        <v>0.90964155710690964</v>
      </c>
      <c r="CG23" s="211">
        <f t="shared" si="212"/>
        <v>0.89320855235817431</v>
      </c>
      <c r="CH23" s="211">
        <f t="shared" si="213"/>
        <v>0.87692299854778355</v>
      </c>
      <c r="CI23" s="211">
        <f t="shared" si="214"/>
        <v>0.86078489567573302</v>
      </c>
      <c r="CJ23" s="211">
        <f t="shared" si="215"/>
        <v>0.84479424374202694</v>
      </c>
    </row>
    <row r="24" spans="2:88" s="211" customFormat="1" x14ac:dyDescent="0.2">
      <c r="B24" s="21" t="s">
        <v>183</v>
      </c>
      <c r="C24" s="21">
        <v>-35.809179999999998</v>
      </c>
      <c r="D24" s="21">
        <v>144.22178299999999</v>
      </c>
      <c r="F24" s="227">
        <v>1.0907967828571428E-2</v>
      </c>
      <c r="G24" s="227">
        <v>1.0973546371428571E-2</v>
      </c>
      <c r="H24" s="227">
        <v>1.1039124914285714E-2</v>
      </c>
      <c r="I24" s="227">
        <v>1.1104703457142857E-2</v>
      </c>
      <c r="J24" s="227">
        <v>1.1170282E-2</v>
      </c>
      <c r="K24" s="227">
        <v>1.1257114E-2</v>
      </c>
      <c r="L24" s="227">
        <v>1.1343946000000001E-2</v>
      </c>
      <c r="M24" s="227">
        <v>1.1430778000000001E-2</v>
      </c>
      <c r="N24" s="227">
        <v>1.1517610000000001E-2</v>
      </c>
      <c r="O24" s="227">
        <v>1.1604442000000001E-2</v>
      </c>
      <c r="P24" s="227">
        <v>1.1691274000000001E-2</v>
      </c>
      <c r="Q24" s="227">
        <v>1.1778106000000002E-2</v>
      </c>
      <c r="R24" s="227">
        <v>1.1864938000000002E-2</v>
      </c>
      <c r="S24" s="227">
        <v>1.1951770000000002E-2</v>
      </c>
      <c r="T24" s="227">
        <v>1.2038602000000002E-2</v>
      </c>
      <c r="U24" s="227">
        <v>1.2125434000000003E-2</v>
      </c>
      <c r="V24" s="227">
        <v>1.2212266000000003E-2</v>
      </c>
      <c r="W24" s="227">
        <v>1.2299098000000003E-2</v>
      </c>
      <c r="X24" s="227">
        <v>1.2385930000000003E-2</v>
      </c>
      <c r="Y24" s="227">
        <v>1.2472762000000004E-2</v>
      </c>
      <c r="AA24" s="211">
        <f t="shared" si="216"/>
        <v>1</v>
      </c>
      <c r="AB24" s="211">
        <f t="shared" si="216"/>
        <v>1.0060119853567382</v>
      </c>
      <c r="AC24" s="211">
        <f t="shared" ref="AC24:AC25" si="217">H24/$F24</f>
        <v>1.0120239707134764</v>
      </c>
      <c r="AD24" s="211">
        <f t="shared" ref="AD24:AD25" si="218">I24/$F24</f>
        <v>1.0180359560702146</v>
      </c>
      <c r="AE24" s="211">
        <f t="shared" ref="AE24:AE25" si="219">J24/$F24</f>
        <v>1.024047941426953</v>
      </c>
      <c r="AF24" s="211">
        <f t="shared" ref="AF24:AF25" si="220">K24/$F24</f>
        <v>1.0320083609445609</v>
      </c>
      <c r="AG24" s="211">
        <f t="shared" ref="AG24:AG25" si="221">L24/$F24</f>
        <v>1.0399687804621689</v>
      </c>
      <c r="AH24" s="211">
        <f t="shared" ref="AH24:AH25" si="222">M24/$F24</f>
        <v>1.0479291999797768</v>
      </c>
      <c r="AI24" s="211">
        <f t="shared" ref="AI24:AI25" si="223">N24/$F24</f>
        <v>1.055889619497385</v>
      </c>
      <c r="AJ24" s="211">
        <f t="shared" ref="AJ24:AJ25" si="224">O24/$F24</f>
        <v>1.063850039014993</v>
      </c>
      <c r="AK24" s="211">
        <f t="shared" ref="AK24:AK25" si="225">P24/$F24</f>
        <v>1.0718104585326009</v>
      </c>
      <c r="AL24" s="211">
        <f t="shared" ref="AL24:AL25" si="226">Q24/$F24</f>
        <v>1.0797708780502089</v>
      </c>
      <c r="AM24" s="211">
        <f t="shared" ref="AM24:AM25" si="227">R24/$F24</f>
        <v>1.0877312975678171</v>
      </c>
      <c r="AN24" s="211">
        <f t="shared" ref="AN24:AN25" si="228">S24/$F24</f>
        <v>1.095691717085425</v>
      </c>
      <c r="AO24" s="211">
        <f t="shared" ref="AO24:AO25" si="229">T24/$F24</f>
        <v>1.103652136603033</v>
      </c>
      <c r="AP24" s="211">
        <f t="shared" ref="AP24:AP25" si="230">U24/$F24</f>
        <v>1.1116125561206409</v>
      </c>
      <c r="AQ24" s="211">
        <f t="shared" ref="AQ24:AQ25" si="231">V24/$F24</f>
        <v>1.1195729756382491</v>
      </c>
      <c r="AR24" s="211">
        <f t="shared" ref="AR24:AR25" si="232">W24/$F24</f>
        <v>1.127533395155857</v>
      </c>
      <c r="AS24" s="211">
        <f t="shared" ref="AS24:AS25" si="233">X24/$F24</f>
        <v>1.135493814673465</v>
      </c>
      <c r="AT24" s="211">
        <f>Y24/$F24</f>
        <v>1.1434542341910729</v>
      </c>
      <c r="AV24" s="227">
        <v>1</v>
      </c>
      <c r="AW24" s="227">
        <v>0.9981941905714341</v>
      </c>
      <c r="AX24" s="227">
        <v>0.99638838114286776</v>
      </c>
      <c r="AY24" s="227">
        <v>0.99458257171430176</v>
      </c>
      <c r="AZ24" s="227">
        <v>0.99277676228573541</v>
      </c>
      <c r="BA24" s="227">
        <v>1.0187277054711705</v>
      </c>
      <c r="BB24" s="227">
        <v>1.0446786486566002</v>
      </c>
      <c r="BC24" s="227">
        <v>1.0706295918420301</v>
      </c>
      <c r="BD24" s="227">
        <v>1.0965805350274598</v>
      </c>
      <c r="BE24" s="227">
        <v>1.1225314782128895</v>
      </c>
      <c r="BF24" s="227">
        <v>1.1484824213983258</v>
      </c>
      <c r="BG24" s="227">
        <v>1.1744333645837555</v>
      </c>
      <c r="BH24" s="227">
        <v>1.2003843077691854</v>
      </c>
      <c r="BI24" s="227">
        <v>1.226335250954615</v>
      </c>
      <c r="BJ24" s="227">
        <v>1.2522861941400447</v>
      </c>
      <c r="BK24" s="227">
        <v>1.2782371373254811</v>
      </c>
      <c r="BL24" s="227">
        <v>1.3041880805109107</v>
      </c>
      <c r="BM24" s="227">
        <v>1.3301390236963406</v>
      </c>
      <c r="BN24" s="227">
        <v>1.3560899668817703</v>
      </c>
      <c r="BO24" s="227">
        <v>1.3820409100672</v>
      </c>
      <c r="BQ24" s="211">
        <f t="shared" ref="BQ24:BQ30" si="234">AA24*AV24</f>
        <v>1</v>
      </c>
      <c r="BR24" s="211">
        <f t="shared" ref="BR24:BR30" si="235">AB24*AW24</f>
        <v>1.0041953194283306</v>
      </c>
      <c r="BS24" s="211">
        <f t="shared" ref="BS24:BS30" si="236">AC24*AX24</f>
        <v>1.0083689258569777</v>
      </c>
      <c r="BT24" s="211">
        <f t="shared" ref="BT24:BT30" si="237">AD24*AY24</f>
        <v>1.0125208192859418</v>
      </c>
      <c r="BU24" s="211">
        <f t="shared" ref="BU24:BU30" si="238">AE24*AZ24</f>
        <v>1.0166509997152229</v>
      </c>
      <c r="BV24" s="211">
        <f t="shared" ref="BV24:BV30" si="239">AF24*BA24</f>
        <v>1.0513355095721162</v>
      </c>
      <c r="BW24" s="211">
        <f t="shared" ref="BW24:BW30" si="240">AG24*BB24</f>
        <v>1.0864331802182712</v>
      </c>
      <c r="BX24" s="211">
        <f t="shared" ref="BX24:BX30" si="241">AH24*BC24</f>
        <v>1.1219440116536936</v>
      </c>
      <c r="BY24" s="211">
        <f t="shared" ref="BY24:BY30" si="242">AI24*BD24</f>
        <v>1.1578680038783833</v>
      </c>
      <c r="BZ24" s="211">
        <f t="shared" ref="BZ24:BZ30" si="243">AJ24*BE24</f>
        <v>1.1942051568923402</v>
      </c>
      <c r="CA24" s="211">
        <f t="shared" ref="CA24:CA30" si="244">AK24*BF24</f>
        <v>1.2309554706955714</v>
      </c>
      <c r="CB24" s="211">
        <f t="shared" ref="CB24:CB30" si="245">AL24*BG24</f>
        <v>1.2681189452880628</v>
      </c>
      <c r="CC24" s="211">
        <f t="shared" ref="CC24:CC30" si="246">AM24*BH24</f>
        <v>1.3056955806698218</v>
      </c>
      <c r="CD24" s="211">
        <f t="shared" ref="CD24:CD30" si="247">AN24*BI24</f>
        <v>1.3436853768408477</v>
      </c>
      <c r="CE24" s="211">
        <f t="shared" ref="CE24:CE30" si="248">AO24*BJ24</f>
        <v>1.3820883338011409</v>
      </c>
      <c r="CF24" s="211">
        <f t="shared" ref="CF24:CF30" si="249">AP24*BK24</f>
        <v>1.4209044515507088</v>
      </c>
      <c r="CG24" s="211">
        <f t="shared" ref="CG24:CG30" si="250">AQ24*BL24</f>
        <v>1.4601337300895367</v>
      </c>
      <c r="CH24" s="211">
        <f t="shared" ref="CH24:CH30" si="251">AR24*BM24</f>
        <v>1.4997761694176319</v>
      </c>
      <c r="CI24" s="211">
        <f t="shared" ref="CI24:CI30" si="252">AS24*BN24</f>
        <v>1.5398317695349941</v>
      </c>
      <c r="CJ24" s="211">
        <f t="shared" ref="CJ24:CJ30" si="253">AT24*BO24</f>
        <v>1.5803005304416238</v>
      </c>
    </row>
    <row r="25" spans="2:88" s="211" customFormat="1" x14ac:dyDescent="0.2">
      <c r="B25" s="21" t="s">
        <v>439</v>
      </c>
      <c r="C25" s="21">
        <v>-35.920316</v>
      </c>
      <c r="D25" s="21">
        <v>145.646602</v>
      </c>
      <c r="F25" s="227">
        <v>6.5402563714285714E-3</v>
      </c>
      <c r="G25" s="227">
        <v>6.5827050285714285E-3</v>
      </c>
      <c r="H25" s="227">
        <v>6.6251536857142856E-3</v>
      </c>
      <c r="I25" s="227">
        <v>6.6676023428571428E-3</v>
      </c>
      <c r="J25" s="227">
        <v>6.7100509999999999E-3</v>
      </c>
      <c r="K25" s="227">
        <v>6.7502672999999996E-3</v>
      </c>
      <c r="L25" s="227">
        <v>6.7904835999999993E-3</v>
      </c>
      <c r="M25" s="227">
        <v>6.830699899999999E-3</v>
      </c>
      <c r="N25" s="227">
        <v>6.8709161999999987E-3</v>
      </c>
      <c r="O25" s="227">
        <v>6.9111324999999984E-3</v>
      </c>
      <c r="P25" s="227">
        <v>6.9513487999999981E-3</v>
      </c>
      <c r="Q25" s="227">
        <v>6.9915650999999978E-3</v>
      </c>
      <c r="R25" s="227">
        <v>7.0317813999999975E-3</v>
      </c>
      <c r="S25" s="227">
        <v>7.0719976999999972E-3</v>
      </c>
      <c r="T25" s="227">
        <v>7.1122139999999969E-3</v>
      </c>
      <c r="U25" s="227">
        <v>7.1524302999999966E-3</v>
      </c>
      <c r="V25" s="227">
        <v>7.1926465999999963E-3</v>
      </c>
      <c r="W25" s="227">
        <v>7.232862899999996E-3</v>
      </c>
      <c r="X25" s="227">
        <v>7.2730791999999957E-3</v>
      </c>
      <c r="Y25" s="227">
        <v>7.3132954999999954E-3</v>
      </c>
      <c r="AA25" s="211">
        <f t="shared" si="216"/>
        <v>1</v>
      </c>
      <c r="AB25" s="211">
        <f t="shared" si="216"/>
        <v>1.006490365932488</v>
      </c>
      <c r="AC25" s="211">
        <f t="shared" si="217"/>
        <v>1.0129807318649759</v>
      </c>
      <c r="AD25" s="211">
        <f t="shared" si="218"/>
        <v>1.0194710977974637</v>
      </c>
      <c r="AE25" s="211">
        <f t="shared" si="219"/>
        <v>1.0259614637299517</v>
      </c>
      <c r="AF25" s="211">
        <f t="shared" si="220"/>
        <v>1.0321105040299141</v>
      </c>
      <c r="AG25" s="211">
        <f t="shared" si="221"/>
        <v>1.0382595443298763</v>
      </c>
      <c r="AH25" s="211">
        <f t="shared" si="222"/>
        <v>1.0444085846298388</v>
      </c>
      <c r="AI25" s="211">
        <f t="shared" si="223"/>
        <v>1.050557624929801</v>
      </c>
      <c r="AJ25" s="211">
        <f t="shared" si="224"/>
        <v>1.0567066652297634</v>
      </c>
      <c r="AK25" s="211">
        <f t="shared" si="225"/>
        <v>1.0628557055297256</v>
      </c>
      <c r="AL25" s="211">
        <f t="shared" si="226"/>
        <v>1.0690047458296881</v>
      </c>
      <c r="AM25" s="211">
        <f t="shared" si="227"/>
        <v>1.0751537861296503</v>
      </c>
      <c r="AN25" s="211">
        <f t="shared" si="228"/>
        <v>1.0813028264296127</v>
      </c>
      <c r="AO25" s="211">
        <f t="shared" si="229"/>
        <v>1.0874518667295749</v>
      </c>
      <c r="AP25" s="211">
        <f t="shared" si="230"/>
        <v>1.0936009070295374</v>
      </c>
      <c r="AQ25" s="211">
        <f t="shared" si="231"/>
        <v>1.0997499473294996</v>
      </c>
      <c r="AR25" s="211">
        <f t="shared" si="232"/>
        <v>1.105898987629462</v>
      </c>
      <c r="AS25" s="211">
        <f t="shared" si="233"/>
        <v>1.1120480279294245</v>
      </c>
      <c r="AT25" s="211">
        <f>Y25/$F25</f>
        <v>1.1181970682293867</v>
      </c>
      <c r="AV25" s="227">
        <v>1</v>
      </c>
      <c r="AW25" s="227">
        <v>1.0288242911419496</v>
      </c>
      <c r="AX25" s="227">
        <v>1.057648582283889</v>
      </c>
      <c r="AY25" s="227">
        <v>1.0864728734258386</v>
      </c>
      <c r="AZ25" s="227">
        <v>1.1152971645677883</v>
      </c>
      <c r="BA25" s="227">
        <v>1.1161568755833453</v>
      </c>
      <c r="BB25" s="227">
        <v>1.117016586598903</v>
      </c>
      <c r="BC25" s="227">
        <v>1.1178762976144609</v>
      </c>
      <c r="BD25" s="227">
        <v>1.1187360086300189</v>
      </c>
      <c r="BE25" s="227">
        <v>1.119595719645577</v>
      </c>
      <c r="BF25" s="227">
        <v>1.120455430661135</v>
      </c>
      <c r="BG25" s="227">
        <v>1.1213151416766929</v>
      </c>
      <c r="BH25" s="227">
        <v>1.1221748526922508</v>
      </c>
      <c r="BI25" s="227">
        <v>1.123034563707809</v>
      </c>
      <c r="BJ25" s="227">
        <v>1.1238942747233669</v>
      </c>
      <c r="BK25" s="227">
        <v>1.1247539857389246</v>
      </c>
      <c r="BL25" s="227">
        <v>1.1256136967544825</v>
      </c>
      <c r="BM25" s="227">
        <v>1.1264734077700407</v>
      </c>
      <c r="BN25" s="227">
        <v>1.1273331187855986</v>
      </c>
      <c r="BO25" s="227">
        <v>1.1281928298011565</v>
      </c>
      <c r="BQ25" s="211">
        <f t="shared" si="234"/>
        <v>1</v>
      </c>
      <c r="BR25" s="211">
        <f t="shared" si="235"/>
        <v>1.0355017372716935</v>
      </c>
      <c r="BS25" s="211">
        <f t="shared" si="236"/>
        <v>1.0713776349378881</v>
      </c>
      <c r="BT25" s="211">
        <f t="shared" si="237"/>
        <v>1.1076276929986046</v>
      </c>
      <c r="BU25" s="211">
        <f t="shared" si="238"/>
        <v>1.1442519114538328</v>
      </c>
      <c r="BV25" s="211">
        <f t="shared" si="239"/>
        <v>1.1519972354347807</v>
      </c>
      <c r="BW25" s="211">
        <f t="shared" si="240"/>
        <v>1.1597531322110908</v>
      </c>
      <c r="BX25" s="211">
        <f t="shared" si="241"/>
        <v>1.1675196017827636</v>
      </c>
      <c r="BY25" s="211">
        <f t="shared" si="242"/>
        <v>1.1752966441497981</v>
      </c>
      <c r="BZ25" s="211">
        <f t="shared" si="243"/>
        <v>1.1830842593121949</v>
      </c>
      <c r="CA25" s="211">
        <f t="shared" si="244"/>
        <v>1.1908824472699531</v>
      </c>
      <c r="CB25" s="211">
        <f t="shared" si="245"/>
        <v>1.1986912080230738</v>
      </c>
      <c r="CC25" s="211">
        <f t="shared" si="246"/>
        <v>1.206510541571556</v>
      </c>
      <c r="CD25" s="211">
        <f t="shared" si="247"/>
        <v>1.2143404479154007</v>
      </c>
      <c r="CE25" s="211">
        <f t="shared" si="248"/>
        <v>1.2221809270546071</v>
      </c>
      <c r="CF25" s="211">
        <f t="shared" si="249"/>
        <v>1.2300319789891754</v>
      </c>
      <c r="CG25" s="211">
        <f t="shared" si="250"/>
        <v>1.2378936037191055</v>
      </c>
      <c r="CH25" s="211">
        <f t="shared" si="251"/>
        <v>1.2457658012443982</v>
      </c>
      <c r="CI25" s="211">
        <f t="shared" si="252"/>
        <v>1.2536485715650525</v>
      </c>
      <c r="CJ25" s="211">
        <f t="shared" si="253"/>
        <v>1.2615419146810687</v>
      </c>
    </row>
    <row r="26" spans="2:88" s="211" customFormat="1" x14ac:dyDescent="0.2">
      <c r="B26" s="21" t="s">
        <v>440</v>
      </c>
      <c r="C26" s="21">
        <v>-36.013997000000003</v>
      </c>
      <c r="D26" s="21">
        <v>146.004614</v>
      </c>
      <c r="F26" s="227">
        <v>4.5773331085714283E-2</v>
      </c>
      <c r="G26" s="227">
        <v>4.6006035314285709E-2</v>
      </c>
      <c r="H26" s="227">
        <v>4.6238739542857135E-2</v>
      </c>
      <c r="I26" s="227">
        <v>4.6471443771428561E-2</v>
      </c>
      <c r="J26" s="227">
        <v>4.6704147999999987E-2</v>
      </c>
      <c r="K26" s="227">
        <v>4.6908963449999987E-2</v>
      </c>
      <c r="L26" s="227">
        <v>4.7113778899999986E-2</v>
      </c>
      <c r="M26" s="227">
        <v>4.7318594349999986E-2</v>
      </c>
      <c r="N26" s="227">
        <v>4.7523409799999985E-2</v>
      </c>
      <c r="O26" s="227">
        <v>4.7728225249999985E-2</v>
      </c>
      <c r="P26" s="227">
        <v>4.7933040699999985E-2</v>
      </c>
      <c r="Q26" s="227">
        <v>4.8137856149999984E-2</v>
      </c>
      <c r="R26" s="227">
        <v>4.8342671599999984E-2</v>
      </c>
      <c r="S26" s="227">
        <v>4.8547487049999984E-2</v>
      </c>
      <c r="T26" s="227">
        <v>4.8752302499999983E-2</v>
      </c>
      <c r="U26" s="227">
        <v>4.8957117949999983E-2</v>
      </c>
      <c r="V26" s="227">
        <v>4.9161933399999982E-2</v>
      </c>
      <c r="W26" s="227">
        <v>4.9366748849999982E-2</v>
      </c>
      <c r="X26" s="227">
        <v>4.9571564299999982E-2</v>
      </c>
      <c r="Y26" s="227">
        <v>4.9776379749999981E-2</v>
      </c>
      <c r="AA26" s="211">
        <f t="shared" si="216"/>
        <v>1</v>
      </c>
      <c r="AB26" s="211">
        <f t="shared" si="216"/>
        <v>1.0050838386250647</v>
      </c>
      <c r="AC26" s="211">
        <f t="shared" ref="AC26:AC27" si="254">H26/$F26</f>
        <v>1.0101676772501293</v>
      </c>
      <c r="AD26" s="211">
        <f t="shared" ref="AD26:AD27" si="255">I26/$F26</f>
        <v>1.0152515158751938</v>
      </c>
      <c r="AE26" s="211">
        <f t="shared" ref="AE26:AE27" si="256">J26/$F26</f>
        <v>1.0203353545002585</v>
      </c>
      <c r="AF26" s="211">
        <f t="shared" ref="AF26:AF27" si="257">K26/$F26</f>
        <v>1.0248099130508799</v>
      </c>
      <c r="AG26" s="211">
        <f t="shared" ref="AG26:AG27" si="258">L26/$F26</f>
        <v>1.029284471601501</v>
      </c>
      <c r="AH26" s="211">
        <f t="shared" ref="AH26:AH27" si="259">M26/$F26</f>
        <v>1.0337590301521222</v>
      </c>
      <c r="AI26" s="211">
        <f t="shared" ref="AI26:AI27" si="260">N26/$F26</f>
        <v>1.0382335887027434</v>
      </c>
      <c r="AJ26" s="211">
        <f t="shared" ref="AJ26:AJ27" si="261">O26/$F26</f>
        <v>1.0427081472533648</v>
      </c>
      <c r="AK26" s="211">
        <f t="shared" ref="AK26:AK27" si="262">P26/$F26</f>
        <v>1.047182705803986</v>
      </c>
      <c r="AL26" s="211">
        <f t="shared" ref="AL26:AL27" si="263">Q26/$F26</f>
        <v>1.0516572643546072</v>
      </c>
      <c r="AM26" s="211">
        <f t="shared" ref="AM26:AM27" si="264">R26/$F26</f>
        <v>1.0561318229052283</v>
      </c>
      <c r="AN26" s="211">
        <f t="shared" ref="AN26:AN27" si="265">S26/$F26</f>
        <v>1.0606063814558497</v>
      </c>
      <c r="AO26" s="211">
        <f t="shared" ref="AO26:AO27" si="266">T26/$F26</f>
        <v>1.0650809400064709</v>
      </c>
      <c r="AP26" s="211">
        <f t="shared" ref="AP26:AP27" si="267">U26/$F26</f>
        <v>1.0695554985570921</v>
      </c>
      <c r="AQ26" s="211">
        <f t="shared" ref="AQ26:AQ27" si="268">V26/$F26</f>
        <v>1.0740300571077133</v>
      </c>
      <c r="AR26" s="211">
        <f t="shared" ref="AR26:AR27" si="269">W26/$F26</f>
        <v>1.0785046156583347</v>
      </c>
      <c r="AS26" s="211">
        <f t="shared" ref="AS26:AS27" si="270">X26/$F26</f>
        <v>1.0829791742089558</v>
      </c>
      <c r="AT26" s="211">
        <f>Y26/$F26</f>
        <v>1.087453732759577</v>
      </c>
      <c r="AV26" s="227">
        <v>1</v>
      </c>
      <c r="AW26" s="227">
        <v>1.0288242911419496</v>
      </c>
      <c r="AX26" s="227">
        <v>1.057648582283889</v>
      </c>
      <c r="AY26" s="227">
        <v>1.0864728734258386</v>
      </c>
      <c r="AZ26" s="227">
        <v>1.1152971645677883</v>
      </c>
      <c r="BA26" s="227">
        <v>1.1161568755833453</v>
      </c>
      <c r="BB26" s="227">
        <v>1.117016586598903</v>
      </c>
      <c r="BC26" s="227">
        <v>1.1178762976144609</v>
      </c>
      <c r="BD26" s="227">
        <v>1.1187360086300189</v>
      </c>
      <c r="BE26" s="227">
        <v>1.119595719645577</v>
      </c>
      <c r="BF26" s="227">
        <v>1.120455430661135</v>
      </c>
      <c r="BG26" s="227">
        <v>1.1213151416766929</v>
      </c>
      <c r="BH26" s="227">
        <v>1.1221748526922508</v>
      </c>
      <c r="BI26" s="227">
        <v>1.123034563707809</v>
      </c>
      <c r="BJ26" s="227">
        <v>1.1238942747233669</v>
      </c>
      <c r="BK26" s="227">
        <v>1.1247539857389246</v>
      </c>
      <c r="BL26" s="227">
        <v>1.1256136967544825</v>
      </c>
      <c r="BM26" s="227">
        <v>1.1264734077700407</v>
      </c>
      <c r="BN26" s="227">
        <v>1.1273331187855986</v>
      </c>
      <c r="BO26" s="227">
        <v>1.1281928298011565</v>
      </c>
      <c r="BQ26" s="211">
        <f t="shared" si="234"/>
        <v>1</v>
      </c>
      <c r="BR26" s="211">
        <f t="shared" si="235"/>
        <v>1.0340546678116618</v>
      </c>
      <c r="BS26" s="211">
        <f t="shared" si="236"/>
        <v>1.0684024117126085</v>
      </c>
      <c r="BT26" s="211">
        <f t="shared" si="237"/>
        <v>1.1030432317028602</v>
      </c>
      <c r="BU26" s="211">
        <f t="shared" si="238"/>
        <v>1.1379771277824073</v>
      </c>
      <c r="BV26" s="211">
        <f t="shared" si="239"/>
        <v>1.1438486306177098</v>
      </c>
      <c r="BW26" s="211">
        <f t="shared" si="240"/>
        <v>1.1497278271075642</v>
      </c>
      <c r="BX26" s="211">
        <f t="shared" si="241"/>
        <v>1.1556147172519704</v>
      </c>
      <c r="BY26" s="211">
        <f t="shared" si="242"/>
        <v>1.1615093010509279</v>
      </c>
      <c r="BZ26" s="211">
        <f t="shared" si="243"/>
        <v>1.1674115785044372</v>
      </c>
      <c r="CA26" s="211">
        <f t="shared" si="244"/>
        <v>1.1733215496124978</v>
      </c>
      <c r="CB26" s="211">
        <f t="shared" si="245"/>
        <v>1.1792392143751096</v>
      </c>
      <c r="CC26" s="211">
        <f t="shared" si="246"/>
        <v>1.1851645727922728</v>
      </c>
      <c r="CD26" s="211">
        <f t="shared" si="247"/>
        <v>1.1910976248639882</v>
      </c>
      <c r="CE26" s="211">
        <f t="shared" si="248"/>
        <v>1.1970383705902545</v>
      </c>
      <c r="CF26" s="211">
        <f t="shared" si="249"/>
        <v>1.2029868099710719</v>
      </c>
      <c r="CG26" s="211">
        <f t="shared" si="250"/>
        <v>1.2089429430064411</v>
      </c>
      <c r="CH26" s="211">
        <f t="shared" si="251"/>
        <v>1.2149067696963622</v>
      </c>
      <c r="CI26" s="211">
        <f t="shared" si="252"/>
        <v>1.2208782900408344</v>
      </c>
      <c r="CJ26" s="211">
        <f t="shared" si="253"/>
        <v>1.2268575040398579</v>
      </c>
    </row>
    <row r="27" spans="2:88" s="211" customFormat="1" x14ac:dyDescent="0.2">
      <c r="B27" s="21" t="s">
        <v>441</v>
      </c>
      <c r="C27" s="21">
        <v>-36.058503000000002</v>
      </c>
      <c r="D27" s="21">
        <v>145.20411799999999</v>
      </c>
      <c r="F27" s="227">
        <v>4.6157807714285711E-3</v>
      </c>
      <c r="G27" s="227">
        <v>4.6449848285714281E-3</v>
      </c>
      <c r="H27" s="227">
        <v>4.674188885714285E-3</v>
      </c>
      <c r="I27" s="227">
        <v>4.703392942857142E-3</v>
      </c>
      <c r="J27" s="227">
        <v>4.732596999999999E-3</v>
      </c>
      <c r="K27" s="227">
        <v>4.7589797499999987E-3</v>
      </c>
      <c r="L27" s="227">
        <v>4.7853624999999985E-3</v>
      </c>
      <c r="M27" s="227">
        <v>4.8117452499999982E-3</v>
      </c>
      <c r="N27" s="227">
        <v>4.838127999999998E-3</v>
      </c>
      <c r="O27" s="227">
        <v>4.8645107499999977E-3</v>
      </c>
      <c r="P27" s="227">
        <v>4.8908934999999975E-3</v>
      </c>
      <c r="Q27" s="227">
        <v>4.9172762499999972E-3</v>
      </c>
      <c r="R27" s="227">
        <v>4.943658999999997E-3</v>
      </c>
      <c r="S27" s="227">
        <v>4.9700417499999967E-3</v>
      </c>
      <c r="T27" s="227">
        <v>4.9964244999999964E-3</v>
      </c>
      <c r="U27" s="227">
        <v>5.0228072499999962E-3</v>
      </c>
      <c r="V27" s="227">
        <v>5.0491899999999959E-3</v>
      </c>
      <c r="W27" s="227">
        <v>5.0755727499999957E-3</v>
      </c>
      <c r="X27" s="227">
        <v>5.1019554999999954E-3</v>
      </c>
      <c r="Y27" s="227">
        <v>5.1283382499999952E-3</v>
      </c>
      <c r="AA27" s="211">
        <f t="shared" ref="AA27" si="271">F27/$F27</f>
        <v>1</v>
      </c>
      <c r="AB27" s="211">
        <f t="shared" ref="AB27" si="272">G27/$F27</f>
        <v>1.006327002643546</v>
      </c>
      <c r="AC27" s="211">
        <f t="shared" si="254"/>
        <v>1.0126540052870918</v>
      </c>
      <c r="AD27" s="211">
        <f t="shared" si="255"/>
        <v>1.0189810079306378</v>
      </c>
      <c r="AE27" s="211">
        <f t="shared" si="256"/>
        <v>1.0253080105741836</v>
      </c>
      <c r="AF27" s="211">
        <f t="shared" si="257"/>
        <v>1.0310237824677075</v>
      </c>
      <c r="AG27" s="211">
        <f t="shared" si="258"/>
        <v>1.0367395543612317</v>
      </c>
      <c r="AH27" s="211">
        <f t="shared" si="259"/>
        <v>1.0424553262547556</v>
      </c>
      <c r="AI27" s="211">
        <f t="shared" si="260"/>
        <v>1.0481710981482795</v>
      </c>
      <c r="AJ27" s="211">
        <f t="shared" si="261"/>
        <v>1.0538868700418034</v>
      </c>
      <c r="AK27" s="211">
        <f t="shared" si="262"/>
        <v>1.0596026419353275</v>
      </c>
      <c r="AL27" s="211">
        <f t="shared" si="263"/>
        <v>1.0653184138288514</v>
      </c>
      <c r="AM27" s="211">
        <f t="shared" si="264"/>
        <v>1.0710341857223753</v>
      </c>
      <c r="AN27" s="211">
        <f t="shared" si="265"/>
        <v>1.0767499576158992</v>
      </c>
      <c r="AO27" s="211">
        <f t="shared" si="266"/>
        <v>1.0824657295094233</v>
      </c>
      <c r="AP27" s="211">
        <f t="shared" si="267"/>
        <v>1.0881815014029472</v>
      </c>
      <c r="AQ27" s="211">
        <f t="shared" si="268"/>
        <v>1.0938972732964711</v>
      </c>
      <c r="AR27" s="211">
        <f t="shared" si="269"/>
        <v>1.099613045189995</v>
      </c>
      <c r="AS27" s="211">
        <f t="shared" si="270"/>
        <v>1.1053288170835189</v>
      </c>
      <c r="AT27" s="211">
        <f t="shared" ref="AT27" si="273">Y27/$F27</f>
        <v>1.1110445889770431</v>
      </c>
      <c r="AV27" s="227">
        <v>1</v>
      </c>
      <c r="AW27" s="227">
        <v>1.0288242911419496</v>
      </c>
      <c r="AX27" s="227">
        <v>1.057648582283889</v>
      </c>
      <c r="AY27" s="227">
        <v>1.0864728734258386</v>
      </c>
      <c r="AZ27" s="227">
        <v>1.1152971645677883</v>
      </c>
      <c r="BA27" s="227">
        <v>1.1161568755833453</v>
      </c>
      <c r="BB27" s="227">
        <v>1.117016586598903</v>
      </c>
      <c r="BC27" s="227">
        <v>1.1178762976144609</v>
      </c>
      <c r="BD27" s="227">
        <v>1.1187360086300189</v>
      </c>
      <c r="BE27" s="227">
        <v>1.119595719645577</v>
      </c>
      <c r="BF27" s="227">
        <v>1.120455430661135</v>
      </c>
      <c r="BG27" s="227">
        <v>1.1213151416766929</v>
      </c>
      <c r="BH27" s="227">
        <v>1.1221748526922508</v>
      </c>
      <c r="BI27" s="227">
        <v>1.123034563707809</v>
      </c>
      <c r="BJ27" s="227">
        <v>1.1238942747233669</v>
      </c>
      <c r="BK27" s="227">
        <v>1.1247539857389246</v>
      </c>
      <c r="BL27" s="227">
        <v>1.1256136967544825</v>
      </c>
      <c r="BM27" s="227">
        <v>1.1264734077700407</v>
      </c>
      <c r="BN27" s="227">
        <v>1.1273331187855986</v>
      </c>
      <c r="BO27" s="227">
        <v>1.1281928298011565</v>
      </c>
      <c r="BQ27" s="211">
        <f t="shared" si="234"/>
        <v>1</v>
      </c>
      <c r="BR27" s="211">
        <f t="shared" si="235"/>
        <v>1.0353336651517491</v>
      </c>
      <c r="BS27" s="211">
        <f t="shared" si="236"/>
        <v>1.0710320730359946</v>
      </c>
      <c r="BT27" s="211">
        <f t="shared" si="237"/>
        <v>1.1070952236527574</v>
      </c>
      <c r="BU27" s="211">
        <f t="shared" si="238"/>
        <v>1.1435231170020268</v>
      </c>
      <c r="BV27" s="211">
        <f t="shared" si="239"/>
        <v>1.1507842836912792</v>
      </c>
      <c r="BW27" s="211">
        <f t="shared" si="240"/>
        <v>1.1580552782046509</v>
      </c>
      <c r="BX27" s="211">
        <f t="shared" si="241"/>
        <v>1.1653361005421412</v>
      </c>
      <c r="BY27" s="211">
        <f t="shared" si="242"/>
        <v>1.17262675070375</v>
      </c>
      <c r="BZ27" s="211">
        <f t="shared" si="243"/>
        <v>1.1799272286894775</v>
      </c>
      <c r="CA27" s="211">
        <f t="shared" si="244"/>
        <v>1.1872375344993238</v>
      </c>
      <c r="CB27" s="211">
        <f t="shared" si="245"/>
        <v>1.1945576681332883</v>
      </c>
      <c r="CC27" s="211">
        <f t="shared" si="246"/>
        <v>1.2018876295913714</v>
      </c>
      <c r="CD27" s="211">
        <f t="shared" si="247"/>
        <v>1.2092274188735732</v>
      </c>
      <c r="CE27" s="211">
        <f t="shared" si="248"/>
        <v>1.2165770359798935</v>
      </c>
      <c r="CF27" s="211">
        <f t="shared" si="249"/>
        <v>1.2239364809103321</v>
      </c>
      <c r="CG27" s="211">
        <f t="shared" si="250"/>
        <v>1.2313057536648893</v>
      </c>
      <c r="CH27" s="211">
        <f t="shared" si="251"/>
        <v>1.2386848542435653</v>
      </c>
      <c r="CI27" s="211">
        <f t="shared" si="252"/>
        <v>1.2460737826463599</v>
      </c>
      <c r="CJ27" s="211">
        <f t="shared" si="253"/>
        <v>1.253472538873273</v>
      </c>
    </row>
    <row r="28" spans="2:88" s="211" customFormat="1" x14ac:dyDescent="0.2">
      <c r="B28" s="21" t="s">
        <v>442</v>
      </c>
      <c r="C28" s="21">
        <v>-36.417689000000003</v>
      </c>
      <c r="D28" s="21">
        <v>143.612314</v>
      </c>
      <c r="F28" s="227">
        <v>1.8053963457142858E-2</v>
      </c>
      <c r="G28" s="227">
        <v>1.8138555342857143E-2</v>
      </c>
      <c r="H28" s="227">
        <v>1.8223147228571428E-2</v>
      </c>
      <c r="I28" s="227">
        <v>1.8307739114285713E-2</v>
      </c>
      <c r="J28" s="227">
        <v>1.8392330999999998E-2</v>
      </c>
      <c r="K28" s="227">
        <v>1.8398591649999997E-2</v>
      </c>
      <c r="L28" s="227">
        <v>1.8404852299999996E-2</v>
      </c>
      <c r="M28" s="227">
        <v>1.8411112949999996E-2</v>
      </c>
      <c r="N28" s="227">
        <v>1.8417373599999995E-2</v>
      </c>
      <c r="O28" s="227">
        <v>1.8423634249999994E-2</v>
      </c>
      <c r="P28" s="227">
        <v>1.8429894899999993E-2</v>
      </c>
      <c r="Q28" s="227">
        <v>1.8436155549999993E-2</v>
      </c>
      <c r="R28" s="227">
        <v>1.8442416199999992E-2</v>
      </c>
      <c r="S28" s="227">
        <v>1.8448676849999991E-2</v>
      </c>
      <c r="T28" s="227">
        <v>1.845493749999999E-2</v>
      </c>
      <c r="U28" s="227">
        <v>1.846119814999999E-2</v>
      </c>
      <c r="V28" s="227">
        <v>1.8467458799999989E-2</v>
      </c>
      <c r="W28" s="227">
        <v>1.8473719449999988E-2</v>
      </c>
      <c r="X28" s="227">
        <v>1.8479980099999987E-2</v>
      </c>
      <c r="Y28" s="227">
        <v>1.8486240749999987E-2</v>
      </c>
      <c r="AA28" s="211">
        <f t="shared" ref="AA28:AA30" si="274">F28/$F28</f>
        <v>1</v>
      </c>
      <c r="AB28" s="211">
        <f t="shared" ref="AB28:AB30" si="275">G28/$F28</f>
        <v>1.0046855022120262</v>
      </c>
      <c r="AC28" s="211">
        <f t="shared" ref="AC28:AC30" si="276">H28/$F28</f>
        <v>1.0093710044240527</v>
      </c>
      <c r="AD28" s="211">
        <f t="shared" ref="AD28:AD30" si="277">I28/$F28</f>
        <v>1.0140565066360789</v>
      </c>
      <c r="AE28" s="211">
        <f t="shared" ref="AE28:AE30" si="278">J28/$F28</f>
        <v>1.0187420088481052</v>
      </c>
      <c r="AF28" s="211">
        <f t="shared" ref="AF28:AF30" si="279">K28/$F28</f>
        <v>1.0190887831181907</v>
      </c>
      <c r="AG28" s="211">
        <f t="shared" ref="AG28:AG30" si="280">L28/$F28</f>
        <v>1.0194355573882761</v>
      </c>
      <c r="AH28" s="211">
        <f t="shared" ref="AH28:AH30" si="281">M28/$F28</f>
        <v>1.0197823316583614</v>
      </c>
      <c r="AI28" s="211">
        <f t="shared" ref="AI28:AI30" si="282">N28/$F28</f>
        <v>1.020129105928447</v>
      </c>
      <c r="AJ28" s="211">
        <f t="shared" ref="AJ28:AJ30" si="283">O28/$F28</f>
        <v>1.0204758801985323</v>
      </c>
      <c r="AK28" s="211">
        <f t="shared" ref="AK28:AK30" si="284">P28/$F28</f>
        <v>1.0208226544686176</v>
      </c>
      <c r="AL28" s="211">
        <f t="shared" ref="AL28:AL30" si="285">Q28/$F28</f>
        <v>1.021169428738703</v>
      </c>
      <c r="AM28" s="211">
        <f t="shared" ref="AM28:AM30" si="286">R28/$F28</f>
        <v>1.0215162030087885</v>
      </c>
      <c r="AN28" s="211">
        <f t="shared" ref="AN28:AN30" si="287">S28/$F28</f>
        <v>1.0218629772788739</v>
      </c>
      <c r="AO28" s="211">
        <f t="shared" ref="AO28:AO30" si="288">T28/$F28</f>
        <v>1.0222097515489592</v>
      </c>
      <c r="AP28" s="211">
        <f t="shared" ref="AP28:AP30" si="289">U28/$F28</f>
        <v>1.0225565258190448</v>
      </c>
      <c r="AQ28" s="211">
        <f t="shared" ref="AQ28:AQ30" si="290">V28/$F28</f>
        <v>1.0229033000891301</v>
      </c>
      <c r="AR28" s="211">
        <f t="shared" ref="AR28:AR30" si="291">W28/$F28</f>
        <v>1.0232500743592154</v>
      </c>
      <c r="AS28" s="211">
        <f t="shared" ref="AS28:AS30" si="292">X28/$F28</f>
        <v>1.023596848629301</v>
      </c>
      <c r="AT28" s="211">
        <f t="shared" ref="AT28:AT30" si="293">Y28/$F28</f>
        <v>1.0239436228993863</v>
      </c>
      <c r="AV28" s="227">
        <v>1</v>
      </c>
      <c r="AW28" s="227">
        <v>1.0136272770318604</v>
      </c>
      <c r="AX28" s="227">
        <v>1.0272545540637255</v>
      </c>
      <c r="AY28" s="227">
        <v>1.0408818310955859</v>
      </c>
      <c r="AZ28" s="227">
        <v>1.0545091081274509</v>
      </c>
      <c r="BA28" s="227">
        <v>1.0545091081274507</v>
      </c>
      <c r="BB28" s="227">
        <v>1.0545091081274507</v>
      </c>
      <c r="BC28" s="227">
        <v>1.0545091081274507</v>
      </c>
      <c r="BD28" s="227">
        <v>1.0545091081274507</v>
      </c>
      <c r="BE28" s="227">
        <v>1.0545091081274507</v>
      </c>
      <c r="BF28" s="227">
        <v>1.0545091081274507</v>
      </c>
      <c r="BG28" s="227">
        <v>1.0545091081274507</v>
      </c>
      <c r="BH28" s="227">
        <v>1.0545091081274507</v>
      </c>
      <c r="BI28" s="227">
        <v>1.0545091081274507</v>
      </c>
      <c r="BJ28" s="227">
        <v>1.0545091081274507</v>
      </c>
      <c r="BK28" s="227">
        <v>1.0545091081274507</v>
      </c>
      <c r="BL28" s="227">
        <v>1.0545091081274507</v>
      </c>
      <c r="BM28" s="227">
        <v>1.0545091081274507</v>
      </c>
      <c r="BN28" s="227">
        <v>1.0545091081274507</v>
      </c>
      <c r="BO28" s="227">
        <v>1.0545091081274507</v>
      </c>
      <c r="BQ28" s="211">
        <f t="shared" si="234"/>
        <v>1</v>
      </c>
      <c r="BR28" s="211">
        <f t="shared" si="235"/>
        <v>1.0183766298805632</v>
      </c>
      <c r="BS28" s="211">
        <f t="shared" si="236"/>
        <v>1.0368809610344849</v>
      </c>
      <c r="BT28" s="211">
        <f t="shared" si="237"/>
        <v>1.0555129934617549</v>
      </c>
      <c r="BU28" s="211">
        <f t="shared" si="238"/>
        <v>1.0742727271623831</v>
      </c>
      <c r="BV28" s="211">
        <f t="shared" si="239"/>
        <v>1.0746384037886523</v>
      </c>
      <c r="BW28" s="211">
        <f t="shared" si="240"/>
        <v>1.0750040804149217</v>
      </c>
      <c r="BX28" s="211">
        <f t="shared" si="241"/>
        <v>1.0753697570411909</v>
      </c>
      <c r="BY28" s="211">
        <f t="shared" si="242"/>
        <v>1.0757354336674603</v>
      </c>
      <c r="BZ28" s="211">
        <f t="shared" si="243"/>
        <v>1.0761011102937295</v>
      </c>
      <c r="CA28" s="211">
        <f t="shared" si="244"/>
        <v>1.0764667869199989</v>
      </c>
      <c r="CB28" s="211">
        <f t="shared" si="245"/>
        <v>1.076832463546268</v>
      </c>
      <c r="CC28" s="211">
        <f t="shared" si="246"/>
        <v>1.0771981401725375</v>
      </c>
      <c r="CD28" s="211">
        <f t="shared" si="247"/>
        <v>1.0775638167988066</v>
      </c>
      <c r="CE28" s="211">
        <f t="shared" si="248"/>
        <v>1.0779294934250758</v>
      </c>
      <c r="CF28" s="211">
        <f t="shared" si="249"/>
        <v>1.0782951700513455</v>
      </c>
      <c r="CG28" s="211">
        <f t="shared" si="250"/>
        <v>1.0786608466776146</v>
      </c>
      <c r="CH28" s="211">
        <f t="shared" si="251"/>
        <v>1.0790265233038838</v>
      </c>
      <c r="CI28" s="211">
        <f t="shared" si="252"/>
        <v>1.0793921999301535</v>
      </c>
      <c r="CJ28" s="211">
        <f t="shared" si="253"/>
        <v>1.0797578765564226</v>
      </c>
    </row>
    <row r="29" spans="2:88" s="211" customFormat="1" x14ac:dyDescent="0.2">
      <c r="B29" s="21" t="s">
        <v>216</v>
      </c>
      <c r="C29" s="21">
        <v>-35.070753000000003</v>
      </c>
      <c r="D29" s="21">
        <v>142.31488300000001</v>
      </c>
      <c r="F29" s="227">
        <v>2.3667414285714287E-4</v>
      </c>
      <c r="G29" s="227">
        <v>2.3871685714285716E-4</v>
      </c>
      <c r="H29" s="227">
        <v>2.4075957142857146E-4</v>
      </c>
      <c r="I29" s="227">
        <v>2.4280228571428575E-4</v>
      </c>
      <c r="J29" s="227">
        <v>2.4484500000000005E-4</v>
      </c>
      <c r="K29" s="227">
        <v>2.4474235000000006E-4</v>
      </c>
      <c r="L29" s="227">
        <v>2.4463970000000008E-4</v>
      </c>
      <c r="M29" s="227">
        <v>2.4453705000000009E-4</v>
      </c>
      <c r="N29" s="227">
        <v>2.4443440000000011E-4</v>
      </c>
      <c r="O29" s="227">
        <v>2.4433175000000012E-4</v>
      </c>
      <c r="P29" s="227">
        <v>2.4422910000000014E-4</v>
      </c>
      <c r="Q29" s="227">
        <v>2.4412645000000013E-4</v>
      </c>
      <c r="R29" s="227">
        <v>2.4402380000000011E-4</v>
      </c>
      <c r="S29" s="227">
        <v>2.439211500000001E-4</v>
      </c>
      <c r="T29" s="227">
        <v>2.4381850000000009E-4</v>
      </c>
      <c r="U29" s="227">
        <v>2.4371585000000008E-4</v>
      </c>
      <c r="V29" s="227">
        <v>2.4361320000000007E-4</v>
      </c>
      <c r="W29" s="227">
        <v>2.4351055000000006E-4</v>
      </c>
      <c r="X29" s="227">
        <v>2.4340790000000005E-4</v>
      </c>
      <c r="Y29" s="227">
        <v>2.4330525000000003E-4</v>
      </c>
      <c r="AA29" s="211">
        <f t="shared" si="274"/>
        <v>1</v>
      </c>
      <c r="AB29" s="211">
        <f t="shared" si="275"/>
        <v>1.0086309144761423</v>
      </c>
      <c r="AC29" s="211">
        <f t="shared" si="276"/>
        <v>1.0172618289522848</v>
      </c>
      <c r="AD29" s="211">
        <f t="shared" si="277"/>
        <v>1.0258927434284271</v>
      </c>
      <c r="AE29" s="211">
        <f t="shared" si="278"/>
        <v>1.0345236579045693</v>
      </c>
      <c r="AF29" s="211">
        <f t="shared" si="279"/>
        <v>1.034089939211176</v>
      </c>
      <c r="AG29" s="211">
        <f t="shared" si="280"/>
        <v>1.0336562205177826</v>
      </c>
      <c r="AH29" s="211">
        <f t="shared" si="281"/>
        <v>1.0332225018243895</v>
      </c>
      <c r="AI29" s="211">
        <f t="shared" si="282"/>
        <v>1.0327887831309961</v>
      </c>
      <c r="AJ29" s="211">
        <f t="shared" si="283"/>
        <v>1.0323550644376027</v>
      </c>
      <c r="AK29" s="211">
        <f t="shared" si="284"/>
        <v>1.0319213457442094</v>
      </c>
      <c r="AL29" s="211">
        <f t="shared" si="285"/>
        <v>1.031487627050816</v>
      </c>
      <c r="AM29" s="211">
        <f t="shared" si="286"/>
        <v>1.0310539083574226</v>
      </c>
      <c r="AN29" s="211">
        <f t="shared" si="287"/>
        <v>1.030620189664029</v>
      </c>
      <c r="AO29" s="211">
        <f t="shared" si="288"/>
        <v>1.0301864709706356</v>
      </c>
      <c r="AP29" s="211">
        <f t="shared" si="289"/>
        <v>1.0297527522772423</v>
      </c>
      <c r="AQ29" s="211">
        <f t="shared" si="290"/>
        <v>1.0293190335838489</v>
      </c>
      <c r="AR29" s="211">
        <f t="shared" si="291"/>
        <v>1.0288853148904553</v>
      </c>
      <c r="AS29" s="211">
        <f t="shared" si="292"/>
        <v>1.0284515961970619</v>
      </c>
      <c r="AT29" s="211">
        <f t="shared" si="293"/>
        <v>1.0280178775036686</v>
      </c>
      <c r="AV29" s="227">
        <v>1</v>
      </c>
      <c r="AW29" s="227">
        <v>0.98544459296842779</v>
      </c>
      <c r="AX29" s="227">
        <v>0.97088918593685569</v>
      </c>
      <c r="AY29" s="227">
        <v>0.95633377890528981</v>
      </c>
      <c r="AZ29" s="227">
        <v>0.9417783718737176</v>
      </c>
      <c r="BA29" s="227">
        <v>0.95355136593084888</v>
      </c>
      <c r="BB29" s="227">
        <v>0.96532435998798338</v>
      </c>
      <c r="BC29" s="227">
        <v>0.97709735404511466</v>
      </c>
      <c r="BD29" s="227">
        <v>0.98887034810224594</v>
      </c>
      <c r="BE29" s="227">
        <v>1.0006433421593803</v>
      </c>
      <c r="BF29" s="227">
        <v>1.0124163362165117</v>
      </c>
      <c r="BG29" s="227">
        <v>1.0241893302736462</v>
      </c>
      <c r="BH29" s="227">
        <v>1.0359623243307774</v>
      </c>
      <c r="BI29" s="227">
        <v>1.0477353183879088</v>
      </c>
      <c r="BJ29" s="227">
        <v>1.0595083124450431</v>
      </c>
      <c r="BK29" s="227">
        <v>1.0712813065021745</v>
      </c>
      <c r="BL29" s="227">
        <v>1.083054300559309</v>
      </c>
      <c r="BM29" s="227">
        <v>1.0948272946164401</v>
      </c>
      <c r="BN29" s="227">
        <v>1.1066002886735715</v>
      </c>
      <c r="BO29" s="227">
        <v>1.1183732827307058</v>
      </c>
      <c r="BQ29" s="211">
        <f t="shared" si="234"/>
        <v>1</v>
      </c>
      <c r="BR29" s="211">
        <f t="shared" si="235"/>
        <v>0.99394988097131509</v>
      </c>
      <c r="BS29" s="211">
        <f t="shared" si="236"/>
        <v>0.98764850899612067</v>
      </c>
      <c r="BT29" s="211">
        <f t="shared" si="237"/>
        <v>0.98109588407442261</v>
      </c>
      <c r="BU29" s="211">
        <f t="shared" si="238"/>
        <v>0.97429200620620815</v>
      </c>
      <c r="BV29" s="211">
        <f t="shared" si="239"/>
        <v>0.98605787403016532</v>
      </c>
      <c r="BW29" s="211">
        <f t="shared" si="240"/>
        <v>0.99781352951892632</v>
      </c>
      <c r="BX29" s="211">
        <f t="shared" si="241"/>
        <v>1.0095589726724845</v>
      </c>
      <c r="BY29" s="211">
        <f t="shared" si="242"/>
        <v>1.021294203490843</v>
      </c>
      <c r="BZ29" s="211">
        <f t="shared" si="243"/>
        <v>1.0330192219740053</v>
      </c>
      <c r="CA29" s="211">
        <f t="shared" si="244"/>
        <v>1.0447340281219646</v>
      </c>
      <c r="CB29" s="211">
        <f t="shared" si="245"/>
        <v>1.0564386219347277</v>
      </c>
      <c r="CC29" s="211">
        <f t="shared" si="246"/>
        <v>1.0681330034122878</v>
      </c>
      <c r="CD29" s="211">
        <f t="shared" si="247"/>
        <v>1.0798171725546484</v>
      </c>
      <c r="CE29" s="211">
        <f t="shared" si="248"/>
        <v>1.0914911293618126</v>
      </c>
      <c r="CF29" s="211">
        <f t="shared" si="249"/>
        <v>1.1031548738337742</v>
      </c>
      <c r="CG29" s="211">
        <f t="shared" si="250"/>
        <v>1.1148084059705394</v>
      </c>
      <c r="CH29" s="211">
        <f t="shared" si="251"/>
        <v>1.1264517257721014</v>
      </c>
      <c r="CI29" s="211">
        <f t="shared" si="252"/>
        <v>1.1380848332384641</v>
      </c>
      <c r="CJ29" s="211">
        <f t="shared" si="253"/>
        <v>1.1497077283696304</v>
      </c>
    </row>
    <row r="30" spans="2:88" s="211" customFormat="1" x14ac:dyDescent="0.2">
      <c r="B30" s="21" t="s">
        <v>443</v>
      </c>
      <c r="C30" s="21">
        <v>-35.262889000000001</v>
      </c>
      <c r="D30" s="21">
        <v>141.18447599999999</v>
      </c>
      <c r="F30" s="227">
        <v>4.4337793428571425E-3</v>
      </c>
      <c r="G30" s="227">
        <v>4.4608802571428569E-3</v>
      </c>
      <c r="H30" s="227">
        <v>4.4879811714285713E-3</v>
      </c>
      <c r="I30" s="227">
        <v>4.5150820857142856E-3</v>
      </c>
      <c r="J30" s="227">
        <v>4.542183E-3</v>
      </c>
      <c r="K30" s="227">
        <v>4.5299942499999997E-3</v>
      </c>
      <c r="L30" s="227">
        <v>4.5178054999999995E-3</v>
      </c>
      <c r="M30" s="227">
        <v>4.5056167499999992E-3</v>
      </c>
      <c r="N30" s="227">
        <v>4.493427999999999E-3</v>
      </c>
      <c r="O30" s="227">
        <v>4.4812392499999987E-3</v>
      </c>
      <c r="P30" s="227">
        <v>4.4690504999999985E-3</v>
      </c>
      <c r="Q30" s="227">
        <v>4.4568617499999982E-3</v>
      </c>
      <c r="R30" s="227">
        <v>4.4446729999999979E-3</v>
      </c>
      <c r="S30" s="227">
        <v>4.4324842499999977E-3</v>
      </c>
      <c r="T30" s="227">
        <v>4.4202954999999974E-3</v>
      </c>
      <c r="U30" s="227">
        <v>4.4081067499999972E-3</v>
      </c>
      <c r="V30" s="227">
        <v>4.3959179999999969E-3</v>
      </c>
      <c r="W30" s="227">
        <v>4.3837292499999967E-3</v>
      </c>
      <c r="X30" s="227">
        <v>4.3715404999999964E-3</v>
      </c>
      <c r="Y30" s="227">
        <v>4.3593517499999962E-3</v>
      </c>
      <c r="AA30" s="211">
        <f t="shared" si="274"/>
        <v>1</v>
      </c>
      <c r="AB30" s="211">
        <f t="shared" si="275"/>
        <v>1.0061123732576756</v>
      </c>
      <c r="AC30" s="211">
        <f t="shared" si="276"/>
        <v>1.0122247465153511</v>
      </c>
      <c r="AD30" s="211">
        <f t="shared" si="277"/>
        <v>1.0183371197730267</v>
      </c>
      <c r="AE30" s="211">
        <f t="shared" si="278"/>
        <v>1.0244494930307022</v>
      </c>
      <c r="AF30" s="211">
        <f t="shared" si="279"/>
        <v>1.0217004274914718</v>
      </c>
      <c r="AG30" s="211">
        <f t="shared" si="280"/>
        <v>1.0189513619522415</v>
      </c>
      <c r="AH30" s="211">
        <f t="shared" si="281"/>
        <v>1.0162022964130111</v>
      </c>
      <c r="AI30" s="211">
        <f t="shared" si="282"/>
        <v>1.0134532308737807</v>
      </c>
      <c r="AJ30" s="211">
        <f t="shared" si="283"/>
        <v>1.0107041653345501</v>
      </c>
      <c r="AK30" s="211">
        <f t="shared" si="284"/>
        <v>1.0079550997953197</v>
      </c>
      <c r="AL30" s="211">
        <f t="shared" si="285"/>
        <v>1.0052060342560893</v>
      </c>
      <c r="AM30" s="211">
        <f t="shared" si="286"/>
        <v>1.002456968716859</v>
      </c>
      <c r="AN30" s="211">
        <f t="shared" si="287"/>
        <v>0.99970790317762848</v>
      </c>
      <c r="AO30" s="211">
        <f t="shared" si="288"/>
        <v>0.9969588376383981</v>
      </c>
      <c r="AP30" s="211">
        <f t="shared" si="289"/>
        <v>0.99420977209916772</v>
      </c>
      <c r="AQ30" s="211">
        <f t="shared" si="290"/>
        <v>0.99146070655993723</v>
      </c>
      <c r="AR30" s="211">
        <f t="shared" si="291"/>
        <v>0.98871164102070686</v>
      </c>
      <c r="AS30" s="211">
        <f t="shared" si="292"/>
        <v>0.98596257548147648</v>
      </c>
      <c r="AT30" s="211">
        <f t="shared" si="293"/>
        <v>0.98321350994224599</v>
      </c>
      <c r="AV30" s="227">
        <v>1</v>
      </c>
      <c r="AW30" s="227">
        <v>1</v>
      </c>
      <c r="AX30" s="227">
        <v>1</v>
      </c>
      <c r="AY30" s="227">
        <v>1</v>
      </c>
      <c r="AZ30" s="227">
        <v>1</v>
      </c>
      <c r="BA30" s="227">
        <v>1</v>
      </c>
      <c r="BB30" s="227">
        <v>1</v>
      </c>
      <c r="BC30" s="227">
        <v>1</v>
      </c>
      <c r="BD30" s="227">
        <v>1</v>
      </c>
      <c r="BE30" s="227">
        <v>1</v>
      </c>
      <c r="BF30" s="227">
        <v>1</v>
      </c>
      <c r="BG30" s="227">
        <v>1</v>
      </c>
      <c r="BH30" s="227">
        <v>1</v>
      </c>
      <c r="BI30" s="227">
        <v>1</v>
      </c>
      <c r="BJ30" s="227">
        <v>1</v>
      </c>
      <c r="BK30" s="227">
        <v>1</v>
      </c>
      <c r="BL30" s="227">
        <v>1</v>
      </c>
      <c r="BM30" s="227">
        <v>1</v>
      </c>
      <c r="BN30" s="227">
        <v>1</v>
      </c>
      <c r="BO30" s="227">
        <v>1</v>
      </c>
      <c r="BQ30" s="211">
        <f t="shared" si="234"/>
        <v>1</v>
      </c>
      <c r="BR30" s="211">
        <f t="shared" si="235"/>
        <v>1.0061123732576756</v>
      </c>
      <c r="BS30" s="211">
        <f t="shared" si="236"/>
        <v>1.0122247465153511</v>
      </c>
      <c r="BT30" s="211">
        <f t="shared" si="237"/>
        <v>1.0183371197730267</v>
      </c>
      <c r="BU30" s="211">
        <f t="shared" si="238"/>
        <v>1.0244494930307022</v>
      </c>
      <c r="BV30" s="211">
        <f t="shared" si="239"/>
        <v>1.0217004274914718</v>
      </c>
      <c r="BW30" s="211">
        <f t="shared" si="240"/>
        <v>1.0189513619522415</v>
      </c>
      <c r="BX30" s="211">
        <f t="shared" si="241"/>
        <v>1.0162022964130111</v>
      </c>
      <c r="BY30" s="211">
        <f t="shared" si="242"/>
        <v>1.0134532308737807</v>
      </c>
      <c r="BZ30" s="211">
        <f t="shared" si="243"/>
        <v>1.0107041653345501</v>
      </c>
      <c r="CA30" s="211">
        <f t="shared" si="244"/>
        <v>1.0079550997953197</v>
      </c>
      <c r="CB30" s="211">
        <f t="shared" si="245"/>
        <v>1.0052060342560893</v>
      </c>
      <c r="CC30" s="211">
        <f t="shared" si="246"/>
        <v>1.002456968716859</v>
      </c>
      <c r="CD30" s="211">
        <f t="shared" si="247"/>
        <v>0.99970790317762848</v>
      </c>
      <c r="CE30" s="211">
        <f t="shared" si="248"/>
        <v>0.9969588376383981</v>
      </c>
      <c r="CF30" s="211">
        <f t="shared" si="249"/>
        <v>0.99420977209916772</v>
      </c>
      <c r="CG30" s="211">
        <f t="shared" si="250"/>
        <v>0.99146070655993723</v>
      </c>
      <c r="CH30" s="211">
        <f t="shared" si="251"/>
        <v>0.98871164102070686</v>
      </c>
      <c r="CI30" s="211">
        <f t="shared" si="252"/>
        <v>0.98596257548147648</v>
      </c>
      <c r="CJ30" s="211">
        <f t="shared" si="253"/>
        <v>0.98321350994224599</v>
      </c>
    </row>
    <row r="31" spans="2:88" s="211" customFormat="1" x14ac:dyDescent="0.2">
      <c r="B31" s="21" t="s">
        <v>444</v>
      </c>
      <c r="C31" s="21">
        <v>-36.615360000000003</v>
      </c>
      <c r="D31" s="21">
        <v>143.25709699999999</v>
      </c>
      <c r="F31" s="227">
        <v>1.7388571428571429E-6</v>
      </c>
      <c r="G31" s="227">
        <v>1.7591428571428571E-6</v>
      </c>
      <c r="H31" s="227">
        <v>1.7794285714285714E-6</v>
      </c>
      <c r="I31" s="227">
        <v>1.7997142857142857E-6</v>
      </c>
      <c r="J31" s="227">
        <v>1.8199999999999999E-6</v>
      </c>
      <c r="K31" s="227">
        <v>1.8224999999999999E-6</v>
      </c>
      <c r="L31" s="227">
        <v>1.8249999999999999E-6</v>
      </c>
      <c r="M31" s="227">
        <v>1.8274999999999999E-6</v>
      </c>
      <c r="N31" s="227">
        <v>1.8299999999999998E-6</v>
      </c>
      <c r="O31" s="227">
        <v>1.8324999999999998E-6</v>
      </c>
      <c r="P31" s="227">
        <v>1.8349999999999998E-6</v>
      </c>
      <c r="Q31" s="227">
        <v>1.8374999999999998E-6</v>
      </c>
      <c r="R31" s="227">
        <v>1.8399999999999997E-6</v>
      </c>
      <c r="S31" s="227">
        <v>1.8424999999999997E-6</v>
      </c>
      <c r="T31" s="227">
        <v>1.8449999999999997E-6</v>
      </c>
      <c r="U31" s="227">
        <v>1.8474999999999997E-6</v>
      </c>
      <c r="V31" s="227">
        <v>1.8499999999999997E-6</v>
      </c>
      <c r="W31" s="227">
        <v>1.8524999999999996E-6</v>
      </c>
      <c r="X31" s="227">
        <v>1.8549999999999996E-6</v>
      </c>
      <c r="Y31" s="227">
        <v>1.8574999999999996E-6</v>
      </c>
      <c r="AA31" s="211">
        <f>F31/$F31</f>
        <v>1</v>
      </c>
      <c r="AB31" s="211">
        <f>G31/$F31</f>
        <v>1.011666118961551</v>
      </c>
      <c r="AC31" s="211">
        <f t="shared" ref="AC31:AC33" si="294">H31/$F31</f>
        <v>1.0233322379231022</v>
      </c>
      <c r="AD31" s="211">
        <f t="shared" ref="AD31:AD33" si="295">I31/$F31</f>
        <v>1.0349983568846532</v>
      </c>
      <c r="AE31" s="211">
        <f t="shared" ref="AE31:AE33" si="296">J31/$F31</f>
        <v>1.0466644758462043</v>
      </c>
      <c r="AF31" s="211">
        <f t="shared" ref="AF31:AF33" si="297">K31/$F31</f>
        <v>1.0481022017745645</v>
      </c>
      <c r="AG31" s="211">
        <f t="shared" ref="AG31:AG33" si="298">L31/$F31</f>
        <v>1.0495399277029247</v>
      </c>
      <c r="AH31" s="211">
        <f t="shared" ref="AH31:AH33" si="299">M31/$F31</f>
        <v>1.0509776536312849</v>
      </c>
      <c r="AI31" s="211">
        <f t="shared" ref="AI31:AI33" si="300">N31/$F31</f>
        <v>1.0524153795596449</v>
      </c>
      <c r="AJ31" s="211">
        <f t="shared" ref="AJ31:AJ33" si="301">O31/$F31</f>
        <v>1.0538531054880051</v>
      </c>
      <c r="AK31" s="211">
        <f t="shared" ref="AK31:AK33" si="302">P31/$F31</f>
        <v>1.0552908314163654</v>
      </c>
      <c r="AL31" s="211">
        <f t="shared" ref="AL31:AL33" si="303">Q31/$F31</f>
        <v>1.0567285573447254</v>
      </c>
      <c r="AM31" s="211">
        <f t="shared" ref="AM31:AM33" si="304">R31/$F31</f>
        <v>1.0581662832730856</v>
      </c>
      <c r="AN31" s="211">
        <f t="shared" ref="AN31:AN33" si="305">S31/$F31</f>
        <v>1.0596040092014458</v>
      </c>
      <c r="AO31" s="211">
        <f t="shared" ref="AO31:AO33" si="306">T31/$F31</f>
        <v>1.061041735129806</v>
      </c>
      <c r="AP31" s="211">
        <f t="shared" ref="AP31:AP33" si="307">U31/$F31</f>
        <v>1.062479461058166</v>
      </c>
      <c r="AQ31" s="211">
        <f t="shared" ref="AQ31:AQ33" si="308">V31/$F31</f>
        <v>1.0639171869865263</v>
      </c>
      <c r="AR31" s="211">
        <f t="shared" ref="AR31:AR33" si="309">W31/$F31</f>
        <v>1.0653549129148865</v>
      </c>
      <c r="AS31" s="211">
        <f t="shared" ref="AS31:AS33" si="310">X31/$F31</f>
        <v>1.0667926388432465</v>
      </c>
      <c r="AT31" s="211">
        <f>Y31/$F31</f>
        <v>1.0682303647716067</v>
      </c>
      <c r="AV31" s="227">
        <v>1</v>
      </c>
      <c r="AW31" s="227">
        <v>1.0045596577046787</v>
      </c>
      <c r="AX31" s="227">
        <v>1.0091193154093576</v>
      </c>
      <c r="AY31" s="227">
        <v>1.013678973114035</v>
      </c>
      <c r="AZ31" s="227">
        <v>1.0182386308187137</v>
      </c>
      <c r="BA31" s="227">
        <v>1.0182386308187135</v>
      </c>
      <c r="BB31" s="227">
        <v>1.0182386308187135</v>
      </c>
      <c r="BC31" s="227">
        <v>1.0182386308187135</v>
      </c>
      <c r="BD31" s="227">
        <v>1.0182386308187135</v>
      </c>
      <c r="BE31" s="227">
        <v>1.0182386308187135</v>
      </c>
      <c r="BF31" s="227">
        <v>1.0182386308187135</v>
      </c>
      <c r="BG31" s="227">
        <v>1.0182386308187135</v>
      </c>
      <c r="BH31" s="227">
        <v>1.0182386308187135</v>
      </c>
      <c r="BI31" s="227">
        <v>1.0182386308187135</v>
      </c>
      <c r="BJ31" s="227">
        <v>1.0182386308187135</v>
      </c>
      <c r="BK31" s="227">
        <v>1.0182386308187135</v>
      </c>
      <c r="BL31" s="227">
        <v>1.0182386308187135</v>
      </c>
      <c r="BM31" s="227">
        <v>1.0182386308187135</v>
      </c>
      <c r="BN31" s="227">
        <v>1.0182386308187135</v>
      </c>
      <c r="BO31" s="227">
        <v>1.0182386308187135</v>
      </c>
      <c r="BQ31" s="211">
        <f>AA31*AV31</f>
        <v>1</v>
      </c>
      <c r="BR31" s="211">
        <f>AB31*AW31</f>
        <v>1.0162789701754364</v>
      </c>
      <c r="BS31" s="211">
        <f>AC31*AX31</f>
        <v>1.0326643273692868</v>
      </c>
      <c r="BT31" s="211">
        <f t="shared" ref="BT31:BT33" si="311">AD31*AY31</f>
        <v>1.0491560715815489</v>
      </c>
      <c r="BU31" s="211">
        <f t="shared" ref="BU31:BU33" si="312">AE31*AZ31</f>
        <v>1.0657542028122255</v>
      </c>
      <c r="BV31" s="211">
        <f t="shared" ref="BV31:BV33" si="313">AF31*BA31</f>
        <v>1.0672181508930114</v>
      </c>
      <c r="BW31" s="211">
        <f t="shared" ref="BW31:BW33" si="314">AG31*BB31</f>
        <v>1.0686820989737975</v>
      </c>
      <c r="BX31" s="211">
        <f t="shared" ref="BX31:BX33" si="315">AH31*BC31</f>
        <v>1.0701460470545836</v>
      </c>
      <c r="BY31" s="211">
        <f t="shared" ref="BY31:BY33" si="316">AI31*BD31</f>
        <v>1.0716099951353695</v>
      </c>
      <c r="BZ31" s="211">
        <f t="shared" ref="BZ31:BZ33" si="317">AJ31*BE31</f>
        <v>1.0730739432161556</v>
      </c>
      <c r="CA31" s="211">
        <f t="shared" ref="CA31:CA33" si="318">AK31*BF31</f>
        <v>1.0745378912969417</v>
      </c>
      <c r="CB31" s="211">
        <f t="shared" ref="CB31:CB33" si="319">AL31*BG31</f>
        <v>1.0760018393777275</v>
      </c>
      <c r="CC31" s="211">
        <f t="shared" ref="CC31:CC33" si="320">AM31*BH31</f>
        <v>1.0774657874585136</v>
      </c>
      <c r="CD31" s="211">
        <f t="shared" ref="CD31:CD33" si="321">AN31*BI31</f>
        <v>1.0789297355392997</v>
      </c>
      <c r="CE31" s="211">
        <f t="shared" ref="CE31:CE33" si="322">AO31*BJ31</f>
        <v>1.0803936836200858</v>
      </c>
      <c r="CF31" s="211">
        <f t="shared" ref="CF31:CF33" si="323">AP31*BK31</f>
        <v>1.0818576317008717</v>
      </c>
      <c r="CG31" s="211">
        <f t="shared" ref="CG31:CG33" si="324">AQ31*BL31</f>
        <v>1.0833215797816576</v>
      </c>
      <c r="CH31" s="211">
        <f t="shared" ref="CH31:CH33" si="325">AR31*BM31</f>
        <v>1.0847855278624436</v>
      </c>
      <c r="CI31" s="211">
        <f t="shared" ref="CI31:CI33" si="326">AS31*BN31</f>
        <v>1.0862494759432295</v>
      </c>
      <c r="CJ31" s="211">
        <f t="shared" ref="CJ31:CJ33" si="327">AT31*BO31</f>
        <v>1.0877134240240156</v>
      </c>
    </row>
    <row r="32" spans="2:88" s="211" customFormat="1" x14ac:dyDescent="0.2">
      <c r="B32" s="21" t="s">
        <v>182</v>
      </c>
      <c r="C32" s="21">
        <v>-35.732587000000002</v>
      </c>
      <c r="D32" s="21">
        <v>143.92016699999999</v>
      </c>
      <c r="F32" s="227">
        <v>1.0685265485714286E-2</v>
      </c>
      <c r="G32" s="227">
        <v>1.0756349114285715E-2</v>
      </c>
      <c r="H32" s="227">
        <v>1.0827432742857144E-2</v>
      </c>
      <c r="I32" s="227">
        <v>1.0898516371428572E-2</v>
      </c>
      <c r="J32" s="227">
        <v>1.0969600000000001E-2</v>
      </c>
      <c r="K32" s="227">
        <v>1.1036925300000002E-2</v>
      </c>
      <c r="L32" s="227">
        <v>1.1104250600000002E-2</v>
      </c>
      <c r="M32" s="227">
        <v>1.1171575900000003E-2</v>
      </c>
      <c r="N32" s="227">
        <v>1.1238901200000003E-2</v>
      </c>
      <c r="O32" s="227">
        <v>1.1306226500000004E-2</v>
      </c>
      <c r="P32" s="227">
        <v>1.1373551800000005E-2</v>
      </c>
      <c r="Q32" s="227">
        <v>1.1440877100000005E-2</v>
      </c>
      <c r="R32" s="227">
        <v>1.1508202400000006E-2</v>
      </c>
      <c r="S32" s="227">
        <v>1.1575527700000006E-2</v>
      </c>
      <c r="T32" s="227">
        <v>1.1642853000000007E-2</v>
      </c>
      <c r="U32" s="227">
        <v>1.1710178300000007E-2</v>
      </c>
      <c r="V32" s="227">
        <v>1.1777503600000008E-2</v>
      </c>
      <c r="W32" s="227">
        <v>1.1844828900000009E-2</v>
      </c>
      <c r="X32" s="227">
        <v>1.1912154200000009E-2</v>
      </c>
      <c r="Y32" s="227">
        <v>1.197947950000001E-2</v>
      </c>
      <c r="AA32" s="211">
        <f t="shared" ref="AA32:AA33" si="328">F32/$F32</f>
        <v>1</v>
      </c>
      <c r="AB32" s="211">
        <f t="shared" ref="AB32:AB33" si="329">G32/$F32</f>
        <v>1.0066524906345533</v>
      </c>
      <c r="AC32" s="211">
        <f t="shared" si="294"/>
        <v>1.0133049812691064</v>
      </c>
      <c r="AD32" s="211">
        <f t="shared" si="295"/>
        <v>1.0199574719036597</v>
      </c>
      <c r="AE32" s="211">
        <f t="shared" si="296"/>
        <v>1.0266099625382128</v>
      </c>
      <c r="AF32" s="211">
        <f t="shared" si="297"/>
        <v>1.0329107231594639</v>
      </c>
      <c r="AG32" s="211">
        <f t="shared" si="298"/>
        <v>1.0392114837807147</v>
      </c>
      <c r="AH32" s="211">
        <f t="shared" si="299"/>
        <v>1.0455122444019658</v>
      </c>
      <c r="AI32" s="211">
        <f t="shared" si="300"/>
        <v>1.0518130050232166</v>
      </c>
      <c r="AJ32" s="211">
        <f t="shared" si="301"/>
        <v>1.0581137656444677</v>
      </c>
      <c r="AK32" s="211">
        <f t="shared" si="302"/>
        <v>1.0644145262657185</v>
      </c>
      <c r="AL32" s="211">
        <f t="shared" si="303"/>
        <v>1.0707152868869696</v>
      </c>
      <c r="AM32" s="211">
        <f t="shared" si="304"/>
        <v>1.0770160475082204</v>
      </c>
      <c r="AN32" s="211">
        <f t="shared" si="305"/>
        <v>1.0833168081294715</v>
      </c>
      <c r="AO32" s="211">
        <f t="shared" si="306"/>
        <v>1.0896175687507224</v>
      </c>
      <c r="AP32" s="211">
        <f t="shared" si="307"/>
        <v>1.0959183293719734</v>
      </c>
      <c r="AQ32" s="211">
        <f t="shared" si="308"/>
        <v>1.1022190899932243</v>
      </c>
      <c r="AR32" s="211">
        <f t="shared" si="309"/>
        <v>1.1085198506144753</v>
      </c>
      <c r="AS32" s="211">
        <f t="shared" si="310"/>
        <v>1.1148206112357262</v>
      </c>
      <c r="AT32" s="211">
        <f t="shared" ref="AT32:AT33" si="330">Y32/$F32</f>
        <v>1.1211213718569772</v>
      </c>
      <c r="AV32" s="227">
        <v>1</v>
      </c>
      <c r="AW32" s="227">
        <v>1</v>
      </c>
      <c r="AX32" s="227">
        <v>1</v>
      </c>
      <c r="AY32" s="227">
        <v>1</v>
      </c>
      <c r="AZ32" s="227">
        <v>1</v>
      </c>
      <c r="BA32" s="227">
        <v>1.006428252002638</v>
      </c>
      <c r="BB32" s="227">
        <v>1.0128565040052742</v>
      </c>
      <c r="BC32" s="227">
        <v>1.0192847560079101</v>
      </c>
      <c r="BD32" s="227">
        <v>1.0257130080105463</v>
      </c>
      <c r="BE32" s="227">
        <v>1.0321412600131825</v>
      </c>
      <c r="BF32" s="227">
        <v>1.0385695120158207</v>
      </c>
      <c r="BG32" s="227">
        <v>1.0449977640184569</v>
      </c>
      <c r="BH32" s="227">
        <v>1.0514260160210929</v>
      </c>
      <c r="BI32" s="227">
        <v>1.0578542680237291</v>
      </c>
      <c r="BJ32" s="227">
        <v>1.0642825200263653</v>
      </c>
      <c r="BK32" s="227">
        <v>1.0707107720290034</v>
      </c>
      <c r="BL32" s="227">
        <v>1.0771390240316396</v>
      </c>
      <c r="BM32" s="227">
        <v>1.0835672760342756</v>
      </c>
      <c r="BN32" s="227">
        <v>1.0899955280369118</v>
      </c>
      <c r="BO32" s="227">
        <v>1.096423780039548</v>
      </c>
      <c r="BQ32" s="211">
        <f t="shared" ref="BQ32:BQ33" si="331">AA32*AV32</f>
        <v>1</v>
      </c>
      <c r="BR32" s="211">
        <f t="shared" ref="BR32:BR33" si="332">AB32*AW32</f>
        <v>1.0066524906345533</v>
      </c>
      <c r="BS32" s="211">
        <f t="shared" ref="BS32:BS33" si="333">AC32*AX32</f>
        <v>1.0133049812691064</v>
      </c>
      <c r="BT32" s="211">
        <f t="shared" si="311"/>
        <v>1.0199574719036597</v>
      </c>
      <c r="BU32" s="211">
        <f t="shared" si="312"/>
        <v>1.0266099625382128</v>
      </c>
      <c r="BV32" s="211">
        <f t="shared" si="313"/>
        <v>1.0395505335841599</v>
      </c>
      <c r="BW32" s="211">
        <f t="shared" si="314"/>
        <v>1.0525721103842685</v>
      </c>
      <c r="BX32" s="211">
        <f t="shared" si="315"/>
        <v>1.0656746929385401</v>
      </c>
      <c r="BY32" s="211">
        <f t="shared" si="316"/>
        <v>1.0788582812469754</v>
      </c>
      <c r="BZ32" s="211">
        <f t="shared" si="317"/>
        <v>1.0921228753095742</v>
      </c>
      <c r="CA32" s="211">
        <f t="shared" si="318"/>
        <v>1.1054684751263382</v>
      </c>
      <c r="CB32" s="211">
        <f t="shared" si="319"/>
        <v>1.1188950806972637</v>
      </c>
      <c r="CC32" s="211">
        <f t="shared" si="320"/>
        <v>1.1324026920223522</v>
      </c>
      <c r="CD32" s="211">
        <f t="shared" si="321"/>
        <v>1.1459913091016045</v>
      </c>
      <c r="CE32" s="211">
        <f t="shared" si="322"/>
        <v>1.1596609319350202</v>
      </c>
      <c r="CF32" s="211">
        <f t="shared" si="323"/>
        <v>1.1734115605226014</v>
      </c>
      <c r="CG32" s="211">
        <f t="shared" si="324"/>
        <v>1.1872431948643436</v>
      </c>
      <c r="CH32" s="211">
        <f t="shared" si="325"/>
        <v>1.2011558349602491</v>
      </c>
      <c r="CI32" s="211">
        <f t="shared" si="326"/>
        <v>1.215149480810318</v>
      </c>
      <c r="CJ32" s="211">
        <f t="shared" si="327"/>
        <v>1.2292241324145508</v>
      </c>
    </row>
    <row r="33" spans="2:88" s="211" customFormat="1" x14ac:dyDescent="0.2">
      <c r="B33" s="21" t="s">
        <v>184</v>
      </c>
      <c r="C33" s="21">
        <v>-35.342486999999998</v>
      </c>
      <c r="D33" s="21">
        <v>143.56058999999999</v>
      </c>
      <c r="F33" s="227">
        <v>3.9376854285714288E-4</v>
      </c>
      <c r="G33" s="227">
        <v>3.9765365714285715E-4</v>
      </c>
      <c r="H33" s="227">
        <v>4.0153877142857142E-4</v>
      </c>
      <c r="I33" s="227">
        <v>4.0542388571428568E-4</v>
      </c>
      <c r="J33" s="227">
        <v>4.0930899999999995E-4</v>
      </c>
      <c r="K33" s="227">
        <v>4.1027044999999995E-4</v>
      </c>
      <c r="L33" s="227">
        <v>4.1123189999999995E-4</v>
      </c>
      <c r="M33" s="227">
        <v>4.1219334999999995E-4</v>
      </c>
      <c r="N33" s="227">
        <v>4.1315479999999994E-4</v>
      </c>
      <c r="O33" s="227">
        <v>4.1411624999999994E-4</v>
      </c>
      <c r="P33" s="227">
        <v>4.1507769999999994E-4</v>
      </c>
      <c r="Q33" s="227">
        <v>4.1603914999999993E-4</v>
      </c>
      <c r="R33" s="227">
        <v>4.1700059999999993E-4</v>
      </c>
      <c r="S33" s="227">
        <v>4.1796204999999993E-4</v>
      </c>
      <c r="T33" s="227">
        <v>4.1892349999999993E-4</v>
      </c>
      <c r="U33" s="227">
        <v>4.1988494999999992E-4</v>
      </c>
      <c r="V33" s="227">
        <v>4.2084639999999992E-4</v>
      </c>
      <c r="W33" s="227">
        <v>4.2180784999999992E-4</v>
      </c>
      <c r="X33" s="227">
        <v>4.2276929999999992E-4</v>
      </c>
      <c r="Y33" s="227">
        <v>4.2373074999999991E-4</v>
      </c>
      <c r="AA33" s="211">
        <f t="shared" si="328"/>
        <v>1</v>
      </c>
      <c r="AB33" s="211">
        <f t="shared" si="329"/>
        <v>1.00986649227367</v>
      </c>
      <c r="AC33" s="211">
        <f t="shared" si="294"/>
        <v>1.01973298454734</v>
      </c>
      <c r="AD33" s="211">
        <f t="shared" si="295"/>
        <v>1.0295994768210097</v>
      </c>
      <c r="AE33" s="211">
        <f t="shared" si="296"/>
        <v>1.0394659690946797</v>
      </c>
      <c r="AF33" s="211">
        <f t="shared" si="297"/>
        <v>1.0419076318873035</v>
      </c>
      <c r="AG33" s="211">
        <f t="shared" si="298"/>
        <v>1.0443492946799275</v>
      </c>
      <c r="AH33" s="211">
        <f t="shared" si="299"/>
        <v>1.0467909574725514</v>
      </c>
      <c r="AI33" s="211">
        <f t="shared" si="300"/>
        <v>1.0492326202651752</v>
      </c>
      <c r="AJ33" s="211">
        <f t="shared" si="301"/>
        <v>1.051674283057799</v>
      </c>
      <c r="AK33" s="211">
        <f t="shared" si="302"/>
        <v>1.0541159458504228</v>
      </c>
      <c r="AL33" s="211">
        <f t="shared" si="303"/>
        <v>1.0565576086430468</v>
      </c>
      <c r="AM33" s="211">
        <f t="shared" si="304"/>
        <v>1.0589992714356706</v>
      </c>
      <c r="AN33" s="211">
        <f t="shared" si="305"/>
        <v>1.0614409342282944</v>
      </c>
      <c r="AO33" s="211">
        <f t="shared" si="306"/>
        <v>1.0638825970209183</v>
      </c>
      <c r="AP33" s="211">
        <f t="shared" si="307"/>
        <v>1.0663242598135421</v>
      </c>
      <c r="AQ33" s="211">
        <f t="shared" si="308"/>
        <v>1.0687659226061661</v>
      </c>
      <c r="AR33" s="211">
        <f t="shared" si="309"/>
        <v>1.0712075853987899</v>
      </c>
      <c r="AS33" s="211">
        <f t="shared" si="310"/>
        <v>1.0736492481914137</v>
      </c>
      <c r="AT33" s="211">
        <f t="shared" si="330"/>
        <v>1.0760909109840375</v>
      </c>
      <c r="AV33" s="227">
        <v>1</v>
      </c>
      <c r="AW33" s="227">
        <v>0.99893026505887594</v>
      </c>
      <c r="AX33" s="227">
        <v>0.99786053011775222</v>
      </c>
      <c r="AY33" s="227">
        <v>0.99679079517662805</v>
      </c>
      <c r="AZ33" s="227">
        <v>0.995721060235504</v>
      </c>
      <c r="BA33" s="227">
        <v>1.0115618859027604</v>
      </c>
      <c r="BB33" s="227">
        <v>1.0274027115700226</v>
      </c>
      <c r="BC33" s="227">
        <v>1.0432435372372848</v>
      </c>
      <c r="BD33" s="227">
        <v>1.059084362904547</v>
      </c>
      <c r="BE33" s="227">
        <v>1.0749251885718092</v>
      </c>
      <c r="BF33" s="227">
        <v>1.0907660142390649</v>
      </c>
      <c r="BG33" s="227">
        <v>1.1066068399063271</v>
      </c>
      <c r="BH33" s="227">
        <v>1.1224476655735893</v>
      </c>
      <c r="BI33" s="227">
        <v>1.1382884912408515</v>
      </c>
      <c r="BJ33" s="227">
        <v>1.1541293169081137</v>
      </c>
      <c r="BK33" s="227">
        <v>1.1699701425753692</v>
      </c>
      <c r="BL33" s="227">
        <v>1.1858109682426317</v>
      </c>
      <c r="BM33" s="227">
        <v>1.2016517939098939</v>
      </c>
      <c r="BN33" s="227">
        <v>1.217492619577156</v>
      </c>
      <c r="BO33" s="227">
        <v>1.2333334452444182</v>
      </c>
      <c r="BQ33" s="211">
        <f t="shared" si="331"/>
        <v>1</v>
      </c>
      <c r="BR33" s="211">
        <f t="shared" si="332"/>
        <v>1.0087862028010144</v>
      </c>
      <c r="BS33" s="211">
        <f t="shared" si="333"/>
        <v>1.0175512965389664</v>
      </c>
      <c r="BT33" s="211">
        <f t="shared" si="311"/>
        <v>1.0262952812138546</v>
      </c>
      <c r="BU33" s="211">
        <f t="shared" si="312"/>
        <v>1.03501815682568</v>
      </c>
      <c r="BV33" s="211">
        <f t="shared" si="313"/>
        <v>1.0539540490483998</v>
      </c>
      <c r="BW33" s="211">
        <f t="shared" si="314"/>
        <v>1.0729672971803981</v>
      </c>
      <c r="BX33" s="211">
        <f t="shared" si="315"/>
        <v>1.0920579012216687</v>
      </c>
      <c r="BY33" s="211">
        <f t="shared" si="316"/>
        <v>1.1112258611722114</v>
      </c>
      <c r="BZ33" s="211">
        <f t="shared" si="317"/>
        <v>1.1304711770320268</v>
      </c>
      <c r="CA33" s="211">
        <f t="shared" si="318"/>
        <v>1.1497938488011077</v>
      </c>
      <c r="CB33" s="211">
        <f t="shared" si="319"/>
        <v>1.169193876479468</v>
      </c>
      <c r="CC33" s="211">
        <f t="shared" si="320"/>
        <v>1.1886712600671003</v>
      </c>
      <c r="CD33" s="211">
        <f t="shared" si="321"/>
        <v>1.2082259995640052</v>
      </c>
      <c r="CE33" s="211">
        <f t="shared" si="322"/>
        <v>1.2278580949701825</v>
      </c>
      <c r="CF33" s="211">
        <f t="shared" si="323"/>
        <v>1.2475675462856248</v>
      </c>
      <c r="CG33" s="211">
        <f t="shared" si="324"/>
        <v>1.2673543535103473</v>
      </c>
      <c r="CH33" s="211">
        <f t="shared" si="325"/>
        <v>1.2872185166443417</v>
      </c>
      <c r="CI33" s="211">
        <f t="shared" si="326"/>
        <v>1.3071600356876085</v>
      </c>
      <c r="CJ33" s="211">
        <f t="shared" si="327"/>
        <v>1.3271789106401475</v>
      </c>
    </row>
    <row r="34" spans="2:88" s="211" customFormat="1" x14ac:dyDescent="0.2">
      <c r="B34" s="21" t="s">
        <v>445</v>
      </c>
      <c r="C34" s="21">
        <v>-36.440232999999999</v>
      </c>
      <c r="D34" s="21">
        <v>145.22929500000001</v>
      </c>
      <c r="F34" s="227">
        <v>1.5873429228571427E-2</v>
      </c>
      <c r="G34" s="227">
        <v>1.595774817142857E-2</v>
      </c>
      <c r="H34" s="227">
        <v>1.6042067114285713E-2</v>
      </c>
      <c r="I34" s="227">
        <v>1.6126386057142856E-2</v>
      </c>
      <c r="J34" s="227">
        <v>1.6210704999999999E-2</v>
      </c>
      <c r="K34" s="227">
        <v>1.6340413599999999E-2</v>
      </c>
      <c r="L34" s="227">
        <v>1.6470122199999999E-2</v>
      </c>
      <c r="M34" s="227">
        <v>1.65998308E-2</v>
      </c>
      <c r="N34" s="227">
        <v>1.67295394E-2</v>
      </c>
      <c r="O34" s="227">
        <v>1.6859248E-2</v>
      </c>
      <c r="P34" s="227">
        <v>1.6988956600000001E-2</v>
      </c>
      <c r="Q34" s="227">
        <v>1.7118665200000001E-2</v>
      </c>
      <c r="R34" s="227">
        <v>1.7248373800000001E-2</v>
      </c>
      <c r="S34" s="227">
        <v>1.7378082400000001E-2</v>
      </c>
      <c r="T34" s="227">
        <v>1.7507791000000002E-2</v>
      </c>
      <c r="U34" s="227">
        <v>1.7637499600000002E-2</v>
      </c>
      <c r="V34" s="227">
        <v>1.7767208200000002E-2</v>
      </c>
      <c r="W34" s="227">
        <v>1.7896916800000003E-2</v>
      </c>
      <c r="X34" s="227">
        <v>1.8026625400000003E-2</v>
      </c>
      <c r="Y34" s="227">
        <v>1.8156334000000003E-2</v>
      </c>
      <c r="AA34" s="211">
        <f t="shared" ref="AA34:AB36" si="334">F34/$F34</f>
        <v>1</v>
      </c>
      <c r="AB34" s="211">
        <f t="shared" si="334"/>
        <v>1.0053119550692533</v>
      </c>
      <c r="AC34" s="211">
        <f t="shared" ref="AC34:AC35" si="335">H34/$F34</f>
        <v>1.0106239101385066</v>
      </c>
      <c r="AD34" s="211">
        <f t="shared" ref="AD34:AD35" si="336">I34/$F34</f>
        <v>1.0159358652077597</v>
      </c>
      <c r="AE34" s="211">
        <f t="shared" ref="AE34:AE35" si="337">J34/$F34</f>
        <v>1.021247820277013</v>
      </c>
      <c r="AF34" s="211">
        <f t="shared" ref="AF34:AF35" si="338">K34/$F34</f>
        <v>1.0294192492815617</v>
      </c>
      <c r="AG34" s="211">
        <f t="shared" ref="AG34:AG35" si="339">L34/$F34</f>
        <v>1.0375906782861106</v>
      </c>
      <c r="AH34" s="211">
        <f t="shared" ref="AH34:AH35" si="340">M34/$F34</f>
        <v>1.0457621072906593</v>
      </c>
      <c r="AI34" s="211">
        <f t="shared" ref="AI34:AI35" si="341">N34/$F34</f>
        <v>1.053933536295208</v>
      </c>
      <c r="AJ34" s="211">
        <f t="shared" ref="AJ34:AJ35" si="342">O34/$F34</f>
        <v>1.0621049652997567</v>
      </c>
      <c r="AK34" s="211">
        <f t="shared" ref="AK34:AK35" si="343">P34/$F34</f>
        <v>1.0702763943043054</v>
      </c>
      <c r="AL34" s="211">
        <f t="shared" ref="AL34:AL35" si="344">Q34/$F34</f>
        <v>1.0784478233088541</v>
      </c>
      <c r="AM34" s="211">
        <f t="shared" ref="AM34:AM35" si="345">R34/$F34</f>
        <v>1.0866192523134031</v>
      </c>
      <c r="AN34" s="211">
        <f t="shared" ref="AN34:AN35" si="346">S34/$F34</f>
        <v>1.0947906813179518</v>
      </c>
      <c r="AO34" s="211">
        <f t="shared" ref="AO34:AO35" si="347">T34/$F34</f>
        <v>1.1029621103225005</v>
      </c>
      <c r="AP34" s="211">
        <f t="shared" ref="AP34:AP35" si="348">U34/$F34</f>
        <v>1.1111335393270492</v>
      </c>
      <c r="AQ34" s="211">
        <f t="shared" ref="AQ34:AQ35" si="349">V34/$F34</f>
        <v>1.1193049683315979</v>
      </c>
      <c r="AR34" s="211">
        <f t="shared" ref="AR34:AR35" si="350">W34/$F34</f>
        <v>1.1274763973361466</v>
      </c>
      <c r="AS34" s="211">
        <f t="shared" ref="AS34:AS35" si="351">X34/$F34</f>
        <v>1.1356478263406955</v>
      </c>
      <c r="AT34" s="211">
        <f>Y34/$F34</f>
        <v>1.1438192553452442</v>
      </c>
      <c r="AV34" s="227">
        <v>1</v>
      </c>
      <c r="AW34" s="227">
        <v>1.0017920848497375</v>
      </c>
      <c r="AX34" s="227">
        <v>1.0035841696994752</v>
      </c>
      <c r="AY34" s="227">
        <v>1.0053762545492126</v>
      </c>
      <c r="AZ34" s="227">
        <v>1.0071683393989503</v>
      </c>
      <c r="BA34" s="227">
        <v>1.0082878389928824</v>
      </c>
      <c r="BB34" s="227">
        <v>1.0094073385868139</v>
      </c>
      <c r="BC34" s="227">
        <v>1.0105268381807455</v>
      </c>
      <c r="BD34" s="227">
        <v>1.0116463377746772</v>
      </c>
      <c r="BE34" s="227">
        <v>1.0127658373686088</v>
      </c>
      <c r="BF34" s="227">
        <v>1.0138853369625405</v>
      </c>
      <c r="BG34" s="227">
        <v>1.0150048365564721</v>
      </c>
      <c r="BH34" s="227">
        <v>1.0161243361504038</v>
      </c>
      <c r="BI34" s="227">
        <v>1.0172438357443354</v>
      </c>
      <c r="BJ34" s="227">
        <v>1.0183633353382671</v>
      </c>
      <c r="BK34" s="227">
        <v>1.0194828349321987</v>
      </c>
      <c r="BL34" s="227">
        <v>1.0206023345261304</v>
      </c>
      <c r="BM34" s="227">
        <v>1.021721834120062</v>
      </c>
      <c r="BN34" s="227">
        <v>1.0228413337139934</v>
      </c>
      <c r="BO34" s="227">
        <v>1.0239608333079251</v>
      </c>
      <c r="BQ34" s="211">
        <f t="shared" ref="BQ34:BQ36" si="352">AA34*AV34</f>
        <v>1</v>
      </c>
      <c r="BR34" s="211">
        <f t="shared" ref="BR34:BR36" si="353">AB34*AW34</f>
        <v>1.0071135593931928</v>
      </c>
      <c r="BS34" s="211">
        <f t="shared" ref="BS34:BS36" si="354">AC34*AX34</f>
        <v>1.0142461577347901</v>
      </c>
      <c r="BT34" s="211">
        <f t="shared" ref="BT34:BT36" si="355">AD34*AY34</f>
        <v>1.0213977950247912</v>
      </c>
      <c r="BU34" s="211">
        <f t="shared" ref="BU34:BU36" si="356">AE34*AZ34</f>
        <v>1.0285684712631968</v>
      </c>
      <c r="BV34" s="211">
        <f t="shared" ref="BV34:BV36" si="357">AF34*BA34</f>
        <v>1.0379509102757811</v>
      </c>
      <c r="BW34" s="211">
        <f t="shared" ref="BW34:BW36" si="358">AG34*BB34</f>
        <v>1.0473516451112699</v>
      </c>
      <c r="BX34" s="211">
        <f t="shared" ref="BX34:BX36" si="359">AH34*BC34</f>
        <v>1.0567706757696635</v>
      </c>
      <c r="BY34" s="211">
        <f t="shared" ref="BY34:BY36" si="360">AI34*BD34</f>
        <v>1.0662080022509619</v>
      </c>
      <c r="BZ34" s="211">
        <f t="shared" ref="BZ34:BZ36" si="361">AJ34*BE34</f>
        <v>1.0756636245551654</v>
      </c>
      <c r="CA34" s="211">
        <f t="shared" ref="CA34:CA36" si="362">AK34*BF34</f>
        <v>1.0851375426822736</v>
      </c>
      <c r="CB34" s="211">
        <f t="shared" ref="CB34:CB36" si="363">AL34*BG34</f>
        <v>1.0946297566322867</v>
      </c>
      <c r="CC34" s="211">
        <f t="shared" ref="CC34:CC36" si="364">AM34*BH34</f>
        <v>1.1041402664052047</v>
      </c>
      <c r="CD34" s="211">
        <f t="shared" ref="CD34:CD36" si="365">AN34*BI34</f>
        <v>1.1136690720010276</v>
      </c>
      <c r="CE34" s="211">
        <f t="shared" ref="CE34:CE36" si="366">AO34*BJ34</f>
        <v>1.1232161734197552</v>
      </c>
      <c r="CF34" s="211">
        <f t="shared" ref="CF34:CF36" si="367">AP34*BK34</f>
        <v>1.1327815706613877</v>
      </c>
      <c r="CG34" s="211">
        <f t="shared" ref="CG34:CG36" si="368">AQ34*BL34</f>
        <v>1.1423652637259252</v>
      </c>
      <c r="CH34" s="211">
        <f t="shared" ref="CH34:CH36" si="369">AR34*BM34</f>
        <v>1.1519672526133675</v>
      </c>
      <c r="CI34" s="211">
        <f t="shared" ref="CI34:CI36" si="370">AS34*BN34</f>
        <v>1.1615875373237146</v>
      </c>
      <c r="CJ34" s="211">
        <f t="shared" ref="CJ34:CJ36" si="371">AT34*BO34</f>
        <v>1.1712261178569665</v>
      </c>
    </row>
    <row r="35" spans="2:88" s="211" customFormat="1" x14ac:dyDescent="0.2">
      <c r="B35" s="21" t="s">
        <v>157</v>
      </c>
      <c r="C35" s="21">
        <v>-37.066451999999998</v>
      </c>
      <c r="D35" s="21">
        <v>144.21902800000001</v>
      </c>
      <c r="F35" s="227">
        <v>5.1927582885714287E-2</v>
      </c>
      <c r="G35" s="227">
        <v>5.2230722914285717E-2</v>
      </c>
      <c r="H35" s="227">
        <v>5.2533862942857147E-2</v>
      </c>
      <c r="I35" s="227">
        <v>5.2837002971428577E-2</v>
      </c>
      <c r="J35" s="227">
        <v>5.3140143000000008E-2</v>
      </c>
      <c r="K35" s="227">
        <v>5.3203850600000005E-2</v>
      </c>
      <c r="L35" s="227">
        <v>5.3267558200000002E-2</v>
      </c>
      <c r="M35" s="227">
        <v>5.3331265799999999E-2</v>
      </c>
      <c r="N35" s="227">
        <v>5.3394973399999997E-2</v>
      </c>
      <c r="O35" s="227">
        <v>5.3458680999999994E-2</v>
      </c>
      <c r="P35" s="227">
        <v>5.3522388599999991E-2</v>
      </c>
      <c r="Q35" s="227">
        <v>5.3586096199999989E-2</v>
      </c>
      <c r="R35" s="227">
        <v>5.3649803799999986E-2</v>
      </c>
      <c r="S35" s="227">
        <v>5.3713511399999983E-2</v>
      </c>
      <c r="T35" s="227">
        <v>5.377721899999998E-2</v>
      </c>
      <c r="U35" s="227">
        <v>5.3840926599999978E-2</v>
      </c>
      <c r="V35" s="227">
        <v>5.3904634199999975E-2</v>
      </c>
      <c r="W35" s="227">
        <v>5.3968341799999972E-2</v>
      </c>
      <c r="X35" s="227">
        <v>5.4032049399999969E-2</v>
      </c>
      <c r="Y35" s="227">
        <v>5.4095756999999967E-2</v>
      </c>
      <c r="AA35" s="211">
        <f t="shared" si="334"/>
        <v>1</v>
      </c>
      <c r="AB35" s="211">
        <f t="shared" si="334"/>
        <v>1.0058377457937644</v>
      </c>
      <c r="AC35" s="211">
        <f t="shared" si="335"/>
        <v>1.0116754915875288</v>
      </c>
      <c r="AD35" s="211">
        <f t="shared" si="336"/>
        <v>1.0175132373812932</v>
      </c>
      <c r="AE35" s="211">
        <f t="shared" si="337"/>
        <v>1.0233509831750576</v>
      </c>
      <c r="AF35" s="211">
        <f t="shared" si="338"/>
        <v>1.0245778378919468</v>
      </c>
      <c r="AG35" s="211">
        <f t="shared" si="339"/>
        <v>1.025804692608836</v>
      </c>
      <c r="AH35" s="211">
        <f t="shared" si="340"/>
        <v>1.0270315473257254</v>
      </c>
      <c r="AI35" s="211">
        <f t="shared" si="341"/>
        <v>1.0282584020426146</v>
      </c>
      <c r="AJ35" s="211">
        <f t="shared" si="342"/>
        <v>1.0294852567595039</v>
      </c>
      <c r="AK35" s="211">
        <f t="shared" si="343"/>
        <v>1.0307121114763933</v>
      </c>
      <c r="AL35" s="211">
        <f t="shared" si="344"/>
        <v>1.0319389661932825</v>
      </c>
      <c r="AM35" s="211">
        <f t="shared" si="345"/>
        <v>1.0331658209101717</v>
      </c>
      <c r="AN35" s="211">
        <f t="shared" si="346"/>
        <v>1.0343926756270609</v>
      </c>
      <c r="AO35" s="211">
        <f t="shared" si="347"/>
        <v>1.0356195303439504</v>
      </c>
      <c r="AP35" s="211">
        <f t="shared" si="348"/>
        <v>1.0368463850608396</v>
      </c>
      <c r="AQ35" s="211">
        <f t="shared" si="349"/>
        <v>1.0380732397777288</v>
      </c>
      <c r="AR35" s="211">
        <f t="shared" si="350"/>
        <v>1.039300094494618</v>
      </c>
      <c r="AS35" s="211">
        <f t="shared" si="351"/>
        <v>1.0405269492115075</v>
      </c>
      <c r="AT35" s="211">
        <f>Y35/$F35</f>
        <v>1.0417538039283967</v>
      </c>
      <c r="AV35" s="227">
        <v>1</v>
      </c>
      <c r="AW35" s="227">
        <v>1.0133041709381807</v>
      </c>
      <c r="AX35" s="227">
        <v>1.0266083418763616</v>
      </c>
      <c r="AY35" s="227">
        <v>1.0399125128145423</v>
      </c>
      <c r="AZ35" s="227">
        <v>1.053216683752723</v>
      </c>
      <c r="BA35" s="227">
        <v>1.0532166837527217</v>
      </c>
      <c r="BB35" s="227">
        <v>1.0532166837527217</v>
      </c>
      <c r="BC35" s="227">
        <v>1.0532166837527217</v>
      </c>
      <c r="BD35" s="227">
        <v>1.0532166837527217</v>
      </c>
      <c r="BE35" s="227">
        <v>1.0532166837527217</v>
      </c>
      <c r="BF35" s="227">
        <v>1.0532166837527217</v>
      </c>
      <c r="BG35" s="227">
        <v>1.0532166837527217</v>
      </c>
      <c r="BH35" s="227">
        <v>1.0532166837527217</v>
      </c>
      <c r="BI35" s="227">
        <v>1.0532166837527217</v>
      </c>
      <c r="BJ35" s="227">
        <v>1.0532166837527217</v>
      </c>
      <c r="BK35" s="227">
        <v>1.0532166837527217</v>
      </c>
      <c r="BL35" s="227">
        <v>1.0532166837527217</v>
      </c>
      <c r="BM35" s="227">
        <v>1.0532166837527217</v>
      </c>
      <c r="BN35" s="227">
        <v>1.0532166837527217</v>
      </c>
      <c r="BO35" s="227">
        <v>1.0532166837527217</v>
      </c>
      <c r="BQ35" s="211">
        <f t="shared" si="352"/>
        <v>1</v>
      </c>
      <c r="BR35" s="211">
        <f t="shared" si="353"/>
        <v>1.0192195830998789</v>
      </c>
      <c r="BS35" s="211">
        <f t="shared" si="354"/>
        <v>1.0385944989356259</v>
      </c>
      <c r="BT35" s="211">
        <f t="shared" si="355"/>
        <v>1.0581247475072404</v>
      </c>
      <c r="BU35" s="211">
        <f t="shared" si="356"/>
        <v>1.0778103288147227</v>
      </c>
      <c r="BV35" s="211">
        <f t="shared" si="357"/>
        <v>1.0791024726710898</v>
      </c>
      <c r="BW35" s="211">
        <f t="shared" si="358"/>
        <v>1.0803946165274583</v>
      </c>
      <c r="BX35" s="211">
        <f t="shared" si="359"/>
        <v>1.0816867603838269</v>
      </c>
      <c r="BY35" s="211">
        <f t="shared" si="360"/>
        <v>1.0829789042401954</v>
      </c>
      <c r="BZ35" s="211">
        <f t="shared" si="361"/>
        <v>1.0842710480965638</v>
      </c>
      <c r="CA35" s="211">
        <f t="shared" si="362"/>
        <v>1.0855631919529325</v>
      </c>
      <c r="CB35" s="211">
        <f t="shared" si="363"/>
        <v>1.0868553358093009</v>
      </c>
      <c r="CC35" s="211">
        <f t="shared" si="364"/>
        <v>1.0881474796656694</v>
      </c>
      <c r="CD35" s="211">
        <f t="shared" si="365"/>
        <v>1.0894396235220378</v>
      </c>
      <c r="CE35" s="211">
        <f t="shared" si="366"/>
        <v>1.0907317673784065</v>
      </c>
      <c r="CF35" s="211">
        <f t="shared" si="367"/>
        <v>1.0920239112347749</v>
      </c>
      <c r="CG35" s="211">
        <f t="shared" si="368"/>
        <v>1.0933160550911434</v>
      </c>
      <c r="CH35" s="211">
        <f t="shared" si="369"/>
        <v>1.0946081989475118</v>
      </c>
      <c r="CI35" s="211">
        <f t="shared" si="370"/>
        <v>1.0959003428038805</v>
      </c>
      <c r="CJ35" s="211">
        <f t="shared" si="371"/>
        <v>1.0971924866602489</v>
      </c>
    </row>
    <row r="36" spans="2:88" s="211" customFormat="1" x14ac:dyDescent="0.2">
      <c r="B36" s="21" t="s">
        <v>446</v>
      </c>
      <c r="C36" s="21">
        <v>-38.404741000000001</v>
      </c>
      <c r="D36" s="21">
        <v>144.190089</v>
      </c>
      <c r="F36" s="227">
        <v>1.4041272314285714E-2</v>
      </c>
      <c r="G36" s="227">
        <v>1.4072615485714285E-2</v>
      </c>
      <c r="H36" s="227">
        <v>1.4103958657142856E-2</v>
      </c>
      <c r="I36" s="227">
        <v>1.4135301828571426E-2</v>
      </c>
      <c r="J36" s="227">
        <v>1.4166644999999997E-2</v>
      </c>
      <c r="K36" s="227">
        <v>1.4083375699999998E-2</v>
      </c>
      <c r="L36" s="227">
        <v>1.4000106399999998E-2</v>
      </c>
      <c r="M36" s="227">
        <v>1.3916837099999999E-2</v>
      </c>
      <c r="N36" s="227">
        <v>1.38335678E-2</v>
      </c>
      <c r="O36" s="227">
        <v>1.3750298500000001E-2</v>
      </c>
      <c r="P36" s="227">
        <v>1.3667029200000002E-2</v>
      </c>
      <c r="Q36" s="227">
        <v>1.3583759900000002E-2</v>
      </c>
      <c r="R36" s="227">
        <v>1.3500490600000003E-2</v>
      </c>
      <c r="S36" s="227">
        <v>1.3417221300000004E-2</v>
      </c>
      <c r="T36" s="227">
        <v>1.3333952000000005E-2</v>
      </c>
      <c r="U36" s="227">
        <v>1.3250682700000006E-2</v>
      </c>
      <c r="V36" s="227">
        <v>1.3167413400000006E-2</v>
      </c>
      <c r="W36" s="227">
        <v>1.3084144100000007E-2</v>
      </c>
      <c r="X36" s="227">
        <v>1.3000874800000008E-2</v>
      </c>
      <c r="Y36" s="227">
        <v>1.2917605500000009E-2</v>
      </c>
      <c r="AA36" s="211">
        <f t="shared" si="334"/>
        <v>1</v>
      </c>
      <c r="AB36" s="211">
        <f t="shared" si="334"/>
        <v>1.0022322173323768</v>
      </c>
      <c r="AC36" s="211">
        <f t="shared" ref="AC36" si="372">H36/$F36</f>
        <v>1.0044644346647535</v>
      </c>
      <c r="AD36" s="211">
        <f t="shared" ref="AD36" si="373">I36/$F36</f>
        <v>1.0066966519971303</v>
      </c>
      <c r="AE36" s="211">
        <f t="shared" ref="AE36" si="374">J36/$F36</f>
        <v>1.0089288693295071</v>
      </c>
      <c r="AF36" s="211">
        <f t="shared" ref="AF36" si="375">K36/$F36</f>
        <v>1.0029985449161503</v>
      </c>
      <c r="AG36" s="211">
        <f t="shared" ref="AG36" si="376">L36/$F36</f>
        <v>0.99706822050279353</v>
      </c>
      <c r="AH36" s="211">
        <f t="shared" ref="AH36" si="377">M36/$F36</f>
        <v>0.9911378960894367</v>
      </c>
      <c r="AI36" s="211">
        <f t="shared" ref="AI36" si="378">N36/$F36</f>
        <v>0.98520757167607997</v>
      </c>
      <c r="AJ36" s="211">
        <f t="shared" ref="AJ36" si="379">O36/$F36</f>
        <v>0.97927724726272314</v>
      </c>
      <c r="AK36" s="211">
        <f t="shared" ref="AK36" si="380">P36/$F36</f>
        <v>0.97334692284936641</v>
      </c>
      <c r="AL36" s="211">
        <f t="shared" ref="AL36" si="381">Q36/$F36</f>
        <v>0.96741659843600958</v>
      </c>
      <c r="AM36" s="211">
        <f t="shared" ref="AM36" si="382">R36/$F36</f>
        <v>0.96148627402265285</v>
      </c>
      <c r="AN36" s="211">
        <f t="shared" ref="AN36" si="383">S36/$F36</f>
        <v>0.95555594960929602</v>
      </c>
      <c r="AO36" s="211">
        <f t="shared" ref="AO36" si="384">T36/$F36</f>
        <v>0.94962562519593929</v>
      </c>
      <c r="AP36" s="211">
        <f t="shared" ref="AP36" si="385">U36/$F36</f>
        <v>0.94369530078258257</v>
      </c>
      <c r="AQ36" s="211">
        <f t="shared" ref="AQ36" si="386">V36/$F36</f>
        <v>0.93776497636922573</v>
      </c>
      <c r="AR36" s="211">
        <f t="shared" ref="AR36" si="387">W36/$F36</f>
        <v>0.93183465195586901</v>
      </c>
      <c r="AS36" s="211">
        <f t="shared" ref="AS36" si="388">X36/$F36</f>
        <v>0.92590432754251217</v>
      </c>
      <c r="AT36" s="211">
        <f>Y36/$F36</f>
        <v>0.91997400312915545</v>
      </c>
      <c r="AV36" s="227">
        <v>1</v>
      </c>
      <c r="AW36" s="227">
        <v>1.0021872620541812</v>
      </c>
      <c r="AX36" s="227">
        <v>1.0043745241083619</v>
      </c>
      <c r="AY36" s="227">
        <v>1.0065617861625427</v>
      </c>
      <c r="AZ36" s="227">
        <v>1.0087490482167238</v>
      </c>
      <c r="BA36" s="227">
        <v>1.0073820094328607</v>
      </c>
      <c r="BB36" s="227">
        <v>1.0060149706489971</v>
      </c>
      <c r="BC36" s="227">
        <v>1.004647931865134</v>
      </c>
      <c r="BD36" s="227">
        <v>1.0032808930812711</v>
      </c>
      <c r="BE36" s="227">
        <v>1.001913854297408</v>
      </c>
      <c r="BF36" s="227">
        <v>1.0005468155135449</v>
      </c>
      <c r="BG36" s="227">
        <v>0.99917977672968183</v>
      </c>
      <c r="BH36" s="227">
        <v>0.99781273794581871</v>
      </c>
      <c r="BI36" s="227">
        <v>0.99644569916195569</v>
      </c>
      <c r="BJ36" s="227">
        <v>0.99507866037809256</v>
      </c>
      <c r="BK36" s="227">
        <v>0.99371162159422954</v>
      </c>
      <c r="BL36" s="227">
        <v>0.99234458281036642</v>
      </c>
      <c r="BM36" s="227">
        <v>0.9909775440265034</v>
      </c>
      <c r="BN36" s="227">
        <v>0.98961050524264027</v>
      </c>
      <c r="BO36" s="227">
        <v>0.98824346645877725</v>
      </c>
      <c r="BQ36" s="211">
        <f t="shared" si="352"/>
        <v>1</v>
      </c>
      <c r="BR36" s="211">
        <f t="shared" si="353"/>
        <v>1.0044243618308257</v>
      </c>
      <c r="BS36" s="211">
        <f t="shared" si="354"/>
        <v>1.0088584885501866</v>
      </c>
      <c r="BT36" s="211">
        <f t="shared" si="355"/>
        <v>1.0133023801580832</v>
      </c>
      <c r="BU36" s="211">
        <f t="shared" si="356"/>
        <v>1.0177560366545155</v>
      </c>
      <c r="BV36" s="211">
        <f t="shared" si="357"/>
        <v>1.0104026896358669</v>
      </c>
      <c r="BW36" s="211">
        <f t="shared" si="358"/>
        <v>1.0030655565841657</v>
      </c>
      <c r="BX36" s="211">
        <f t="shared" si="359"/>
        <v>0.99574463749941267</v>
      </c>
      <c r="BY36" s="211">
        <f t="shared" si="360"/>
        <v>0.98843993238160799</v>
      </c>
      <c r="BZ36" s="211">
        <f t="shared" si="361"/>
        <v>0.98115144123075071</v>
      </c>
      <c r="CA36" s="211">
        <f t="shared" si="362"/>
        <v>0.97387916404684161</v>
      </c>
      <c r="CB36" s="211">
        <f t="shared" si="363"/>
        <v>0.96662310082988034</v>
      </c>
      <c r="CC36" s="211">
        <f t="shared" si="364"/>
        <v>0.95938325157986692</v>
      </c>
      <c r="CD36" s="211">
        <f t="shared" si="365"/>
        <v>0.95215961629680146</v>
      </c>
      <c r="CE36" s="211">
        <f t="shared" si="366"/>
        <v>0.94495219498068395</v>
      </c>
      <c r="CF36" s="211">
        <f t="shared" si="367"/>
        <v>0.93776098763151428</v>
      </c>
      <c r="CG36" s="211">
        <f t="shared" si="368"/>
        <v>0.93058599424929245</v>
      </c>
      <c r="CH36" s="211">
        <f t="shared" si="369"/>
        <v>0.92342721483401868</v>
      </c>
      <c r="CI36" s="211">
        <f t="shared" si="370"/>
        <v>0.91628464938569254</v>
      </c>
      <c r="CJ36" s="211">
        <f t="shared" si="371"/>
        <v>0.90915829790431457</v>
      </c>
    </row>
    <row r="37" spans="2:88" s="211" customFormat="1" x14ac:dyDescent="0.2"/>
    <row r="38" spans="2:88" s="207" customFormat="1" x14ac:dyDescent="0.2"/>
    <row r="39" spans="2:88" s="207" customFormat="1" x14ac:dyDescent="0.2"/>
    <row r="40" spans="2:88" s="207" customFormat="1" x14ac:dyDescent="0.2"/>
    <row r="41" spans="2:88" s="207" customFormat="1" x14ac:dyDescent="0.2"/>
    <row r="42" spans="2:88" s="207" customFormat="1" x14ac:dyDescent="0.2"/>
    <row r="43" spans="2:88" s="207" customFormat="1" x14ac:dyDescent="0.2"/>
    <row r="44" spans="2:88" s="207" customFormat="1" x14ac:dyDescent="0.2"/>
    <row r="45" spans="2:88" s="207" customFormat="1" x14ac:dyDescent="0.2"/>
    <row r="46" spans="2:88" s="207" customFormat="1" x14ac:dyDescent="0.2"/>
    <row r="47" spans="2:88" s="207" customFormat="1" x14ac:dyDescent="0.2"/>
    <row r="48" spans="2:88" s="207" customFormat="1" x14ac:dyDescent="0.2"/>
    <row r="49" s="207" customFormat="1" x14ac:dyDescent="0.2"/>
    <row r="50" s="207" customFormat="1" x14ac:dyDescent="0.2"/>
    <row r="51" s="207" customFormat="1" x14ac:dyDescent="0.2"/>
    <row r="52" s="207" customFormat="1" x14ac:dyDescent="0.2"/>
    <row r="53" s="207" customFormat="1" x14ac:dyDescent="0.2"/>
    <row r="54" s="207" customFormat="1" x14ac:dyDescent="0.2"/>
    <row r="55" s="207" customFormat="1" x14ac:dyDescent="0.2"/>
    <row r="56" s="207" customFormat="1" x14ac:dyDescent="0.2"/>
    <row r="57" s="207" customFormat="1" x14ac:dyDescent="0.2"/>
    <row r="58" s="207" customFormat="1" x14ac:dyDescent="0.2"/>
    <row r="59" s="207" customFormat="1" x14ac:dyDescent="0.2"/>
    <row r="60" s="207" customFormat="1" x14ac:dyDescent="0.2"/>
    <row r="61" s="207" customFormat="1" x14ac:dyDescent="0.2"/>
    <row r="62" s="207" customFormat="1" x14ac:dyDescent="0.2"/>
    <row r="63" s="207" customFormat="1" x14ac:dyDescent="0.2"/>
    <row r="64" s="207" customFormat="1" x14ac:dyDescent="0.2"/>
    <row r="65" s="207" customFormat="1" x14ac:dyDescent="0.2"/>
    <row r="66" s="207" customFormat="1" x14ac:dyDescent="0.2"/>
    <row r="67" s="207" customFormat="1" x14ac:dyDescent="0.2"/>
    <row r="68" s="207" customFormat="1" x14ac:dyDescent="0.2"/>
    <row r="69" s="207" customFormat="1" x14ac:dyDescent="0.2"/>
    <row r="70" s="207" customFormat="1" x14ac:dyDescent="0.2"/>
    <row r="71" s="207" customFormat="1" x14ac:dyDescent="0.2"/>
    <row r="72" s="207" customFormat="1" x14ac:dyDescent="0.2"/>
    <row r="73" s="207" customFormat="1" x14ac:dyDescent="0.2"/>
    <row r="74" s="207" customFormat="1" x14ac:dyDescent="0.2"/>
    <row r="75" s="207" customFormat="1" x14ac:dyDescent="0.2"/>
    <row r="76" s="207" customFormat="1" x14ac:dyDescent="0.2"/>
    <row r="77" s="207" customFormat="1" x14ac:dyDescent="0.2"/>
    <row r="78" s="207" customFormat="1" x14ac:dyDescent="0.2"/>
    <row r="79" s="207" customFormat="1" x14ac:dyDescent="0.2"/>
    <row r="80" s="207" customFormat="1" x14ac:dyDescent="0.2"/>
    <row r="81" s="207" customFormat="1" x14ac:dyDescent="0.2"/>
    <row r="82" s="207" customFormat="1" x14ac:dyDescent="0.2"/>
    <row r="83" s="207" customFormat="1" x14ac:dyDescent="0.2"/>
    <row r="84" s="207" customFormat="1" x14ac:dyDescent="0.2"/>
    <row r="85" s="207" customFormat="1" x14ac:dyDescent="0.2"/>
    <row r="86" s="207" customFormat="1" x14ac:dyDescent="0.2"/>
    <row r="87" s="207" customFormat="1" x14ac:dyDescent="0.2"/>
    <row r="88" s="207" customFormat="1" x14ac:dyDescent="0.2"/>
    <row r="89" s="207" customFormat="1" x14ac:dyDescent="0.2"/>
    <row r="90" s="207" customFormat="1" x14ac:dyDescent="0.2"/>
    <row r="91" s="207" customFormat="1" x14ac:dyDescent="0.2"/>
    <row r="92" s="207" customFormat="1" x14ac:dyDescent="0.2"/>
    <row r="93" s="207" customFormat="1" x14ac:dyDescent="0.2"/>
    <row r="94" s="207" customFormat="1" x14ac:dyDescent="0.2"/>
    <row r="95" s="207" customFormat="1" x14ac:dyDescent="0.2"/>
    <row r="96" s="207" customFormat="1" x14ac:dyDescent="0.2"/>
    <row r="97" s="207" customFormat="1" x14ac:dyDescent="0.2"/>
    <row r="98" s="207" customFormat="1" x14ac:dyDescent="0.2"/>
    <row r="99" s="207" customFormat="1" x14ac:dyDescent="0.2"/>
    <row r="100" s="207" customFormat="1" x14ac:dyDescent="0.2"/>
    <row r="101" s="207" customFormat="1" x14ac:dyDescent="0.2"/>
    <row r="102" s="207" customFormat="1" x14ac:dyDescent="0.2"/>
    <row r="103" s="207" customFormat="1" x14ac:dyDescent="0.2"/>
    <row r="104" s="207" customFormat="1" x14ac:dyDescent="0.2"/>
    <row r="105" s="207" customFormat="1" x14ac:dyDescent="0.2"/>
    <row r="106" s="207" customFormat="1" x14ac:dyDescent="0.2"/>
    <row r="107" s="207" customFormat="1" x14ac:dyDescent="0.2"/>
    <row r="108" s="207" customFormat="1" x14ac:dyDescent="0.2"/>
    <row r="109" s="207" customFormat="1" x14ac:dyDescent="0.2"/>
    <row r="110" s="207" customFormat="1" x14ac:dyDescent="0.2"/>
    <row r="111" s="207" customFormat="1" x14ac:dyDescent="0.2"/>
    <row r="112" s="207" customFormat="1" x14ac:dyDescent="0.2"/>
    <row r="113" s="207" customFormat="1" x14ac:dyDescent="0.2"/>
    <row r="114" s="207" customFormat="1" x14ac:dyDescent="0.2"/>
    <row r="115" s="207" customFormat="1" x14ac:dyDescent="0.2"/>
    <row r="116" s="207" customFormat="1" x14ac:dyDescent="0.2"/>
    <row r="117" s="207" customFormat="1" x14ac:dyDescent="0.2"/>
    <row r="118" s="207" customFormat="1" x14ac:dyDescent="0.2"/>
    <row r="119" s="207" customFormat="1" x14ac:dyDescent="0.2"/>
    <row r="120" s="207" customFormat="1" x14ac:dyDescent="0.2"/>
    <row r="121" s="207" customFormat="1" x14ac:dyDescent="0.2"/>
    <row r="122" s="207" customFormat="1" x14ac:dyDescent="0.2"/>
    <row r="123" s="207" customFormat="1" x14ac:dyDescent="0.2"/>
    <row r="124" s="207" customFormat="1" x14ac:dyDescent="0.2"/>
    <row r="125" s="207" customFormat="1" x14ac:dyDescent="0.2"/>
    <row r="126" s="207" customFormat="1" x14ac:dyDescent="0.2"/>
    <row r="127" s="207" customFormat="1" x14ac:dyDescent="0.2"/>
    <row r="128" s="207" customFormat="1" x14ac:dyDescent="0.2"/>
    <row r="129" s="207" customFormat="1" x14ac:dyDescent="0.2"/>
    <row r="130" s="207" customFormat="1" x14ac:dyDescent="0.2"/>
    <row r="131" s="207" customFormat="1" x14ac:dyDescent="0.2"/>
    <row r="132" s="207" customFormat="1" x14ac:dyDescent="0.2"/>
    <row r="133" s="207" customFormat="1" x14ac:dyDescent="0.2"/>
    <row r="134" s="207" customFormat="1" x14ac:dyDescent="0.2"/>
    <row r="135" s="207" customFormat="1" x14ac:dyDescent="0.2"/>
    <row r="136" s="207" customFormat="1" x14ac:dyDescent="0.2"/>
    <row r="137" s="207" customFormat="1" x14ac:dyDescent="0.2"/>
    <row r="138" s="207" customFormat="1" x14ac:dyDescent="0.2"/>
    <row r="139" s="207" customFormat="1" x14ac:dyDescent="0.2"/>
    <row r="140" s="207" customFormat="1" x14ac:dyDescent="0.2"/>
    <row r="141" s="207" customFormat="1" x14ac:dyDescent="0.2"/>
    <row r="142" s="207" customFormat="1" x14ac:dyDescent="0.2"/>
    <row r="143" s="207" customFormat="1" x14ac:dyDescent="0.2"/>
    <row r="144" s="207" customFormat="1" x14ac:dyDescent="0.2"/>
    <row r="145" s="207" customFormat="1" x14ac:dyDescent="0.2"/>
    <row r="146" s="207" customFormat="1" x14ac:dyDescent="0.2"/>
    <row r="147" s="207" customFormat="1" x14ac:dyDescent="0.2"/>
    <row r="148" s="207" customFormat="1" x14ac:dyDescent="0.2"/>
    <row r="149" s="207" customFormat="1" x14ac:dyDescent="0.2"/>
    <row r="150" s="207" customFormat="1" x14ac:dyDescent="0.2"/>
    <row r="151" s="207" customFormat="1" x14ac:dyDescent="0.2"/>
    <row r="152" s="207" customFormat="1" x14ac:dyDescent="0.2"/>
    <row r="153" s="207" customFormat="1" x14ac:dyDescent="0.2"/>
    <row r="154" s="207" customFormat="1" x14ac:dyDescent="0.2"/>
    <row r="155" s="207" customFormat="1" x14ac:dyDescent="0.2"/>
    <row r="156" s="207" customFormat="1" x14ac:dyDescent="0.2"/>
    <row r="157" s="207" customFormat="1" x14ac:dyDescent="0.2"/>
    <row r="158" s="207" customFormat="1" x14ac:dyDescent="0.2"/>
    <row r="159" s="207" customFormat="1" x14ac:dyDescent="0.2"/>
    <row r="160" s="207" customFormat="1" x14ac:dyDescent="0.2"/>
    <row r="161" s="207" customFormat="1" x14ac:dyDescent="0.2"/>
    <row r="162" s="207" customFormat="1" x14ac:dyDescent="0.2"/>
    <row r="163" s="207" customFormat="1" x14ac:dyDescent="0.2"/>
    <row r="164" s="207" customFormat="1" x14ac:dyDescent="0.2"/>
    <row r="165" s="207" customFormat="1" x14ac:dyDescent="0.2"/>
    <row r="166" s="207" customFormat="1" x14ac:dyDescent="0.2"/>
    <row r="167" s="207" customFormat="1" x14ac:dyDescent="0.2"/>
    <row r="168" s="207" customFormat="1" x14ac:dyDescent="0.2"/>
    <row r="169" s="207" customFormat="1" x14ac:dyDescent="0.2"/>
    <row r="170" s="207" customFormat="1" x14ac:dyDescent="0.2"/>
    <row r="171" s="207" customFormat="1" x14ac:dyDescent="0.2"/>
    <row r="172" s="207" customFormat="1" x14ac:dyDescent="0.2"/>
    <row r="173" s="207" customFormat="1" x14ac:dyDescent="0.2"/>
    <row r="174" s="207" customFormat="1" x14ac:dyDescent="0.2"/>
    <row r="175" s="207" customFormat="1" x14ac:dyDescent="0.2"/>
    <row r="176" s="207" customFormat="1" x14ac:dyDescent="0.2"/>
    <row r="177" s="207" customFormat="1" x14ac:dyDescent="0.2"/>
    <row r="178" s="207" customFormat="1" x14ac:dyDescent="0.2"/>
    <row r="179" s="207" customFormat="1" x14ac:dyDescent="0.2"/>
    <row r="180" s="207" customFormat="1" x14ac:dyDescent="0.2"/>
    <row r="181" s="207" customFormat="1" x14ac:dyDescent="0.2"/>
    <row r="182" s="207" customFormat="1" x14ac:dyDescent="0.2"/>
    <row r="183" s="207" customFormat="1" x14ac:dyDescent="0.2"/>
    <row r="184" s="207" customFormat="1" x14ac:dyDescent="0.2"/>
    <row r="185" s="207" customFormat="1" x14ac:dyDescent="0.2"/>
    <row r="186" s="207" customFormat="1" x14ac:dyDescent="0.2"/>
    <row r="187" s="207" customFormat="1" x14ac:dyDescent="0.2"/>
    <row r="188" s="207" customFormat="1" x14ac:dyDescent="0.2"/>
    <row r="189" s="207" customFormat="1" x14ac:dyDescent="0.2"/>
    <row r="190" s="207" customFormat="1" x14ac:dyDescent="0.2"/>
    <row r="191" s="207" customFormat="1" x14ac:dyDescent="0.2"/>
    <row r="192" s="207" customFormat="1" x14ac:dyDescent="0.2"/>
    <row r="193" s="207" customFormat="1" x14ac:dyDescent="0.2"/>
    <row r="194" s="207" customFormat="1" x14ac:dyDescent="0.2"/>
    <row r="195" s="207" customFormat="1" x14ac:dyDescent="0.2"/>
    <row r="196" s="207" customFormat="1" x14ac:dyDescent="0.2"/>
    <row r="197" s="207" customFormat="1" x14ac:dyDescent="0.2"/>
    <row r="198" s="207" customFormat="1" x14ac:dyDescent="0.2"/>
    <row r="199" s="207" customFormat="1" x14ac:dyDescent="0.2"/>
    <row r="200" s="207" customFormat="1" x14ac:dyDescent="0.2"/>
    <row r="201" s="207" customFormat="1" x14ac:dyDescent="0.2"/>
    <row r="202" s="207" customFormat="1" x14ac:dyDescent="0.2"/>
    <row r="203" s="207" customFormat="1" x14ac:dyDescent="0.2"/>
    <row r="204" s="207" customFormat="1" x14ac:dyDescent="0.2"/>
    <row r="205" s="207" customFormat="1" x14ac:dyDescent="0.2"/>
    <row r="206" s="207" customFormat="1" x14ac:dyDescent="0.2"/>
    <row r="207" s="207" customFormat="1" x14ac:dyDescent="0.2"/>
    <row r="208" s="207" customFormat="1" x14ac:dyDescent="0.2"/>
    <row r="209" s="207" customFormat="1" x14ac:dyDescent="0.2"/>
    <row r="210" s="207" customFormat="1" x14ac:dyDescent="0.2"/>
    <row r="211" s="207" customFormat="1" x14ac:dyDescent="0.2"/>
    <row r="212" s="207" customFormat="1" x14ac:dyDescent="0.2"/>
    <row r="213" s="207" customFormat="1" x14ac:dyDescent="0.2"/>
    <row r="214" s="207" customFormat="1" x14ac:dyDescent="0.2"/>
    <row r="215" s="207" customFormat="1" x14ac:dyDescent="0.2"/>
    <row r="216" s="207" customFormat="1" x14ac:dyDescent="0.2"/>
    <row r="217" s="207" customFormat="1" x14ac:dyDescent="0.2"/>
    <row r="218" s="207" customFormat="1" x14ac:dyDescent="0.2"/>
    <row r="219" s="207" customFormat="1" x14ac:dyDescent="0.2"/>
    <row r="220" s="207" customFormat="1" x14ac:dyDescent="0.2"/>
    <row r="221" s="207" customFormat="1" x14ac:dyDescent="0.2"/>
    <row r="222" s="207" customFormat="1" x14ac:dyDescent="0.2"/>
    <row r="223" s="207" customFormat="1" x14ac:dyDescent="0.2"/>
    <row r="224" s="207" customFormat="1" x14ac:dyDescent="0.2"/>
    <row r="225" s="207" customFormat="1" x14ac:dyDescent="0.2"/>
    <row r="226" s="207" customFormat="1" x14ac:dyDescent="0.2"/>
    <row r="227" s="207" customFormat="1" x14ac:dyDescent="0.2"/>
    <row r="228" s="207" customFormat="1" x14ac:dyDescent="0.2"/>
    <row r="229" s="207" customFormat="1" x14ac:dyDescent="0.2"/>
    <row r="230" s="207" customFormat="1" x14ac:dyDescent="0.2"/>
    <row r="231" s="207" customFormat="1" x14ac:dyDescent="0.2"/>
    <row r="232" s="207" customFormat="1" x14ac:dyDescent="0.2"/>
    <row r="233" s="207" customFormat="1" x14ac:dyDescent="0.2"/>
    <row r="234" s="207" customFormat="1" x14ac:dyDescent="0.2"/>
    <row r="235" s="207" customFormat="1" x14ac:dyDescent="0.2"/>
    <row r="236" s="207" customFormat="1" x14ac:dyDescent="0.2"/>
    <row r="237" s="207" customFormat="1" x14ac:dyDescent="0.2"/>
    <row r="238" s="207" customFormat="1" x14ac:dyDescent="0.2"/>
    <row r="239" s="207" customFormat="1" x14ac:dyDescent="0.2"/>
    <row r="240" s="207" customFormat="1" x14ac:dyDescent="0.2"/>
    <row r="241" s="207" customFormat="1" x14ac:dyDescent="0.2"/>
    <row r="242" s="207" customFormat="1" x14ac:dyDescent="0.2"/>
    <row r="243" s="207" customFormat="1" x14ac:dyDescent="0.2"/>
    <row r="244" s="207" customFormat="1" x14ac:dyDescent="0.2"/>
    <row r="245" s="207" customFormat="1" x14ac:dyDescent="0.2"/>
    <row r="246" s="207" customFormat="1" x14ac:dyDescent="0.2"/>
    <row r="247" s="207" customFormat="1" x14ac:dyDescent="0.2"/>
    <row r="248" s="207" customFormat="1" x14ac:dyDescent="0.2"/>
    <row r="249" s="207" customFormat="1" x14ac:dyDescent="0.2"/>
    <row r="250" s="207" customFormat="1" x14ac:dyDescent="0.2"/>
    <row r="251" s="207" customFormat="1" x14ac:dyDescent="0.2"/>
    <row r="252" s="207" customFormat="1" x14ac:dyDescent="0.2"/>
    <row r="253" s="207" customFormat="1" x14ac:dyDescent="0.2"/>
    <row r="254" s="207" customFormat="1" x14ac:dyDescent="0.2"/>
    <row r="255" s="207" customFormat="1" x14ac:dyDescent="0.2"/>
    <row r="256" s="207" customFormat="1" x14ac:dyDescent="0.2"/>
    <row r="257" s="207" customFormat="1" x14ac:dyDescent="0.2"/>
    <row r="258" s="207" customFormat="1" x14ac:dyDescent="0.2"/>
    <row r="259" s="207" customFormat="1" x14ac:dyDescent="0.2"/>
    <row r="260" s="207" customFormat="1" x14ac:dyDescent="0.2"/>
    <row r="261" s="207" customFormat="1" x14ac:dyDescent="0.2"/>
    <row r="262" s="207" customFormat="1" x14ac:dyDescent="0.2"/>
    <row r="263" s="207" customFormat="1" x14ac:dyDescent="0.2"/>
    <row r="264" s="207" customFormat="1" x14ac:dyDescent="0.2"/>
    <row r="265" s="207" customFormat="1" x14ac:dyDescent="0.2"/>
    <row r="266" s="207" customFormat="1" x14ac:dyDescent="0.2"/>
    <row r="267" s="207" customFormat="1" x14ac:dyDescent="0.2"/>
    <row r="268" s="207" customFormat="1" x14ac:dyDescent="0.2"/>
    <row r="269" s="207" customFormat="1" x14ac:dyDescent="0.2"/>
    <row r="270" s="207" customFormat="1" x14ac:dyDescent="0.2"/>
    <row r="271" s="207" customFormat="1" x14ac:dyDescent="0.2"/>
    <row r="272" s="207" customFormat="1" x14ac:dyDescent="0.2"/>
    <row r="273" s="207" customFormat="1" x14ac:dyDescent="0.2"/>
    <row r="274" s="207" customFormat="1" x14ac:dyDescent="0.2"/>
    <row r="275" s="207" customFormat="1" x14ac:dyDescent="0.2"/>
    <row r="276" s="207" customFormat="1" x14ac:dyDescent="0.2"/>
    <row r="277" s="207" customFormat="1" x14ac:dyDescent="0.2"/>
    <row r="278" s="207" customFormat="1" x14ac:dyDescent="0.2"/>
    <row r="279" s="207" customFormat="1" x14ac:dyDescent="0.2"/>
    <row r="280" s="207" customFormat="1" x14ac:dyDescent="0.2"/>
    <row r="281" s="207" customFormat="1" x14ac:dyDescent="0.2"/>
    <row r="282" s="207" customFormat="1" x14ac:dyDescent="0.2"/>
    <row r="283" s="207" customFormat="1" x14ac:dyDescent="0.2"/>
    <row r="284" s="207" customFormat="1" x14ac:dyDescent="0.2"/>
    <row r="285" s="207" customFormat="1" x14ac:dyDescent="0.2"/>
    <row r="286" s="207" customFormat="1" x14ac:dyDescent="0.2"/>
    <row r="287" s="207" customFormat="1" x14ac:dyDescent="0.2"/>
    <row r="288" s="207" customFormat="1" x14ac:dyDescent="0.2"/>
    <row r="289" s="207" customFormat="1" x14ac:dyDescent="0.2"/>
    <row r="290" s="207" customFormat="1" x14ac:dyDescent="0.2"/>
    <row r="291" s="207" customFormat="1" x14ac:dyDescent="0.2"/>
    <row r="292" s="207" customFormat="1" x14ac:dyDescent="0.2"/>
    <row r="293" s="207" customFormat="1" x14ac:dyDescent="0.2"/>
    <row r="294" s="207" customFormat="1" x14ac:dyDescent="0.2"/>
    <row r="295" s="207" customFormat="1" x14ac:dyDescent="0.2"/>
    <row r="296" s="207" customFormat="1" x14ac:dyDescent="0.2"/>
    <row r="297" s="207" customFormat="1" x14ac:dyDescent="0.2"/>
    <row r="298" s="207" customFormat="1" x14ac:dyDescent="0.2"/>
    <row r="299" s="207" customFormat="1" x14ac:dyDescent="0.2"/>
    <row r="300" s="207" customFormat="1" x14ac:dyDescent="0.2"/>
    <row r="301" s="207" customFormat="1" x14ac:dyDescent="0.2"/>
    <row r="302" s="207" customFormat="1" x14ac:dyDescent="0.2"/>
    <row r="303" s="207" customFormat="1" x14ac:dyDescent="0.2"/>
    <row r="304" s="207" customFormat="1" x14ac:dyDescent="0.2"/>
    <row r="305" s="207" customFormat="1" x14ac:dyDescent="0.2"/>
    <row r="306" s="207" customFormat="1" x14ac:dyDescent="0.2"/>
    <row r="307" s="207" customFormat="1" x14ac:dyDescent="0.2"/>
    <row r="308" s="207" customFormat="1" x14ac:dyDescent="0.2"/>
    <row r="309" s="207" customFormat="1" x14ac:dyDescent="0.2"/>
    <row r="310" s="207" customFormat="1" x14ac:dyDescent="0.2"/>
    <row r="311" s="207" customFormat="1" x14ac:dyDescent="0.2"/>
    <row r="312" s="207" customFormat="1" x14ac:dyDescent="0.2"/>
    <row r="313" s="207" customFormat="1" x14ac:dyDescent="0.2"/>
    <row r="314" s="207" customFormat="1" x14ac:dyDescent="0.2"/>
    <row r="315" s="207" customFormat="1" x14ac:dyDescent="0.2"/>
    <row r="316" s="207" customFormat="1" x14ac:dyDescent="0.2"/>
    <row r="317" s="207" customFormat="1" x14ac:dyDescent="0.2"/>
    <row r="318" s="207" customFormat="1" x14ac:dyDescent="0.2"/>
    <row r="319" s="207" customFormat="1" x14ac:dyDescent="0.2"/>
    <row r="320" s="207" customFormat="1" x14ac:dyDescent="0.2"/>
    <row r="321" s="207" customFormat="1" x14ac:dyDescent="0.2"/>
    <row r="322" s="207" customFormat="1" x14ac:dyDescent="0.2"/>
    <row r="323" s="207" customFormat="1" x14ac:dyDescent="0.2"/>
    <row r="324" s="207" customFormat="1" x14ac:dyDescent="0.2"/>
    <row r="325" s="207" customFormat="1" x14ac:dyDescent="0.2"/>
    <row r="326" s="207" customFormat="1" x14ac:dyDescent="0.2"/>
    <row r="327" s="207" customFormat="1" x14ac:dyDescent="0.2"/>
    <row r="328" s="207" customFormat="1" x14ac:dyDescent="0.2"/>
    <row r="329" s="207" customFormat="1" x14ac:dyDescent="0.2"/>
    <row r="330" s="207" customFormat="1" x14ac:dyDescent="0.2"/>
    <row r="331" s="207" customFormat="1" x14ac:dyDescent="0.2"/>
    <row r="332" s="207" customFormat="1" x14ac:dyDescent="0.2"/>
    <row r="333" s="207" customFormat="1" x14ac:dyDescent="0.2"/>
    <row r="334" s="207" customFormat="1" x14ac:dyDescent="0.2"/>
    <row r="335" s="207" customFormat="1" x14ac:dyDescent="0.2"/>
    <row r="336" s="207" customFormat="1" x14ac:dyDescent="0.2"/>
    <row r="337" s="207" customFormat="1" x14ac:dyDescent="0.2"/>
    <row r="338" s="207" customFormat="1" x14ac:dyDescent="0.2"/>
    <row r="339" s="207" customFormat="1" x14ac:dyDescent="0.2"/>
    <row r="340" s="207" customFormat="1" x14ac:dyDescent="0.2"/>
    <row r="341" s="207" customFormat="1" x14ac:dyDescent="0.2"/>
    <row r="342" s="207" customFormat="1" x14ac:dyDescent="0.2"/>
    <row r="343" s="207" customFormat="1" x14ac:dyDescent="0.2"/>
    <row r="344" s="207" customFormat="1" x14ac:dyDescent="0.2"/>
    <row r="345" s="207" customFormat="1" x14ac:dyDescent="0.2"/>
    <row r="346" s="207" customFormat="1" x14ac:dyDescent="0.2"/>
    <row r="347" s="207" customFormat="1" x14ac:dyDescent="0.2"/>
    <row r="348" s="207" customFormat="1" x14ac:dyDescent="0.2"/>
    <row r="349" s="207" customFormat="1" x14ac:dyDescent="0.2"/>
    <row r="350" s="207" customFormat="1" x14ac:dyDescent="0.2"/>
    <row r="351" s="207" customFormat="1" x14ac:dyDescent="0.2"/>
    <row r="352" s="207" customFormat="1" x14ac:dyDescent="0.2"/>
    <row r="353" s="207" customFormat="1" x14ac:dyDescent="0.2"/>
    <row r="354" s="207" customFormat="1" x14ac:dyDescent="0.2"/>
    <row r="355" s="207" customFormat="1" x14ac:dyDescent="0.2"/>
    <row r="356" s="207" customFormat="1" x14ac:dyDescent="0.2"/>
    <row r="357" s="207" customFormat="1" x14ac:dyDescent="0.2"/>
    <row r="358" s="207" customFormat="1" x14ac:dyDescent="0.2"/>
    <row r="359" s="207" customFormat="1" x14ac:dyDescent="0.2"/>
    <row r="360" s="207" customFormat="1" x14ac:dyDescent="0.2"/>
    <row r="361" s="207" customFormat="1" x14ac:dyDescent="0.2"/>
    <row r="362" s="207" customFormat="1" x14ac:dyDescent="0.2"/>
    <row r="363" s="207" customFormat="1" x14ac:dyDescent="0.2"/>
    <row r="364" s="207" customFormat="1" x14ac:dyDescent="0.2"/>
    <row r="365" s="207" customFormat="1" x14ac:dyDescent="0.2"/>
    <row r="366" s="207" customFormat="1" x14ac:dyDescent="0.2"/>
    <row r="367" s="207" customFormat="1" x14ac:dyDescent="0.2"/>
    <row r="368" s="207" customFormat="1" x14ac:dyDescent="0.2"/>
    <row r="369" s="207" customFormat="1" x14ac:dyDescent="0.2"/>
    <row r="370" s="207" customFormat="1" x14ac:dyDescent="0.2"/>
    <row r="371" s="207" customFormat="1" x14ac:dyDescent="0.2"/>
    <row r="372" s="207" customFormat="1" x14ac:dyDescent="0.2"/>
    <row r="373" s="207" customFormat="1" x14ac:dyDescent="0.2"/>
    <row r="374" s="207" customFormat="1" x14ac:dyDescent="0.2"/>
    <row r="375" s="207" customFormat="1" x14ac:dyDescent="0.2"/>
    <row r="376" s="207" customFormat="1" x14ac:dyDescent="0.2"/>
    <row r="377" s="207" customFormat="1" x14ac:dyDescent="0.2"/>
    <row r="378" s="207" customFormat="1" x14ac:dyDescent="0.2"/>
    <row r="379" s="207" customFormat="1" x14ac:dyDescent="0.2"/>
    <row r="380" s="207" customFormat="1" x14ac:dyDescent="0.2"/>
    <row r="381" s="207" customFormat="1" x14ac:dyDescent="0.2"/>
    <row r="382" s="207" customFormat="1" x14ac:dyDescent="0.2"/>
    <row r="383" s="207" customFormat="1" x14ac:dyDescent="0.2"/>
    <row r="384" s="207" customFormat="1" x14ac:dyDescent="0.2"/>
    <row r="385" s="207" customFormat="1" x14ac:dyDescent="0.2"/>
    <row r="386" s="207" customFormat="1" x14ac:dyDescent="0.2"/>
    <row r="387" s="207" customFormat="1" x14ac:dyDescent="0.2"/>
    <row r="388" s="207" customFormat="1" x14ac:dyDescent="0.2"/>
    <row r="389" s="207" customFormat="1" x14ac:dyDescent="0.2"/>
    <row r="390" s="207" customFormat="1" x14ac:dyDescent="0.2"/>
    <row r="391" s="207" customFormat="1" x14ac:dyDescent="0.2"/>
    <row r="392" s="207" customFormat="1" x14ac:dyDescent="0.2"/>
    <row r="393" s="207" customFormat="1" x14ac:dyDescent="0.2"/>
    <row r="394" s="207" customFormat="1" x14ac:dyDescent="0.2"/>
    <row r="395" s="207" customFormat="1" x14ac:dyDescent="0.2"/>
    <row r="396" s="207" customFormat="1" x14ac:dyDescent="0.2"/>
    <row r="397" s="207" customFormat="1" x14ac:dyDescent="0.2"/>
    <row r="398" s="207" customFormat="1" x14ac:dyDescent="0.2"/>
    <row r="399" s="207" customFormat="1" x14ac:dyDescent="0.2"/>
    <row r="400" s="207" customFormat="1" x14ac:dyDescent="0.2"/>
    <row r="401" s="207" customFormat="1" x14ac:dyDescent="0.2"/>
    <row r="402" s="207" customFormat="1" x14ac:dyDescent="0.2"/>
    <row r="403" s="207" customFormat="1" x14ac:dyDescent="0.2"/>
    <row r="404" s="207" customFormat="1" x14ac:dyDescent="0.2"/>
    <row r="405" s="207" customFormat="1" x14ac:dyDescent="0.2"/>
    <row r="406" s="207" customFormat="1" x14ac:dyDescent="0.2"/>
    <row r="407" s="207" customFormat="1" x14ac:dyDescent="0.2"/>
    <row r="408" s="207" customFormat="1" x14ac:dyDescent="0.2"/>
    <row r="409" s="207" customFormat="1" x14ac:dyDescent="0.2"/>
    <row r="410" s="207" customFormat="1" x14ac:dyDescent="0.2"/>
    <row r="411" s="207" customFormat="1" x14ac:dyDescent="0.2"/>
    <row r="412" s="207" customFormat="1" x14ac:dyDescent="0.2"/>
    <row r="413" s="207" customFormat="1" x14ac:dyDescent="0.2"/>
    <row r="414" s="207" customFormat="1" x14ac:dyDescent="0.2"/>
    <row r="415" s="207" customFormat="1" x14ac:dyDescent="0.2"/>
    <row r="416" s="207" customFormat="1" x14ac:dyDescent="0.2"/>
    <row r="417" s="207" customFormat="1" x14ac:dyDescent="0.2"/>
    <row r="418" s="207" customFormat="1" x14ac:dyDescent="0.2"/>
    <row r="419" s="207" customFormat="1" x14ac:dyDescent="0.2"/>
    <row r="420" s="207" customFormat="1" x14ac:dyDescent="0.2"/>
    <row r="421" s="207" customFormat="1" x14ac:dyDescent="0.2"/>
    <row r="422" s="207" customFormat="1" x14ac:dyDescent="0.2"/>
    <row r="423" s="207" customFormat="1" x14ac:dyDescent="0.2"/>
    <row r="424" s="207" customFormat="1" x14ac:dyDescent="0.2"/>
    <row r="425" s="207" customFormat="1" x14ac:dyDescent="0.2"/>
    <row r="426" s="207" customFormat="1" x14ac:dyDescent="0.2"/>
    <row r="427" s="207" customFormat="1" x14ac:dyDescent="0.2"/>
    <row r="428" s="207" customFormat="1" x14ac:dyDescent="0.2"/>
    <row r="429" s="207" customFormat="1" x14ac:dyDescent="0.2"/>
    <row r="430" s="207" customFormat="1" x14ac:dyDescent="0.2"/>
    <row r="431" s="207" customFormat="1" x14ac:dyDescent="0.2"/>
    <row r="432" s="207" customFormat="1" x14ac:dyDescent="0.2"/>
    <row r="433" s="207" customFormat="1" x14ac:dyDescent="0.2"/>
    <row r="434" s="207" customFormat="1" x14ac:dyDescent="0.2"/>
    <row r="435" s="207" customFormat="1" x14ac:dyDescent="0.2"/>
    <row r="436" s="207" customFormat="1" x14ac:dyDescent="0.2"/>
    <row r="437" s="207" customFormat="1" x14ac:dyDescent="0.2"/>
    <row r="438" s="207" customFormat="1" x14ac:dyDescent="0.2"/>
    <row r="439" s="207" customFormat="1" x14ac:dyDescent="0.2"/>
    <row r="440" s="207" customFormat="1" x14ac:dyDescent="0.2"/>
    <row r="441" s="207" customFormat="1" x14ac:dyDescent="0.2"/>
    <row r="442" s="207" customFormat="1" x14ac:dyDescent="0.2"/>
    <row r="443" s="207" customFormat="1" x14ac:dyDescent="0.2"/>
    <row r="444" s="207" customFormat="1" x14ac:dyDescent="0.2"/>
    <row r="445" s="207" customFormat="1" x14ac:dyDescent="0.2"/>
    <row r="446" s="207" customFormat="1" x14ac:dyDescent="0.2"/>
    <row r="447" s="207" customFormat="1" x14ac:dyDescent="0.2"/>
    <row r="448" s="207" customFormat="1" x14ac:dyDescent="0.2"/>
    <row r="449" s="207" customFormat="1" x14ac:dyDescent="0.2"/>
    <row r="450" s="207" customFormat="1" x14ac:dyDescent="0.2"/>
    <row r="451" s="207" customFormat="1" x14ac:dyDescent="0.2"/>
    <row r="452" s="207" customFormat="1" x14ac:dyDescent="0.2"/>
    <row r="453" s="207" customFormat="1" x14ac:dyDescent="0.2"/>
    <row r="454" s="207" customFormat="1" x14ac:dyDescent="0.2"/>
    <row r="455" s="207" customFormat="1" x14ac:dyDescent="0.2"/>
    <row r="456" s="207" customFormat="1" x14ac:dyDescent="0.2"/>
    <row r="457" s="207" customFormat="1" x14ac:dyDescent="0.2"/>
    <row r="458" s="207" customFormat="1" x14ac:dyDescent="0.2"/>
    <row r="459" s="207" customFormat="1" x14ac:dyDescent="0.2"/>
    <row r="460" s="207" customFormat="1" x14ac:dyDescent="0.2"/>
    <row r="461" s="207" customFormat="1" x14ac:dyDescent="0.2"/>
    <row r="462" s="207" customFormat="1" x14ac:dyDescent="0.2"/>
    <row r="463" s="207" customFormat="1" x14ac:dyDescent="0.2"/>
    <row r="464" s="207" customFormat="1" x14ac:dyDescent="0.2"/>
    <row r="465" s="207" customFormat="1" x14ac:dyDescent="0.2"/>
    <row r="466" s="207" customFormat="1" x14ac:dyDescent="0.2"/>
    <row r="467" s="207" customFormat="1" x14ac:dyDescent="0.2"/>
    <row r="468" s="207" customFormat="1" x14ac:dyDescent="0.2"/>
    <row r="469" s="207" customFormat="1" x14ac:dyDescent="0.2"/>
    <row r="470" s="207" customFormat="1" x14ac:dyDescent="0.2"/>
    <row r="471" s="207" customFormat="1" x14ac:dyDescent="0.2"/>
    <row r="472" s="207" customFormat="1" x14ac:dyDescent="0.2"/>
    <row r="473" s="207" customFormat="1" x14ac:dyDescent="0.2"/>
    <row r="474" s="207" customFormat="1" x14ac:dyDescent="0.2"/>
    <row r="475" s="207" customFormat="1" x14ac:dyDescent="0.2"/>
    <row r="476" s="207" customFormat="1" x14ac:dyDescent="0.2"/>
    <row r="477" s="207" customFormat="1" x14ac:dyDescent="0.2"/>
    <row r="478" s="207" customFormat="1" x14ac:dyDescent="0.2"/>
    <row r="479" s="207" customFormat="1" x14ac:dyDescent="0.2"/>
    <row r="480" s="207" customFormat="1" x14ac:dyDescent="0.2"/>
    <row r="481" s="207" customFormat="1" x14ac:dyDescent="0.2"/>
    <row r="482" s="207" customFormat="1" x14ac:dyDescent="0.2"/>
    <row r="483" s="207" customFormat="1" x14ac:dyDescent="0.2"/>
    <row r="484" s="207" customFormat="1" x14ac:dyDescent="0.2"/>
    <row r="485" s="207" customFormat="1" x14ac:dyDescent="0.2"/>
    <row r="486" s="207" customFormat="1" x14ac:dyDescent="0.2"/>
    <row r="487" s="207" customFormat="1" x14ac:dyDescent="0.2"/>
    <row r="488" s="207" customFormat="1" x14ac:dyDescent="0.2"/>
    <row r="489" s="207" customFormat="1" x14ac:dyDescent="0.2"/>
    <row r="490" s="207" customFormat="1" x14ac:dyDescent="0.2"/>
    <row r="491" s="207" customFormat="1" x14ac:dyDescent="0.2"/>
    <row r="492" s="207" customFormat="1" x14ac:dyDescent="0.2"/>
    <row r="493" s="207" customFormat="1" x14ac:dyDescent="0.2"/>
    <row r="494" s="207" customFormat="1" x14ac:dyDescent="0.2"/>
    <row r="495" s="207" customFormat="1" x14ac:dyDescent="0.2"/>
    <row r="496" s="207" customFormat="1" x14ac:dyDescent="0.2"/>
    <row r="497" s="207" customFormat="1" x14ac:dyDescent="0.2"/>
    <row r="498" s="207" customFormat="1" x14ac:dyDescent="0.2"/>
    <row r="499" s="207" customFormat="1" x14ac:dyDescent="0.2"/>
    <row r="500" s="207" customFormat="1" x14ac:dyDescent="0.2"/>
    <row r="501" s="207" customFormat="1" x14ac:dyDescent="0.2"/>
    <row r="502" s="207" customFormat="1" x14ac:dyDescent="0.2"/>
    <row r="503" s="207" customFormat="1" x14ac:dyDescent="0.2"/>
    <row r="504" s="207" customFormat="1" x14ac:dyDescent="0.2"/>
    <row r="505" s="207" customFormat="1" x14ac:dyDescent="0.2"/>
    <row r="506" s="207" customFormat="1" x14ac:dyDescent="0.2"/>
    <row r="507" s="207" customFormat="1" x14ac:dyDescent="0.2"/>
    <row r="508" s="207" customFormat="1" x14ac:dyDescent="0.2"/>
    <row r="509" s="207" customFormat="1" x14ac:dyDescent="0.2"/>
    <row r="510" s="207" customFormat="1" x14ac:dyDescent="0.2"/>
    <row r="511" s="207" customFormat="1" x14ac:dyDescent="0.2"/>
    <row r="512" s="207" customFormat="1" x14ac:dyDescent="0.2"/>
    <row r="513" s="207" customFormat="1" x14ac:dyDescent="0.2"/>
    <row r="514" s="207" customFormat="1" x14ac:dyDescent="0.2"/>
    <row r="515" s="207" customFormat="1" x14ac:dyDescent="0.2"/>
    <row r="516" s="207" customFormat="1" x14ac:dyDescent="0.2"/>
    <row r="517" s="207" customFormat="1" x14ac:dyDescent="0.2"/>
    <row r="518" s="207" customFormat="1" x14ac:dyDescent="0.2"/>
    <row r="519" s="207" customFormat="1" x14ac:dyDescent="0.2"/>
    <row r="520" s="207" customFormat="1" x14ac:dyDescent="0.2"/>
    <row r="521" s="207" customFormat="1" x14ac:dyDescent="0.2"/>
    <row r="522" s="207" customFormat="1" x14ac:dyDescent="0.2"/>
    <row r="523" s="207" customFormat="1" x14ac:dyDescent="0.2"/>
    <row r="524" s="207" customFormat="1" x14ac:dyDescent="0.2"/>
    <row r="525" s="207" customFormat="1" x14ac:dyDescent="0.2"/>
    <row r="526" s="207" customFormat="1" x14ac:dyDescent="0.2"/>
    <row r="527" s="207" customFormat="1" x14ac:dyDescent="0.2"/>
    <row r="528" s="207" customFormat="1" x14ac:dyDescent="0.2"/>
    <row r="529" s="207" customFormat="1" x14ac:dyDescent="0.2"/>
    <row r="530" s="207" customFormat="1" x14ac:dyDescent="0.2"/>
    <row r="531" s="207" customFormat="1" x14ac:dyDescent="0.2"/>
    <row r="532" s="207" customFormat="1" x14ac:dyDescent="0.2"/>
    <row r="533" s="207" customFormat="1" x14ac:dyDescent="0.2"/>
    <row r="534" s="207" customFormat="1" x14ac:dyDescent="0.2"/>
    <row r="535" s="207" customFormat="1" x14ac:dyDescent="0.2"/>
    <row r="536" s="207" customFormat="1" x14ac:dyDescent="0.2"/>
    <row r="537" s="207" customFormat="1" x14ac:dyDescent="0.2"/>
    <row r="538" s="207" customFormat="1" x14ac:dyDescent="0.2"/>
    <row r="539" s="207" customFormat="1" x14ac:dyDescent="0.2"/>
    <row r="540" s="207" customFormat="1" x14ac:dyDescent="0.2"/>
    <row r="541" s="207" customFormat="1" x14ac:dyDescent="0.2"/>
    <row r="542" s="207" customFormat="1" x14ac:dyDescent="0.2"/>
    <row r="543" s="207" customFormat="1" x14ac:dyDescent="0.2"/>
    <row r="544" s="207" customFormat="1" x14ac:dyDescent="0.2"/>
    <row r="545" s="207" customFormat="1" x14ac:dyDescent="0.2"/>
    <row r="546" s="207" customFormat="1" x14ac:dyDescent="0.2"/>
    <row r="547" s="207" customFormat="1" x14ac:dyDescent="0.2"/>
    <row r="548" s="207" customFormat="1" x14ac:dyDescent="0.2"/>
    <row r="549" s="207" customFormat="1" x14ac:dyDescent="0.2"/>
    <row r="550" s="207" customFormat="1" x14ac:dyDescent="0.2"/>
    <row r="551" s="207" customFormat="1" x14ac:dyDescent="0.2"/>
    <row r="552" s="207" customFormat="1" x14ac:dyDescent="0.2"/>
    <row r="553" s="207" customFormat="1" x14ac:dyDescent="0.2"/>
    <row r="554" s="207" customFormat="1" x14ac:dyDescent="0.2"/>
    <row r="555" s="207" customFormat="1" x14ac:dyDescent="0.2"/>
    <row r="556" s="207" customFormat="1" x14ac:dyDescent="0.2"/>
    <row r="557" s="207" customFormat="1" x14ac:dyDescent="0.2"/>
    <row r="558" s="207" customFormat="1" x14ac:dyDescent="0.2"/>
    <row r="559" s="207" customFormat="1" x14ac:dyDescent="0.2"/>
    <row r="560" s="207" customFormat="1" x14ac:dyDescent="0.2"/>
    <row r="561" s="207" customFormat="1" x14ac:dyDescent="0.2"/>
    <row r="562" s="207" customFormat="1" x14ac:dyDescent="0.2"/>
    <row r="563" s="207" customFormat="1" x14ac:dyDescent="0.2"/>
    <row r="564" s="207" customFormat="1" x14ac:dyDescent="0.2"/>
    <row r="565" s="207" customFormat="1" x14ac:dyDescent="0.2"/>
    <row r="566" s="207" customFormat="1" x14ac:dyDescent="0.2"/>
    <row r="567" s="207" customFormat="1" x14ac:dyDescent="0.2"/>
    <row r="568" s="207" customFormat="1" x14ac:dyDescent="0.2"/>
    <row r="569" s="207" customFormat="1" x14ac:dyDescent="0.2"/>
    <row r="570" s="207" customFormat="1" x14ac:dyDescent="0.2"/>
    <row r="571" s="207" customFormat="1" x14ac:dyDescent="0.2"/>
    <row r="572" s="207" customFormat="1" x14ac:dyDescent="0.2"/>
    <row r="573" s="207" customFormat="1" x14ac:dyDescent="0.2"/>
    <row r="574" s="207" customFormat="1" x14ac:dyDescent="0.2"/>
    <row r="575" s="207" customFormat="1" x14ac:dyDescent="0.2"/>
    <row r="576" s="207" customFormat="1" x14ac:dyDescent="0.2"/>
    <row r="577" s="207" customFormat="1" x14ac:dyDescent="0.2"/>
    <row r="578" s="207" customFormat="1" x14ac:dyDescent="0.2"/>
    <row r="579" s="207" customFormat="1" x14ac:dyDescent="0.2"/>
    <row r="580" s="207" customFormat="1" x14ac:dyDescent="0.2"/>
    <row r="581" s="207" customFormat="1" x14ac:dyDescent="0.2"/>
    <row r="582" s="207" customFormat="1" x14ac:dyDescent="0.2"/>
    <row r="583" s="207" customFormat="1" x14ac:dyDescent="0.2"/>
    <row r="584" s="207" customFormat="1" x14ac:dyDescent="0.2"/>
    <row r="585" s="207" customFormat="1" x14ac:dyDescent="0.2"/>
    <row r="586" s="207" customFormat="1" x14ac:dyDescent="0.2"/>
    <row r="587" s="207" customFormat="1" x14ac:dyDescent="0.2"/>
    <row r="588" s="207" customFormat="1" x14ac:dyDescent="0.2"/>
    <row r="589" s="207" customFormat="1" x14ac:dyDescent="0.2"/>
    <row r="590" s="207" customFormat="1" x14ac:dyDescent="0.2"/>
    <row r="591" s="207" customFormat="1" x14ac:dyDescent="0.2"/>
    <row r="592" s="207" customFormat="1" x14ac:dyDescent="0.2"/>
    <row r="593" s="207" customFormat="1" x14ac:dyDescent="0.2"/>
    <row r="594" s="207" customFormat="1" x14ac:dyDescent="0.2"/>
    <row r="595" s="207" customFormat="1" x14ac:dyDescent="0.2"/>
    <row r="596" s="207" customFormat="1" x14ac:dyDescent="0.2"/>
    <row r="597" s="207" customFormat="1" x14ac:dyDescent="0.2"/>
    <row r="598" s="207" customFormat="1" x14ac:dyDescent="0.2"/>
    <row r="599" s="207" customFormat="1" x14ac:dyDescent="0.2"/>
    <row r="600" s="207" customFormat="1" x14ac:dyDescent="0.2"/>
    <row r="601" s="207" customFormat="1" x14ac:dyDescent="0.2"/>
    <row r="602" s="207" customFormat="1" x14ac:dyDescent="0.2"/>
    <row r="603" s="207" customFormat="1" x14ac:dyDescent="0.2"/>
    <row r="604" s="207" customFormat="1" x14ac:dyDescent="0.2"/>
    <row r="605" s="207" customFormat="1" x14ac:dyDescent="0.2"/>
    <row r="606" s="207" customFormat="1" x14ac:dyDescent="0.2"/>
    <row r="607" s="207" customFormat="1" x14ac:dyDescent="0.2"/>
    <row r="608" s="207" customFormat="1" x14ac:dyDescent="0.2"/>
    <row r="609" s="207" customFormat="1" x14ac:dyDescent="0.2"/>
    <row r="610" s="207" customFormat="1" x14ac:dyDescent="0.2"/>
    <row r="611" s="207" customFormat="1" x14ac:dyDescent="0.2"/>
    <row r="612" s="207" customFormat="1" x14ac:dyDescent="0.2"/>
    <row r="613" s="207" customFormat="1" x14ac:dyDescent="0.2"/>
    <row r="614" s="207" customFormat="1" x14ac:dyDescent="0.2"/>
    <row r="615" s="207" customFormat="1" x14ac:dyDescent="0.2"/>
    <row r="616" s="207" customFormat="1" x14ac:dyDescent="0.2"/>
    <row r="617" s="207" customFormat="1" x14ac:dyDescent="0.2"/>
    <row r="618" s="207" customFormat="1" x14ac:dyDescent="0.2"/>
    <row r="619" s="207" customFormat="1" x14ac:dyDescent="0.2"/>
    <row r="620" s="207" customFormat="1" x14ac:dyDescent="0.2"/>
    <row r="621" s="207" customFormat="1" x14ac:dyDescent="0.2"/>
    <row r="622" s="207" customFormat="1" x14ac:dyDescent="0.2"/>
    <row r="623" s="207" customFormat="1" x14ac:dyDescent="0.2"/>
    <row r="624" s="207" customFormat="1" x14ac:dyDescent="0.2"/>
    <row r="625" s="207" customFormat="1" x14ac:dyDescent="0.2"/>
    <row r="626" s="207" customFormat="1" x14ac:dyDescent="0.2"/>
    <row r="627" s="207" customFormat="1" x14ac:dyDescent="0.2"/>
    <row r="628" s="207" customFormat="1" x14ac:dyDescent="0.2"/>
    <row r="629" s="207" customFormat="1" x14ac:dyDescent="0.2"/>
    <row r="630" s="207" customFormat="1" x14ac:dyDescent="0.2"/>
    <row r="631" s="207" customFormat="1" x14ac:dyDescent="0.2"/>
    <row r="632" s="207" customFormat="1" x14ac:dyDescent="0.2"/>
    <row r="633" s="207" customFormat="1" x14ac:dyDescent="0.2"/>
    <row r="634" s="207" customFormat="1" x14ac:dyDescent="0.2"/>
    <row r="635" s="207" customFormat="1" x14ac:dyDescent="0.2"/>
    <row r="636" s="207" customFormat="1" x14ac:dyDescent="0.2"/>
    <row r="637" s="207" customFormat="1" x14ac:dyDescent="0.2"/>
    <row r="638" s="207" customFormat="1" x14ac:dyDescent="0.2"/>
    <row r="639" s="207" customFormat="1" x14ac:dyDescent="0.2"/>
    <row r="640" s="207" customFormat="1" x14ac:dyDescent="0.2"/>
    <row r="641" s="207" customFormat="1" x14ac:dyDescent="0.2"/>
    <row r="642" s="207" customFormat="1" x14ac:dyDescent="0.2"/>
    <row r="643" s="207" customFormat="1" x14ac:dyDescent="0.2"/>
    <row r="644" s="207" customFormat="1" x14ac:dyDescent="0.2"/>
    <row r="645" s="207" customFormat="1" x14ac:dyDescent="0.2"/>
    <row r="646" s="207" customFormat="1" x14ac:dyDescent="0.2"/>
    <row r="647" s="207" customFormat="1" x14ac:dyDescent="0.2"/>
    <row r="648" s="207" customFormat="1" x14ac:dyDescent="0.2"/>
    <row r="649" s="207" customFormat="1" x14ac:dyDescent="0.2"/>
    <row r="650" s="207" customFormat="1" x14ac:dyDescent="0.2"/>
    <row r="651" s="207" customFormat="1" x14ac:dyDescent="0.2"/>
    <row r="652" s="207" customFormat="1" x14ac:dyDescent="0.2"/>
    <row r="653" s="207" customFormat="1" x14ac:dyDescent="0.2"/>
    <row r="654" s="207" customFormat="1" x14ac:dyDescent="0.2"/>
    <row r="655" s="207" customFormat="1" x14ac:dyDescent="0.2"/>
    <row r="656" s="207" customFormat="1" x14ac:dyDescent="0.2"/>
    <row r="657" s="207" customFormat="1" x14ac:dyDescent="0.2"/>
    <row r="658" s="207" customFormat="1" x14ac:dyDescent="0.2"/>
    <row r="659" s="207" customFormat="1" x14ac:dyDescent="0.2"/>
    <row r="660" s="207" customFormat="1" x14ac:dyDescent="0.2"/>
    <row r="661" s="207" customFormat="1" x14ac:dyDescent="0.2"/>
    <row r="662" s="207" customFormat="1" x14ac:dyDescent="0.2"/>
    <row r="663" s="207" customFormat="1" x14ac:dyDescent="0.2"/>
    <row r="664" s="207" customFormat="1" x14ac:dyDescent="0.2"/>
    <row r="665" s="207" customFormat="1" x14ac:dyDescent="0.2"/>
    <row r="666" s="207" customFormat="1" x14ac:dyDescent="0.2"/>
    <row r="667" s="207" customFormat="1" x14ac:dyDescent="0.2"/>
    <row r="668" s="207" customFormat="1" x14ac:dyDescent="0.2"/>
    <row r="669" s="207" customFormat="1" x14ac:dyDescent="0.2"/>
    <row r="670" s="207" customFormat="1" x14ac:dyDescent="0.2"/>
    <row r="671" s="207" customFormat="1" x14ac:dyDescent="0.2"/>
    <row r="672" s="207" customFormat="1" x14ac:dyDescent="0.2"/>
    <row r="673" s="207" customFormat="1" x14ac:dyDescent="0.2"/>
    <row r="674" s="207" customFormat="1" x14ac:dyDescent="0.2"/>
    <row r="675" s="207" customFormat="1" x14ac:dyDescent="0.2"/>
    <row r="676" s="207" customFormat="1" x14ac:dyDescent="0.2"/>
    <row r="677" s="207" customFormat="1" x14ac:dyDescent="0.2"/>
    <row r="678" s="207" customFormat="1" x14ac:dyDescent="0.2"/>
    <row r="679" s="207" customFormat="1" x14ac:dyDescent="0.2"/>
    <row r="680" s="207" customFormat="1" x14ac:dyDescent="0.2"/>
    <row r="681" s="207" customFormat="1" x14ac:dyDescent="0.2"/>
    <row r="682" s="207" customFormat="1" x14ac:dyDescent="0.2"/>
    <row r="683" s="207" customFormat="1" x14ac:dyDescent="0.2"/>
    <row r="684" s="207" customFormat="1" x14ac:dyDescent="0.2"/>
    <row r="685" s="207" customFormat="1" x14ac:dyDescent="0.2"/>
    <row r="686" s="207" customFormat="1" x14ac:dyDescent="0.2"/>
    <row r="687" s="207" customFormat="1" x14ac:dyDescent="0.2"/>
    <row r="688" s="207" customFormat="1" x14ac:dyDescent="0.2"/>
    <row r="689" s="207" customFormat="1" x14ac:dyDescent="0.2"/>
    <row r="690" s="207" customFormat="1" x14ac:dyDescent="0.2"/>
    <row r="691" s="207" customFormat="1" x14ac:dyDescent="0.2"/>
    <row r="692" s="207" customFormat="1" x14ac:dyDescent="0.2"/>
    <row r="693" s="207" customFormat="1" x14ac:dyDescent="0.2"/>
    <row r="694" s="207" customFormat="1" x14ac:dyDescent="0.2"/>
    <row r="695" s="207" customFormat="1" x14ac:dyDescent="0.2"/>
    <row r="696" s="207" customFormat="1" x14ac:dyDescent="0.2"/>
    <row r="697" s="207" customFormat="1" x14ac:dyDescent="0.2"/>
    <row r="698" s="207" customFormat="1" x14ac:dyDescent="0.2"/>
    <row r="699" s="207" customFormat="1" x14ac:dyDescent="0.2"/>
    <row r="700" s="207" customFormat="1" x14ac:dyDescent="0.2"/>
    <row r="701" s="207" customFormat="1" x14ac:dyDescent="0.2"/>
    <row r="702" s="207" customFormat="1" x14ac:dyDescent="0.2"/>
    <row r="703" s="207" customFormat="1" x14ac:dyDescent="0.2"/>
    <row r="704" s="207" customFormat="1" x14ac:dyDescent="0.2"/>
    <row r="705" s="207" customFormat="1" x14ac:dyDescent="0.2"/>
    <row r="706" s="207" customFormat="1" x14ac:dyDescent="0.2"/>
    <row r="707" s="207" customFormat="1" x14ac:dyDescent="0.2"/>
    <row r="708" s="207" customFormat="1" x14ac:dyDescent="0.2"/>
    <row r="709" s="207" customFormat="1" x14ac:dyDescent="0.2"/>
    <row r="710" s="207" customFormat="1" x14ac:dyDescent="0.2"/>
    <row r="711" s="207" customFormat="1" x14ac:dyDescent="0.2"/>
    <row r="712" s="207" customFormat="1" x14ac:dyDescent="0.2"/>
    <row r="713" s="207" customFormat="1" x14ac:dyDescent="0.2"/>
    <row r="714" s="207" customFormat="1" x14ac:dyDescent="0.2"/>
    <row r="715" s="207" customFormat="1" x14ac:dyDescent="0.2"/>
    <row r="716" s="207" customFormat="1" x14ac:dyDescent="0.2"/>
    <row r="717" s="207" customFormat="1" x14ac:dyDescent="0.2"/>
    <row r="718" s="207" customFormat="1" x14ac:dyDescent="0.2"/>
    <row r="719" s="207" customFormat="1" x14ac:dyDescent="0.2"/>
    <row r="720" s="207" customFormat="1" x14ac:dyDescent="0.2"/>
    <row r="721" s="207" customFormat="1" x14ac:dyDescent="0.2"/>
    <row r="722" s="207" customFormat="1" x14ac:dyDescent="0.2"/>
    <row r="723" s="207" customFormat="1" x14ac:dyDescent="0.2"/>
    <row r="724" s="207" customFormat="1" x14ac:dyDescent="0.2"/>
    <row r="725" s="207" customFormat="1" x14ac:dyDescent="0.2"/>
    <row r="726" s="207" customFormat="1" x14ac:dyDescent="0.2"/>
    <row r="727" s="207" customFormat="1" x14ac:dyDescent="0.2"/>
    <row r="728" s="207" customFormat="1" x14ac:dyDescent="0.2"/>
    <row r="729" s="207" customFormat="1" x14ac:dyDescent="0.2"/>
    <row r="730" s="207" customFormat="1" x14ac:dyDescent="0.2"/>
    <row r="731" s="207" customFormat="1" x14ac:dyDescent="0.2"/>
    <row r="732" s="207" customFormat="1" x14ac:dyDescent="0.2"/>
    <row r="733" s="207" customFormat="1" x14ac:dyDescent="0.2"/>
    <row r="734" s="207" customFormat="1" x14ac:dyDescent="0.2"/>
    <row r="735" s="207" customFormat="1" x14ac:dyDescent="0.2"/>
    <row r="736" s="207" customFormat="1" x14ac:dyDescent="0.2"/>
    <row r="737" s="207" customFormat="1" x14ac:dyDescent="0.2"/>
    <row r="738" s="207" customFormat="1" x14ac:dyDescent="0.2"/>
    <row r="739" s="207" customFormat="1" x14ac:dyDescent="0.2"/>
    <row r="740" s="207" customFormat="1" x14ac:dyDescent="0.2"/>
    <row r="741" s="207" customFormat="1" x14ac:dyDescent="0.2"/>
    <row r="742" s="207" customFormat="1" x14ac:dyDescent="0.2"/>
    <row r="743" s="207" customFormat="1" x14ac:dyDescent="0.2"/>
    <row r="744" s="207" customFormat="1" x14ac:dyDescent="0.2"/>
    <row r="745" s="207" customFormat="1" x14ac:dyDescent="0.2"/>
    <row r="746" s="207" customFormat="1" x14ac:dyDescent="0.2"/>
    <row r="747" s="207" customFormat="1" x14ac:dyDescent="0.2"/>
    <row r="748" s="207" customFormat="1" x14ac:dyDescent="0.2"/>
    <row r="749" s="207" customFormat="1" x14ac:dyDescent="0.2"/>
    <row r="750" s="207" customFormat="1" x14ac:dyDescent="0.2"/>
    <row r="751" s="207" customFormat="1" x14ac:dyDescent="0.2"/>
    <row r="752" s="207" customFormat="1" x14ac:dyDescent="0.2"/>
    <row r="753" s="207" customFormat="1" x14ac:dyDescent="0.2"/>
    <row r="754" s="207" customFormat="1" x14ac:dyDescent="0.2"/>
    <row r="755" s="207" customFormat="1" x14ac:dyDescent="0.2"/>
    <row r="756" s="207" customFormat="1" x14ac:dyDescent="0.2"/>
    <row r="757" s="207" customFormat="1" x14ac:dyDescent="0.2"/>
    <row r="758" s="207" customFormat="1" x14ac:dyDescent="0.2"/>
    <row r="759" s="207" customFormat="1" x14ac:dyDescent="0.2"/>
    <row r="760" s="207" customFormat="1" x14ac:dyDescent="0.2"/>
    <row r="761" s="207" customFormat="1" x14ac:dyDescent="0.2"/>
    <row r="762" s="207" customFormat="1" x14ac:dyDescent="0.2"/>
    <row r="763" s="207" customFormat="1" x14ac:dyDescent="0.2"/>
    <row r="764" s="207" customFormat="1" x14ac:dyDescent="0.2"/>
    <row r="765" s="207" customFormat="1" x14ac:dyDescent="0.2"/>
    <row r="766" s="207" customFormat="1" x14ac:dyDescent="0.2"/>
    <row r="767" s="207" customFormat="1" x14ac:dyDescent="0.2"/>
    <row r="768" s="207" customFormat="1" x14ac:dyDescent="0.2"/>
    <row r="769" s="207" customFormat="1" x14ac:dyDescent="0.2"/>
    <row r="770" s="207" customFormat="1" x14ac:dyDescent="0.2"/>
    <row r="771" s="207" customFormat="1" x14ac:dyDescent="0.2"/>
    <row r="772" s="207" customFormat="1" x14ac:dyDescent="0.2"/>
    <row r="773" s="207" customFormat="1" x14ac:dyDescent="0.2"/>
    <row r="774" s="207" customFormat="1" x14ac:dyDescent="0.2"/>
    <row r="775" s="207" customFormat="1" x14ac:dyDescent="0.2"/>
    <row r="776" s="207" customFormat="1" x14ac:dyDescent="0.2"/>
    <row r="777" s="207" customFormat="1" x14ac:dyDescent="0.2"/>
    <row r="778" s="207" customFormat="1" x14ac:dyDescent="0.2"/>
    <row r="779" s="207" customFormat="1" x14ac:dyDescent="0.2"/>
    <row r="780" s="207" customFormat="1" x14ac:dyDescent="0.2"/>
    <row r="781" s="207" customFormat="1" x14ac:dyDescent="0.2"/>
    <row r="782" s="207" customFormat="1" x14ac:dyDescent="0.2"/>
    <row r="783" s="207" customFormat="1" x14ac:dyDescent="0.2"/>
    <row r="784" s="207" customFormat="1" x14ac:dyDescent="0.2"/>
    <row r="785" s="207" customFormat="1" x14ac:dyDescent="0.2"/>
    <row r="786" s="207" customFormat="1" x14ac:dyDescent="0.2"/>
    <row r="787" s="207" customFormat="1" x14ac:dyDescent="0.2"/>
    <row r="788" s="207" customFormat="1" x14ac:dyDescent="0.2"/>
    <row r="789" s="207" customFormat="1" x14ac:dyDescent="0.2"/>
    <row r="790" s="207" customFormat="1" x14ac:dyDescent="0.2"/>
    <row r="791" s="207" customFormat="1" x14ac:dyDescent="0.2"/>
    <row r="792" s="207" customFormat="1" x14ac:dyDescent="0.2"/>
    <row r="793" s="207" customFormat="1" x14ac:dyDescent="0.2"/>
    <row r="794" s="207" customFormat="1" x14ac:dyDescent="0.2"/>
    <row r="795" s="207" customFormat="1" x14ac:dyDescent="0.2"/>
    <row r="796" s="207" customFormat="1" x14ac:dyDescent="0.2"/>
    <row r="797" s="207" customFormat="1" x14ac:dyDescent="0.2"/>
    <row r="798" s="207" customFormat="1" x14ac:dyDescent="0.2"/>
    <row r="799" s="207" customFormat="1" x14ac:dyDescent="0.2"/>
    <row r="800" s="207" customFormat="1" x14ac:dyDescent="0.2"/>
    <row r="801" s="207" customFormat="1" x14ac:dyDescent="0.2"/>
    <row r="802" s="207" customFormat="1" x14ac:dyDescent="0.2"/>
    <row r="803" s="207" customFormat="1" x14ac:dyDescent="0.2"/>
    <row r="804" s="207" customFormat="1" x14ac:dyDescent="0.2"/>
    <row r="805" s="207" customFormat="1" x14ac:dyDescent="0.2"/>
    <row r="806" s="207" customFormat="1" x14ac:dyDescent="0.2"/>
    <row r="807" s="207" customFormat="1" x14ac:dyDescent="0.2"/>
    <row r="808" s="207" customFormat="1" x14ac:dyDescent="0.2"/>
    <row r="809" s="207" customFormat="1" x14ac:dyDescent="0.2"/>
    <row r="810" s="207" customFormat="1" x14ac:dyDescent="0.2"/>
    <row r="811" s="207" customFormat="1" x14ac:dyDescent="0.2"/>
    <row r="812" s="207" customFormat="1" x14ac:dyDescent="0.2"/>
    <row r="813" s="207" customFormat="1" x14ac:dyDescent="0.2"/>
    <row r="814" s="207" customFormat="1" x14ac:dyDescent="0.2"/>
    <row r="815" s="207" customFormat="1" x14ac:dyDescent="0.2"/>
    <row r="816" s="207" customFormat="1" x14ac:dyDescent="0.2"/>
    <row r="817" s="207" customFormat="1" x14ac:dyDescent="0.2"/>
    <row r="818" s="207" customFormat="1" x14ac:dyDescent="0.2"/>
    <row r="819" s="207" customFormat="1" x14ac:dyDescent="0.2"/>
    <row r="820" s="207" customFormat="1" x14ac:dyDescent="0.2"/>
    <row r="821" s="207" customFormat="1" x14ac:dyDescent="0.2"/>
    <row r="822" s="207" customFormat="1" x14ac:dyDescent="0.2"/>
    <row r="823" s="207" customFormat="1" x14ac:dyDescent="0.2"/>
    <row r="824" s="207" customFormat="1" x14ac:dyDescent="0.2"/>
    <row r="825" s="207" customFormat="1" x14ac:dyDescent="0.2"/>
    <row r="826" s="207" customFormat="1" x14ac:dyDescent="0.2"/>
    <row r="827" s="207" customFormat="1" x14ac:dyDescent="0.2"/>
    <row r="828" s="207" customFormat="1" x14ac:dyDescent="0.2"/>
    <row r="829" s="207" customFormat="1" x14ac:dyDescent="0.2"/>
    <row r="830" s="207" customFormat="1" x14ac:dyDescent="0.2"/>
    <row r="831" s="207" customFormat="1" x14ac:dyDescent="0.2"/>
    <row r="832" s="207" customFormat="1" x14ac:dyDescent="0.2"/>
    <row r="833" s="207" customFormat="1" x14ac:dyDescent="0.2"/>
    <row r="834" s="207" customFormat="1" x14ac:dyDescent="0.2"/>
    <row r="835" s="207" customFormat="1" x14ac:dyDescent="0.2"/>
    <row r="836" s="207" customFormat="1" x14ac:dyDescent="0.2"/>
    <row r="837" s="207" customFormat="1" x14ac:dyDescent="0.2"/>
    <row r="838" s="207" customFormat="1" x14ac:dyDescent="0.2"/>
    <row r="839" s="207" customFormat="1" x14ac:dyDescent="0.2"/>
    <row r="840" s="207" customFormat="1" x14ac:dyDescent="0.2"/>
    <row r="841" s="207" customFormat="1" x14ac:dyDescent="0.2"/>
    <row r="842" s="207" customFormat="1" x14ac:dyDescent="0.2"/>
    <row r="843" s="207" customFormat="1" x14ac:dyDescent="0.2"/>
    <row r="844" s="207" customFormat="1" x14ac:dyDescent="0.2"/>
    <row r="845" s="207" customFormat="1" x14ac:dyDescent="0.2"/>
    <row r="846" s="207" customFormat="1" x14ac:dyDescent="0.2"/>
    <row r="847" s="207" customFormat="1" x14ac:dyDescent="0.2"/>
    <row r="848" s="207" customFormat="1" x14ac:dyDescent="0.2"/>
    <row r="849" s="207" customFormat="1" x14ac:dyDescent="0.2"/>
    <row r="850" s="207" customFormat="1" x14ac:dyDescent="0.2"/>
    <row r="851" s="207" customFormat="1" x14ac:dyDescent="0.2"/>
    <row r="852" s="207" customFormat="1" x14ac:dyDescent="0.2"/>
    <row r="853" s="207" customFormat="1" x14ac:dyDescent="0.2"/>
    <row r="854" s="207" customFormat="1" x14ac:dyDescent="0.2"/>
    <row r="855" s="207" customFormat="1" x14ac:dyDescent="0.2"/>
    <row r="856" s="207" customFormat="1" x14ac:dyDescent="0.2"/>
    <row r="857" s="207" customFormat="1" x14ac:dyDescent="0.2"/>
    <row r="858" s="207" customFormat="1" x14ac:dyDescent="0.2"/>
    <row r="859" s="207" customFormat="1" x14ac:dyDescent="0.2"/>
    <row r="860" s="207" customFormat="1" x14ac:dyDescent="0.2"/>
    <row r="861" s="207" customFormat="1" x14ac:dyDescent="0.2"/>
    <row r="862" s="207" customFormat="1" x14ac:dyDescent="0.2"/>
    <row r="863" s="207" customFormat="1" x14ac:dyDescent="0.2"/>
    <row r="864" s="207" customFormat="1" x14ac:dyDescent="0.2"/>
    <row r="865" s="207" customFormat="1" x14ac:dyDescent="0.2"/>
    <row r="866" s="207" customFormat="1" x14ac:dyDescent="0.2"/>
    <row r="867" s="207" customFormat="1" x14ac:dyDescent="0.2"/>
    <row r="868" s="207" customFormat="1" x14ac:dyDescent="0.2"/>
    <row r="869" s="207" customFormat="1" x14ac:dyDescent="0.2"/>
    <row r="870" s="207" customFormat="1" x14ac:dyDescent="0.2"/>
    <row r="871" s="207" customFormat="1" x14ac:dyDescent="0.2"/>
    <row r="872" s="207" customFormat="1" x14ac:dyDescent="0.2"/>
    <row r="873" s="207" customFormat="1" x14ac:dyDescent="0.2"/>
    <row r="874" s="207" customFormat="1" x14ac:dyDescent="0.2"/>
    <row r="875" s="207" customFormat="1" x14ac:dyDescent="0.2"/>
    <row r="876" s="207" customFormat="1" x14ac:dyDescent="0.2"/>
    <row r="877" s="207" customFormat="1" x14ac:dyDescent="0.2"/>
    <row r="878" s="207" customFormat="1" x14ac:dyDescent="0.2"/>
    <row r="879" s="207" customFormat="1" x14ac:dyDescent="0.2"/>
    <row r="880" s="207" customFormat="1" x14ac:dyDescent="0.2"/>
    <row r="881" s="207" customFormat="1" x14ac:dyDescent="0.2"/>
    <row r="882" s="207" customFormat="1" x14ac:dyDescent="0.2"/>
    <row r="883" s="207" customFormat="1" x14ac:dyDescent="0.2"/>
    <row r="884" s="207" customFormat="1" x14ac:dyDescent="0.2"/>
    <row r="885" s="207" customFormat="1" x14ac:dyDescent="0.2"/>
    <row r="886" s="207" customFormat="1" x14ac:dyDescent="0.2"/>
    <row r="887" s="207" customFormat="1" x14ac:dyDescent="0.2"/>
    <row r="888" s="207" customFormat="1" x14ac:dyDescent="0.2"/>
    <row r="889" s="207" customFormat="1" x14ac:dyDescent="0.2"/>
    <row r="890" s="207" customFormat="1" x14ac:dyDescent="0.2"/>
    <row r="891" s="207" customFormat="1" x14ac:dyDescent="0.2"/>
    <row r="892" s="207" customFormat="1" x14ac:dyDescent="0.2"/>
    <row r="893" s="207" customFormat="1" x14ac:dyDescent="0.2"/>
    <row r="894" s="207" customFormat="1" x14ac:dyDescent="0.2"/>
    <row r="895" s="207" customFormat="1" x14ac:dyDescent="0.2"/>
    <row r="896" s="207" customFormat="1" x14ac:dyDescent="0.2"/>
    <row r="897" s="207" customFormat="1" x14ac:dyDescent="0.2"/>
    <row r="898" s="207" customFormat="1" x14ac:dyDescent="0.2"/>
    <row r="899" s="207" customFormat="1" x14ac:dyDescent="0.2"/>
    <row r="900" s="207" customFormat="1" x14ac:dyDescent="0.2"/>
    <row r="901" s="207" customFormat="1" x14ac:dyDescent="0.2"/>
    <row r="902" s="207" customFormat="1" x14ac:dyDescent="0.2"/>
    <row r="903" s="207" customFormat="1" x14ac:dyDescent="0.2"/>
    <row r="904" s="207" customFormat="1" x14ac:dyDescent="0.2"/>
    <row r="905" s="207" customFormat="1" x14ac:dyDescent="0.2"/>
    <row r="906" s="207" customFormat="1" x14ac:dyDescent="0.2"/>
    <row r="907" s="207" customFormat="1" x14ac:dyDescent="0.2"/>
    <row r="908" s="207" customFormat="1" x14ac:dyDescent="0.2"/>
    <row r="909" s="207" customFormat="1" x14ac:dyDescent="0.2"/>
  </sheetData>
  <autoFilter ref="B6:F6" xr:uid="{6DDD5E99-2C22-4364-A0B4-C7E109AFF75E}"/>
  <mergeCells count="4">
    <mergeCell ref="F5:Y5"/>
    <mergeCell ref="AA5:AT5"/>
    <mergeCell ref="AV5:BO5"/>
    <mergeCell ref="BQ5:CJ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9014-08C9-42CF-B746-27211C3E0F72}">
  <sheetPr codeName="Sheet7">
    <tabColor theme="5"/>
  </sheetPr>
  <dimension ref="A1:EH39"/>
  <sheetViews>
    <sheetView showGridLines="0" zoomScale="80" zoomScaleNormal="80" workbookViewId="0">
      <pane xSplit="6" ySplit="7" topLeftCell="G8" activePane="bottomRight" state="frozen"/>
      <selection activeCell="N2" sqref="N2"/>
      <selection pane="topRight" activeCell="N2" sqref="N2"/>
      <selection pane="bottomLeft" activeCell="N2" sqref="N2"/>
      <selection pane="bottomRight" activeCell="A2" sqref="A2"/>
    </sheetView>
  </sheetViews>
  <sheetFormatPr defaultColWidth="8" defaultRowHeight="12.75" x14ac:dyDescent="0.2"/>
  <cols>
    <col min="1" max="1" width="2.625" style="1" customWidth="1"/>
    <col min="2" max="2" width="12.25" style="1" customWidth="1"/>
    <col min="3" max="3" width="10.75" style="1" customWidth="1"/>
    <col min="4" max="4" width="7" style="1" customWidth="1"/>
    <col min="5" max="5" width="9.125" style="1" customWidth="1"/>
    <col min="6" max="7" width="11.25" style="1" customWidth="1"/>
    <col min="8" max="8" width="12.375" style="1" customWidth="1"/>
    <col min="9" max="9" width="12.875" style="1" customWidth="1"/>
    <col min="10" max="10" width="10.375" style="1" customWidth="1"/>
    <col min="11" max="11" width="10" style="1" customWidth="1"/>
    <col min="12" max="12" width="9.75" style="1" customWidth="1"/>
    <col min="13" max="13" width="12.125" style="1" customWidth="1"/>
    <col min="14" max="14" width="11.875" style="1" customWidth="1"/>
    <col min="15" max="15" width="12.375" style="1" customWidth="1"/>
    <col min="16" max="17" width="11.875" style="1" customWidth="1"/>
    <col min="18" max="18" width="2.5" style="1" customWidth="1"/>
    <col min="19" max="20" width="11.375" style="1" customWidth="1"/>
    <col min="21" max="21" width="12.5" style="1" customWidth="1"/>
    <col min="22" max="42" width="8" style="1" customWidth="1"/>
    <col min="43" max="43" width="9.875" style="1" customWidth="1"/>
    <col min="44" max="44" width="9.25" style="1" customWidth="1"/>
    <col min="45" max="45" width="9.125" style="1" customWidth="1"/>
    <col min="46" max="48" width="9.25" style="1" customWidth="1"/>
    <col min="49" max="50" width="9.875" style="1" customWidth="1"/>
    <col min="51" max="51" width="10.125" style="1" customWidth="1"/>
    <col min="52" max="53" width="9.25" style="1" customWidth="1"/>
    <col min="54" max="54" width="9.5" style="1" customWidth="1"/>
    <col min="55" max="55" width="9.75" style="1" customWidth="1"/>
    <col min="56" max="56" width="9.25" style="1" customWidth="1"/>
    <col min="57" max="57" width="9.5" style="1" customWidth="1"/>
    <col min="58" max="60" width="9" style="1" customWidth="1"/>
    <col min="61" max="61" width="9.875" style="1" customWidth="1"/>
    <col min="62" max="62" width="9.5" style="1" customWidth="1"/>
    <col min="63" max="63" width="9.125" style="1" customWidth="1"/>
    <col min="64" max="64" width="9.875" style="1" customWidth="1"/>
    <col min="65" max="65" width="9.125" style="1" customWidth="1"/>
    <col min="66" max="66" width="9.875" style="1" customWidth="1"/>
    <col min="67" max="67" width="9.75" style="1" customWidth="1"/>
    <col min="68" max="68" width="9.875" style="1" customWidth="1"/>
    <col min="69" max="69" width="10.125" style="1" customWidth="1"/>
    <col min="70" max="70" width="9.875" style="1" customWidth="1"/>
    <col min="71" max="71" width="10.125" style="1" customWidth="1"/>
    <col min="72" max="74" width="9.75" style="1" customWidth="1"/>
    <col min="75" max="75" width="9.125" style="1" customWidth="1"/>
    <col min="76" max="76" width="9.75" style="1" customWidth="1"/>
    <col min="77" max="77" width="9.5" style="1" customWidth="1"/>
    <col min="78" max="78" width="9" style="1" customWidth="1"/>
    <col min="79" max="79" width="10.25" style="1" customWidth="1"/>
    <col min="80" max="80" width="10.125" style="1" customWidth="1"/>
    <col min="81" max="81" width="9.75" style="1" customWidth="1"/>
    <col min="82" max="82" width="9.5" style="1" customWidth="1"/>
    <col min="83" max="83" width="9.25" style="1" customWidth="1"/>
    <col min="84" max="84" width="9.75" style="1" customWidth="1"/>
    <col min="85" max="85" width="9.875" style="1" customWidth="1"/>
    <col min="86" max="86" width="9.75" style="1" customWidth="1"/>
    <col min="87" max="87" width="9.25" style="1" customWidth="1"/>
    <col min="88" max="88" width="9.125" style="1" customWidth="1"/>
    <col min="89" max="89" width="8.625" style="1" customWidth="1"/>
    <col min="90" max="91" width="9.5" style="1" customWidth="1"/>
    <col min="92" max="92" width="9.75" style="1" customWidth="1"/>
    <col min="93" max="93" width="9" style="1" customWidth="1"/>
    <col min="94" max="94" width="8.875" style="1" customWidth="1"/>
    <col min="95" max="97" width="9.5" style="1" customWidth="1"/>
    <col min="98" max="98" width="9.125" style="1" customWidth="1"/>
    <col min="99" max="99" width="8.375" style="1" customWidth="1"/>
    <col min="100" max="100" width="9.125" style="1" customWidth="1"/>
    <col min="101" max="101" width="8.875" style="1" customWidth="1"/>
    <col min="102" max="102" width="9.5" style="1" customWidth="1"/>
    <col min="103" max="103" width="9.25" style="1" customWidth="1"/>
    <col min="104" max="104" width="8.375" style="1" customWidth="1"/>
    <col min="105" max="105" width="8.875" style="1" customWidth="1"/>
    <col min="106" max="106" width="8" style="1" customWidth="1"/>
    <col min="107" max="107" width="9.375" style="1" customWidth="1"/>
    <col min="108" max="108" width="8.875" style="1" customWidth="1"/>
    <col min="109" max="109" width="9.125" style="1" customWidth="1"/>
    <col min="110" max="110" width="8.75" style="1" customWidth="1"/>
    <col min="111" max="111" width="8.375" style="1" customWidth="1"/>
    <col min="112" max="112" width="8.25" style="1" customWidth="1"/>
    <col min="113" max="114" width="8.875" style="1" customWidth="1"/>
    <col min="115" max="115" width="9.625" style="1" customWidth="1"/>
    <col min="116" max="116" width="8.875" style="1" customWidth="1"/>
    <col min="117" max="117" width="9.125" style="1" customWidth="1"/>
    <col min="118" max="118" width="8.875" style="1" customWidth="1"/>
    <col min="119" max="119" width="9.125" style="1" customWidth="1"/>
    <col min="120" max="120" width="9.25" style="1" customWidth="1"/>
    <col min="121" max="121" width="9.125" style="1" customWidth="1"/>
    <col min="122" max="122" width="9.75" style="1" customWidth="1"/>
    <col min="123" max="123" width="9.5" style="1" customWidth="1"/>
    <col min="124" max="124" width="9.625" style="1" customWidth="1"/>
    <col min="125" max="125" width="10.125" style="1" customWidth="1"/>
    <col min="126" max="126" width="8.875" style="1" customWidth="1"/>
    <col min="127" max="127" width="8" customWidth="1"/>
    <col min="128" max="128" width="13.375" style="1" customWidth="1"/>
    <col min="129" max="129" width="2.5" style="1" customWidth="1"/>
    <col min="130" max="130" width="11.5" style="1" customWidth="1"/>
    <col min="131" max="131" width="13.75" style="1" customWidth="1"/>
    <col min="132" max="132" width="2.5" style="1" customWidth="1"/>
    <col min="133" max="133" width="13.875" style="1" customWidth="1"/>
    <col min="134" max="134" width="10.375" style="1" customWidth="1"/>
    <col min="135" max="135" width="6.875" style="1" customWidth="1"/>
    <col min="136" max="136" width="13.375" style="1" customWidth="1"/>
    <col min="137" max="137" width="5" style="1" customWidth="1"/>
    <col min="138" max="138" width="14.625" style="1" customWidth="1"/>
    <col min="139" max="16384" width="8" style="1"/>
  </cols>
  <sheetData>
    <row r="1" spans="1:138" ht="18.75" x14ac:dyDescent="0.3">
      <c r="A1" s="14" t="str">
        <f>bus</f>
        <v>Powercor</v>
      </c>
      <c r="B1" s="14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</row>
    <row r="2" spans="1:138" ht="18.75" x14ac:dyDescent="0.3">
      <c r="A2" s="165" t="str">
        <f>Summary!A2</f>
        <v>Quick connect points</v>
      </c>
      <c r="B2" s="46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</row>
    <row r="3" spans="1:138" ht="18.75" x14ac:dyDescent="0.3">
      <c r="A3" s="5"/>
      <c r="B3" s="5"/>
      <c r="C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EC3" s="107"/>
      <c r="EE3" s="2"/>
      <c r="EF3" s="108"/>
    </row>
    <row r="4" spans="1:138" ht="18.75" x14ac:dyDescent="0.3">
      <c r="A4" s="5"/>
      <c r="B4" s="217"/>
      <c r="C4"/>
      <c r="D4"/>
      <c r="E4"/>
      <c r="G4" s="218"/>
      <c r="H4"/>
      <c r="I4" s="207"/>
      <c r="J4" s="6"/>
      <c r="K4" s="6"/>
      <c r="L4" s="6"/>
      <c r="M4"/>
      <c r="N4" s="6"/>
      <c r="O4" s="6"/>
      <c r="P4" s="6"/>
      <c r="Q4"/>
      <c r="S4" s="191"/>
      <c r="T4" s="107"/>
      <c r="W4" s="191"/>
      <c r="DX4" s="109"/>
      <c r="DZ4" s="109"/>
      <c r="EA4" s="109"/>
      <c r="EC4" s="109"/>
    </row>
    <row r="5" spans="1:138" ht="25.5" x14ac:dyDescent="0.2">
      <c r="B5" s="151" t="s">
        <v>403</v>
      </c>
      <c r="C5" s="151" t="s">
        <v>302</v>
      </c>
      <c r="D5" s="152" t="s">
        <v>72</v>
      </c>
      <c r="E5" s="152" t="s">
        <v>403</v>
      </c>
      <c r="F5" s="152" t="s">
        <v>452</v>
      </c>
      <c r="G5" s="152" t="s">
        <v>452</v>
      </c>
      <c r="H5" s="152" t="s">
        <v>456</v>
      </c>
      <c r="I5" s="152" t="s">
        <v>406</v>
      </c>
      <c r="J5" s="152" t="s">
        <v>409</v>
      </c>
      <c r="K5" s="152" t="s">
        <v>409</v>
      </c>
      <c r="L5" s="152" t="s">
        <v>409</v>
      </c>
      <c r="M5" s="152" t="s">
        <v>413</v>
      </c>
      <c r="N5" s="152" t="s">
        <v>414</v>
      </c>
      <c r="O5" s="152" t="s">
        <v>414</v>
      </c>
      <c r="P5" s="152" t="s">
        <v>414</v>
      </c>
      <c r="Q5" s="152" t="s">
        <v>373</v>
      </c>
      <c r="S5" s="152" t="s">
        <v>321</v>
      </c>
      <c r="T5" s="152" t="s">
        <v>415</v>
      </c>
      <c r="U5" s="152" t="s">
        <v>415</v>
      </c>
      <c r="W5" s="191"/>
      <c r="DW5" s="136"/>
      <c r="DX5" s="137" t="s">
        <v>85</v>
      </c>
      <c r="DY5" s="138"/>
      <c r="DZ5" s="195" t="s">
        <v>85</v>
      </c>
      <c r="EA5" s="137" t="s">
        <v>85</v>
      </c>
      <c r="EB5" s="138"/>
      <c r="EC5" s="137" t="s">
        <v>85</v>
      </c>
      <c r="ED5" s="137" t="s">
        <v>85</v>
      </c>
      <c r="EF5" s="137" t="s">
        <v>85</v>
      </c>
      <c r="EH5" s="137" t="s">
        <v>465</v>
      </c>
    </row>
    <row r="6" spans="1:138" ht="38.25" x14ac:dyDescent="0.2">
      <c r="B6" s="151"/>
      <c r="C6" s="151"/>
      <c r="D6" s="152"/>
      <c r="E6" s="152" t="s">
        <v>453</v>
      </c>
      <c r="F6" s="152" t="s">
        <v>411</v>
      </c>
      <c r="G6" s="152" t="s">
        <v>412</v>
      </c>
      <c r="H6" s="152" t="s">
        <v>457</v>
      </c>
      <c r="I6" s="152" t="s">
        <v>407</v>
      </c>
      <c r="J6" s="152">
        <v>12</v>
      </c>
      <c r="K6" s="152">
        <v>24</v>
      </c>
      <c r="L6" s="152">
        <v>72</v>
      </c>
      <c r="M6" s="152" t="s">
        <v>407</v>
      </c>
      <c r="N6" s="152">
        <v>12</v>
      </c>
      <c r="O6" s="152">
        <v>24</v>
      </c>
      <c r="P6" s="152">
        <v>72</v>
      </c>
      <c r="Q6" s="152" t="s">
        <v>61</v>
      </c>
      <c r="S6" s="159"/>
      <c r="T6" s="159" t="s">
        <v>466</v>
      </c>
      <c r="U6" s="159" t="s">
        <v>467</v>
      </c>
      <c r="W6" s="150" t="s">
        <v>468</v>
      </c>
      <c r="X6" s="150"/>
      <c r="Y6" s="150"/>
      <c r="Z6" s="150"/>
      <c r="AA6" s="150"/>
      <c r="AB6" s="150"/>
      <c r="AC6" s="150"/>
      <c r="AD6" s="150"/>
      <c r="AE6" s="150"/>
      <c r="AF6" s="150"/>
      <c r="AG6" s="150"/>
      <c r="AH6" s="150"/>
      <c r="AI6" s="150"/>
      <c r="AJ6" s="150"/>
      <c r="AK6" s="150"/>
      <c r="AL6" s="150"/>
      <c r="AM6" s="150"/>
      <c r="AN6" s="150"/>
      <c r="AO6" s="150"/>
      <c r="AP6" s="150"/>
      <c r="AR6" s="150" t="s">
        <v>420</v>
      </c>
      <c r="AS6" s="150"/>
      <c r="AT6" s="150"/>
      <c r="AU6" s="150"/>
      <c r="AV6" s="150"/>
      <c r="AW6" s="150"/>
      <c r="AX6" s="150"/>
      <c r="AY6" s="150"/>
      <c r="AZ6" s="150"/>
      <c r="BA6" s="150"/>
      <c r="BB6" s="150"/>
      <c r="BC6" s="150"/>
      <c r="BD6" s="150"/>
      <c r="BE6" s="150"/>
      <c r="BF6" s="150"/>
      <c r="BG6" s="150"/>
      <c r="BH6" s="150"/>
      <c r="BI6" s="150"/>
      <c r="BJ6" s="150"/>
      <c r="BK6" s="150"/>
      <c r="BM6" s="150" t="s">
        <v>419</v>
      </c>
      <c r="BN6" s="150"/>
      <c r="BO6" s="150"/>
      <c r="BP6" s="150"/>
      <c r="BQ6" s="150"/>
      <c r="BR6" s="150"/>
      <c r="BS6" s="150"/>
      <c r="BT6" s="150"/>
      <c r="BU6" s="150"/>
      <c r="BV6" s="150"/>
      <c r="BW6" s="150"/>
      <c r="BX6" s="150"/>
      <c r="BY6" s="150"/>
      <c r="BZ6" s="150"/>
      <c r="CA6" s="150"/>
      <c r="CB6" s="150"/>
      <c r="CC6" s="150"/>
      <c r="CD6" s="150"/>
      <c r="CE6" s="150"/>
      <c r="CF6" s="150"/>
      <c r="CH6" s="150" t="s">
        <v>416</v>
      </c>
      <c r="CI6" s="150"/>
      <c r="CJ6" s="150"/>
      <c r="CK6" s="150"/>
      <c r="CL6" s="150"/>
      <c r="CM6" s="150"/>
      <c r="CN6" s="150"/>
      <c r="CO6" s="150"/>
      <c r="CP6" s="150"/>
      <c r="CQ6" s="150"/>
      <c r="CR6" s="150"/>
      <c r="CS6" s="150"/>
      <c r="CT6" s="150"/>
      <c r="CU6" s="150"/>
      <c r="CV6" s="150"/>
      <c r="CW6" s="150"/>
      <c r="CX6" s="150"/>
      <c r="CY6" s="150"/>
      <c r="CZ6" s="150"/>
      <c r="DA6" s="150"/>
      <c r="DC6" s="150" t="s">
        <v>459</v>
      </c>
      <c r="DD6" s="150"/>
      <c r="DE6" s="150"/>
      <c r="DF6" s="150"/>
      <c r="DG6" s="150"/>
      <c r="DH6" s="150"/>
      <c r="DI6" s="150"/>
      <c r="DJ6" s="150"/>
      <c r="DK6" s="150"/>
      <c r="DL6" s="150"/>
      <c r="DM6" s="150"/>
      <c r="DN6" s="150"/>
      <c r="DO6" s="150"/>
      <c r="DP6" s="150"/>
      <c r="DQ6" s="150"/>
      <c r="DR6" s="150"/>
      <c r="DS6" s="150"/>
      <c r="DT6" s="150"/>
      <c r="DU6" s="150"/>
      <c r="DV6" s="150"/>
      <c r="DW6" s="136"/>
      <c r="DX6" s="137" t="s">
        <v>360</v>
      </c>
      <c r="DY6" s="138"/>
      <c r="DZ6" s="195" t="s">
        <v>377</v>
      </c>
      <c r="EA6" s="137" t="s">
        <v>377</v>
      </c>
      <c r="EB6" s="138"/>
      <c r="EC6" s="137" t="s">
        <v>374</v>
      </c>
      <c r="ED6" s="137" t="s">
        <v>366</v>
      </c>
      <c r="EF6" s="137" t="s">
        <v>372</v>
      </c>
      <c r="EH6" s="137" t="s">
        <v>460</v>
      </c>
    </row>
    <row r="7" spans="1:138" s="93" customFormat="1" x14ac:dyDescent="0.2">
      <c r="B7" s="151"/>
      <c r="C7" s="151"/>
      <c r="D7" s="152"/>
      <c r="E7" s="152"/>
      <c r="F7" s="152" t="s">
        <v>454</v>
      </c>
      <c r="G7" s="152" t="s">
        <v>454</v>
      </c>
      <c r="H7" s="152" t="s">
        <v>408</v>
      </c>
      <c r="I7" s="152" t="s">
        <v>410</v>
      </c>
      <c r="J7" s="152">
        <v>24</v>
      </c>
      <c r="K7" s="152">
        <v>72</v>
      </c>
      <c r="L7" s="152"/>
      <c r="M7" s="152" t="s">
        <v>410</v>
      </c>
      <c r="N7" s="152">
        <v>24</v>
      </c>
      <c r="O7" s="152">
        <v>72</v>
      </c>
      <c r="P7" s="152"/>
      <c r="Q7" s="159" t="s">
        <v>378</v>
      </c>
      <c r="S7" s="159" t="s">
        <v>378</v>
      </c>
      <c r="T7" s="159" t="s">
        <v>421</v>
      </c>
      <c r="U7" s="159" t="s">
        <v>421</v>
      </c>
      <c r="W7" s="121" t="s">
        <v>48</v>
      </c>
      <c r="X7" s="121" t="s">
        <v>49</v>
      </c>
      <c r="Y7" s="121" t="s">
        <v>50</v>
      </c>
      <c r="Z7" s="121" t="s">
        <v>51</v>
      </c>
      <c r="AA7" s="121" t="s">
        <v>52</v>
      </c>
      <c r="AB7" s="121" t="s">
        <v>53</v>
      </c>
      <c r="AC7" s="121" t="s">
        <v>322</v>
      </c>
      <c r="AD7" s="121" t="s">
        <v>323</v>
      </c>
      <c r="AE7" s="121" t="s">
        <v>324</v>
      </c>
      <c r="AF7" s="121" t="s">
        <v>325</v>
      </c>
      <c r="AG7" s="121" t="s">
        <v>326</v>
      </c>
      <c r="AH7" s="121" t="s">
        <v>327</v>
      </c>
      <c r="AI7" s="121" t="s">
        <v>328</v>
      </c>
      <c r="AJ7" s="121" t="s">
        <v>329</v>
      </c>
      <c r="AK7" s="121" t="s">
        <v>330</v>
      </c>
      <c r="AL7" s="121" t="s">
        <v>331</v>
      </c>
      <c r="AM7" s="121" t="s">
        <v>332</v>
      </c>
      <c r="AN7" s="121" t="s">
        <v>333</v>
      </c>
      <c r="AO7" s="121" t="s">
        <v>334</v>
      </c>
      <c r="AP7" s="121" t="s">
        <v>349</v>
      </c>
      <c r="AR7" s="220" t="str">
        <f>W7</f>
        <v>2026-27</v>
      </c>
      <c r="AS7" s="220" t="str">
        <f t="shared" ref="AS7:BK7" si="0">X7</f>
        <v>2027-28</v>
      </c>
      <c r="AT7" s="220" t="str">
        <f t="shared" si="0"/>
        <v>2028-29</v>
      </c>
      <c r="AU7" s="220" t="str">
        <f t="shared" si="0"/>
        <v>2029-30</v>
      </c>
      <c r="AV7" s="220" t="str">
        <f t="shared" si="0"/>
        <v>2030-31</v>
      </c>
      <c r="AW7" s="220" t="str">
        <f t="shared" si="0"/>
        <v>2031-32</v>
      </c>
      <c r="AX7" s="220" t="str">
        <f t="shared" si="0"/>
        <v>2032-33</v>
      </c>
      <c r="AY7" s="220" t="str">
        <f t="shared" si="0"/>
        <v>2033-34</v>
      </c>
      <c r="AZ7" s="220" t="str">
        <f t="shared" si="0"/>
        <v>2034-35</v>
      </c>
      <c r="BA7" s="220" t="str">
        <f t="shared" si="0"/>
        <v>2035-36</v>
      </c>
      <c r="BB7" s="220" t="str">
        <f t="shared" si="0"/>
        <v>2036-37</v>
      </c>
      <c r="BC7" s="220" t="str">
        <f t="shared" si="0"/>
        <v>2037-38</v>
      </c>
      <c r="BD7" s="220" t="str">
        <f t="shared" si="0"/>
        <v>2038-39</v>
      </c>
      <c r="BE7" s="220" t="str">
        <f t="shared" si="0"/>
        <v>2039-40</v>
      </c>
      <c r="BF7" s="220" t="str">
        <f t="shared" si="0"/>
        <v>2040-41</v>
      </c>
      <c r="BG7" s="220" t="str">
        <f t="shared" si="0"/>
        <v>2041-42</v>
      </c>
      <c r="BH7" s="220" t="str">
        <f t="shared" si="0"/>
        <v>2042-43</v>
      </c>
      <c r="BI7" s="220" t="str">
        <f t="shared" si="0"/>
        <v>2043-44</v>
      </c>
      <c r="BJ7" s="220" t="str">
        <f t="shared" si="0"/>
        <v>2044-45</v>
      </c>
      <c r="BK7" s="220" t="str">
        <f t="shared" si="0"/>
        <v>2045-46</v>
      </c>
      <c r="BM7" s="220" t="str">
        <f>W7</f>
        <v>2026-27</v>
      </c>
      <c r="BN7" s="220" t="str">
        <f t="shared" ref="BN7:CF7" si="1">X7</f>
        <v>2027-28</v>
      </c>
      <c r="BO7" s="220" t="str">
        <f t="shared" si="1"/>
        <v>2028-29</v>
      </c>
      <c r="BP7" s="220" t="str">
        <f t="shared" si="1"/>
        <v>2029-30</v>
      </c>
      <c r="BQ7" s="220" t="str">
        <f t="shared" si="1"/>
        <v>2030-31</v>
      </c>
      <c r="BR7" s="220" t="str">
        <f t="shared" si="1"/>
        <v>2031-32</v>
      </c>
      <c r="BS7" s="220" t="str">
        <f t="shared" si="1"/>
        <v>2032-33</v>
      </c>
      <c r="BT7" s="220" t="str">
        <f t="shared" si="1"/>
        <v>2033-34</v>
      </c>
      <c r="BU7" s="220" t="str">
        <f t="shared" si="1"/>
        <v>2034-35</v>
      </c>
      <c r="BV7" s="220" t="str">
        <f t="shared" si="1"/>
        <v>2035-36</v>
      </c>
      <c r="BW7" s="220" t="str">
        <f t="shared" si="1"/>
        <v>2036-37</v>
      </c>
      <c r="BX7" s="220" t="str">
        <f t="shared" si="1"/>
        <v>2037-38</v>
      </c>
      <c r="BY7" s="220" t="str">
        <f t="shared" si="1"/>
        <v>2038-39</v>
      </c>
      <c r="BZ7" s="220" t="str">
        <f t="shared" si="1"/>
        <v>2039-40</v>
      </c>
      <c r="CA7" s="220" t="str">
        <f t="shared" si="1"/>
        <v>2040-41</v>
      </c>
      <c r="CB7" s="220" t="str">
        <f t="shared" si="1"/>
        <v>2041-42</v>
      </c>
      <c r="CC7" s="220" t="str">
        <f t="shared" si="1"/>
        <v>2042-43</v>
      </c>
      <c r="CD7" s="220" t="str">
        <f t="shared" si="1"/>
        <v>2043-44</v>
      </c>
      <c r="CE7" s="220" t="str">
        <f t="shared" si="1"/>
        <v>2044-45</v>
      </c>
      <c r="CF7" s="220" t="str">
        <f t="shared" si="1"/>
        <v>2045-46</v>
      </c>
      <c r="CH7" s="220" t="str">
        <f>W7</f>
        <v>2026-27</v>
      </c>
      <c r="CI7" s="220" t="str">
        <f t="shared" ref="CI7:DA7" si="2">X7</f>
        <v>2027-28</v>
      </c>
      <c r="CJ7" s="220" t="str">
        <f t="shared" si="2"/>
        <v>2028-29</v>
      </c>
      <c r="CK7" s="220" t="str">
        <f t="shared" si="2"/>
        <v>2029-30</v>
      </c>
      <c r="CL7" s="220" t="str">
        <f t="shared" si="2"/>
        <v>2030-31</v>
      </c>
      <c r="CM7" s="220" t="str">
        <f t="shared" si="2"/>
        <v>2031-32</v>
      </c>
      <c r="CN7" s="220" t="str">
        <f t="shared" si="2"/>
        <v>2032-33</v>
      </c>
      <c r="CO7" s="220" t="str">
        <f t="shared" si="2"/>
        <v>2033-34</v>
      </c>
      <c r="CP7" s="220" t="str">
        <f t="shared" si="2"/>
        <v>2034-35</v>
      </c>
      <c r="CQ7" s="220" t="str">
        <f t="shared" si="2"/>
        <v>2035-36</v>
      </c>
      <c r="CR7" s="220" t="str">
        <f t="shared" si="2"/>
        <v>2036-37</v>
      </c>
      <c r="CS7" s="220" t="str">
        <f t="shared" si="2"/>
        <v>2037-38</v>
      </c>
      <c r="CT7" s="220" t="str">
        <f t="shared" si="2"/>
        <v>2038-39</v>
      </c>
      <c r="CU7" s="220" t="str">
        <f t="shared" si="2"/>
        <v>2039-40</v>
      </c>
      <c r="CV7" s="220" t="str">
        <f t="shared" si="2"/>
        <v>2040-41</v>
      </c>
      <c r="CW7" s="220" t="str">
        <f t="shared" si="2"/>
        <v>2041-42</v>
      </c>
      <c r="CX7" s="220" t="str">
        <f t="shared" si="2"/>
        <v>2042-43</v>
      </c>
      <c r="CY7" s="220" t="str">
        <f t="shared" si="2"/>
        <v>2043-44</v>
      </c>
      <c r="CZ7" s="220" t="str">
        <f t="shared" si="2"/>
        <v>2044-45</v>
      </c>
      <c r="DA7" s="220" t="str">
        <f t="shared" si="2"/>
        <v>2045-46</v>
      </c>
      <c r="DC7" s="220" t="str">
        <f>W7</f>
        <v>2026-27</v>
      </c>
      <c r="DD7" s="220" t="str">
        <f t="shared" ref="DD7:DV7" si="3">X7</f>
        <v>2027-28</v>
      </c>
      <c r="DE7" s="220" t="str">
        <f t="shared" si="3"/>
        <v>2028-29</v>
      </c>
      <c r="DF7" s="220" t="str">
        <f t="shared" si="3"/>
        <v>2029-30</v>
      </c>
      <c r="DG7" s="220" t="str">
        <f t="shared" si="3"/>
        <v>2030-31</v>
      </c>
      <c r="DH7" s="220" t="str">
        <f t="shared" si="3"/>
        <v>2031-32</v>
      </c>
      <c r="DI7" s="220" t="str">
        <f t="shared" si="3"/>
        <v>2032-33</v>
      </c>
      <c r="DJ7" s="220" t="str">
        <f t="shared" si="3"/>
        <v>2033-34</v>
      </c>
      <c r="DK7" s="220" t="str">
        <f t="shared" si="3"/>
        <v>2034-35</v>
      </c>
      <c r="DL7" s="220" t="str">
        <f t="shared" si="3"/>
        <v>2035-36</v>
      </c>
      <c r="DM7" s="220" t="str">
        <f t="shared" si="3"/>
        <v>2036-37</v>
      </c>
      <c r="DN7" s="220" t="str">
        <f t="shared" si="3"/>
        <v>2037-38</v>
      </c>
      <c r="DO7" s="220" t="str">
        <f t="shared" si="3"/>
        <v>2038-39</v>
      </c>
      <c r="DP7" s="220" t="str">
        <f t="shared" si="3"/>
        <v>2039-40</v>
      </c>
      <c r="DQ7" s="220" t="str">
        <f t="shared" si="3"/>
        <v>2040-41</v>
      </c>
      <c r="DR7" s="220" t="str">
        <f t="shared" si="3"/>
        <v>2041-42</v>
      </c>
      <c r="DS7" s="220" t="str">
        <f t="shared" si="3"/>
        <v>2042-43</v>
      </c>
      <c r="DT7" s="220" t="str">
        <f t="shared" si="3"/>
        <v>2043-44</v>
      </c>
      <c r="DU7" s="220" t="str">
        <f t="shared" si="3"/>
        <v>2044-45</v>
      </c>
      <c r="DV7" s="220" t="str">
        <f t="shared" si="3"/>
        <v>2045-46</v>
      </c>
      <c r="DX7" s="152" t="s">
        <v>376</v>
      </c>
      <c r="DZ7" s="196" t="s">
        <v>378</v>
      </c>
      <c r="EA7" s="152" t="s">
        <v>376</v>
      </c>
      <c r="EC7" s="152"/>
      <c r="ED7" s="152"/>
      <c r="EF7" s="196" t="s">
        <v>378</v>
      </c>
      <c r="EH7" s="152"/>
    </row>
    <row r="8" spans="1:138" x14ac:dyDescent="0.2">
      <c r="B8" s="194" t="s">
        <v>436</v>
      </c>
      <c r="C8" s="194" t="s">
        <v>308</v>
      </c>
      <c r="D8" s="194" t="str">
        <f t="shared" ref="D8:D24" si="4">_xlfn.TEXTBEFORE(C8,_xlfn.SEQUENCE(10,,0),,,1)</f>
        <v>CTN</v>
      </c>
      <c r="E8" s="201">
        <v>702</v>
      </c>
      <c r="F8" s="204">
        <v>8.8975120918496714E-2</v>
      </c>
      <c r="G8" s="204">
        <v>0.22137509510174219</v>
      </c>
      <c r="H8" s="216">
        <f>4/24</f>
        <v>0.16666666666666666</v>
      </c>
      <c r="I8" s="206">
        <v>26.42</v>
      </c>
      <c r="J8" s="1" cm="1">
        <f t="array" ref="J8">_xlfn.IFS($I8&gt;$J$7,$J$6,$I8&gt;$J$6,$I8-$J$6,TRUE,0)</f>
        <v>12</v>
      </c>
      <c r="K8" s="193" cm="1">
        <f t="array" ref="K8">_xlfn.IFS($I8&gt;$K$7,$K$7-$K$6,$I8&gt;$K$6,$I8-$K$6,TRUE,0)</f>
        <v>2.4200000000000017</v>
      </c>
      <c r="L8" s="193">
        <f>IF($I8&gt;$L$6,$I8-$L$6,0)</f>
        <v>0</v>
      </c>
      <c r="M8" s="199">
        <f>I8-Assumptions!$G$52</f>
        <v>21.42</v>
      </c>
      <c r="N8" s="193" cm="1">
        <f t="array" ref="N8">_xlfn.IFS($M8&gt;$N$7,$N$6,$M8&gt;$N$6,$M8-$N$6,TRUE,0)</f>
        <v>9.4200000000000017</v>
      </c>
      <c r="O8" s="193" cm="1">
        <f t="array" ref="O8">_xlfn.IFS($M8&gt;$O$7,$O$7-$O$6,$M8&gt;$O$6,$M8-$O$6,TRUE,0)</f>
        <v>0</v>
      </c>
      <c r="P8" s="193">
        <f>IF($M8&gt;$P$6,$M8-$P$6,0)</f>
        <v>0</v>
      </c>
      <c r="Q8" s="205">
        <f>Assumptions!$G$39</f>
        <v>277649.8236361419</v>
      </c>
      <c r="S8" s="153">
        <f>INDEX(VCR_data!$O$8:$O$86, MATCH($D8, VCR_data!$B$8:$B$86,0))*vcr_esc</f>
        <v>27432.670373732366</v>
      </c>
      <c r="T8" s="153">
        <f>(($J8-$N8)+0.5*($K8-$O8)+0.5*($L8-$P8))*_xlfn.XLOOKUP($D8,VCR_data!$B$8:$B$86,VCR_data!$Q$8:$Q$86,0,0)*vcr_esc</f>
        <v>24180.685013797302</v>
      </c>
      <c r="U8" s="153">
        <f>(0.5*($J8-$N8)-0.5*($L8-$P8))*_xlfn.XLOOKUP($D8,VCR_data!$B$8:$B$86,VCR_data!$R$8:$R$86,0,0)*vcr_esc</f>
        <v>3920.4076670925128</v>
      </c>
      <c r="W8" s="203">
        <f>$H8*_xlfn.XLOOKUP($B8,'Climate esc'!$B$7:$B$36,'Climate esc'!BQ$7:BQ$36,0,0,)</f>
        <v>0.16666666666666666</v>
      </c>
      <c r="X8" s="203">
        <f>$H8*_xlfn.XLOOKUP($B8,'Climate esc'!$B$7:$B$36,'Climate esc'!BR$7:BR$36,0,0,)</f>
        <v>0.1668101258173692</v>
      </c>
      <c r="Y8" s="203">
        <f>$H8*_xlfn.XLOOKUP($B8,'Climate esc'!$B$7:$B$36,'Climate esc'!BS$7:BS$36,0,0,)</f>
        <v>0.16695358496807169</v>
      </c>
      <c r="Z8" s="203">
        <f>$H8*_xlfn.XLOOKUP($B8,'Climate esc'!$B$7:$B$36,'Climate esc'!BT$7:BT$36,0,0,)</f>
        <v>0.16709704411877424</v>
      </c>
      <c r="AA8" s="203">
        <f>$H8*_xlfn.XLOOKUP($B8,'Climate esc'!$B$7:$B$36,'Climate esc'!BU$7:BU$36,0,0,)</f>
        <v>0.16724050326947676</v>
      </c>
      <c r="AB8" s="203">
        <f>$H8*_xlfn.XLOOKUP($B8,'Climate esc'!$B$7:$B$36,'Climate esc'!BV$7:BV$36,0,0,)</f>
        <v>0.16706676782090882</v>
      </c>
      <c r="AC8" s="203">
        <f>$H8*_xlfn.XLOOKUP($B8,'Climate esc'!$B$7:$B$36,'Climate esc'!BW$7:BW$36,0,0,)</f>
        <v>0.1668930323723409</v>
      </c>
      <c r="AD8" s="203">
        <f>$H8*_xlfn.XLOOKUP($B8,'Climate esc'!$B$7:$B$36,'Climate esc'!BX$7:BX$36,0,0,)</f>
        <v>0.16671929692377299</v>
      </c>
      <c r="AE8" s="203">
        <f>$H8*_xlfn.XLOOKUP($B8,'Climate esc'!$B$7:$B$36,'Climate esc'!BY$7:BY$36,0,0,)</f>
        <v>0.16654556147520505</v>
      </c>
      <c r="AF8" s="203">
        <f>$H8*_xlfn.XLOOKUP($B8,'Climate esc'!$B$7:$B$36,'Climate esc'!BZ$7:BZ$36,0,0,)</f>
        <v>0.16637182602663714</v>
      </c>
      <c r="AG8" s="203">
        <f>$H8*_xlfn.XLOOKUP($B8,'Climate esc'!$B$7:$B$36,'Climate esc'!CA$7:CA$36,0,0,)</f>
        <v>0.16619809057806922</v>
      </c>
      <c r="AH8" s="203">
        <f>$H8*_xlfn.XLOOKUP($B8,'Climate esc'!$B$7:$B$36,'Climate esc'!CB$7:CB$36,0,0,)</f>
        <v>0.16602435512950128</v>
      </c>
      <c r="AI8" s="203">
        <f>$H8*_xlfn.XLOOKUP($B8,'Climate esc'!$B$7:$B$36,'Climate esc'!CC$7:CC$36,0,0,)</f>
        <v>0.16585061968093337</v>
      </c>
      <c r="AJ8" s="203">
        <f>$H8*_xlfn.XLOOKUP($B8,'Climate esc'!$B$7:$B$36,'Climate esc'!CD$7:CD$36,0,0,)</f>
        <v>0.16567688423236543</v>
      </c>
      <c r="AK8" s="203">
        <f>$H8*_xlfn.XLOOKUP($B8,'Climate esc'!$B$7:$B$36,'Climate esc'!CE$7:CE$36,0,0,)</f>
        <v>0.16550314878379752</v>
      </c>
      <c r="AL8" s="203">
        <f>$H8*_xlfn.XLOOKUP($B8,'Climate esc'!$B$7:$B$36,'Climate esc'!CF$7:CF$36,0,0,)</f>
        <v>0.1653294133352296</v>
      </c>
      <c r="AM8" s="203">
        <f>$H8*_xlfn.XLOOKUP($B8,'Climate esc'!$B$7:$B$36,'Climate esc'!CG$7:CG$36,0,0,)</f>
        <v>0.16515567788666166</v>
      </c>
      <c r="AN8" s="203">
        <f>$H8*_xlfn.XLOOKUP($B8,'Climate esc'!$B$7:$B$36,'Climate esc'!CH$7:CH$36,0,0,)</f>
        <v>0.16498194243809375</v>
      </c>
      <c r="AO8" s="203">
        <f>$H8*_xlfn.XLOOKUP($B8,'Climate esc'!$B$7:$B$36,'Climate esc'!CI$7:CI$36,0,0,)</f>
        <v>0.16480820698952581</v>
      </c>
      <c r="AP8" s="203">
        <f>$H8*_xlfn.XLOOKUP($B8,'Climate esc'!$B$7:$B$36,'Climate esc'!CJ$7:CJ$36,0,0,)</f>
        <v>0.16463447154095789</v>
      </c>
      <c r="AR8" s="155">
        <f>SUM($F8:$G8)*($I8-$M8)*$S8*W8</f>
        <v>7094.7793137498738</v>
      </c>
      <c r="AS8" s="155">
        <f t="shared" ref="AS8:BK8" si="5">SUM($F8:$G8)*($I8-$M8)*$S8*X8</f>
        <v>7100.8861798385087</v>
      </c>
      <c r="AT8" s="155">
        <f t="shared" si="5"/>
        <v>7106.9930459271418</v>
      </c>
      <c r="AU8" s="155">
        <f t="shared" si="5"/>
        <v>7113.0999120157767</v>
      </c>
      <c r="AV8" s="155">
        <f t="shared" si="5"/>
        <v>7119.2067781044107</v>
      </c>
      <c r="AW8" s="155">
        <f t="shared" si="5"/>
        <v>7111.8110901050222</v>
      </c>
      <c r="AX8" s="155">
        <f t="shared" si="5"/>
        <v>7104.4154021056338</v>
      </c>
      <c r="AY8" s="155">
        <f t="shared" si="5"/>
        <v>7097.0197141062454</v>
      </c>
      <c r="AZ8" s="155">
        <f t="shared" si="5"/>
        <v>7089.624026106856</v>
      </c>
      <c r="BA8" s="155">
        <f t="shared" si="5"/>
        <v>7082.2283381074685</v>
      </c>
      <c r="BB8" s="155">
        <f t="shared" si="5"/>
        <v>7074.8326501080801</v>
      </c>
      <c r="BC8" s="155">
        <f t="shared" si="5"/>
        <v>7067.4369621086908</v>
      </c>
      <c r="BD8" s="155">
        <f t="shared" si="5"/>
        <v>7060.0412741093023</v>
      </c>
      <c r="BE8" s="155">
        <f t="shared" si="5"/>
        <v>7052.645586109913</v>
      </c>
      <c r="BF8" s="155">
        <f t="shared" si="5"/>
        <v>7045.2498981105255</v>
      </c>
      <c r="BG8" s="155">
        <f t="shared" si="5"/>
        <v>7037.854210111137</v>
      </c>
      <c r="BH8" s="155">
        <f t="shared" si="5"/>
        <v>7030.4585221117477</v>
      </c>
      <c r="BI8" s="155">
        <f t="shared" si="5"/>
        <v>7023.0628341123593</v>
      </c>
      <c r="BJ8" s="155">
        <f t="shared" si="5"/>
        <v>7015.6671461129708</v>
      </c>
      <c r="BK8" s="155">
        <f t="shared" si="5"/>
        <v>7008.2714581135824</v>
      </c>
      <c r="BM8" s="155">
        <f t="shared" ref="BM8:CF8" si="6">W8*($F8*$T8+$G8*$U8)</f>
        <v>503.22666552248347</v>
      </c>
      <c r="BN8" s="155">
        <f t="shared" si="6"/>
        <v>503.65982034276385</v>
      </c>
      <c r="BO8" s="155">
        <f t="shared" si="6"/>
        <v>504.09297516304406</v>
      </c>
      <c r="BP8" s="155">
        <f t="shared" si="6"/>
        <v>504.52612998332444</v>
      </c>
      <c r="BQ8" s="155">
        <f t="shared" si="6"/>
        <v>504.9592848036047</v>
      </c>
      <c r="BR8" s="155">
        <f t="shared" si="6"/>
        <v>504.43471494080933</v>
      </c>
      <c r="BS8" s="155">
        <f t="shared" si="6"/>
        <v>503.91014507801401</v>
      </c>
      <c r="BT8" s="155">
        <f t="shared" si="6"/>
        <v>503.38557521521869</v>
      </c>
      <c r="BU8" s="155">
        <f t="shared" si="6"/>
        <v>502.86100535242332</v>
      </c>
      <c r="BV8" s="155">
        <f t="shared" si="6"/>
        <v>502.336435489628</v>
      </c>
      <c r="BW8" s="155">
        <f t="shared" si="6"/>
        <v>501.81186562683274</v>
      </c>
      <c r="BX8" s="155">
        <f t="shared" si="6"/>
        <v>501.28729576403731</v>
      </c>
      <c r="BY8" s="155">
        <f t="shared" si="6"/>
        <v>500.76272590124205</v>
      </c>
      <c r="BZ8" s="155">
        <f t="shared" si="6"/>
        <v>500.23815603844662</v>
      </c>
      <c r="CA8" s="155">
        <f t="shared" si="6"/>
        <v>499.71358617565136</v>
      </c>
      <c r="CB8" s="155">
        <f t="shared" si="6"/>
        <v>499.18901631285604</v>
      </c>
      <c r="CC8" s="155">
        <f t="shared" si="6"/>
        <v>498.66444645006067</v>
      </c>
      <c r="CD8" s="155">
        <f t="shared" si="6"/>
        <v>498.13987658726535</v>
      </c>
      <c r="CE8" s="155">
        <f t="shared" si="6"/>
        <v>497.61530672446997</v>
      </c>
      <c r="CF8" s="155">
        <f t="shared" si="6"/>
        <v>497.09073686167466</v>
      </c>
      <c r="CH8" s="155">
        <f>W8*Assumptions!$G$99*$E8</f>
        <v>101276.37</v>
      </c>
      <c r="CI8" s="155">
        <f>X8*Assumptions!$G$99*$E8</f>
        <v>101363.54413215863</v>
      </c>
      <c r="CJ8" s="155">
        <f>Y8*Assumptions!$G$99*$E8</f>
        <v>101450.7182643172</v>
      </c>
      <c r="CK8" s="155">
        <f>Z8*Assumptions!$G$99*$E8</f>
        <v>101537.89239647583</v>
      </c>
      <c r="CL8" s="155">
        <f>AA8*Assumptions!$G$99*$E8</f>
        <v>101625.06652863442</v>
      </c>
      <c r="CM8" s="155">
        <f>AB8*Assumptions!$G$99*$E8</f>
        <v>101519.49475520673</v>
      </c>
      <c r="CN8" s="155">
        <f>AC8*Assumptions!$G$99*$E8</f>
        <v>101413.92298177905</v>
      </c>
      <c r="CO8" s="155">
        <f>AD8*Assumptions!$G$99*$E8</f>
        <v>101308.35120835138</v>
      </c>
      <c r="CP8" s="155">
        <f>AE8*Assumptions!$G$99*$E8</f>
        <v>101202.77943492368</v>
      </c>
      <c r="CQ8" s="155">
        <f>AF8*Assumptions!$G$99*$E8</f>
        <v>101097.20766149601</v>
      </c>
      <c r="CR8" s="155">
        <f>AG8*Assumptions!$G$99*$E8</f>
        <v>100991.63588806831</v>
      </c>
      <c r="CS8" s="155">
        <f>AH8*Assumptions!$G$99*$E8</f>
        <v>100886.06411464061</v>
      </c>
      <c r="CT8" s="155">
        <f>AI8*Assumptions!$G$99*$E8</f>
        <v>100780.49234121294</v>
      </c>
      <c r="CU8" s="155">
        <f>AJ8*Assumptions!$G$99*$E8</f>
        <v>100674.92056778524</v>
      </c>
      <c r="CV8" s="155">
        <f>AK8*Assumptions!$G$99*$E8</f>
        <v>100569.34879435756</v>
      </c>
      <c r="CW8" s="155">
        <f>AL8*Assumptions!$G$99*$E8</f>
        <v>100463.77702092989</v>
      </c>
      <c r="CX8" s="155">
        <f>AM8*Assumptions!$G$99*$E8</f>
        <v>100358.20524750219</v>
      </c>
      <c r="CY8" s="155">
        <f>AN8*Assumptions!$G$99*$E8</f>
        <v>100252.63347407452</v>
      </c>
      <c r="CZ8" s="155">
        <f>AO8*Assumptions!$G$99*$E8</f>
        <v>100147.06170064682</v>
      </c>
      <c r="DA8" s="155">
        <f>AP8*Assumptions!$G$99*$E8</f>
        <v>100041.48992721913</v>
      </c>
      <c r="DC8" s="155">
        <f>(AR8+BM8+CH8)</f>
        <v>108874.37597927236</v>
      </c>
      <c r="DD8" s="155">
        <f t="shared" ref="DD8:DS8" si="7">(AS8+BN8+CI8)</f>
        <v>108968.0901323399</v>
      </c>
      <c r="DE8" s="155">
        <f t="shared" si="7"/>
        <v>109061.80428540739</v>
      </c>
      <c r="DF8" s="155">
        <f t="shared" si="7"/>
        <v>109155.51843847493</v>
      </c>
      <c r="DG8" s="155">
        <f t="shared" si="7"/>
        <v>109249.23259154243</v>
      </c>
      <c r="DH8" s="155">
        <f t="shared" si="7"/>
        <v>109135.74056025257</v>
      </c>
      <c r="DI8" s="155">
        <f t="shared" si="7"/>
        <v>109022.24852896269</v>
      </c>
      <c r="DJ8" s="155">
        <f t="shared" si="7"/>
        <v>108908.75649767285</v>
      </c>
      <c r="DK8" s="155">
        <f t="shared" si="7"/>
        <v>108795.26446638296</v>
      </c>
      <c r="DL8" s="155">
        <f t="shared" si="7"/>
        <v>108681.77243509311</v>
      </c>
      <c r="DM8" s="155">
        <f t="shared" si="7"/>
        <v>108568.28040380322</v>
      </c>
      <c r="DN8" s="155">
        <f t="shared" si="7"/>
        <v>108454.78837251334</v>
      </c>
      <c r="DO8" s="155">
        <f t="shared" si="7"/>
        <v>108341.29634122348</v>
      </c>
      <c r="DP8" s="155">
        <f t="shared" si="7"/>
        <v>108227.80430993361</v>
      </c>
      <c r="DQ8" s="155">
        <f t="shared" si="7"/>
        <v>108114.31227864373</v>
      </c>
      <c r="DR8" s="155">
        <f t="shared" si="7"/>
        <v>108000.82024735388</v>
      </c>
      <c r="DS8" s="155">
        <f t="shared" si="7"/>
        <v>107887.32821606399</v>
      </c>
      <c r="DT8" s="155">
        <f t="shared" ref="DT8:DV8" si="8">(BI8+CD8+CY8)</f>
        <v>107773.83618477415</v>
      </c>
      <c r="DU8" s="155">
        <f t="shared" si="8"/>
        <v>107660.34415348427</v>
      </c>
      <c r="DV8" s="155">
        <f t="shared" si="8"/>
        <v>107546.85212219438</v>
      </c>
      <c r="DW8" s="136"/>
      <c r="DX8" s="157" cm="1">
        <f t="array" ref="DX8">SUMPRODUCT(($DC8:$DV8)*(Misc_calcs!$G$29:$Z$29))</f>
        <v>1570500.5732668038</v>
      </c>
      <c r="DZ8" s="157">
        <f t="shared" ref="DZ8:DZ24" si="9">Q8</f>
        <v>277649.8236361419</v>
      </c>
      <c r="EA8" s="157" cm="1">
        <f t="array" ref="EA8">SUMPRODUCT((-PMT(real_disc,Assumptions!$G$40,DZ8)*(Misc_calcs!$G$29:$Z$29)))</f>
        <v>165451.89647124647</v>
      </c>
      <c r="EC8" s="157">
        <f t="shared" ref="EC8:EC10" si="10">EA8+DX8</f>
        <v>1735952.4697380501</v>
      </c>
      <c r="ED8" s="157" t="b">
        <f>EC8&gt;0</f>
        <v>1</v>
      </c>
      <c r="EF8" s="158">
        <f>-PMT(real_disc,Assumptions!$G$40,DZ8)</f>
        <v>11442.845964415281</v>
      </c>
      <c r="EH8" s="1" t="str">
        <f>IF($EF8&lt;=DG8,"2026-31 reg period","Future reg period")</f>
        <v>2026-31 reg period</v>
      </c>
    </row>
    <row r="9" spans="1:138" x14ac:dyDescent="0.2">
      <c r="B9" s="194" t="s">
        <v>435</v>
      </c>
      <c r="C9" s="194" t="s">
        <v>308</v>
      </c>
      <c r="D9" s="194" t="str">
        <f t="shared" si="4"/>
        <v>CTN</v>
      </c>
      <c r="E9" s="201">
        <v>873</v>
      </c>
      <c r="F9" s="204">
        <v>5.8191965178118386E-2</v>
      </c>
      <c r="G9" s="204">
        <v>0.19590062943031064</v>
      </c>
      <c r="H9" s="216">
        <f>4/24</f>
        <v>0.16666666666666666</v>
      </c>
      <c r="I9" s="206">
        <v>22.66</v>
      </c>
      <c r="J9" s="1" cm="1">
        <f t="array" ref="J9">_xlfn.IFS($I9&gt;$J$7,$J$6,$I9&gt;$J$6,$I9-$J$6,TRUE,0)</f>
        <v>10.66</v>
      </c>
      <c r="K9" s="193" cm="1">
        <f t="array" ref="K9">_xlfn.IFS($I9&gt;$K$7,$K$7-$K$6,$I9&gt;$K$6,$I9-$K$6,TRUE,0)</f>
        <v>0</v>
      </c>
      <c r="L9" s="193">
        <f>IF($I9&gt;$L$6,$I9-$L$6,0)</f>
        <v>0</v>
      </c>
      <c r="M9" s="199">
        <f>I9-Assumptions!$G$52</f>
        <v>17.66</v>
      </c>
      <c r="N9" s="193" cm="1">
        <f t="array" ref="N9">_xlfn.IFS($M9&gt;$N$7,$N$6,$M9&gt;$N$6,$M9-$N$6,TRUE,0)</f>
        <v>5.66</v>
      </c>
      <c r="O9" s="193" cm="1">
        <f t="array" ref="O9">_xlfn.IFS($M9&gt;$O$7,$O$7-$O$6,$M9&gt;$O$6,$M9-$O$6,TRUE,0)</f>
        <v>0</v>
      </c>
      <c r="P9" s="193">
        <f>IF($M9&gt;$P$6,$M9-$P$6,0)</f>
        <v>0</v>
      </c>
      <c r="Q9" s="205">
        <f>Assumptions!$G$39</f>
        <v>277649.8236361419</v>
      </c>
      <c r="S9" s="153">
        <f>INDEX(VCR_data!$O$8:$O$86, MATCH($D9, VCR_data!$B$8:$B$86,0))*vcr_esc</f>
        <v>27432.670373732366</v>
      </c>
      <c r="T9" s="153">
        <f>(($J9-$N9)+0.5*($K9-$O9)+0.5*($L9-$P9))*_xlfn.XLOOKUP($D9,VCR_data!$B$8:$B$86,VCR_data!$Q$8:$Q$86,0,0)*vcr_esc</f>
        <v>31900.639859890904</v>
      </c>
      <c r="U9" s="153">
        <f>(0.5*($J9-$N9)-0.5*($L9-$P9))*_xlfn.XLOOKUP($D9,VCR_data!$B$8:$B$86,VCR_data!$R$8:$R$86,0,0)*vcr_esc</f>
        <v>7597.6892773110758</v>
      </c>
      <c r="W9" s="203">
        <f>$H9*_xlfn.XLOOKUP($B9,'Climate esc'!$B$7:$B$36,'Climate esc'!BQ$7:BQ$36,0,0,)</f>
        <v>0.16666666666666666</v>
      </c>
      <c r="X9" s="203">
        <f>$H9*_xlfn.XLOOKUP($B9,'Climate esc'!$B$7:$B$36,'Climate esc'!BR$7:BR$36,0,0,)</f>
        <v>0.16752796407580678</v>
      </c>
      <c r="Y9" s="203">
        <f>$H9*_xlfn.XLOOKUP($B9,'Climate esc'!$B$7:$B$36,'Climate esc'!BS$7:BS$36,0,0,)</f>
        <v>0.16838926148494693</v>
      </c>
      <c r="Z9" s="203">
        <f>$H9*_xlfn.XLOOKUP($B9,'Climate esc'!$B$7:$B$36,'Climate esc'!BT$7:BT$36,0,0,)</f>
        <v>0.16925055889408702</v>
      </c>
      <c r="AA9" s="203">
        <f>$H9*_xlfn.XLOOKUP($B9,'Climate esc'!$B$7:$B$36,'Climate esc'!BU$7:BU$36,0,0,)</f>
        <v>0.17011185630322714</v>
      </c>
      <c r="AB9" s="203">
        <f>$H9*_xlfn.XLOOKUP($B9,'Climate esc'!$B$7:$B$36,'Climate esc'!BV$7:BV$36,0,0,)</f>
        <v>0.1712389708082708</v>
      </c>
      <c r="AC9" s="203">
        <f>$H9*_xlfn.XLOOKUP($B9,'Climate esc'!$B$7:$B$36,'Climate esc'!BW$7:BW$36,0,0,)</f>
        <v>0.17236780321229853</v>
      </c>
      <c r="AD9" s="203">
        <f>$H9*_xlfn.XLOOKUP($B9,'Climate esc'!$B$7:$B$36,'Climate esc'!BX$7:BX$36,0,0,)</f>
        <v>0.1734983535153099</v>
      </c>
      <c r="AE9" s="203">
        <f>$H9*_xlfn.XLOOKUP($B9,'Climate esc'!$B$7:$B$36,'Climate esc'!BY$7:BY$36,0,0,)</f>
        <v>0.1746306217173057</v>
      </c>
      <c r="AF9" s="203">
        <f>$H9*_xlfn.XLOOKUP($B9,'Climate esc'!$B$7:$B$36,'Climate esc'!BZ$7:BZ$36,0,0,)</f>
        <v>0.17576460781828521</v>
      </c>
      <c r="AG9" s="203">
        <f>$H9*_xlfn.XLOOKUP($B9,'Climate esc'!$B$7:$B$36,'Climate esc'!CA$7:CA$36,0,0,)</f>
        <v>0.17690031181824906</v>
      </c>
      <c r="AH9" s="203">
        <f>$H9*_xlfn.XLOOKUP($B9,'Climate esc'!$B$7:$B$36,'Climate esc'!CB$7:CB$36,0,0,)</f>
        <v>0.17803773371719694</v>
      </c>
      <c r="AI9" s="203">
        <f>$H9*_xlfn.XLOOKUP($B9,'Climate esc'!$B$7:$B$36,'Climate esc'!CC$7:CC$36,0,0,)</f>
        <v>0.17917687351512859</v>
      </c>
      <c r="AJ9" s="203">
        <f>$H9*_xlfn.XLOOKUP($B9,'Climate esc'!$B$7:$B$36,'Climate esc'!CD$7:CD$36,0,0,)</f>
        <v>0.18031773121204459</v>
      </c>
      <c r="AK9" s="203">
        <f>$H9*_xlfn.XLOOKUP($B9,'Climate esc'!$B$7:$B$36,'Climate esc'!CE$7:CE$36,0,0,)</f>
        <v>0.18146030680794437</v>
      </c>
      <c r="AL9" s="203">
        <f>$H9*_xlfn.XLOOKUP($B9,'Climate esc'!$B$7:$B$36,'Climate esc'!CF$7:CF$36,0,0,)</f>
        <v>0.18260460030282838</v>
      </c>
      <c r="AM9" s="203">
        <f>$H9*_xlfn.XLOOKUP($B9,'Climate esc'!$B$7:$B$36,'Climate esc'!CG$7:CG$36,0,0,)</f>
        <v>0.18375061169669626</v>
      </c>
      <c r="AN9" s="203">
        <f>$H9*_xlfn.XLOOKUP($B9,'Climate esc'!$B$7:$B$36,'Climate esc'!CH$7:CH$36,0,0,)</f>
        <v>0.18489834098954841</v>
      </c>
      <c r="AO9" s="203">
        <f>$H9*_xlfn.XLOOKUP($B9,'Climate esc'!$B$7:$B$36,'Climate esc'!CI$7:CI$36,0,0,)</f>
        <v>0.18604778818138459</v>
      </c>
      <c r="AP9" s="203">
        <f>$H9*_xlfn.XLOOKUP($B9,'Climate esc'!$B$7:$B$36,'Climate esc'!CJ$7:CJ$36,0,0,)</f>
        <v>0.18719895327220459</v>
      </c>
      <c r="AR9" s="155">
        <f>SUM($F9:$G9)*($I9-$M9)*$S9*W9</f>
        <v>5808.6986602495326</v>
      </c>
      <c r="AS9" s="155">
        <f t="shared" ref="AS9" si="11">SUM($F9:$G9)*($I9-$M9)*$S9*X9</f>
        <v>5838.7167628888246</v>
      </c>
      <c r="AT9" s="155">
        <f t="shared" ref="AT9" si="12">SUM($F9:$G9)*($I9-$M9)*$S9*Y9</f>
        <v>5868.7348655281176</v>
      </c>
      <c r="AU9" s="155">
        <f t="shared" ref="AU9" si="13">SUM($F9:$G9)*($I9-$M9)*$S9*Z9</f>
        <v>5898.7529681674077</v>
      </c>
      <c r="AV9" s="155">
        <f t="shared" ref="AV9" si="14">SUM($F9:$G9)*($I9-$M9)*$S9*AA9</f>
        <v>5928.7710708066998</v>
      </c>
      <c r="AW9" s="155">
        <f t="shared" ref="AW9" si="15">SUM($F9:$G9)*($I9-$M9)*$S9*AB9</f>
        <v>5968.0534818990691</v>
      </c>
      <c r="AX9" s="155">
        <f t="shared" ref="AX9" si="16">SUM($F9:$G9)*($I9-$M9)*$S9*AC9</f>
        <v>6007.3957655366021</v>
      </c>
      <c r="AY9" s="155">
        <f t="shared" ref="AY9" si="17">SUM($F9:$G9)*($I9-$M9)*$S9*AD9</f>
        <v>6046.7979217192833</v>
      </c>
      <c r="AZ9" s="155">
        <f t="shared" ref="AZ9" si="18">SUM($F9:$G9)*($I9-$M9)*$S9*AE9</f>
        <v>6086.25995044714</v>
      </c>
      <c r="BA9" s="155">
        <f t="shared" ref="BA9" si="19">SUM($F9:$G9)*($I9-$M9)*$S9*AF9</f>
        <v>6125.7818517201476</v>
      </c>
      <c r="BB9" s="155">
        <f t="shared" ref="BB9" si="20">SUM($F9:$G9)*($I9-$M9)*$S9*AG9</f>
        <v>6165.3636255383281</v>
      </c>
      <c r="BC9" s="155">
        <f t="shared" ref="BC9" si="21">SUM($F9:$G9)*($I9-$M9)*$S9*AH9</f>
        <v>6205.0052719016703</v>
      </c>
      <c r="BD9" s="155">
        <f t="shared" ref="BD9" si="22">SUM($F9:$G9)*($I9-$M9)*$S9*AI9</f>
        <v>6244.7067908101653</v>
      </c>
      <c r="BE9" s="155">
        <f t="shared" ref="BE9" si="23">SUM($F9:$G9)*($I9-$M9)*$S9*AJ9</f>
        <v>6284.4681822638331</v>
      </c>
      <c r="BF9" s="155">
        <f t="shared" ref="BF9" si="24">SUM($F9:$G9)*($I9-$M9)*$S9*AK9</f>
        <v>6324.2894462626546</v>
      </c>
      <c r="BG9" s="155">
        <f t="shared" ref="BG9" si="25">SUM($F9:$G9)*($I9-$M9)*$S9*AL9</f>
        <v>6364.1705828066442</v>
      </c>
      <c r="BH9" s="155">
        <f t="shared" ref="BH9" si="26">SUM($F9:$G9)*($I9-$M9)*$S9*AM9</f>
        <v>6404.1115918957912</v>
      </c>
      <c r="BI9" s="155">
        <f t="shared" ref="BI9" si="27">SUM($F9:$G9)*($I9-$M9)*$S9*AN9</f>
        <v>6444.1124735301073</v>
      </c>
      <c r="BJ9" s="155">
        <f t="shared" ref="BJ9" si="28">SUM($F9:$G9)*($I9-$M9)*$S9*AO9</f>
        <v>6484.1732277095862</v>
      </c>
      <c r="BK9" s="155">
        <f t="shared" ref="BK9" si="29">SUM($F9:$G9)*($I9-$M9)*$S9*AP9</f>
        <v>6524.2938544342187</v>
      </c>
      <c r="BM9" s="155">
        <f t="shared" ref="BM9" si="30">W9*($F9*$T9+$G9*$U9)</f>
        <v>557.45883925460475</v>
      </c>
      <c r="BN9" s="155">
        <f t="shared" ref="BN9" si="31">X9*($F9*$T9+$G9*$U9)</f>
        <v>560.33966637831827</v>
      </c>
      <c r="BO9" s="155">
        <f t="shared" ref="BO9" si="32">Y9*($F9*$T9+$G9*$U9)</f>
        <v>563.22049350203179</v>
      </c>
      <c r="BP9" s="155">
        <f t="shared" ref="BP9" si="33">Z9*($F9*$T9+$G9*$U9)</f>
        <v>566.10132062574519</v>
      </c>
      <c r="BQ9" s="155">
        <f t="shared" ref="BQ9" si="34">AA9*($F9*$T9+$G9*$U9)</f>
        <v>568.9821477494587</v>
      </c>
      <c r="BR9" s="155">
        <f t="shared" ref="BR9" si="35">AB9*($F9*$T9+$G9*$U9)</f>
        <v>572.7520674115907</v>
      </c>
      <c r="BS9" s="155">
        <f t="shared" ref="BS9" si="36">AC9*($F9*$T9+$G9*$U9)</f>
        <v>576.52773302156436</v>
      </c>
      <c r="BT9" s="155">
        <f t="shared" ref="BT9" si="37">AD9*($F9*$T9+$G9*$U9)</f>
        <v>580.30914457937843</v>
      </c>
      <c r="BU9" s="155">
        <f t="shared" ref="BU9" si="38">AE9*($F9*$T9+$G9*$U9)</f>
        <v>584.09630208503529</v>
      </c>
      <c r="BV9" s="155">
        <f t="shared" ref="BV9" si="39">AF9*($F9*$T9+$G9*$U9)</f>
        <v>587.88920553853256</v>
      </c>
      <c r="BW9" s="155">
        <f t="shared" ref="BW9" si="40">AG9*($F9*$T9+$G9*$U9)</f>
        <v>591.68785493987252</v>
      </c>
      <c r="BX9" s="155">
        <f t="shared" ref="BX9" si="41">AH9*($F9*$T9+$G9*$U9)</f>
        <v>595.49225028905414</v>
      </c>
      <c r="BY9" s="155">
        <f t="shared" ref="BY9" si="42">AI9*($F9*$T9+$G9*$U9)</f>
        <v>599.30239158607628</v>
      </c>
      <c r="BZ9" s="155">
        <f t="shared" ref="BZ9" si="43">AJ9*($F9*$T9+$G9*$U9)</f>
        <v>603.11827883094111</v>
      </c>
      <c r="CA9" s="155">
        <f t="shared" ref="CA9" si="44">AK9*($F9*$T9+$G9*$U9)</f>
        <v>606.93991202364668</v>
      </c>
      <c r="CB9" s="155">
        <f t="shared" ref="CB9" si="45">AL9*($F9*$T9+$G9*$U9)</f>
        <v>610.76729116419449</v>
      </c>
      <c r="CC9" s="155">
        <f t="shared" ref="CC9" si="46">AM9*($F9*$T9+$G9*$U9)</f>
        <v>614.60041625258339</v>
      </c>
      <c r="CD9" s="155">
        <f t="shared" ref="CD9" si="47">AN9*($F9*$T9+$G9*$U9)</f>
        <v>618.43928728881463</v>
      </c>
      <c r="CE9" s="155">
        <f t="shared" ref="CE9" si="48">AO9*($F9*$T9+$G9*$U9)</f>
        <v>622.28390427288741</v>
      </c>
      <c r="CF9" s="155">
        <f t="shared" ref="CF9" si="49">AP9*($F9*$T9+$G9*$U9)</f>
        <v>626.13426720480095</v>
      </c>
      <c r="CH9" s="155">
        <f>W9*Assumptions!$G$99*$E9</f>
        <v>125946.25499999999</v>
      </c>
      <c r="CI9" s="155">
        <f>X9*Assumptions!$G$99*$E9</f>
        <v>126597.1180987344</v>
      </c>
      <c r="CJ9" s="155">
        <f>Y9*Assumptions!$G$99*$E9</f>
        <v>127247.98119746883</v>
      </c>
      <c r="CK9" s="155">
        <f>Z9*Assumptions!$G$99*$E9</f>
        <v>127898.8442962032</v>
      </c>
      <c r="CL9" s="155">
        <f>AA9*Assumptions!$G$99*$E9</f>
        <v>128549.70739493762</v>
      </c>
      <c r="CM9" s="155">
        <f>AB9*Assumptions!$G$99*$E9</f>
        <v>129401.4425001362</v>
      </c>
      <c r="CN9" s="155">
        <f>AC9*Assumptions!$G$99*$E9</f>
        <v>130254.47578299581</v>
      </c>
      <c r="CO9" s="155">
        <f>AD9*Assumptions!$G$99*$E9</f>
        <v>131108.8072435162</v>
      </c>
      <c r="CP9" s="155">
        <f>AE9*Assumptions!$G$99*$E9</f>
        <v>131964.43688169791</v>
      </c>
      <c r="CQ9" s="155">
        <f>AF9*Assumptions!$G$99*$E9</f>
        <v>132821.36469754047</v>
      </c>
      <c r="CR9" s="155">
        <f>AG9*Assumptions!$G$99*$E9</f>
        <v>133679.59069104426</v>
      </c>
      <c r="CS9" s="155">
        <f>AH9*Assumptions!$G$99*$E9</f>
        <v>134539.1148622091</v>
      </c>
      <c r="CT9" s="155">
        <f>AI9*Assumptions!$G$99*$E9</f>
        <v>135399.93721103479</v>
      </c>
      <c r="CU9" s="155">
        <f>AJ9*Assumptions!$G$99*$E9</f>
        <v>136262.05773752177</v>
      </c>
      <c r="CV9" s="155">
        <f>AK9*Assumptions!$G$99*$E9</f>
        <v>137125.47644166957</v>
      </c>
      <c r="CW9" s="155">
        <f>AL9*Assumptions!$G$99*$E9</f>
        <v>137990.1933234786</v>
      </c>
      <c r="CX9" s="155">
        <f>AM9*Assumptions!$G$99*$E9</f>
        <v>138856.20838294856</v>
      </c>
      <c r="CY9" s="155">
        <f>AN9*Assumptions!$G$99*$E9</f>
        <v>139723.5216200797</v>
      </c>
      <c r="CZ9" s="155">
        <f>AO9*Assumptions!$G$99*$E9</f>
        <v>140592.13303487189</v>
      </c>
      <c r="DA9" s="155">
        <f>AP9*Assumptions!$G$99*$E9</f>
        <v>141462.04262732499</v>
      </c>
      <c r="DC9" s="155">
        <f>(AR9+BM9+CH9)</f>
        <v>132312.41249950413</v>
      </c>
      <c r="DD9" s="155">
        <f t="shared" ref="DD9:DS9" si="50">(AS9+BN9+CI9)</f>
        <v>132996.17452800155</v>
      </c>
      <c r="DE9" s="155">
        <f t="shared" si="50"/>
        <v>133679.93655649899</v>
      </c>
      <c r="DF9" s="155">
        <f t="shared" si="50"/>
        <v>134363.69858499634</v>
      </c>
      <c r="DG9" s="155">
        <f t="shared" si="50"/>
        <v>135047.46061349378</v>
      </c>
      <c r="DH9" s="155">
        <f t="shared" si="50"/>
        <v>135942.24804944685</v>
      </c>
      <c r="DI9" s="155">
        <f t="shared" si="50"/>
        <v>136838.39928155398</v>
      </c>
      <c r="DJ9" s="155">
        <f t="shared" si="50"/>
        <v>137735.91430981486</v>
      </c>
      <c r="DK9" s="155">
        <f t="shared" si="50"/>
        <v>138634.79313423007</v>
      </c>
      <c r="DL9" s="155">
        <f t="shared" si="50"/>
        <v>139535.03575479914</v>
      </c>
      <c r="DM9" s="155">
        <f t="shared" si="50"/>
        <v>140436.64217152246</v>
      </c>
      <c r="DN9" s="155">
        <f t="shared" si="50"/>
        <v>141339.61238439984</v>
      </c>
      <c r="DO9" s="155">
        <f t="shared" si="50"/>
        <v>142243.94639343102</v>
      </c>
      <c r="DP9" s="155">
        <f t="shared" si="50"/>
        <v>143149.64419861653</v>
      </c>
      <c r="DQ9" s="155">
        <f t="shared" si="50"/>
        <v>144056.70579995587</v>
      </c>
      <c r="DR9" s="155">
        <f t="shared" si="50"/>
        <v>144965.13119744943</v>
      </c>
      <c r="DS9" s="155">
        <f t="shared" si="50"/>
        <v>145874.92039109694</v>
      </c>
      <c r="DT9" s="155">
        <f t="shared" ref="DT9" si="51">(BI9+CD9+CY9)</f>
        <v>146786.07338089863</v>
      </c>
      <c r="DU9" s="155">
        <f t="shared" ref="DU9" si="52">(BJ9+CE9+CZ9)</f>
        <v>147698.59016685435</v>
      </c>
      <c r="DV9" s="155">
        <f t="shared" ref="DV9" si="53">(BK9+CF9+DA9)</f>
        <v>148612.470748964</v>
      </c>
      <c r="DW9" s="136"/>
      <c r="DX9" s="157" cm="1">
        <f t="array" ref="DX9">SUMPRODUCT(($DC9:$DV9)*(Misc_calcs!$G$29:$Z$29))</f>
        <v>2011567.303458727</v>
      </c>
      <c r="DZ9" s="157">
        <f t="shared" si="9"/>
        <v>277649.8236361419</v>
      </c>
      <c r="EA9" s="157" cm="1">
        <f t="array" ref="EA9">SUMPRODUCT((PMT(real_disc,Assumptions!$G$40,DZ9)*(Misc_calcs!$G$29:$Z$29)))</f>
        <v>-165451.89647124647</v>
      </c>
      <c r="EC9" s="157">
        <f t="shared" si="10"/>
        <v>1846115.4069874806</v>
      </c>
      <c r="ED9" s="157" t="b">
        <f>EC9&gt;0</f>
        <v>1</v>
      </c>
      <c r="EF9" s="158">
        <f>-PMT(real_disc,Assumptions!$G$40,DZ9)</f>
        <v>11442.845964415281</v>
      </c>
      <c r="EH9" s="1" t="str">
        <f t="shared" ref="EH9:EH24" si="54">IF($EF9&lt;=DG9,"2026-31 reg period","Future reg period")</f>
        <v>2026-31 reg period</v>
      </c>
    </row>
    <row r="10" spans="1:138" x14ac:dyDescent="0.2">
      <c r="B10" s="194" t="s">
        <v>437</v>
      </c>
      <c r="C10" s="194" t="s">
        <v>310</v>
      </c>
      <c r="D10" s="194" t="str">
        <f t="shared" si="4"/>
        <v>CTN</v>
      </c>
      <c r="E10" s="201">
        <v>610</v>
      </c>
      <c r="F10" s="204">
        <v>6.8765475023782219E-2</v>
      </c>
      <c r="G10" s="204">
        <v>0.15395456404585234</v>
      </c>
      <c r="H10" s="216">
        <f>3/24</f>
        <v>0.125</v>
      </c>
      <c r="I10" s="206">
        <v>25.32</v>
      </c>
      <c r="J10" s="1" cm="1">
        <f t="array" ref="J10">_xlfn.IFS($I10&gt;$J$7,$J$6,$I10&gt;$J$6,$I10-$J$6,TRUE,0)</f>
        <v>12</v>
      </c>
      <c r="K10" s="193" cm="1">
        <f t="array" ref="K10">_xlfn.IFS($I10&gt;$K$7,$K$7-$K$6,$I10&gt;$K$6,$I10-$K$6,TRUE,0)</f>
        <v>1.3200000000000003</v>
      </c>
      <c r="L10" s="193">
        <f>IF($I10&gt;$L$6,$I10-$L$6,0)</f>
        <v>0</v>
      </c>
      <c r="M10" s="199">
        <f>I10-Assumptions!$G$52</f>
        <v>20.32</v>
      </c>
      <c r="N10" s="193" cm="1">
        <f t="array" ref="N10">_xlfn.IFS($M10&gt;$N$7,$N$6,$M10&gt;$N$6,$M10-$N$6,TRUE,0)</f>
        <v>8.32</v>
      </c>
      <c r="O10" s="193" cm="1">
        <f t="array" ref="O10">_xlfn.IFS($M10&gt;$O$7,$O$7-$O$6,$M10&gt;$O$6,$M10-$O$6,TRUE,0)</f>
        <v>0</v>
      </c>
      <c r="P10" s="193">
        <f>IF($M10&gt;$P$6,$M10-$P$6,0)</f>
        <v>0</v>
      </c>
      <c r="Q10" s="205">
        <f>Assumptions!$G$39</f>
        <v>277649.8236361419</v>
      </c>
      <c r="S10" s="153">
        <f>INDEX(VCR_data!$O$8:$O$86, MATCH($D10, VCR_data!$B$8:$B$86,0))*vcr_esc</f>
        <v>27432.670373732366</v>
      </c>
      <c r="T10" s="153">
        <f>(($J10-$N10)+0.5*($K10-$O10)+0.5*($L10-$P10))*_xlfn.XLOOKUP($D10,VCR_data!$B$8:$B$86,VCR_data!$Q$8:$Q$86,0,0)*vcr_esc</f>
        <v>27689.755398385307</v>
      </c>
      <c r="U10" s="153">
        <f>(0.5*($J10-$N10)-0.5*($L10-$P10))*_xlfn.XLOOKUP($D10,VCR_data!$B$8:$B$86,VCR_data!$R$8:$R$86,0,0)*vcr_esc</f>
        <v>5591.8993081009512</v>
      </c>
      <c r="W10" s="203">
        <f>$H10*_xlfn.XLOOKUP($B10,'Climate esc'!$B$7:$B$36,'Climate esc'!BQ$7:BQ$36,0,0,)</f>
        <v>0.125</v>
      </c>
      <c r="X10" s="203">
        <f>$H10*_xlfn.XLOOKUP($B10,'Climate esc'!$B$7:$B$36,'Climate esc'!BR$7:BR$36,0,0,)</f>
        <v>0.12633264743518238</v>
      </c>
      <c r="Y10" s="203">
        <f>$H10*_xlfn.XLOOKUP($B10,'Climate esc'!$B$7:$B$36,'Climate esc'!BS$7:BS$36,0,0,)</f>
        <v>0.12766529487036476</v>
      </c>
      <c r="Z10" s="203">
        <f>$H10*_xlfn.XLOOKUP($B10,'Climate esc'!$B$7:$B$36,'Climate esc'!BT$7:BT$36,0,0,)</f>
        <v>0.12899794230554712</v>
      </c>
      <c r="AA10" s="203">
        <f>$H10*_xlfn.XLOOKUP($B10,'Climate esc'!$B$7:$B$36,'Climate esc'!BU$7:BU$36,0,0,)</f>
        <v>0.1303305897407295</v>
      </c>
      <c r="AB10" s="203">
        <f>$H10*_xlfn.XLOOKUP($B10,'Climate esc'!$B$7:$B$36,'Climate esc'!BV$7:BV$36,0,0,)</f>
        <v>0.13529887819928249</v>
      </c>
      <c r="AC10" s="203">
        <f>$H10*_xlfn.XLOOKUP($B10,'Climate esc'!$B$7:$B$36,'Climate esc'!BW$7:BW$36,0,0,)</f>
        <v>0.14028647865212349</v>
      </c>
      <c r="AD10" s="203">
        <f>$H10*_xlfn.XLOOKUP($B10,'Climate esc'!$B$7:$B$36,'Climate esc'!BX$7:BX$36,0,0,)</f>
        <v>0.14529339109924946</v>
      </c>
      <c r="AE10" s="203">
        <f>$H10*_xlfn.XLOOKUP($B10,'Climate esc'!$B$7:$B$36,'Climate esc'!BY$7:BY$36,0,0,)</f>
        <v>0.15031961554066356</v>
      </c>
      <c r="AF10" s="203">
        <f>$H10*_xlfn.XLOOKUP($B10,'Climate esc'!$B$7:$B$36,'Climate esc'!BZ$7:BZ$36,0,0,)</f>
        <v>0.15536515197636422</v>
      </c>
      <c r="AG10" s="203">
        <f>$H10*_xlfn.XLOOKUP($B10,'Climate esc'!$B$7:$B$36,'Climate esc'!CA$7:CA$36,0,0,)</f>
        <v>0.16043000040634978</v>
      </c>
      <c r="AH10" s="203">
        <f>$H10*_xlfn.XLOOKUP($B10,'Climate esc'!$B$7:$B$36,'Climate esc'!CB$7:CB$36,0,0,)</f>
        <v>0.16551416083062354</v>
      </c>
      <c r="AI10" s="203">
        <f>$H10*_xlfn.XLOOKUP($B10,'Climate esc'!$B$7:$B$36,'Climate esc'!CC$7:CC$36,0,0,)</f>
        <v>0.17061763324918222</v>
      </c>
      <c r="AJ10" s="203">
        <f>$H10*_xlfn.XLOOKUP($B10,'Climate esc'!$B$7:$B$36,'Climate esc'!CD$7:CD$36,0,0,)</f>
        <v>0.17574041766202911</v>
      </c>
      <c r="AK10" s="203">
        <f>$H10*_xlfn.XLOOKUP($B10,'Climate esc'!$B$7:$B$36,'Climate esc'!CE$7:CE$36,0,0,)</f>
        <v>0.18088251406916089</v>
      </c>
      <c r="AL10" s="203">
        <f>$H10*_xlfn.XLOOKUP($B10,'Climate esc'!$B$7:$B$36,'Climate esc'!CF$7:CF$36,0,0,)</f>
        <v>0.18604392247058085</v>
      </c>
      <c r="AM10" s="203">
        <f>$H10*_xlfn.XLOOKUP($B10,'Climate esc'!$B$7:$B$36,'Climate esc'!CG$7:CG$36,0,0,)</f>
        <v>0.1912246428662874</v>
      </c>
      <c r="AN10" s="203">
        <f>$H10*_xlfn.XLOOKUP($B10,'Climate esc'!$B$7:$B$36,'Climate esc'!CH$7:CH$36,0,0,)</f>
        <v>0.19642467525627885</v>
      </c>
      <c r="AO10" s="203">
        <f>$H10*_xlfn.XLOOKUP($B10,'Climate esc'!$B$7:$B$36,'Climate esc'!CI$7:CI$36,0,0,)</f>
        <v>0.2016440196405585</v>
      </c>
      <c r="AP10" s="203">
        <f>$H10*_xlfn.XLOOKUP($B10,'Climate esc'!$B$7:$B$36,'Climate esc'!CJ$7:CJ$36,0,0,)</f>
        <v>0.206882676019123</v>
      </c>
      <c r="AR10" s="155">
        <f t="shared" ref="AR10" si="55">SUM($F10:$G10)*($I10-$M10)*$S10*W10</f>
        <v>3818.6283858887991</v>
      </c>
      <c r="AS10" s="155">
        <f t="shared" ref="AS10" si="56">SUM($F10:$G10)*($I10-$M10)*$S10*X10</f>
        <v>3859.339468483754</v>
      </c>
      <c r="AT10" s="155">
        <f t="shared" ref="AT10" si="57">SUM($F10:$G10)*($I10-$M10)*$S10*Y10</f>
        <v>3900.0505510787088</v>
      </c>
      <c r="AU10" s="155">
        <f t="shared" ref="AU10" si="58">SUM($F10:$G10)*($I10-$M10)*$S10*Z10</f>
        <v>3940.7616336736628</v>
      </c>
      <c r="AV10" s="155">
        <f t="shared" ref="AV10" si="59">SUM($F10:$G10)*($I10-$M10)*$S10*AA10</f>
        <v>3981.4727162686177</v>
      </c>
      <c r="AW10" s="155">
        <f t="shared" ref="AW10" si="60">SUM($F10:$G10)*($I10-$M10)*$S10*AB10</f>
        <v>4133.2490949655303</v>
      </c>
      <c r="AX10" s="155">
        <f t="shared" ref="AX10" si="61">SUM($F10:$G10)*($I10-$M10)*$S10*AC10</f>
        <v>4285.6154362990546</v>
      </c>
      <c r="AY10" s="155">
        <f t="shared" ref="AY10" si="62">SUM($F10:$G10)*($I10-$M10)*$S10*AD10</f>
        <v>4438.5717402690962</v>
      </c>
      <c r="AZ10" s="155">
        <f t="shared" ref="AZ10" si="63">SUM($F10:$G10)*($I10-$M10)*$S10*AE10</f>
        <v>4592.1180068757512</v>
      </c>
      <c r="BA10" s="155">
        <f t="shared" ref="BA10" si="64">SUM($F10:$G10)*($I10-$M10)*$S10*AF10</f>
        <v>4746.2542361189735</v>
      </c>
      <c r="BB10" s="155">
        <f t="shared" ref="BB10" si="65">SUM($F10:$G10)*($I10-$M10)*$S10*AG10</f>
        <v>4900.9804279987111</v>
      </c>
      <c r="BC10" s="155">
        <f t="shared" ref="BC10" si="66">SUM($F10:$G10)*($I10-$M10)*$S10*AH10</f>
        <v>5056.2965825150641</v>
      </c>
      <c r="BD10" s="155">
        <f t="shared" ref="BD10" si="67">SUM($F10:$G10)*($I10-$M10)*$S10*AI10</f>
        <v>5212.2026996679342</v>
      </c>
      <c r="BE10" s="155">
        <f t="shared" ref="BE10" si="68">SUM($F10:$G10)*($I10-$M10)*$S10*AJ10</f>
        <v>5368.6987794574206</v>
      </c>
      <c r="BF10" s="155">
        <f t="shared" ref="BF10" si="69">SUM($F10:$G10)*($I10-$M10)*$S10*AK10</f>
        <v>5525.7848218834233</v>
      </c>
      <c r="BG10" s="155">
        <f t="shared" ref="BG10" si="70">SUM($F10:$G10)*($I10-$M10)*$S10*AL10</f>
        <v>5683.4608269460405</v>
      </c>
      <c r="BH10" s="155">
        <f t="shared" ref="BH10" si="71">SUM($F10:$G10)*($I10-$M10)*$S10*AM10</f>
        <v>5841.7267946452248</v>
      </c>
      <c r="BI10" s="155">
        <f t="shared" ref="BI10" si="72">SUM($F10:$G10)*($I10-$M10)*$S10*AN10</f>
        <v>6000.5827249809254</v>
      </c>
      <c r="BJ10" s="155">
        <f t="shared" ref="BJ10" si="73">SUM($F10:$G10)*($I10-$M10)*$S10*AO10</f>
        <v>6160.0286179532422</v>
      </c>
      <c r="BK10" s="155">
        <f t="shared" ref="BK10" si="74">SUM($F10:$G10)*($I10-$M10)*$S10*AP10</f>
        <v>6320.0644735620717</v>
      </c>
      <c r="BM10" s="155">
        <f t="shared" ref="BM10" si="75">W10*($F10*$T10+$G10*$U10)</f>
        <v>345.62470042866113</v>
      </c>
      <c r="BN10" s="155">
        <f t="shared" ref="BN10" si="76">X10*($F10*$T10+$G10*$U10)</f>
        <v>349.30946739315658</v>
      </c>
      <c r="BO10" s="155">
        <f t="shared" ref="BO10" si="77">Y10*($F10*$T10+$G10*$U10)</f>
        <v>352.99423435765209</v>
      </c>
      <c r="BP10" s="155">
        <f t="shared" ref="BP10" si="78">Z10*($F10*$T10+$G10*$U10)</f>
        <v>356.67900132214749</v>
      </c>
      <c r="BQ10" s="155">
        <f t="shared" ref="BQ10" si="79">AA10*($F10*$T10+$G10*$U10)</f>
        <v>360.36376828664294</v>
      </c>
      <c r="BR10" s="155">
        <f t="shared" ref="BR10" si="80">AB10*($F10*$T10+$G10*$U10)</f>
        <v>374.10107396768734</v>
      </c>
      <c r="BS10" s="155">
        <f t="shared" ref="BS10" si="81">AC10*($F10*$T10+$G10*$U10)</f>
        <v>387.89177726665554</v>
      </c>
      <c r="BT10" s="155">
        <f t="shared" ref="BT10" si="82">AD10*($F10*$T10+$G10*$U10)</f>
        <v>401.73587818353917</v>
      </c>
      <c r="BU10" s="155">
        <f t="shared" ref="BU10" si="83">AE10*($F10*$T10+$G10*$U10)</f>
        <v>415.63337671834682</v>
      </c>
      <c r="BV10" s="155">
        <f t="shared" ref="BV10" si="84">AF10*($F10*$T10+$G10*$U10)</f>
        <v>429.58427287107435</v>
      </c>
      <c r="BW10" s="155">
        <f t="shared" ref="BW10" si="85">AG10*($F10*$T10+$G10*$U10)</f>
        <v>443.58856664171702</v>
      </c>
      <c r="BX10" s="155">
        <f t="shared" ref="BX10" si="86">AH10*($F10*$T10+$G10*$U10)</f>
        <v>457.646258030284</v>
      </c>
      <c r="BY10" s="155">
        <f t="shared" ref="BY10" si="87">AI10*($F10*$T10+$G10*$U10)</f>
        <v>471.75734703676625</v>
      </c>
      <c r="BZ10" s="155">
        <f t="shared" ref="BZ10" si="88">AJ10*($F10*$T10+$G10*$U10)</f>
        <v>485.9218336611728</v>
      </c>
      <c r="CA10" s="155">
        <f t="shared" ref="CA10" si="89">AK10*($F10*$T10+$G10*$U10)</f>
        <v>500.1397179034945</v>
      </c>
      <c r="CB10" s="155">
        <f t="shared" ref="CB10" si="90">AL10*($F10*$T10+$G10*$U10)</f>
        <v>514.41099976374051</v>
      </c>
      <c r="CC10" s="155">
        <f t="shared" ref="CC10" si="91">AM10*($F10*$T10+$G10*$U10)</f>
        <v>528.73567924190638</v>
      </c>
      <c r="CD10" s="155">
        <f t="shared" ref="CD10" si="92">AN10*($F10*$T10+$G10*$U10)</f>
        <v>543.11375633798741</v>
      </c>
      <c r="CE10" s="155">
        <f t="shared" ref="CE10" si="93">AO10*($F10*$T10+$G10*$U10)</f>
        <v>557.5452310519928</v>
      </c>
      <c r="CF10" s="155">
        <f t="shared" ref="CF10" si="94">AP10*($F10*$T10+$G10*$U10)</f>
        <v>572.03010338391312</v>
      </c>
      <c r="CH10" s="155">
        <f>W10*Assumptions!$G$99*$E10</f>
        <v>66002.762499999997</v>
      </c>
      <c r="CI10" s="155">
        <f>X10*Assumptions!$G$99*$E10</f>
        <v>66706.429797284611</v>
      </c>
      <c r="CJ10" s="155">
        <f>Y10*Assumptions!$G$99*$E10</f>
        <v>67410.097094569239</v>
      </c>
      <c r="CK10" s="155">
        <f>Z10*Assumptions!$G$99*$E10</f>
        <v>68113.764391853838</v>
      </c>
      <c r="CL10" s="155">
        <f>AA10*Assumptions!$G$99*$E10</f>
        <v>68817.431689138451</v>
      </c>
      <c r="CM10" s="155">
        <f>AB10*Assumptions!$G$99*$E10</f>
        <v>71440.797794429367</v>
      </c>
      <c r="CN10" s="155">
        <f>AC10*Assumptions!$G$99*$E10</f>
        <v>74074.36105949941</v>
      </c>
      <c r="CO10" s="155">
        <f>AD10*Assumptions!$G$99*$E10</f>
        <v>76718.121484347008</v>
      </c>
      <c r="CP10" s="155">
        <f>AE10*Assumptions!$G$99*$E10</f>
        <v>79372.079068973806</v>
      </c>
      <c r="CQ10" s="155">
        <f>AF10*Assumptions!$G$99*$E10</f>
        <v>82036.233813378989</v>
      </c>
      <c r="CR10" s="155">
        <f>AG10*Assumptions!$G$99*$E10</f>
        <v>84710.585717561669</v>
      </c>
      <c r="CS10" s="155">
        <f>AH10*Assumptions!$G$99*$E10</f>
        <v>87395.134781523593</v>
      </c>
      <c r="CT10" s="155">
        <f>AI10*Assumptions!$G$99*$E10</f>
        <v>90089.881005263029</v>
      </c>
      <c r="CU10" s="155">
        <f>AJ10*Assumptions!$G$99*$E10</f>
        <v>92794.824388781708</v>
      </c>
      <c r="CV10" s="155">
        <f>AK10*Assumptions!$G$99*$E10</f>
        <v>95509.964932077884</v>
      </c>
      <c r="CW10" s="155">
        <f>AL10*Assumptions!$G$99*$E10</f>
        <v>98235.30263515329</v>
      </c>
      <c r="CX10" s="155">
        <f>AM10*Assumptions!$G$99*$E10</f>
        <v>100970.83749800709</v>
      </c>
      <c r="CY10" s="155">
        <f>AN10*Assumptions!$G$99*$E10</f>
        <v>103716.5695206384</v>
      </c>
      <c r="CZ10" s="155">
        <f>AO10*Assumptions!$G$99*$E10</f>
        <v>106472.49870304894</v>
      </c>
      <c r="DA10" s="155">
        <f>AP10*Assumptions!$G$99*$E10</f>
        <v>109238.62504523696</v>
      </c>
      <c r="DC10" s="155">
        <f>(AR10+BM10+CH10)</f>
        <v>70167.015586317459</v>
      </c>
      <c r="DD10" s="155">
        <f t="shared" ref="DD10" si="95">(AS10+BN10+CI10)</f>
        <v>70915.078733161528</v>
      </c>
      <c r="DE10" s="155">
        <f t="shared" ref="DE10" si="96">(AT10+BO10+CJ10)</f>
        <v>71663.141880005598</v>
      </c>
      <c r="DF10" s="155">
        <f t="shared" ref="DF10" si="97">(AU10+BP10+CK10)</f>
        <v>72411.205026849653</v>
      </c>
      <c r="DG10" s="155">
        <f t="shared" ref="DG10" si="98">(AV10+BQ10+CL10)</f>
        <v>73159.268173693708</v>
      </c>
      <c r="DH10" s="155">
        <f t="shared" ref="DH10" si="99">(AW10+BR10+CM10)</f>
        <v>75948.147963362586</v>
      </c>
      <c r="DI10" s="155">
        <f t="shared" ref="DI10" si="100">(AX10+BS10+CN10)</f>
        <v>78747.86827306512</v>
      </c>
      <c r="DJ10" s="155">
        <f t="shared" ref="DJ10" si="101">(AY10+BT10+CO10)</f>
        <v>81558.429102799637</v>
      </c>
      <c r="DK10" s="155">
        <f t="shared" ref="DK10" si="102">(AZ10+BU10+CP10)</f>
        <v>84379.830452567898</v>
      </c>
      <c r="DL10" s="155">
        <f t="shared" ref="DL10" si="103">(BA10+BV10+CQ10)</f>
        <v>87212.072322369029</v>
      </c>
      <c r="DM10" s="155">
        <f t="shared" ref="DM10" si="104">(BB10+BW10+CR10)</f>
        <v>90055.1547122021</v>
      </c>
      <c r="DN10" s="155">
        <f t="shared" ref="DN10" si="105">(BC10+BX10+CS10)</f>
        <v>92909.077622068944</v>
      </c>
      <c r="DO10" s="155">
        <f t="shared" ref="DO10" si="106">(BD10+BY10+CT10)</f>
        <v>95773.841051967727</v>
      </c>
      <c r="DP10" s="155">
        <f t="shared" ref="DP10" si="107">(BE10+BZ10+CU10)</f>
        <v>98649.445001900298</v>
      </c>
      <c r="DQ10" s="155">
        <f t="shared" ref="DQ10" si="108">(BF10+CA10+CV10)</f>
        <v>101535.88947186481</v>
      </c>
      <c r="DR10" s="155">
        <f t="shared" ref="DR10" si="109">(BG10+CB10+CW10)</f>
        <v>104433.17446186308</v>
      </c>
      <c r="DS10" s="155">
        <f t="shared" ref="DS10" si="110">(BH10+CC10+CX10)</f>
        <v>107341.29997189423</v>
      </c>
      <c r="DT10" s="155">
        <f t="shared" ref="DT10" si="111">(BI10+CD10+CY10)</f>
        <v>110260.26600195731</v>
      </c>
      <c r="DU10" s="155">
        <f t="shared" ref="DU10" si="112">(BJ10+CE10+CZ10)</f>
        <v>113190.07255205417</v>
      </c>
      <c r="DV10" s="155">
        <f t="shared" ref="DV10" si="113">(BK10+CF10+DA10)</f>
        <v>116130.71962218294</v>
      </c>
      <c r="DW10" s="136"/>
      <c r="DX10" s="157" cm="1">
        <f t="array" ref="DX10">SUMPRODUCT(($DC10:$DV10)*(Misc_calcs!$G$29:$Z$29))</f>
        <v>1256710.061807527</v>
      </c>
      <c r="DZ10" s="157">
        <f t="shared" si="9"/>
        <v>277649.8236361419</v>
      </c>
      <c r="EA10" s="157" cm="1">
        <f t="array" ref="EA10">SUMPRODUCT((PMT(real_disc,Assumptions!$G$40,DZ10)*(Misc_calcs!$G$29:$Z$29)))</f>
        <v>-165451.89647124647</v>
      </c>
      <c r="EC10" s="157">
        <f t="shared" si="10"/>
        <v>1091258.1653362806</v>
      </c>
      <c r="ED10" s="157" t="b">
        <f>EC10&gt;0</f>
        <v>1</v>
      </c>
      <c r="EF10" s="158">
        <f>-PMT(real_disc,Assumptions!$G$40,DZ10)</f>
        <v>11442.845964415281</v>
      </c>
      <c r="EH10" s="1" t="str">
        <f t="shared" si="54"/>
        <v>2026-31 reg period</v>
      </c>
    </row>
    <row r="11" spans="1:138" x14ac:dyDescent="0.2">
      <c r="B11" s="206" t="s">
        <v>444</v>
      </c>
      <c r="C11" s="206" t="s">
        <v>311</v>
      </c>
      <c r="D11" s="206" t="str">
        <f t="shared" si="4"/>
        <v>CTN</v>
      </c>
      <c r="E11" s="219">
        <v>3453</v>
      </c>
      <c r="F11" s="204">
        <v>5.4469566161529634E-2</v>
      </c>
      <c r="G11" s="204">
        <v>0.1164448948630134</v>
      </c>
      <c r="H11" s="216">
        <f>3/24</f>
        <v>0.125</v>
      </c>
      <c r="I11" s="206">
        <v>24.86</v>
      </c>
      <c r="J11" s="1" cm="1">
        <f t="array" ref="J11">_xlfn.IFS($I11&gt;$J$7,$J$6,$I11&gt;$J$6,$I11-$J$6,TRUE,0)</f>
        <v>12</v>
      </c>
      <c r="K11" s="193" cm="1">
        <f t="array" ref="K11">_xlfn.IFS($I11&gt;$K$7,$K$7-$K$6,$I11&gt;$K$6,$I11-$K$6,TRUE,0)</f>
        <v>0.85999999999999943</v>
      </c>
      <c r="L11" s="193">
        <f>IF($I11&gt;$L$6,$I11-$L$6,0)</f>
        <v>0</v>
      </c>
      <c r="M11" s="199">
        <f>I11-Assumptions!$G$52</f>
        <v>19.86</v>
      </c>
      <c r="N11" s="193" cm="1">
        <f t="array" ref="N11">_xlfn.IFS($M11&gt;$N$7,$N$6,$M11&gt;$N$6,$M11-$N$6,TRUE,0)</f>
        <v>7.8599999999999994</v>
      </c>
      <c r="O11" s="193" cm="1">
        <f t="array" ref="O11">_xlfn.IFS($M11&gt;$O$7,$O$7-$O$6,$M11&gt;$O$6,$M11-$O$6,TRUE,0)</f>
        <v>0</v>
      </c>
      <c r="P11" s="193">
        <f>IF($M11&gt;$P$6,$M11-$P$6,0)</f>
        <v>0</v>
      </c>
      <c r="Q11" s="205">
        <f>Assumptions!$G$39</f>
        <v>277649.8236361419</v>
      </c>
      <c r="S11" s="153">
        <f>INDEX(VCR_data!$O$8:$O$86, MATCH($D11, VCR_data!$B$8:$B$86,0))*vcr_esc</f>
        <v>27432.670373732366</v>
      </c>
      <c r="T11" s="153">
        <f>(($J11-$N11)+0.5*($K11-$O11)+0.5*($L11-$P11))*_xlfn.XLOOKUP($D11,VCR_data!$B$8:$B$86,VCR_data!$Q$8:$Q$86,0,0)*vcr_esc</f>
        <v>29157.184831940289</v>
      </c>
      <c r="U11" s="153">
        <f>(0.5*($J11-$N11)-0.5*($L11-$P11))*_xlfn.XLOOKUP($D11,VCR_data!$B$8:$B$86,VCR_data!$R$8:$R$86,0,0)*vcr_esc</f>
        <v>6290.8867216135723</v>
      </c>
      <c r="W11" s="203">
        <f>$H11*_xlfn.XLOOKUP($B11,'Climate esc'!$B$7:$B$36,'Climate esc'!BQ$7:BQ$36,0,0,)</f>
        <v>0.125</v>
      </c>
      <c r="X11" s="203">
        <f>$H11*_xlfn.XLOOKUP($B11,'Climate esc'!$B$7:$B$36,'Climate esc'!BR$7:BR$36,0,0,)</f>
        <v>0.12703487127192956</v>
      </c>
      <c r="Y11" s="203">
        <f>$H11*_xlfn.XLOOKUP($B11,'Climate esc'!$B$7:$B$36,'Climate esc'!BS$7:BS$36,0,0,)</f>
        <v>0.12908304092116085</v>
      </c>
      <c r="Z11" s="203">
        <f>$H11*_xlfn.XLOOKUP($B11,'Climate esc'!$B$7:$B$36,'Climate esc'!BT$7:BT$36,0,0,)</f>
        <v>0.13114450894769361</v>
      </c>
      <c r="AA11" s="203">
        <f>$H11*_xlfn.XLOOKUP($B11,'Climate esc'!$B$7:$B$36,'Climate esc'!BU$7:BU$36,0,0,)</f>
        <v>0.13321927535152819</v>
      </c>
      <c r="AB11" s="203">
        <f>$H11*_xlfn.XLOOKUP($B11,'Climate esc'!$B$7:$B$36,'Climate esc'!BV$7:BV$36,0,0,)</f>
        <v>0.13340226886162643</v>
      </c>
      <c r="AC11" s="203">
        <f>$H11*_xlfn.XLOOKUP($B11,'Climate esc'!$B$7:$B$36,'Climate esc'!BW$7:BW$36,0,0,)</f>
        <v>0.13358526237172469</v>
      </c>
      <c r="AD11" s="203">
        <f>$H11*_xlfn.XLOOKUP($B11,'Climate esc'!$B$7:$B$36,'Climate esc'!BX$7:BX$36,0,0,)</f>
        <v>0.13376825588182295</v>
      </c>
      <c r="AE11" s="203">
        <f>$H11*_xlfn.XLOOKUP($B11,'Climate esc'!$B$7:$B$36,'Climate esc'!BY$7:BY$36,0,0,)</f>
        <v>0.13395124939192118</v>
      </c>
      <c r="AF11" s="203">
        <f>$H11*_xlfn.XLOOKUP($B11,'Climate esc'!$B$7:$B$36,'Climate esc'!BZ$7:BZ$36,0,0,)</f>
        <v>0.13413424290201945</v>
      </c>
      <c r="AG11" s="203">
        <f>$H11*_xlfn.XLOOKUP($B11,'Climate esc'!$B$7:$B$36,'Climate esc'!CA$7:CA$36,0,0,)</f>
        <v>0.13431723641211771</v>
      </c>
      <c r="AH11" s="203">
        <f>$H11*_xlfn.XLOOKUP($B11,'Climate esc'!$B$7:$B$36,'Climate esc'!CB$7:CB$36,0,0,)</f>
        <v>0.13450022992221594</v>
      </c>
      <c r="AI11" s="203">
        <f>$H11*_xlfn.XLOOKUP($B11,'Climate esc'!$B$7:$B$36,'Climate esc'!CC$7:CC$36,0,0,)</f>
        <v>0.1346832234323142</v>
      </c>
      <c r="AJ11" s="203">
        <f>$H11*_xlfn.XLOOKUP($B11,'Climate esc'!$B$7:$B$36,'Climate esc'!CD$7:CD$36,0,0,)</f>
        <v>0.13486621694241246</v>
      </c>
      <c r="AK11" s="203">
        <f>$H11*_xlfn.XLOOKUP($B11,'Climate esc'!$B$7:$B$36,'Climate esc'!CE$7:CE$36,0,0,)</f>
        <v>0.13504921045251073</v>
      </c>
      <c r="AL11" s="203">
        <f>$H11*_xlfn.XLOOKUP($B11,'Climate esc'!$B$7:$B$36,'Climate esc'!CF$7:CF$36,0,0,)</f>
        <v>0.13523220396260896</v>
      </c>
      <c r="AM11" s="203">
        <f>$H11*_xlfn.XLOOKUP($B11,'Climate esc'!$B$7:$B$36,'Climate esc'!CG$7:CG$36,0,0,)</f>
        <v>0.13541519747270719</v>
      </c>
      <c r="AN11" s="203">
        <f>$H11*_xlfn.XLOOKUP($B11,'Climate esc'!$B$7:$B$36,'Climate esc'!CH$7:CH$36,0,0,)</f>
        <v>0.13559819098280546</v>
      </c>
      <c r="AO11" s="203">
        <f>$H11*_xlfn.XLOOKUP($B11,'Climate esc'!$B$7:$B$36,'Climate esc'!CI$7:CI$36,0,0,)</f>
        <v>0.13578118449290369</v>
      </c>
      <c r="AP11" s="203">
        <f>$H11*_xlfn.XLOOKUP($B11,'Climate esc'!$B$7:$B$36,'Climate esc'!CJ$7:CJ$36,0,0,)</f>
        <v>0.13596417800300195</v>
      </c>
      <c r="AR11" s="155">
        <f t="shared" ref="AR11" si="114">SUM($F11:$G11)*($I11-$M11)*$S11*W11</f>
        <v>2930.4000446190107</v>
      </c>
      <c r="AS11" s="155">
        <f t="shared" ref="AS11" si="115">SUM($F11:$G11)*($I11-$M11)*$S11*X11</f>
        <v>2978.1039395474613</v>
      </c>
      <c r="AT11" s="155">
        <f t="shared" ref="AT11" si="116">SUM($F11:$G11)*($I11-$M11)*$S11*Y11</f>
        <v>3026.119590999419</v>
      </c>
      <c r="AU11" s="155">
        <f t="shared" ref="AU11" si="117">SUM($F11:$G11)*($I11-$M11)*$S11*Z11</f>
        <v>3074.4469989748768</v>
      </c>
      <c r="AV11" s="155">
        <f t="shared" ref="AV11" si="118">SUM($F11:$G11)*($I11-$M11)*$S11*AA11</f>
        <v>3123.086163473844</v>
      </c>
      <c r="AW11" s="155">
        <f t="shared" ref="AW11" si="119">SUM($F11:$G11)*($I11-$M11)*$S11*AB11</f>
        <v>3127.376116995099</v>
      </c>
      <c r="AX11" s="155">
        <f t="shared" ref="AX11" si="120">SUM($F11:$G11)*($I11-$M11)*$S11*AC11</f>
        <v>3131.6660705163545</v>
      </c>
      <c r="AY11" s="155">
        <f t="shared" ref="AY11" si="121">SUM($F11:$G11)*($I11-$M11)*$S11*AD11</f>
        <v>3135.95602403761</v>
      </c>
      <c r="AZ11" s="155">
        <f t="shared" ref="AZ11" si="122">SUM($F11:$G11)*($I11-$M11)*$S11*AE11</f>
        <v>3140.2459775588645</v>
      </c>
      <c r="BA11" s="155">
        <f t="shared" ref="BA11" si="123">SUM($F11:$G11)*($I11-$M11)*$S11*AF11</f>
        <v>3144.53593108012</v>
      </c>
      <c r="BB11" s="155">
        <f t="shared" ref="BB11" si="124">SUM($F11:$G11)*($I11-$M11)*$S11*AG11</f>
        <v>3148.8258846013755</v>
      </c>
      <c r="BC11" s="155">
        <f t="shared" ref="BC11" si="125">SUM($F11:$G11)*($I11-$M11)*$S11*AH11</f>
        <v>3153.1158381226305</v>
      </c>
      <c r="BD11" s="155">
        <f t="shared" ref="BD11" si="126">SUM($F11:$G11)*($I11-$M11)*$S11*AI11</f>
        <v>3157.405791643886</v>
      </c>
      <c r="BE11" s="155">
        <f t="shared" ref="BE11" si="127">SUM($F11:$G11)*($I11-$M11)*$S11*AJ11</f>
        <v>3161.6957451651415</v>
      </c>
      <c r="BF11" s="155">
        <f t="shared" ref="BF11" si="128">SUM($F11:$G11)*($I11-$M11)*$S11*AK11</f>
        <v>3165.985698686397</v>
      </c>
      <c r="BG11" s="155">
        <f t="shared" ref="BG11" si="129">SUM($F11:$G11)*($I11-$M11)*$S11*AL11</f>
        <v>3170.2756522076515</v>
      </c>
      <c r="BH11" s="155">
        <f t="shared" ref="BH11" si="130">SUM($F11:$G11)*($I11-$M11)*$S11*AM11</f>
        <v>3174.5656057289066</v>
      </c>
      <c r="BI11" s="155">
        <f t="shared" ref="BI11" si="131">SUM($F11:$G11)*($I11-$M11)*$S11*AN11</f>
        <v>3178.8555592501621</v>
      </c>
      <c r="BJ11" s="155">
        <f t="shared" ref="BJ11" si="132">SUM($F11:$G11)*($I11-$M11)*$S11*AO11</f>
        <v>3183.1455127714166</v>
      </c>
      <c r="BK11" s="155">
        <f t="shared" ref="BK11" si="133">SUM($F11:$G11)*($I11-$M11)*$S11*AP11</f>
        <v>3187.4354662926721</v>
      </c>
      <c r="BM11" s="155">
        <f t="shared" ref="BM11" si="134">W11*($F11*$T11+$G11*$U11)</f>
        <v>290.09010639759242</v>
      </c>
      <c r="BN11" s="155">
        <f t="shared" ref="BN11" si="135">X11*($F11*$T11+$G11*$U11)</f>
        <v>294.81247458782804</v>
      </c>
      <c r="BO11" s="155">
        <f t="shared" ref="BO11" si="136">Y11*($F11*$T11+$G11*$U11)</f>
        <v>299.56570459955464</v>
      </c>
      <c r="BP11" s="155">
        <f t="shared" ref="BP11" si="137">Z11*($F11*$T11+$G11*$U11)</f>
        <v>304.3497964327716</v>
      </c>
      <c r="BQ11" s="155">
        <f t="shared" ref="BQ11" si="138">AA11*($F11*$T11+$G11*$U11)</f>
        <v>309.16475008747977</v>
      </c>
      <c r="BR11" s="155">
        <f t="shared" ref="BR11" si="139">AB11*($F11*$T11+$G11*$U11)</f>
        <v>309.5894269419955</v>
      </c>
      <c r="BS11" s="155">
        <f t="shared" ref="BS11" si="140">AC11*($F11*$T11+$G11*$U11)</f>
        <v>310.01410379651134</v>
      </c>
      <c r="BT11" s="155">
        <f t="shared" ref="BT11" si="141">AD11*($F11*$T11+$G11*$U11)</f>
        <v>310.43878065102712</v>
      </c>
      <c r="BU11" s="155">
        <f t="shared" ref="BU11" si="142">AE11*($F11*$T11+$G11*$U11)</f>
        <v>310.86345750554284</v>
      </c>
      <c r="BV11" s="155">
        <f t="shared" ref="BV11" si="143">AF11*($F11*$T11+$G11*$U11)</f>
        <v>311.28813436005862</v>
      </c>
      <c r="BW11" s="155">
        <f t="shared" ref="BW11" si="144">AG11*($F11*$T11+$G11*$U11)</f>
        <v>311.7128112145744</v>
      </c>
      <c r="BX11" s="155">
        <f t="shared" ref="BX11" si="145">AH11*($F11*$T11+$G11*$U11)</f>
        <v>312.13748806909013</v>
      </c>
      <c r="BY11" s="155">
        <f t="shared" ref="BY11" si="146">AI11*($F11*$T11+$G11*$U11)</f>
        <v>312.56216492360591</v>
      </c>
      <c r="BZ11" s="155">
        <f t="shared" ref="BZ11" si="147">AJ11*($F11*$T11+$G11*$U11)</f>
        <v>312.98684177812169</v>
      </c>
      <c r="CA11" s="155">
        <f t="shared" ref="CA11" si="148">AK11*($F11*$T11+$G11*$U11)</f>
        <v>313.41151863263752</v>
      </c>
      <c r="CB11" s="155">
        <f t="shared" ref="CB11" si="149">AL11*($F11*$T11+$G11*$U11)</f>
        <v>313.83619548715325</v>
      </c>
      <c r="CC11" s="155">
        <f t="shared" ref="CC11" si="150">AM11*($F11*$T11+$G11*$U11)</f>
        <v>314.26087234166897</v>
      </c>
      <c r="CD11" s="155">
        <f t="shared" ref="CD11" si="151">AN11*($F11*$T11+$G11*$U11)</f>
        <v>314.68554919618475</v>
      </c>
      <c r="CE11" s="155">
        <f t="shared" ref="CE11" si="152">AO11*($F11*$T11+$G11*$U11)</f>
        <v>315.11022605070048</v>
      </c>
      <c r="CF11" s="155">
        <f t="shared" ref="CF11" si="153">AP11*($F11*$T11+$G11*$U11)</f>
        <v>315.53490290521626</v>
      </c>
      <c r="CH11" s="155">
        <f>W11*Assumptions!$G$99*$E11</f>
        <v>373618.91625000001</v>
      </c>
      <c r="CI11" s="155">
        <f>X11*Assumptions!$G$99*$E11</f>
        <v>379701.04744461266</v>
      </c>
      <c r="CJ11" s="155">
        <f>Y11*Assumptions!$G$99*$E11</f>
        <v>385822.92684174812</v>
      </c>
      <c r="CK11" s="155">
        <f>Z11*Assumptions!$G$99*$E11</f>
        <v>391984.55444140575</v>
      </c>
      <c r="CL11" s="155">
        <f>AA11*Assumptions!$G$99*$E11</f>
        <v>398185.93024358642</v>
      </c>
      <c r="CM11" s="155">
        <f>AB11*Assumptions!$G$99*$E11</f>
        <v>398732.88893897593</v>
      </c>
      <c r="CN11" s="155">
        <f>AC11*Assumptions!$G$99*$E11</f>
        <v>399279.84763436549</v>
      </c>
      <c r="CO11" s="155">
        <f>AD11*Assumptions!$G$99*$E11</f>
        <v>399826.80632975505</v>
      </c>
      <c r="CP11" s="155">
        <f>AE11*Assumptions!$G$99*$E11</f>
        <v>400373.76502514456</v>
      </c>
      <c r="CQ11" s="155">
        <f>AF11*Assumptions!$G$99*$E11</f>
        <v>400920.72372053412</v>
      </c>
      <c r="CR11" s="155">
        <f>AG11*Assumptions!$G$99*$E11</f>
        <v>401467.68241592363</v>
      </c>
      <c r="CS11" s="155">
        <f>AH11*Assumptions!$G$99*$E11</f>
        <v>402014.64111131319</v>
      </c>
      <c r="CT11" s="155">
        <f>AI11*Assumptions!$G$99*$E11</f>
        <v>402561.5998067027</v>
      </c>
      <c r="CU11" s="155">
        <f>AJ11*Assumptions!$G$99*$E11</f>
        <v>403108.55850209226</v>
      </c>
      <c r="CV11" s="155">
        <f>AK11*Assumptions!$G$99*$E11</f>
        <v>403655.51719748182</v>
      </c>
      <c r="CW11" s="155">
        <f>AL11*Assumptions!$G$99*$E11</f>
        <v>404202.47589287133</v>
      </c>
      <c r="CX11" s="155">
        <f>AM11*Assumptions!$G$99*$E11</f>
        <v>404749.43458826077</v>
      </c>
      <c r="CY11" s="155">
        <f>AN11*Assumptions!$G$99*$E11</f>
        <v>405296.3932836504</v>
      </c>
      <c r="CZ11" s="155">
        <f>AO11*Assumptions!$G$99*$E11</f>
        <v>405843.35197903984</v>
      </c>
      <c r="DA11" s="155">
        <f>AP11*Assumptions!$G$99*$E11</f>
        <v>406390.31067442941</v>
      </c>
      <c r="DC11" s="155">
        <f>(AR11+BM11+CH11)</f>
        <v>376839.40640101663</v>
      </c>
      <c r="DD11" s="155">
        <f t="shared" ref="DD11" si="154">(AS11+BN11+CI11)</f>
        <v>382973.96385874797</v>
      </c>
      <c r="DE11" s="155">
        <f t="shared" ref="DE11" si="155">(AT11+BO11+CJ11)</f>
        <v>389148.61213734711</v>
      </c>
      <c r="DF11" s="155">
        <f t="shared" ref="DF11" si="156">(AU11+BP11+CK11)</f>
        <v>395363.35123681341</v>
      </c>
      <c r="DG11" s="155">
        <f t="shared" ref="DG11" si="157">(AV11+BQ11+CL11)</f>
        <v>401618.18115714774</v>
      </c>
      <c r="DH11" s="155">
        <f t="shared" ref="DH11" si="158">(AW11+BR11+CM11)</f>
        <v>402169.85448291304</v>
      </c>
      <c r="DI11" s="155">
        <f t="shared" ref="DI11" si="159">(AX11+BS11+CN11)</f>
        <v>402721.52780867834</v>
      </c>
      <c r="DJ11" s="155">
        <f t="shared" ref="DJ11" si="160">(AY11+BT11+CO11)</f>
        <v>403273.20113444369</v>
      </c>
      <c r="DK11" s="155">
        <f t="shared" ref="DK11" si="161">(AZ11+BU11+CP11)</f>
        <v>403824.87446020899</v>
      </c>
      <c r="DL11" s="155">
        <f t="shared" ref="DL11" si="162">(BA11+BV11+CQ11)</f>
        <v>404376.54778597428</v>
      </c>
      <c r="DM11" s="155">
        <f t="shared" ref="DM11" si="163">(BB11+BW11+CR11)</f>
        <v>404928.22111173958</v>
      </c>
      <c r="DN11" s="155">
        <f t="shared" ref="DN11" si="164">(BC11+BX11+CS11)</f>
        <v>405479.89443750493</v>
      </c>
      <c r="DO11" s="155">
        <f t="shared" ref="DO11" si="165">(BD11+BY11+CT11)</f>
        <v>406031.56776327017</v>
      </c>
      <c r="DP11" s="155">
        <f t="shared" ref="DP11" si="166">(BE11+BZ11+CU11)</f>
        <v>406583.24108903552</v>
      </c>
      <c r="DQ11" s="155">
        <f t="shared" ref="DQ11" si="167">(BF11+CA11+CV11)</f>
        <v>407134.91441480088</v>
      </c>
      <c r="DR11" s="155">
        <f t="shared" ref="DR11" si="168">(BG11+CB11+CW11)</f>
        <v>407686.58774056612</v>
      </c>
      <c r="DS11" s="155">
        <f t="shared" ref="DS11" si="169">(BH11+CC11+CX11)</f>
        <v>408238.26106633135</v>
      </c>
      <c r="DT11" s="155">
        <f t="shared" ref="DT11" si="170">(BI11+CD11+CY11)</f>
        <v>408789.93439209677</v>
      </c>
      <c r="DU11" s="155">
        <f t="shared" ref="DU11" si="171">(BJ11+CE11+CZ11)</f>
        <v>409341.60771786195</v>
      </c>
      <c r="DV11" s="155">
        <f t="shared" ref="DV11" si="172">(BK11+CF11+DA11)</f>
        <v>409893.2810436273</v>
      </c>
      <c r="DW11" s="136"/>
      <c r="DX11" s="157" cm="1">
        <f t="array" ref="DX11">SUMPRODUCT(($DC11:$DV11)*(Misc_calcs!$G$29:$Z$29))</f>
        <v>5788000.9523730418</v>
      </c>
      <c r="DZ11" s="157">
        <f t="shared" si="9"/>
        <v>277649.8236361419</v>
      </c>
      <c r="EA11" s="157" cm="1">
        <f t="array" ref="EA11">SUMPRODUCT((PMT(real_disc,Assumptions!$G$40,DZ11)*(Misc_calcs!$G$29:$Z$29)))</f>
        <v>-165451.89647124647</v>
      </c>
      <c r="EC11" s="157">
        <f t="shared" ref="EC11:EC24" si="173">EA11+DX11</f>
        <v>5622549.0559017956</v>
      </c>
      <c r="ED11" s="157" t="b">
        <f>EC11&gt;0</f>
        <v>1</v>
      </c>
      <c r="EF11" s="158">
        <f>-PMT(real_disc,Assumptions!$G$40,DZ11)</f>
        <v>11442.845964415281</v>
      </c>
      <c r="EH11" s="1" t="str">
        <f t="shared" si="54"/>
        <v>2026-31 reg period</v>
      </c>
    </row>
    <row r="12" spans="1:138" x14ac:dyDescent="0.2">
      <c r="B12" s="206" t="s">
        <v>426</v>
      </c>
      <c r="C12" s="194" t="s">
        <v>312</v>
      </c>
      <c r="D12" s="194" t="str">
        <f t="shared" si="4"/>
        <v>ETSA</v>
      </c>
      <c r="E12" s="201">
        <v>191</v>
      </c>
      <c r="F12" s="204">
        <v>5.2926311251426925E-2</v>
      </c>
      <c r="G12" s="204">
        <v>0.13672340191210008</v>
      </c>
      <c r="H12" s="216">
        <f>2/24</f>
        <v>8.3333333333333329E-2</v>
      </c>
      <c r="I12" s="206">
        <v>16.48</v>
      </c>
      <c r="J12" s="1" cm="1">
        <f t="array" ref="J12">_xlfn.IFS($I12&gt;$J$7,$J$6,$I12&gt;$J$6,$I12-$J$6,TRUE,0)</f>
        <v>4.4800000000000004</v>
      </c>
      <c r="K12" s="193" cm="1">
        <f t="array" ref="K12">_xlfn.IFS($I12&gt;$K$7,$K$7-$K$6,$I12&gt;$K$6,$I12-$K$6,TRUE,0)</f>
        <v>0</v>
      </c>
      <c r="L12" s="193">
        <f>IF($I12&gt;$L$6,$I12-$L$6,0)</f>
        <v>0</v>
      </c>
      <c r="M12" s="199">
        <f>I12-Assumptions!$G$52</f>
        <v>11.48</v>
      </c>
      <c r="N12" s="193" cm="1">
        <f t="array" ref="N12">_xlfn.IFS($M12&gt;$N$7,$N$6,$M12&gt;$N$6,$M12-$N$6,TRUE,0)</f>
        <v>0</v>
      </c>
      <c r="O12" s="193" cm="1">
        <f t="array" ref="O12">_xlfn.IFS($M12&gt;$O$7,$O$7-$O$6,$M12&gt;$O$6,$M12-$O$6,TRUE,0)</f>
        <v>0</v>
      </c>
      <c r="P12" s="193">
        <f>IF($M12&gt;$P$6,$M12-$P$6,0)</f>
        <v>0</v>
      </c>
      <c r="Q12" s="205">
        <f>Assumptions!$G$39</f>
        <v>277649.8236361419</v>
      </c>
      <c r="S12" s="153">
        <f>36774.1974120778*vcr_esc</f>
        <v>34717.187978688737</v>
      </c>
      <c r="T12" s="153">
        <f>(($J12-$N12)+0.5*($K12-$O12)+0.5*($L12-$P12))*_xlfn.XLOOKUP($D12,VCR_data!$B$8:$B$86,VCR_data!$Q$8:$Q$86,0,0)*vcr_esc</f>
        <v>0</v>
      </c>
      <c r="U12" s="153">
        <f>(0.5*($J12-$N12)-0.5*($L12-$P12))*_xlfn.XLOOKUP($D12,VCR_data!$B$8:$B$86,VCR_data!$R$8:$R$86,0,0)*vcr_esc</f>
        <v>0</v>
      </c>
      <c r="W12" s="203">
        <f>$H12*_xlfn.XLOOKUP($B12,'Climate esc'!$B$7:$B$36,'Climate esc'!BQ$7:BQ$36,0,0,)</f>
        <v>8.3333333333333329E-2</v>
      </c>
      <c r="X12" s="203">
        <f>$H12*_xlfn.XLOOKUP($B12,'Climate esc'!$B$7:$B$36,'Climate esc'!BR$7:BR$36,0,0,)</f>
        <v>8.4353132468701353E-2</v>
      </c>
      <c r="Y12" s="203">
        <f>$H12*_xlfn.XLOOKUP($B12,'Climate esc'!$B$7:$B$36,'Climate esc'!BS$7:BS$36,0,0,)</f>
        <v>8.5378333163379866E-2</v>
      </c>
      <c r="Z12" s="203">
        <f>$H12*_xlfn.XLOOKUP($B12,'Climate esc'!$B$7:$B$36,'Climate esc'!BT$7:BT$36,0,0,)</f>
        <v>8.6408935417369159E-2</v>
      </c>
      <c r="AA12" s="203">
        <f>$H12*_xlfn.XLOOKUP($B12,'Climate esc'!$B$7:$B$36,'Climate esc'!BU$7:BU$36,0,0,)</f>
        <v>8.7444939230668942E-2</v>
      </c>
      <c r="AB12" s="203">
        <f>$H12*_xlfn.XLOOKUP($B12,'Climate esc'!$B$7:$B$36,'Climate esc'!BV$7:BV$36,0,0,)</f>
        <v>8.5417001498813122E-2</v>
      </c>
      <c r="AC12" s="203">
        <f>$H12*_xlfn.XLOOKUP($B12,'Climate esc'!$B$7:$B$36,'Climate esc'!BW$7:BW$36,0,0,)</f>
        <v>8.3404589944542487E-2</v>
      </c>
      <c r="AD12" s="203">
        <f>$H12*_xlfn.XLOOKUP($B12,'Climate esc'!$B$7:$B$36,'Climate esc'!BX$7:BX$36,0,0,)</f>
        <v>8.1407704567857037E-2</v>
      </c>
      <c r="AE12" s="203">
        <f>$H12*_xlfn.XLOOKUP($B12,'Climate esc'!$B$7:$B$36,'Climate esc'!BY$7:BY$36,0,0,)</f>
        <v>7.9426345368756646E-2</v>
      </c>
      <c r="AF12" s="203">
        <f>$H12*_xlfn.XLOOKUP($B12,'Climate esc'!$B$7:$B$36,'Climate esc'!BZ$7:BZ$36,0,0,)</f>
        <v>7.7460512347241578E-2</v>
      </c>
      <c r="AG12" s="203">
        <f>$H12*_xlfn.XLOOKUP($B12,'Climate esc'!$B$7:$B$36,'Climate esc'!CA$7:CA$36,0,0,)</f>
        <v>7.5510205503311667E-2</v>
      </c>
      <c r="AH12" s="203">
        <f>$H12*_xlfn.XLOOKUP($B12,'Climate esc'!$B$7:$B$36,'Climate esc'!CB$7:CB$36,0,0,)</f>
        <v>7.3575424836966968E-2</v>
      </c>
      <c r="AI12" s="203">
        <f>$H12*_xlfn.XLOOKUP($B12,'Climate esc'!$B$7:$B$36,'Climate esc'!CC$7:CC$36,0,0,)</f>
        <v>7.1656170348207329E-2</v>
      </c>
      <c r="AJ12" s="203">
        <f>$H12*_xlfn.XLOOKUP($B12,'Climate esc'!$B$7:$B$36,'Climate esc'!CD$7:CD$36,0,0,)</f>
        <v>6.9752442037032986E-2</v>
      </c>
      <c r="AK12" s="203">
        <f>$H12*_xlfn.XLOOKUP($B12,'Climate esc'!$B$7:$B$36,'Climate esc'!CE$7:CE$36,0,0,)</f>
        <v>6.7864239903443827E-2</v>
      </c>
      <c r="AL12" s="203">
        <f>$H12*_xlfn.XLOOKUP($B12,'Climate esc'!$B$7:$B$36,'Climate esc'!CF$7:CF$36,0,0,)</f>
        <v>6.5991563947439852E-2</v>
      </c>
      <c r="AM12" s="203">
        <f>$H12*_xlfn.XLOOKUP($B12,'Climate esc'!$B$7:$B$36,'Climate esc'!CG$7:CG$36,0,0,)</f>
        <v>6.4134414169020965E-2</v>
      </c>
      <c r="AN12" s="203">
        <f>$H12*_xlfn.XLOOKUP($B12,'Climate esc'!$B$7:$B$36,'Climate esc'!CH$7:CH$36,0,0,)</f>
        <v>6.2292790568187373E-2</v>
      </c>
      <c r="AO12" s="203">
        <f>$H12*_xlfn.XLOOKUP($B12,'Climate esc'!$B$7:$B$36,'Climate esc'!CI$7:CI$36,0,0,)</f>
        <v>6.0466693144938945E-2</v>
      </c>
      <c r="AP12" s="203">
        <f>$H12*_xlfn.XLOOKUP($B12,'Climate esc'!$B$7:$B$36,'Climate esc'!CJ$7:CJ$36,0,0,)</f>
        <v>5.8656121899275701E-2</v>
      </c>
      <c r="AR12" s="155">
        <f t="shared" ref="AR12:AR24" si="174">SUM($F12:$G12)*($I12-$M12)*$S12*W12</f>
        <v>2743.3769758344029</v>
      </c>
      <c r="AS12" s="155">
        <f t="shared" ref="AS12" si="175">SUM($F12:$G12)*($I12-$M12)*$S12*X12</f>
        <v>2776.9492974497366</v>
      </c>
      <c r="AT12" s="155">
        <f t="shared" ref="AT12" si="176">SUM($F12:$G12)*($I12-$M12)*$S12*Y12</f>
        <v>2810.6994412264221</v>
      </c>
      <c r="AU12" s="155">
        <f t="shared" ref="AU12" si="177">SUM($F12:$G12)*($I12-$M12)*$S12*Z12</f>
        <v>2844.6274071644693</v>
      </c>
      <c r="AV12" s="155">
        <f t="shared" ref="AV12" si="178">SUM($F12:$G12)*($I12-$M12)*$S12*AA12</f>
        <v>2878.7331952638683</v>
      </c>
      <c r="AW12" s="155">
        <f t="shared" ref="AW12" si="179">SUM($F12:$G12)*($I12-$M12)*$S12*AB12</f>
        <v>2811.9724230798793</v>
      </c>
      <c r="AX12" s="155">
        <f t="shared" ref="AX12" si="180">SUM($F12:$G12)*($I12-$M12)*$S12*AC12</f>
        <v>2745.722780793209</v>
      </c>
      <c r="AY12" s="155">
        <f t="shared" ref="AY12" si="181">SUM($F12:$G12)*($I12-$M12)*$S12*AD12</f>
        <v>2679.9842684038576</v>
      </c>
      <c r="AZ12" s="155">
        <f t="shared" ref="AZ12" si="182">SUM($F12:$G12)*($I12-$M12)*$S12*AE12</f>
        <v>2614.7568859118214</v>
      </c>
      <c r="BA12" s="155">
        <f t="shared" ref="BA12" si="183">SUM($F12:$G12)*($I12-$M12)*$S12*AF12</f>
        <v>2550.0406333171086</v>
      </c>
      <c r="BB12" s="155">
        <f t="shared" ref="BB12" si="184">SUM($F12:$G12)*($I12-$M12)*$S12*AG12</f>
        <v>2485.8355106197137</v>
      </c>
      <c r="BC12" s="155">
        <f t="shared" ref="BC12" si="185">SUM($F12:$G12)*($I12-$M12)*$S12*AH12</f>
        <v>2422.1415178196385</v>
      </c>
      <c r="BD12" s="155">
        <f t="shared" ref="BD12" si="186">SUM($F12:$G12)*($I12-$M12)*$S12*AI12</f>
        <v>2358.958654916878</v>
      </c>
      <c r="BE12" s="155">
        <f t="shared" ref="BE12" si="187">SUM($F12:$G12)*($I12-$M12)*$S12*AJ12</f>
        <v>2296.2869219114405</v>
      </c>
      <c r="BF12" s="155">
        <f t="shared" ref="BF12" si="188">SUM($F12:$G12)*($I12-$M12)*$S12*AK12</f>
        <v>2234.1263188033217</v>
      </c>
      <c r="BG12" s="155">
        <f t="shared" ref="BG12" si="189">SUM($F12:$G12)*($I12-$M12)*$S12*AL12</f>
        <v>2172.4768455925218</v>
      </c>
      <c r="BH12" s="155">
        <f t="shared" ref="BH12" si="190">SUM($F12:$G12)*($I12-$M12)*$S12*AM12</f>
        <v>2111.338502279038</v>
      </c>
      <c r="BI12" s="155">
        <f t="shared" ref="BI12" si="191">SUM($F12:$G12)*($I12-$M12)*$S12*AN12</f>
        <v>2050.7112888628762</v>
      </c>
      <c r="BJ12" s="155">
        <f t="shared" ref="BJ12" si="192">SUM($F12:$G12)*($I12-$M12)*$S12*AO12</f>
        <v>1990.595205344033</v>
      </c>
      <c r="BK12" s="155">
        <f t="shared" ref="BK12" si="193">SUM($F12:$G12)*($I12-$M12)*$S12*AP12</f>
        <v>1930.9902517225089</v>
      </c>
      <c r="BM12" s="155">
        <f t="shared" ref="BM12:BM24" si="194">W12*($F12*$T12+$G12*$U12)</f>
        <v>0</v>
      </c>
      <c r="BN12" s="155">
        <f>X12*($F12*$T12+$G12*$U12)</f>
        <v>0</v>
      </c>
      <c r="BO12" s="155">
        <f t="shared" ref="BO12:BO24" si="195">Y12*($F12*$T12+$G12*$U12)</f>
        <v>0</v>
      </c>
      <c r="BP12" s="155">
        <f t="shared" ref="BP12:BP24" si="196">Z12*($F12*$T12+$G12*$U12)</f>
        <v>0</v>
      </c>
      <c r="BQ12" s="155">
        <f t="shared" ref="BQ12:BQ24" si="197">AA12*($F12*$T12+$G12*$U12)</f>
        <v>0</v>
      </c>
      <c r="BR12" s="155">
        <f t="shared" ref="BR12:BR24" si="198">AB12*($F12*$T12+$G12*$U12)</f>
        <v>0</v>
      </c>
      <c r="BS12" s="155">
        <f t="shared" ref="BS12:BS24" si="199">AC12*($F12*$T12+$G12*$U12)</f>
        <v>0</v>
      </c>
      <c r="BT12" s="155">
        <f t="shared" ref="BT12:BT24" si="200">AD12*($F12*$T12+$G12*$U12)</f>
        <v>0</v>
      </c>
      <c r="BU12" s="155">
        <f t="shared" ref="BU12:BU24" si="201">AE12*($F12*$T12+$G12*$U12)</f>
        <v>0</v>
      </c>
      <c r="BV12" s="155">
        <f t="shared" ref="BV12:BV24" si="202">AF12*($F12*$T12+$G12*$U12)</f>
        <v>0</v>
      </c>
      <c r="BW12" s="155">
        <f t="shared" ref="BW12:BW24" si="203">AG12*($F12*$T12+$G12*$U12)</f>
        <v>0</v>
      </c>
      <c r="BX12" s="155">
        <f t="shared" ref="BX12:BX24" si="204">AH12*($F12*$T12+$G12*$U12)</f>
        <v>0</v>
      </c>
      <c r="BY12" s="155">
        <f t="shared" ref="BY12:BY24" si="205">AI12*($F12*$T12+$G12*$U12)</f>
        <v>0</v>
      </c>
      <c r="BZ12" s="155">
        <f t="shared" ref="BZ12:BZ24" si="206">AJ12*($F12*$T12+$G12*$U12)</f>
        <v>0</v>
      </c>
      <c r="CA12" s="155">
        <f t="shared" ref="CA12:CA24" si="207">AK12*($F12*$T12+$G12*$U12)</f>
        <v>0</v>
      </c>
      <c r="CB12" s="155">
        <f t="shared" ref="CB12:CB24" si="208">AL12*($F12*$T12+$G12*$U12)</f>
        <v>0</v>
      </c>
      <c r="CC12" s="155">
        <f t="shared" ref="CC12:CC24" si="209">AM12*($F12*$T12+$G12*$U12)</f>
        <v>0</v>
      </c>
      <c r="CD12" s="155">
        <f t="shared" ref="CD12:CD24" si="210">AN12*($F12*$T12+$G12*$U12)</f>
        <v>0</v>
      </c>
      <c r="CE12" s="155">
        <f t="shared" ref="CE12:CE24" si="211">AO12*($F12*$T12+$G12*$U12)</f>
        <v>0</v>
      </c>
      <c r="CF12" s="155">
        <f t="shared" ref="CF12:CF24" si="212">AP12*($F12*$T12+$G12*$U12)</f>
        <v>0</v>
      </c>
      <c r="CH12" s="155">
        <f>W12*Assumptions!$G$99*$E12</f>
        <v>13777.625833333332</v>
      </c>
      <c r="CI12" s="155">
        <f>X12*Assumptions!$G$99*$E12</f>
        <v>13946.230764280424</v>
      </c>
      <c r="CJ12" s="155">
        <f>Y12*Assumptions!$G$99*$E12</f>
        <v>14115.728743184671</v>
      </c>
      <c r="CK12" s="155">
        <f>Z12*Assumptions!$G$99*$E12</f>
        <v>14286.119770046125</v>
      </c>
      <c r="CL12" s="155">
        <f>AA12*Assumptions!$G$99*$E12</f>
        <v>14457.403844864735</v>
      </c>
      <c r="CM12" s="155">
        <f>AB12*Assumptions!$G$99*$E12</f>
        <v>14122.121837471035</v>
      </c>
      <c r="CN12" s="155">
        <f>AC12*Assumptions!$G$99*$E12</f>
        <v>13789.406796462026</v>
      </c>
      <c r="CO12" s="155">
        <f>AD12*Assumptions!$G$99*$E12</f>
        <v>13459.258721837703</v>
      </c>
      <c r="CP12" s="155">
        <f>AE12*Assumptions!$G$99*$E12</f>
        <v>13131.677613598044</v>
      </c>
      <c r="CQ12" s="155">
        <f>AF12*Assumptions!$G$99*$E12</f>
        <v>12806.663471743093</v>
      </c>
      <c r="CR12" s="155">
        <f>AG12*Assumptions!$G$99*$E12</f>
        <v>12484.216296272827</v>
      </c>
      <c r="CS12" s="155">
        <f>AH12*Assumptions!$G$99*$E12</f>
        <v>12164.336087187252</v>
      </c>
      <c r="CT12" s="155">
        <f>AI12*Assumptions!$G$99*$E12</f>
        <v>11847.022844486342</v>
      </c>
      <c r="CU12" s="155">
        <f>AJ12*Assumptions!$G$99*$E12</f>
        <v>11532.276568170138</v>
      </c>
      <c r="CV12" s="155">
        <f>AK12*Assumptions!$G$99*$E12</f>
        <v>11220.097258238622</v>
      </c>
      <c r="CW12" s="155">
        <f>AL12*Assumptions!$G$99*$E12</f>
        <v>10910.484914691791</v>
      </c>
      <c r="CX12" s="155">
        <f>AM12*Assumptions!$G$99*$E12</f>
        <v>10603.439537529632</v>
      </c>
      <c r="CY12" s="155">
        <f>AN12*Assumptions!$G$99*$E12</f>
        <v>10298.961126752176</v>
      </c>
      <c r="CZ12" s="155">
        <f>AO12*Assumptions!$G$99*$E12</f>
        <v>9997.0496823594058</v>
      </c>
      <c r="DA12" s="155">
        <f>AP12*Assumptions!$G$99*$E12</f>
        <v>9697.7052043513195</v>
      </c>
      <c r="DC12" s="155">
        <f>(AR12+BM12+CH12)</f>
        <v>16521.002809167734</v>
      </c>
      <c r="DD12" s="155">
        <f t="shared" ref="DD12:DS24" si="213">(AS12+BN12+CI12)</f>
        <v>16723.18006173016</v>
      </c>
      <c r="DE12" s="155">
        <f t="shared" ref="DE12" si="214">(AT12+BO12+CJ12)</f>
        <v>16926.428184411092</v>
      </c>
      <c r="DF12" s="155">
        <f t="shared" ref="DF12" si="215">(AU12+BP12+CK12)</f>
        <v>17130.747177210593</v>
      </c>
      <c r="DG12" s="155">
        <f t="shared" ref="DG12" si="216">(AV12+BQ12+CL12)</f>
        <v>17336.137040128604</v>
      </c>
      <c r="DH12" s="155">
        <f t="shared" ref="DH12" si="217">(AW12+BR12+CM12)</f>
        <v>16934.094260550915</v>
      </c>
      <c r="DI12" s="155">
        <f t="shared" ref="DI12" si="218">(AX12+BS12+CN12)</f>
        <v>16535.129577255237</v>
      </c>
      <c r="DJ12" s="155">
        <f t="shared" ref="DJ12" si="219">(AY12+BT12+CO12)</f>
        <v>16139.242990241561</v>
      </c>
      <c r="DK12" s="155">
        <f t="shared" ref="DK12" si="220">(AZ12+BU12+CP12)</f>
        <v>15746.434499509865</v>
      </c>
      <c r="DL12" s="155">
        <f t="shared" ref="DL12" si="221">(BA12+BV12+CQ12)</f>
        <v>15356.704105060202</v>
      </c>
      <c r="DM12" s="155">
        <f t="shared" ref="DM12" si="222">(BB12+BW12+CR12)</f>
        <v>14970.051806892541</v>
      </c>
      <c r="DN12" s="155">
        <f t="shared" ref="DN12" si="223">(BC12+BX12+CS12)</f>
        <v>14586.47760500689</v>
      </c>
      <c r="DO12" s="155">
        <f t="shared" ref="DO12" si="224">(BD12+BY12+CT12)</f>
        <v>14205.98149940322</v>
      </c>
      <c r="DP12" s="155">
        <f t="shared" ref="DP12" si="225">(BE12+BZ12+CU12)</f>
        <v>13828.563490081578</v>
      </c>
      <c r="DQ12" s="155">
        <f t="shared" ref="DQ12" si="226">(BF12+CA12+CV12)</f>
        <v>13454.223577041943</v>
      </c>
      <c r="DR12" s="155">
        <f t="shared" ref="DR12" si="227">(BG12+CB12+CW12)</f>
        <v>13082.961760284314</v>
      </c>
      <c r="DS12" s="155">
        <f t="shared" ref="DS12" si="228">(BH12+CC12+CX12)</f>
        <v>12714.778039808669</v>
      </c>
      <c r="DT12" s="155">
        <f t="shared" ref="DT12:DT24" si="229">(BI12+CD12+CY12)</f>
        <v>12349.672415615052</v>
      </c>
      <c r="DU12" s="155">
        <f t="shared" ref="DU12:DU24" si="230">(BJ12+CE12+CZ12)</f>
        <v>11987.644887703438</v>
      </c>
      <c r="DV12" s="155">
        <f t="shared" ref="DV12:DV24" si="231">(BK12+CF12+DA12)</f>
        <v>11628.695456073829</v>
      </c>
      <c r="DW12" s="136"/>
      <c r="DX12" s="157" cm="1">
        <f t="array" ref="DX12">SUMPRODUCT(($DC12:$DV12)*(Misc_calcs!$G$29:$Z$29))</f>
        <v>220516.68800265979</v>
      </c>
      <c r="DZ12" s="157">
        <f t="shared" si="9"/>
        <v>277649.8236361419</v>
      </c>
      <c r="EA12" s="157" cm="1">
        <f t="array" ref="EA12">SUMPRODUCT((PMT(real_disc,Assumptions!$G$40,DZ12)*(Misc_calcs!$G$29:$Z$29)))</f>
        <v>-165451.89647124647</v>
      </c>
      <c r="EC12" s="157">
        <f t="shared" si="173"/>
        <v>55064.791531413328</v>
      </c>
      <c r="ED12" s="157" t="b">
        <f>EC12&gt;0</f>
        <v>1</v>
      </c>
      <c r="EF12" s="158">
        <f>-PMT(real_disc,Assumptions!$G$40,DZ12)</f>
        <v>11442.845964415281</v>
      </c>
      <c r="EH12" s="1" t="str">
        <f t="shared" si="54"/>
        <v>2026-31 reg period</v>
      </c>
    </row>
    <row r="13" spans="1:138" x14ac:dyDescent="0.2">
      <c r="B13" s="206" t="s">
        <v>433</v>
      </c>
      <c r="C13" s="194" t="s">
        <v>305</v>
      </c>
      <c r="D13" s="194" t="str">
        <f t="shared" si="4"/>
        <v>BAN</v>
      </c>
      <c r="E13" s="201">
        <v>16604</v>
      </c>
      <c r="F13" s="204">
        <v>6.916333553942923E-2</v>
      </c>
      <c r="G13" s="204">
        <v>0.19762400274516251</v>
      </c>
      <c r="H13" s="216">
        <f>1/24</f>
        <v>4.1666666666666664E-2</v>
      </c>
      <c r="I13" s="206">
        <v>16.07</v>
      </c>
      <c r="J13" s="1" cm="1">
        <f t="array" ref="J13">_xlfn.IFS($I13&gt;$J$7,$J$6,$I13&gt;$J$6,$I13-$J$6,TRUE,0)</f>
        <v>4.07</v>
      </c>
      <c r="K13" s="193" cm="1">
        <f t="array" ref="K13">_xlfn.IFS($I13&gt;$K$7,$K$7-$K$6,$I13&gt;$K$6,$I13-$K$6,TRUE,0)</f>
        <v>0</v>
      </c>
      <c r="L13" s="193">
        <f t="shared" ref="L13:L24" si="232">IF($I13&gt;$L$6,$I13-$L$6,0)</f>
        <v>0</v>
      </c>
      <c r="M13" s="199">
        <f>I13-Assumptions!$G$52</f>
        <v>11.07</v>
      </c>
      <c r="N13" s="193" cm="1">
        <f t="array" ref="N13">_xlfn.IFS($M13&gt;$N$7,$N$6,$M13&gt;$N$6,$M13-$N$6,TRUE,0)</f>
        <v>0</v>
      </c>
      <c r="O13" s="193" cm="1">
        <f t="array" ref="O13">_xlfn.IFS($M13&gt;$O$7,$O$7-$O$6,$M13&gt;$O$6,$M13-$O$6,TRUE,0)</f>
        <v>0</v>
      </c>
      <c r="P13" s="193">
        <f t="shared" ref="P13:P24" si="233">IF($M13&gt;$P$6,$M13-$P$6,0)</f>
        <v>0</v>
      </c>
      <c r="Q13" s="205">
        <f>Assumptions!$G$39</f>
        <v>277649.8236361419</v>
      </c>
      <c r="S13" s="153">
        <f>INDEX(VCR_data!$O$8:$O$86, MATCH($D13, VCR_data!$B$8:$B$86,0))*vcr_esc</f>
        <v>32573.845235161316</v>
      </c>
      <c r="T13" s="153">
        <f>(($J13-$N13)+0.5*($K13-$O13)+0.5*($L13-$P13))*_xlfn.XLOOKUP($D13,VCR_data!$B$8:$B$86,VCR_data!$Q$8:$Q$86,0,0)*vcr_esc</f>
        <v>36716.192893098705</v>
      </c>
      <c r="U13" s="153">
        <f>(0.5*($J13-$N13)-0.5*($L13-$P13))*_xlfn.XLOOKUP($D13,VCR_data!$B$8:$B$86,VCR_data!$R$8:$R$86,0,0)*vcr_esc</f>
        <v>7501.9762503592146</v>
      </c>
      <c r="W13" s="203">
        <f>$H13*_xlfn.XLOOKUP($B13,'Climate esc'!$B$7:$B$36,'Climate esc'!BQ$7:BQ$36,0,0,)</f>
        <v>4.1666666666666664E-2</v>
      </c>
      <c r="X13" s="203">
        <f>$H13*_xlfn.XLOOKUP($B13,'Climate esc'!$B$7:$B$36,'Climate esc'!BR$7:BR$36,0,0,)</f>
        <v>4.2734683064409203E-2</v>
      </c>
      <c r="Y13" s="203">
        <f>$H13*_xlfn.XLOOKUP($B13,'Climate esc'!$B$7:$B$36,'Climate esc'!BS$7:BS$36,0,0,)</f>
        <v>4.3811739997859839E-2</v>
      </c>
      <c r="Z13" s="203">
        <f>$H13*_xlfn.XLOOKUP($B13,'Climate esc'!$B$7:$B$36,'Climate esc'!BT$7:BT$36,0,0,)</f>
        <v>4.4897837467018531E-2</v>
      </c>
      <c r="AA13" s="203">
        <f>$H13*_xlfn.XLOOKUP($B13,'Climate esc'!$B$7:$B$36,'Climate esc'!BU$7:BU$36,0,0,)</f>
        <v>4.59929754718853E-2</v>
      </c>
      <c r="AB13" s="203">
        <f>$H13*_xlfn.XLOOKUP($B13,'Climate esc'!$B$7:$B$36,'Climate esc'!BV$7:BV$36,0,0,)</f>
        <v>4.5920509198754733E-2</v>
      </c>
      <c r="AC13" s="203">
        <f>$H13*_xlfn.XLOOKUP($B13,'Climate esc'!$B$7:$B$36,'Climate esc'!BW$7:BW$36,0,0,)</f>
        <v>4.5845754043359534E-2</v>
      </c>
      <c r="AD13" s="203">
        <f>$H13*_xlfn.XLOOKUP($B13,'Climate esc'!$B$7:$B$36,'Climate esc'!BX$7:BX$36,0,0,)</f>
        <v>4.5768710005699834E-2</v>
      </c>
      <c r="AE13" s="203">
        <f>$H13*_xlfn.XLOOKUP($B13,'Climate esc'!$B$7:$B$36,'Climate esc'!BY$7:BY$36,0,0,)</f>
        <v>4.5689377085775647E-2</v>
      </c>
      <c r="AF13" s="203">
        <f>$H13*_xlfn.XLOOKUP($B13,'Climate esc'!$B$7:$B$36,'Climate esc'!BZ$7:BZ$36,0,0,)</f>
        <v>4.5607755283586938E-2</v>
      </c>
      <c r="AG13" s="203">
        <f>$H13*_xlfn.XLOOKUP($B13,'Climate esc'!$B$7:$B$36,'Climate esc'!CA$7:CA$36,0,0,)</f>
        <v>4.5523844599133868E-2</v>
      </c>
      <c r="AH13" s="203">
        <f>$H13*_xlfn.XLOOKUP($B13,'Climate esc'!$B$7:$B$36,'Climate esc'!CB$7:CB$36,0,0,)</f>
        <v>4.543764503241618E-2</v>
      </c>
      <c r="AI13" s="203">
        <f>$H13*_xlfn.XLOOKUP($B13,'Climate esc'!$B$7:$B$36,'Climate esc'!CC$7:CC$36,0,0,)</f>
        <v>4.5349156583433976E-2</v>
      </c>
      <c r="AJ13" s="203">
        <f>$H13*_xlfn.XLOOKUP($B13,'Climate esc'!$B$7:$B$36,'Climate esc'!CD$7:CD$36,0,0,)</f>
        <v>4.5258379252187286E-2</v>
      </c>
      <c r="AK13" s="203">
        <f>$H13*_xlfn.XLOOKUP($B13,'Climate esc'!$B$7:$B$36,'Climate esc'!CE$7:CE$36,0,0,)</f>
        <v>4.5165313038676089E-2</v>
      </c>
      <c r="AL13" s="203">
        <f>$H13*_xlfn.XLOOKUP($B13,'Climate esc'!$B$7:$B$36,'Climate esc'!CF$7:CF$36,0,0,)</f>
        <v>4.5069957942900515E-2</v>
      </c>
      <c r="AM13" s="203">
        <f>$H13*_xlfn.XLOOKUP($B13,'Climate esc'!$B$7:$B$36,'Climate esc'!CG$7:CG$36,0,0,)</f>
        <v>4.497231396486033E-2</v>
      </c>
      <c r="AN13" s="203">
        <f>$H13*_xlfn.XLOOKUP($B13,'Climate esc'!$B$7:$B$36,'Climate esc'!CH$7:CH$36,0,0,)</f>
        <v>4.4872381104555638E-2</v>
      </c>
      <c r="AO13" s="203">
        <f>$H13*_xlfn.XLOOKUP($B13,'Climate esc'!$B$7:$B$36,'Climate esc'!CI$7:CI$36,0,0,)</f>
        <v>4.4770159361986445E-2</v>
      </c>
      <c r="AP13" s="203">
        <f>$H13*_xlfn.XLOOKUP($B13,'Climate esc'!$B$7:$B$36,'Climate esc'!CJ$7:CJ$36,0,0,)</f>
        <v>4.4665648737152744E-2</v>
      </c>
      <c r="AR13" s="155">
        <f t="shared" si="174"/>
        <v>1810.4769724964412</v>
      </c>
      <c r="AS13" s="155">
        <f t="shared" ref="AS13:AS24" si="234">SUM($F13:$G13)*($I13-$M13)*$S13*X13</f>
        <v>1856.8838307611165</v>
      </c>
      <c r="AT13" s="155">
        <f t="shared" ref="AT13:AT24" si="235">SUM($F13:$G13)*($I13-$M13)*$S13*Y13</f>
        <v>1903.6835133870368</v>
      </c>
      <c r="AU13" s="155">
        <f t="shared" ref="AU13:AU24" si="236">SUM($F13:$G13)*($I13-$M13)*$S13*Z13</f>
        <v>1950.8760203742002</v>
      </c>
      <c r="AV13" s="155">
        <f t="shared" ref="AV13:AV24" si="237">SUM($F13:$G13)*($I13-$M13)*$S13*AA13</f>
        <v>1998.4613517226078</v>
      </c>
      <c r="AW13" s="155">
        <f t="shared" ref="AW13:AW24" si="238">SUM($F13:$G13)*($I13-$M13)*$S13*AB13</f>
        <v>1995.3125872717549</v>
      </c>
      <c r="AX13" s="155">
        <f t="shared" ref="AX13:AX24" si="239">SUM($F13:$G13)*($I13-$M13)*$S13*AC13</f>
        <v>1992.0643675737133</v>
      </c>
      <c r="AY13" s="155">
        <f t="shared" ref="AY13:AY24" si="240">SUM($F13:$G13)*($I13-$M13)*$S13*AD13</f>
        <v>1988.7166926284885</v>
      </c>
      <c r="AZ13" s="155">
        <f t="shared" ref="AZ13:AZ24" si="241">SUM($F13:$G13)*($I13-$M13)*$S13*AE13</f>
        <v>1985.2695624360811</v>
      </c>
      <c r="BA13" s="155">
        <f t="shared" ref="BA13:BA24" si="242">SUM($F13:$G13)*($I13-$M13)*$S13*AF13</f>
        <v>1981.7229769964895</v>
      </c>
      <c r="BB13" s="155">
        <f t="shared" ref="BB13:BB24" si="243">SUM($F13:$G13)*($I13-$M13)*$S13*AG13</f>
        <v>1978.0769363097206</v>
      </c>
      <c r="BC13" s="155">
        <f t="shared" ref="BC13:BC24" si="244">SUM($F13:$G13)*($I13-$M13)*$S13*AH13</f>
        <v>1974.3314403757636</v>
      </c>
      <c r="BD13" s="155">
        <f t="shared" ref="BD13:BD24" si="245">SUM($F13:$G13)*($I13-$M13)*$S13*AI13</f>
        <v>1970.4864891946227</v>
      </c>
      <c r="BE13" s="155">
        <f t="shared" ref="BE13:BE24" si="246">SUM($F13:$G13)*($I13-$M13)*$S13*AJ13</f>
        <v>1966.542082766299</v>
      </c>
      <c r="BF13" s="155">
        <f t="shared" ref="BF13:BF24" si="247">SUM($F13:$G13)*($I13-$M13)*$S13*AK13</f>
        <v>1962.498221090792</v>
      </c>
      <c r="BG13" s="155">
        <f t="shared" ref="BG13:BG24" si="248">SUM($F13:$G13)*($I13-$M13)*$S13*AL13</f>
        <v>1958.3549041681072</v>
      </c>
      <c r="BH13" s="155">
        <f t="shared" ref="BH13:BH24" si="249">SUM($F13:$G13)*($I13-$M13)*$S13*AM13</f>
        <v>1954.1121319982344</v>
      </c>
      <c r="BI13" s="155">
        <f t="shared" ref="BI13:BI24" si="250">SUM($F13:$G13)*($I13-$M13)*$S13*AN13</f>
        <v>1949.769904581178</v>
      </c>
      <c r="BJ13" s="155">
        <f t="shared" ref="BJ13:BJ24" si="251">SUM($F13:$G13)*($I13-$M13)*$S13*AO13</f>
        <v>1945.3282219169384</v>
      </c>
      <c r="BK13" s="155">
        <f t="shared" ref="BK13:BK24" si="252">SUM($F13:$G13)*($I13-$M13)*$S13*AP13</f>
        <v>1940.7870840055152</v>
      </c>
      <c r="BM13" s="155">
        <f t="shared" si="194"/>
        <v>167.58270599545523</v>
      </c>
      <c r="BN13" s="155">
        <f t="shared" ref="BN13:BN24" si="253">X13*($F13*$T13+$G13*$U13)</f>
        <v>171.87825186700434</v>
      </c>
      <c r="BO13" s="155">
        <f t="shared" si="195"/>
        <v>176.21015863705614</v>
      </c>
      <c r="BP13" s="155">
        <f t="shared" si="196"/>
        <v>180.57842630561044</v>
      </c>
      <c r="BQ13" s="155">
        <f t="shared" si="197"/>
        <v>184.98305487266734</v>
      </c>
      <c r="BR13" s="155">
        <f t="shared" si="198"/>
        <v>184.69159661319631</v>
      </c>
      <c r="BS13" s="155">
        <f t="shared" si="199"/>
        <v>184.39093250371857</v>
      </c>
      <c r="BT13" s="155">
        <f t="shared" si="200"/>
        <v>184.0810625442347</v>
      </c>
      <c r="BU13" s="155">
        <f t="shared" si="201"/>
        <v>183.76198673474471</v>
      </c>
      <c r="BV13" s="155">
        <f t="shared" si="202"/>
        <v>183.4337050752485</v>
      </c>
      <c r="BW13" s="155">
        <f t="shared" si="203"/>
        <v>183.09621756574666</v>
      </c>
      <c r="BX13" s="155">
        <f t="shared" si="204"/>
        <v>182.74952420623819</v>
      </c>
      <c r="BY13" s="155">
        <f t="shared" si="205"/>
        <v>182.3936249967235</v>
      </c>
      <c r="BZ13" s="155">
        <f t="shared" si="206"/>
        <v>182.02851993720273</v>
      </c>
      <c r="CA13" s="155">
        <f t="shared" si="207"/>
        <v>181.65420902767576</v>
      </c>
      <c r="CB13" s="155">
        <f t="shared" si="208"/>
        <v>181.27069226814311</v>
      </c>
      <c r="CC13" s="155">
        <f t="shared" si="209"/>
        <v>180.87796965860389</v>
      </c>
      <c r="CD13" s="155">
        <f t="shared" si="210"/>
        <v>180.47604119905844</v>
      </c>
      <c r="CE13" s="155">
        <f t="shared" si="211"/>
        <v>180.06490688950686</v>
      </c>
      <c r="CF13" s="155">
        <f t="shared" si="212"/>
        <v>179.64456672994908</v>
      </c>
      <c r="CH13" s="155">
        <f>W13*Assumptions!$G$99*$E13</f>
        <v>598857.85166666657</v>
      </c>
      <c r="CI13" s="155">
        <f>X13*Assumptions!$G$99*$E13</f>
        <v>614208.01179859147</v>
      </c>
      <c r="CJ13" s="155">
        <f>Y13*Assumptions!$G$99*$E13</f>
        <v>629688.10782952595</v>
      </c>
      <c r="CK13" s="155">
        <f>Z13*Assumptions!$G$99*$E13</f>
        <v>645298.13975946943</v>
      </c>
      <c r="CL13" s="155">
        <f>AA13*Assumptions!$G$99*$E13</f>
        <v>661038.10758842214</v>
      </c>
      <c r="CM13" s="155">
        <f>AB13*Assumptions!$G$99*$E13</f>
        <v>659996.57966893597</v>
      </c>
      <c r="CN13" s="155">
        <f>AC13*Assumptions!$G$99*$E13</f>
        <v>658922.15458667255</v>
      </c>
      <c r="CO13" s="155">
        <f>AD13*Assumptions!$G$99*$E13</f>
        <v>657814.83234163374</v>
      </c>
      <c r="CP13" s="155">
        <f>AE13*Assumptions!$G$99*$E13</f>
        <v>656674.61293382</v>
      </c>
      <c r="CQ13" s="155">
        <f>AF13*Assumptions!$G$99*$E13</f>
        <v>655501.49636323052</v>
      </c>
      <c r="CR13" s="155">
        <f>AG13*Assumptions!$G$99*$E13</f>
        <v>654295.48262986785</v>
      </c>
      <c r="CS13" s="155">
        <f>AH13*Assumptions!$G$99*$E13</f>
        <v>653056.57173372828</v>
      </c>
      <c r="CT13" s="155">
        <f>AI13*Assumptions!$G$99*$E13</f>
        <v>651784.76367481309</v>
      </c>
      <c r="CU13" s="155">
        <f>AJ13*Assumptions!$G$99*$E13</f>
        <v>650480.05845312285</v>
      </c>
      <c r="CV13" s="155">
        <f>AK13*Assumptions!$G$99*$E13</f>
        <v>649142.45606865722</v>
      </c>
      <c r="CW13" s="155">
        <f>AL13*Assumptions!$G$99*$E13</f>
        <v>647771.95652141818</v>
      </c>
      <c r="CX13" s="155">
        <f>AM13*Assumptions!$G$99*$E13</f>
        <v>646368.55981140223</v>
      </c>
      <c r="CY13" s="155">
        <f>AN13*Assumptions!$G$99*$E13</f>
        <v>644932.26593861089</v>
      </c>
      <c r="CZ13" s="155">
        <f>AO13*Assumptions!$G$99*$E13</f>
        <v>643463.07490304415</v>
      </c>
      <c r="DA13" s="155">
        <f>AP13*Assumptions!$G$99*$E13</f>
        <v>641960.98670470214</v>
      </c>
      <c r="DC13" s="155">
        <f t="shared" ref="DC13:DC24" si="254">(AR13+BM13+CH13)</f>
        <v>600835.91134515847</v>
      </c>
      <c r="DD13" s="155">
        <f t="shared" si="213"/>
        <v>616236.77388121956</v>
      </c>
      <c r="DE13" s="155">
        <f t="shared" si="213"/>
        <v>631768.00150155008</v>
      </c>
      <c r="DF13" s="155">
        <f t="shared" si="213"/>
        <v>647429.59420614922</v>
      </c>
      <c r="DG13" s="155">
        <f t="shared" si="213"/>
        <v>663221.55199501745</v>
      </c>
      <c r="DH13" s="155">
        <f t="shared" si="213"/>
        <v>662176.58385282091</v>
      </c>
      <c r="DI13" s="155">
        <f t="shared" si="213"/>
        <v>661098.60988675</v>
      </c>
      <c r="DJ13" s="155">
        <f t="shared" si="213"/>
        <v>659987.63009680645</v>
      </c>
      <c r="DK13" s="155">
        <f t="shared" si="213"/>
        <v>658843.64448299084</v>
      </c>
      <c r="DL13" s="155">
        <f t="shared" si="213"/>
        <v>657666.65304530226</v>
      </c>
      <c r="DM13" s="155">
        <f t="shared" si="213"/>
        <v>656456.65578374336</v>
      </c>
      <c r="DN13" s="155">
        <f t="shared" si="213"/>
        <v>655213.65269831032</v>
      </c>
      <c r="DO13" s="155">
        <f t="shared" si="213"/>
        <v>653937.64378900442</v>
      </c>
      <c r="DP13" s="155">
        <f t="shared" si="213"/>
        <v>652628.62905582634</v>
      </c>
      <c r="DQ13" s="155">
        <f t="shared" si="213"/>
        <v>651286.60849877563</v>
      </c>
      <c r="DR13" s="155">
        <f t="shared" si="213"/>
        <v>649911.58211785438</v>
      </c>
      <c r="DS13" s="155">
        <f t="shared" si="213"/>
        <v>648503.54991305911</v>
      </c>
      <c r="DT13" s="155">
        <f t="shared" si="229"/>
        <v>647062.51188439108</v>
      </c>
      <c r="DU13" s="155">
        <f t="shared" si="230"/>
        <v>645588.46803185064</v>
      </c>
      <c r="DV13" s="155">
        <f t="shared" si="231"/>
        <v>644081.41835543758</v>
      </c>
      <c r="DW13" s="136"/>
      <c r="DX13" s="157" cm="1">
        <f t="array" ref="DX13">SUMPRODUCT(($DC13:$DV13)*(Misc_calcs!$G$29:$Z$29))</f>
        <v>9354197.947796626</v>
      </c>
      <c r="DZ13" s="157">
        <f t="shared" si="9"/>
        <v>277649.8236361419</v>
      </c>
      <c r="EA13" s="157" cm="1">
        <f t="array" ref="EA13">SUMPRODUCT((PMT(real_disc,Assumptions!$G$40,DZ13)*(Misc_calcs!$G$29:$Z$29)))</f>
        <v>-165451.89647124647</v>
      </c>
      <c r="EC13" s="157">
        <f t="shared" si="173"/>
        <v>9188746.0513253789</v>
      </c>
      <c r="ED13" s="157" t="b">
        <f t="shared" ref="ED13:ED24" si="255">EC13&gt;0</f>
        <v>1</v>
      </c>
      <c r="EF13" s="158">
        <f>-PMT(real_disc,Assumptions!$G$40,DZ13)</f>
        <v>11442.845964415281</v>
      </c>
      <c r="EH13" s="1" t="str">
        <f t="shared" si="54"/>
        <v>2026-31 reg period</v>
      </c>
    </row>
    <row r="14" spans="1:138" x14ac:dyDescent="0.2">
      <c r="B14" s="194" t="s">
        <v>423</v>
      </c>
      <c r="C14" s="194" t="s">
        <v>306</v>
      </c>
      <c r="D14" s="194" t="str">
        <f t="shared" si="4"/>
        <v>BAS</v>
      </c>
      <c r="E14" s="201">
        <v>1068</v>
      </c>
      <c r="F14" s="204">
        <v>6.3069737557077732E-2</v>
      </c>
      <c r="G14" s="204">
        <v>0.23648406358923144</v>
      </c>
      <c r="H14" s="216">
        <f>1/23</f>
        <v>4.3478260869565216E-2</v>
      </c>
      <c r="I14" s="206">
        <v>17.420000000000002</v>
      </c>
      <c r="J14" s="1" cm="1">
        <f t="array" ref="J14">_xlfn.IFS($I14&gt;$J$7,$J$6,$I14&gt;$J$6,$I14-$J$6,TRUE,0)</f>
        <v>5.4200000000000017</v>
      </c>
      <c r="K14" s="193" cm="1">
        <f t="array" ref="K14">_xlfn.IFS($I14&gt;$K$7,$K$7-$K$6,$I14&gt;$K$6,$I14-$K$6,TRUE,0)</f>
        <v>0</v>
      </c>
      <c r="L14" s="193">
        <f t="shared" si="232"/>
        <v>0</v>
      </c>
      <c r="M14" s="199">
        <f>I14-Assumptions!$G$52</f>
        <v>12.420000000000002</v>
      </c>
      <c r="N14" s="193" cm="1">
        <f t="array" ref="N14">_xlfn.IFS($M14&gt;$N$7,$N$6,$M14&gt;$N$6,$M14-$N$6,TRUE,0)</f>
        <v>0.42000000000000171</v>
      </c>
      <c r="O14" s="193" cm="1">
        <f t="array" ref="O14">_xlfn.IFS($M14&gt;$O$7,$O$7-$O$6,$M14&gt;$O$6,$M14-$O$6,TRUE,0)</f>
        <v>0</v>
      </c>
      <c r="P14" s="193">
        <f t="shared" si="233"/>
        <v>0</v>
      </c>
      <c r="Q14" s="205">
        <f>Assumptions!$G$39</f>
        <v>277649.8236361419</v>
      </c>
      <c r="S14" s="153">
        <f>INDEX(VCR_data!$O$8:$O$86, MATCH($D14, VCR_data!$B$8:$B$86,0))*vcr_esc</f>
        <v>32877.568564090616</v>
      </c>
      <c r="T14" s="153">
        <f>(($J14-$N14)+0.5*($K14-$O14)+0.5*($L14-$P14))*_xlfn.XLOOKUP($D14,VCR_data!$B$8:$B$86,VCR_data!$Q$8:$Q$86,0,0)*vcr_esc</f>
        <v>64493.907187350014</v>
      </c>
      <c r="U14" s="153">
        <f>(0.5*($J14-$N14)-0.5*($L14-$P14))*_xlfn.XLOOKUP($D14,VCR_data!$B$8:$B$86,VCR_data!$R$8:$R$86,0,0)*vcr_esc</f>
        <v>7899.6641203973031</v>
      </c>
      <c r="W14" s="203">
        <f>$H14*_xlfn.XLOOKUP($B14,'Climate esc'!$B$7:$B$36,'Climate esc'!BQ$7:BQ$36,0,0,)</f>
        <v>4.3478260869565216E-2</v>
      </c>
      <c r="X14" s="203">
        <f>$H14*_xlfn.XLOOKUP($B14,'Climate esc'!$B$7:$B$36,'Climate esc'!BR$7:BR$36,0,0,)</f>
        <v>4.3970836613128381E-2</v>
      </c>
      <c r="Y14" s="203">
        <f>$H14*_xlfn.XLOOKUP($B14,'Climate esc'!$B$7:$B$36,'Climate esc'!BS$7:BS$36,0,0,)</f>
        <v>4.4464863320375962E-2</v>
      </c>
      <c r="Z14" s="203">
        <f>$H14*_xlfn.XLOOKUP($B14,'Climate esc'!$B$7:$B$36,'Climate esc'!BT$7:BT$36,0,0,)</f>
        <v>4.4960340991308016E-2</v>
      </c>
      <c r="AA14" s="203">
        <f>$H14*_xlfn.XLOOKUP($B14,'Climate esc'!$B$7:$B$36,'Climate esc'!BU$7:BU$36,0,0,)</f>
        <v>4.5457269625924508E-2</v>
      </c>
      <c r="AB14" s="203">
        <f>$H14*_xlfn.XLOOKUP($B14,'Climate esc'!$B$7:$B$36,'Climate esc'!BV$7:BV$36,0,0,)</f>
        <v>4.5560714309348729E-2</v>
      </c>
      <c r="AC14" s="203">
        <f>$H14*_xlfn.XLOOKUP($B14,'Climate esc'!$B$7:$B$36,'Climate esc'!BW$7:BW$36,0,0,)</f>
        <v>4.5663765132963399E-2</v>
      </c>
      <c r="AD14" s="203">
        <f>$H14*_xlfn.XLOOKUP($B14,'Climate esc'!$B$7:$B$36,'Climate esc'!BX$7:BX$36,0,0,)</f>
        <v>4.5766422096768518E-2</v>
      </c>
      <c r="AE14" s="203">
        <f>$H14*_xlfn.XLOOKUP($B14,'Climate esc'!$B$7:$B$36,'Climate esc'!BY$7:BY$36,0,0,)</f>
        <v>4.5868685200764106E-2</v>
      </c>
      <c r="AF14" s="203">
        <f>$H14*_xlfn.XLOOKUP($B14,'Climate esc'!$B$7:$B$36,'Climate esc'!BZ$7:BZ$36,0,0,)</f>
        <v>4.5970554444950143E-2</v>
      </c>
      <c r="AG14" s="203">
        <f>$H14*_xlfn.XLOOKUP($B14,'Climate esc'!$B$7:$B$36,'Climate esc'!CA$7:CA$36,0,0,)</f>
        <v>4.6072029829326629E-2</v>
      </c>
      <c r="AH14" s="203">
        <f>$H14*_xlfn.XLOOKUP($B14,'Climate esc'!$B$7:$B$36,'Climate esc'!CB$7:CB$36,0,0,)</f>
        <v>4.6173111353893577E-2</v>
      </c>
      <c r="AI14" s="203">
        <f>$H14*_xlfn.XLOOKUP($B14,'Climate esc'!$B$7:$B$36,'Climate esc'!CC$7:CC$36,0,0,)</f>
        <v>4.6273799018651002E-2</v>
      </c>
      <c r="AJ14" s="203">
        <f>$H14*_xlfn.XLOOKUP($B14,'Climate esc'!$B$7:$B$36,'Climate esc'!CD$7:CD$36,0,0,)</f>
        <v>4.6374092823598854E-2</v>
      </c>
      <c r="AK14" s="203">
        <f>$H14*_xlfn.XLOOKUP($B14,'Climate esc'!$B$7:$B$36,'Climate esc'!CE$7:CE$36,0,0,)</f>
        <v>4.6473992768737177E-2</v>
      </c>
      <c r="AL14" s="203">
        <f>$H14*_xlfn.XLOOKUP($B14,'Climate esc'!$B$7:$B$36,'Climate esc'!CF$7:CF$36,0,0,)</f>
        <v>4.6573498854065955E-2</v>
      </c>
      <c r="AM14" s="203">
        <f>$H14*_xlfn.XLOOKUP($B14,'Climate esc'!$B$7:$B$36,'Climate esc'!CG$7:CG$36,0,0,)</f>
        <v>4.6672611079585202E-2</v>
      </c>
      <c r="AN14" s="203">
        <f>$H14*_xlfn.XLOOKUP($B14,'Climate esc'!$B$7:$B$36,'Climate esc'!CH$7:CH$36,0,0,)</f>
        <v>4.6771329445294892E-2</v>
      </c>
      <c r="AO14" s="203">
        <f>$H14*_xlfn.XLOOKUP($B14,'Climate esc'!$B$7:$B$36,'Climate esc'!CI$7:CI$36,0,0,)</f>
        <v>4.6869653951195044E-2</v>
      </c>
      <c r="AP14" s="203">
        <f>$H14*_xlfn.XLOOKUP($B14,'Climate esc'!$B$7:$B$36,'Climate esc'!CJ$7:CJ$36,0,0,)</f>
        <v>4.6967584597285644E-2</v>
      </c>
      <c r="AR14" s="155">
        <f t="shared" si="174"/>
        <v>2141.0001382221185</v>
      </c>
      <c r="AS14" s="155">
        <f t="shared" si="234"/>
        <v>2165.2560471283514</v>
      </c>
      <c r="AT14" s="155">
        <f t="shared" si="235"/>
        <v>2189.5834058439086</v>
      </c>
      <c r="AU14" s="155">
        <f t="shared" si="236"/>
        <v>2213.9822143687934</v>
      </c>
      <c r="AV14" s="155">
        <f t="shared" si="237"/>
        <v>2238.4524727030034</v>
      </c>
      <c r="AW14" s="155">
        <f t="shared" si="238"/>
        <v>2243.5463995777241</v>
      </c>
      <c r="AX14" s="155">
        <f t="shared" si="239"/>
        <v>2248.620931612591</v>
      </c>
      <c r="AY14" s="155">
        <f t="shared" si="240"/>
        <v>2253.6760688076042</v>
      </c>
      <c r="AZ14" s="155">
        <f t="shared" si="241"/>
        <v>2258.7118111627647</v>
      </c>
      <c r="BA14" s="155">
        <f t="shared" si="242"/>
        <v>2263.7281586780709</v>
      </c>
      <c r="BB14" s="155">
        <f t="shared" si="243"/>
        <v>2268.7251113535235</v>
      </c>
      <c r="BC14" s="155">
        <f t="shared" si="244"/>
        <v>2273.7026691891228</v>
      </c>
      <c r="BD14" s="155">
        <f t="shared" si="245"/>
        <v>2278.6608321848698</v>
      </c>
      <c r="BE14" s="155">
        <f t="shared" si="246"/>
        <v>2283.5996003407618</v>
      </c>
      <c r="BF14" s="155">
        <f t="shared" si="247"/>
        <v>2288.5189736568009</v>
      </c>
      <c r="BG14" s="155">
        <f t="shared" si="248"/>
        <v>2293.4189521329868</v>
      </c>
      <c r="BH14" s="155">
        <f t="shared" si="249"/>
        <v>2298.2995357693194</v>
      </c>
      <c r="BI14" s="155">
        <f t="shared" si="250"/>
        <v>2303.1607245657983</v>
      </c>
      <c r="BJ14" s="155">
        <f t="shared" si="251"/>
        <v>2308.0025185224235</v>
      </c>
      <c r="BK14" s="155">
        <f t="shared" si="252"/>
        <v>2312.8249176391951</v>
      </c>
      <c r="BM14" s="155">
        <f t="shared" si="194"/>
        <v>258.07645532688264</v>
      </c>
      <c r="BN14" s="155">
        <f t="shared" si="253"/>
        <v>261.00026597009469</v>
      </c>
      <c r="BO14" s="155">
        <f t="shared" si="195"/>
        <v>263.93268918328982</v>
      </c>
      <c r="BP14" s="155">
        <f t="shared" si="196"/>
        <v>266.87372496646839</v>
      </c>
      <c r="BQ14" s="155">
        <f t="shared" si="197"/>
        <v>269.82337331963021</v>
      </c>
      <c r="BR14" s="155">
        <f t="shared" si="198"/>
        <v>270.43739597570249</v>
      </c>
      <c r="BS14" s="155">
        <f t="shared" si="199"/>
        <v>271.04908077507326</v>
      </c>
      <c r="BT14" s="155">
        <f t="shared" si="200"/>
        <v>271.65842771774248</v>
      </c>
      <c r="BU14" s="155">
        <f t="shared" si="201"/>
        <v>272.26543680371032</v>
      </c>
      <c r="BV14" s="155">
        <f t="shared" si="202"/>
        <v>272.87010803297665</v>
      </c>
      <c r="BW14" s="155">
        <f t="shared" si="203"/>
        <v>273.47244140554142</v>
      </c>
      <c r="BX14" s="155">
        <f t="shared" si="204"/>
        <v>274.07243692140474</v>
      </c>
      <c r="BY14" s="155">
        <f t="shared" si="205"/>
        <v>274.67009458056668</v>
      </c>
      <c r="BZ14" s="155">
        <f t="shared" si="206"/>
        <v>275.26541438302701</v>
      </c>
      <c r="CA14" s="155">
        <f t="shared" si="207"/>
        <v>275.85839632878594</v>
      </c>
      <c r="CB14" s="155">
        <f t="shared" si="208"/>
        <v>276.44904041784338</v>
      </c>
      <c r="CC14" s="155">
        <f t="shared" si="209"/>
        <v>277.03734665019937</v>
      </c>
      <c r="CD14" s="155">
        <f t="shared" si="210"/>
        <v>277.6233150258538</v>
      </c>
      <c r="CE14" s="155">
        <f t="shared" si="211"/>
        <v>278.20694554480684</v>
      </c>
      <c r="CF14" s="155">
        <f t="shared" si="212"/>
        <v>278.78823820705827</v>
      </c>
      <c r="CH14" s="155">
        <f>W14*Assumptions!$G$99*$E14</f>
        <v>40194.412173913042</v>
      </c>
      <c r="CI14" s="155">
        <f>X14*Assumptions!$G$99*$E14</f>
        <v>40649.78440057698</v>
      </c>
      <c r="CJ14" s="155">
        <f>Y14*Assumptions!$G$99*$E14</f>
        <v>41106.49800178568</v>
      </c>
      <c r="CK14" s="155">
        <f>Z14*Assumptions!$G$99*$E14</f>
        <v>41564.552977539184</v>
      </c>
      <c r="CL14" s="155">
        <f>AA14*Assumptions!$G$99*$E14</f>
        <v>42023.949327837472</v>
      </c>
      <c r="CM14" s="155">
        <f>AB14*Assumptions!$G$99*$E14</f>
        <v>42119.580987420799</v>
      </c>
      <c r="CN14" s="155">
        <f>AC14*Assumptions!$G$99*$E14</f>
        <v>42214.84853484307</v>
      </c>
      <c r="CO14" s="155">
        <f>AD14*Assumptions!$G$99*$E14</f>
        <v>42309.751970104298</v>
      </c>
      <c r="CP14" s="155">
        <f>AE14*Assumptions!$G$99*$E14</f>
        <v>42404.291293204493</v>
      </c>
      <c r="CQ14" s="155">
        <f>AF14*Assumptions!$G$99*$E14</f>
        <v>42498.466504143638</v>
      </c>
      <c r="CR14" s="155">
        <f>AG14*Assumptions!$G$99*$E14</f>
        <v>42592.277602921735</v>
      </c>
      <c r="CS14" s="155">
        <f>AH14*Assumptions!$G$99*$E14</f>
        <v>42685.724589538797</v>
      </c>
      <c r="CT14" s="155">
        <f>AI14*Assumptions!$G$99*$E14</f>
        <v>42778.807463994839</v>
      </c>
      <c r="CU14" s="155">
        <f>AJ14*Assumptions!$G$99*$E14</f>
        <v>42871.52622628981</v>
      </c>
      <c r="CV14" s="155">
        <f>AK14*Assumptions!$G$99*$E14</f>
        <v>42963.880876423755</v>
      </c>
      <c r="CW14" s="155">
        <f>AL14*Assumptions!$G$99*$E14</f>
        <v>43055.871414396657</v>
      </c>
      <c r="CX14" s="155">
        <f>AM14*Assumptions!$G$99*$E14</f>
        <v>43147.497840208533</v>
      </c>
      <c r="CY14" s="155">
        <f>AN14*Assumptions!$G$99*$E14</f>
        <v>43238.760153859352</v>
      </c>
      <c r="CZ14" s="155">
        <f>AO14*Assumptions!$G$99*$E14</f>
        <v>43329.658355349136</v>
      </c>
      <c r="DA14" s="155">
        <f>AP14*Assumptions!$G$99*$E14</f>
        <v>43420.192444677858</v>
      </c>
      <c r="DC14" s="155">
        <f t="shared" si="254"/>
        <v>42593.48876746204</v>
      </c>
      <c r="DD14" s="155">
        <f t="shared" si="213"/>
        <v>43076.040713675429</v>
      </c>
      <c r="DE14" s="155">
        <f t="shared" si="213"/>
        <v>43560.014096812876</v>
      </c>
      <c r="DF14" s="155">
        <f t="shared" si="213"/>
        <v>44045.408916874447</v>
      </c>
      <c r="DG14" s="155">
        <f t="shared" si="213"/>
        <v>44532.225173860104</v>
      </c>
      <c r="DH14" s="155">
        <f t="shared" si="213"/>
        <v>44633.564782974223</v>
      </c>
      <c r="DI14" s="155">
        <f t="shared" si="213"/>
        <v>44734.518547230735</v>
      </c>
      <c r="DJ14" s="155">
        <f t="shared" si="213"/>
        <v>44835.086466629647</v>
      </c>
      <c r="DK14" s="155">
        <f t="shared" si="213"/>
        <v>44935.268541170968</v>
      </c>
      <c r="DL14" s="155">
        <f t="shared" si="213"/>
        <v>45035.064770854689</v>
      </c>
      <c r="DM14" s="155">
        <f t="shared" si="213"/>
        <v>45134.475155680797</v>
      </c>
      <c r="DN14" s="155">
        <f t="shared" si="213"/>
        <v>45233.499695649327</v>
      </c>
      <c r="DO14" s="155">
        <f t="shared" si="213"/>
        <v>45332.138390760272</v>
      </c>
      <c r="DP14" s="155">
        <f t="shared" si="213"/>
        <v>45430.391241013596</v>
      </c>
      <c r="DQ14" s="155">
        <f t="shared" si="213"/>
        <v>45528.258246409343</v>
      </c>
      <c r="DR14" s="155">
        <f t="shared" si="213"/>
        <v>45625.73940694749</v>
      </c>
      <c r="DS14" s="155">
        <f t="shared" si="213"/>
        <v>45722.834722628053</v>
      </c>
      <c r="DT14" s="155">
        <f t="shared" si="229"/>
        <v>45819.544193451002</v>
      </c>
      <c r="DU14" s="155">
        <f t="shared" si="230"/>
        <v>45915.867819416366</v>
      </c>
      <c r="DV14" s="155">
        <f t="shared" si="231"/>
        <v>46011.805600524109</v>
      </c>
      <c r="DW14" s="136"/>
      <c r="DX14" s="157" cm="1">
        <f t="array" ref="DX14">SUMPRODUCT(($DC14:$DV14)*(Misc_calcs!$G$29:$Z$29))</f>
        <v>646513.17114982812</v>
      </c>
      <c r="DZ14" s="157">
        <f t="shared" si="9"/>
        <v>277649.8236361419</v>
      </c>
      <c r="EA14" s="157" cm="1">
        <f t="array" ref="EA14">SUMPRODUCT((PMT(real_disc,Assumptions!$G$40,DZ14)*(Misc_calcs!$G$29:$Z$29)))</f>
        <v>-165451.89647124647</v>
      </c>
      <c r="EC14" s="157">
        <f t="shared" si="173"/>
        <v>481061.27467858163</v>
      </c>
      <c r="ED14" s="157" t="b">
        <f t="shared" si="255"/>
        <v>1</v>
      </c>
      <c r="EF14" s="158">
        <f>-PMT(real_disc,Assumptions!$G$40,DZ14)</f>
        <v>11442.845964415281</v>
      </c>
      <c r="EH14" s="1" t="str">
        <f t="shared" si="54"/>
        <v>2026-31 reg period</v>
      </c>
    </row>
    <row r="15" spans="1:138" x14ac:dyDescent="0.2">
      <c r="B15" s="206" t="s">
        <v>445</v>
      </c>
      <c r="C15" s="194" t="s">
        <v>313</v>
      </c>
      <c r="D15" s="194" t="str">
        <f t="shared" si="4"/>
        <v>MNA</v>
      </c>
      <c r="E15" s="201">
        <v>4955</v>
      </c>
      <c r="F15" s="204">
        <v>8.4233460759132429E-4</v>
      </c>
      <c r="G15" s="204">
        <v>0.16636137826341321</v>
      </c>
      <c r="H15" s="216">
        <f>2/22</f>
        <v>9.0909090909090912E-2</v>
      </c>
      <c r="I15" s="206">
        <v>19.77</v>
      </c>
      <c r="J15" s="1" cm="1">
        <f t="array" ref="J15">_xlfn.IFS($I15&gt;$J$7,$J$6,$I15&gt;$J$6,$I15-$J$6,TRUE,0)</f>
        <v>7.77</v>
      </c>
      <c r="K15" s="193" cm="1">
        <f t="array" ref="K15">_xlfn.IFS($I15&gt;$K$7,$K$7-$K$6,$I15&gt;$K$6,$I15-$K$6,TRUE,0)</f>
        <v>0</v>
      </c>
      <c r="L15" s="193">
        <f t="shared" si="232"/>
        <v>0</v>
      </c>
      <c r="M15" s="199">
        <f>I15-Assumptions!$G$52</f>
        <v>14.77</v>
      </c>
      <c r="N15" s="193" cm="1">
        <f t="array" ref="N15">_xlfn.IFS($M15&gt;$N$7,$N$6,$M15&gt;$N$6,$M15-$N$6,TRUE,0)</f>
        <v>2.7699999999999996</v>
      </c>
      <c r="O15" s="193" cm="1">
        <f t="array" ref="O15">_xlfn.IFS($M15&gt;$O$7,$O$7-$O$6,$M15&gt;$O$6,$M15-$O$6,TRUE,0)</f>
        <v>0</v>
      </c>
      <c r="P15" s="193">
        <f t="shared" si="233"/>
        <v>0</v>
      </c>
      <c r="Q15" s="205">
        <f>Assumptions!$G$39</f>
        <v>277649.8236361419</v>
      </c>
      <c r="S15" s="153">
        <f>INDEX(VCR_data!$O$8:$O$86, MATCH($D15, VCR_data!$B$8:$B$86,0))*vcr_esc</f>
        <v>28893.919428593217</v>
      </c>
      <c r="T15" s="153">
        <f>(($J15-$N15)+0.5*($K15-$O15)+0.5*($L15-$P15))*_xlfn.XLOOKUP($D15,VCR_data!$B$8:$B$86,VCR_data!$Q$8:$Q$86,0,0)*vcr_esc</f>
        <v>21252.712787819084</v>
      </c>
      <c r="U15" s="153">
        <f>(0.5*($J15-$N15)-0.5*($L15-$P15))*_xlfn.XLOOKUP($D15,VCR_data!$B$8:$B$86,VCR_data!$R$8:$R$86,0,0)*vcr_esc</f>
        <v>11583.248563444271</v>
      </c>
      <c r="W15" s="203">
        <f>$H15*_xlfn.XLOOKUP($B15,'Climate esc'!$B$7:$B$36,'Climate esc'!BQ$7:BQ$36,0,0,)</f>
        <v>9.0909090909090912E-2</v>
      </c>
      <c r="X15" s="203">
        <f>$H15*_xlfn.XLOOKUP($B15,'Climate esc'!$B$7:$B$36,'Climate esc'!BR$7:BR$36,0,0,)</f>
        <v>9.15557781266539E-2</v>
      </c>
      <c r="Y15" s="203">
        <f>$H15*_xlfn.XLOOKUP($B15,'Climate esc'!$B$7:$B$36,'Climate esc'!BS$7:BS$36,0,0,)</f>
        <v>9.2204196157708196E-2</v>
      </c>
      <c r="Z15" s="203">
        <f>$H15*_xlfn.XLOOKUP($B15,'Climate esc'!$B$7:$B$36,'Climate esc'!BT$7:BT$36,0,0,)</f>
        <v>9.2854345002253744E-2</v>
      </c>
      <c r="AA15" s="203">
        <f>$H15*_xlfn.XLOOKUP($B15,'Climate esc'!$B$7:$B$36,'Climate esc'!BU$7:BU$36,0,0,)</f>
        <v>9.3506224660290627E-2</v>
      </c>
      <c r="AB15" s="203">
        <f>$H15*_xlfn.XLOOKUP($B15,'Climate esc'!$B$7:$B$36,'Climate esc'!BV$7:BV$36,0,0,)</f>
        <v>9.4359173661434648E-2</v>
      </c>
      <c r="AC15" s="203">
        <f>$H15*_xlfn.XLOOKUP($B15,'Climate esc'!$B$7:$B$36,'Climate esc'!BW$7:BW$36,0,0,)</f>
        <v>9.5213785919206359E-2</v>
      </c>
      <c r="AD15" s="203">
        <f>$H15*_xlfn.XLOOKUP($B15,'Climate esc'!$B$7:$B$36,'Climate esc'!BX$7:BX$36,0,0,)</f>
        <v>9.6070061433605775E-2</v>
      </c>
      <c r="AE15" s="203">
        <f>$H15*_xlfn.XLOOKUP($B15,'Climate esc'!$B$7:$B$36,'Climate esc'!BY$7:BY$36,0,0,)</f>
        <v>9.6928000204632908E-2</v>
      </c>
      <c r="AF15" s="203">
        <f>$H15*_xlfn.XLOOKUP($B15,'Climate esc'!$B$7:$B$36,'Climate esc'!BZ$7:BZ$36,0,0,)</f>
        <v>9.778760223228776E-2</v>
      </c>
      <c r="AG15" s="203">
        <f>$H15*_xlfn.XLOOKUP($B15,'Climate esc'!$B$7:$B$36,'Climate esc'!CA$7:CA$36,0,0,)</f>
        <v>9.8648867516570329E-2</v>
      </c>
      <c r="AH15" s="203">
        <f>$H15*_xlfn.XLOOKUP($B15,'Climate esc'!$B$7:$B$36,'Climate esc'!CB$7:CB$36,0,0,)</f>
        <v>9.9511796057480603E-2</v>
      </c>
      <c r="AI15" s="203">
        <f>$H15*_xlfn.XLOOKUP($B15,'Climate esc'!$B$7:$B$36,'Climate esc'!CC$7:CC$36,0,0,)</f>
        <v>0.10037638785501861</v>
      </c>
      <c r="AJ15" s="203">
        <f>$H15*_xlfn.XLOOKUP($B15,'Climate esc'!$B$7:$B$36,'Climate esc'!CD$7:CD$36,0,0,)</f>
        <v>0.10124264290918433</v>
      </c>
      <c r="AK15" s="203">
        <f>$H15*_xlfn.XLOOKUP($B15,'Climate esc'!$B$7:$B$36,'Climate esc'!CE$7:CE$36,0,0,)</f>
        <v>0.10211056121997775</v>
      </c>
      <c r="AL15" s="203">
        <f>$H15*_xlfn.XLOOKUP($B15,'Climate esc'!$B$7:$B$36,'Climate esc'!CF$7:CF$36,0,0,)</f>
        <v>0.10298014278739889</v>
      </c>
      <c r="AM15" s="203">
        <f>$H15*_xlfn.XLOOKUP($B15,'Climate esc'!$B$7:$B$36,'Climate esc'!CG$7:CG$36,0,0,)</f>
        <v>0.10385138761144774</v>
      </c>
      <c r="AN15" s="203">
        <f>$H15*_xlfn.XLOOKUP($B15,'Climate esc'!$B$7:$B$36,'Climate esc'!CH$7:CH$36,0,0,)</f>
        <v>0.10472429569212433</v>
      </c>
      <c r="AO15" s="203">
        <f>$H15*_xlfn.XLOOKUP($B15,'Climate esc'!$B$7:$B$36,'Climate esc'!CI$7:CI$36,0,0,)</f>
        <v>0.1055988670294286</v>
      </c>
      <c r="AP15" s="203">
        <f>$H15*_xlfn.XLOOKUP($B15,'Climate esc'!$B$7:$B$36,'Climate esc'!CJ$7:CJ$36,0,0,)</f>
        <v>0.10647510162336059</v>
      </c>
      <c r="AR15" s="155">
        <f t="shared" si="174"/>
        <v>2195.9866399347452</v>
      </c>
      <c r="AS15" s="155">
        <f t="shared" si="234"/>
        <v>2211.6079213245789</v>
      </c>
      <c r="AT15" s="155">
        <f t="shared" si="235"/>
        <v>2227.2710119907474</v>
      </c>
      <c r="AU15" s="155">
        <f t="shared" si="236"/>
        <v>2242.9759119332489</v>
      </c>
      <c r="AV15" s="155">
        <f t="shared" si="237"/>
        <v>2258.7226211520851</v>
      </c>
      <c r="AW15" s="155">
        <f t="shared" si="238"/>
        <v>2279.3263318737227</v>
      </c>
      <c r="AX15" s="155">
        <f t="shared" si="239"/>
        <v>2299.9702199780254</v>
      </c>
      <c r="AY15" s="155">
        <f t="shared" si="240"/>
        <v>2320.6542854649933</v>
      </c>
      <c r="AZ15" s="155">
        <f t="shared" si="241"/>
        <v>2341.3785283346269</v>
      </c>
      <c r="BA15" s="155">
        <f t="shared" si="242"/>
        <v>2362.1429485869267</v>
      </c>
      <c r="BB15" s="155">
        <f t="shared" si="243"/>
        <v>2382.947546221892</v>
      </c>
      <c r="BC15" s="155">
        <f t="shared" si="244"/>
        <v>2403.7923212395231</v>
      </c>
      <c r="BD15" s="155">
        <f t="shared" si="245"/>
        <v>2424.6772736398198</v>
      </c>
      <c r="BE15" s="155">
        <f t="shared" si="246"/>
        <v>2445.6024034227826</v>
      </c>
      <c r="BF15" s="155">
        <f t="shared" si="247"/>
        <v>2466.5677105884101</v>
      </c>
      <c r="BG15" s="155">
        <f t="shared" si="248"/>
        <v>2487.5731951367038</v>
      </c>
      <c r="BH15" s="155">
        <f t="shared" si="249"/>
        <v>2508.6188570676632</v>
      </c>
      <c r="BI15" s="155">
        <f t="shared" si="250"/>
        <v>2529.7046963812886</v>
      </c>
      <c r="BJ15" s="155">
        <f t="shared" si="251"/>
        <v>2550.8307130775793</v>
      </c>
      <c r="BK15" s="155">
        <f t="shared" si="252"/>
        <v>2571.9969071565356</v>
      </c>
      <c r="BM15" s="155">
        <f t="shared" si="194"/>
        <v>176.80973556987897</v>
      </c>
      <c r="BN15" s="155">
        <f t="shared" si="253"/>
        <v>178.06748212515004</v>
      </c>
      <c r="BO15" s="155">
        <f t="shared" si="195"/>
        <v>179.328594951854</v>
      </c>
      <c r="BP15" s="155">
        <f t="shared" si="196"/>
        <v>180.59307404999078</v>
      </c>
      <c r="BQ15" s="155">
        <f t="shared" si="197"/>
        <v>181.8609194195605</v>
      </c>
      <c r="BR15" s="155">
        <f t="shared" si="198"/>
        <v>183.51982598037603</v>
      </c>
      <c r="BS15" s="155">
        <f t="shared" si="199"/>
        <v>185.18196742080136</v>
      </c>
      <c r="BT15" s="155">
        <f t="shared" si="200"/>
        <v>186.84734374083652</v>
      </c>
      <c r="BU15" s="155">
        <f t="shared" si="201"/>
        <v>188.51595494048152</v>
      </c>
      <c r="BV15" s="155">
        <f t="shared" si="202"/>
        <v>190.18780101973636</v>
      </c>
      <c r="BW15" s="155">
        <f t="shared" si="203"/>
        <v>191.86288197860105</v>
      </c>
      <c r="BX15" s="155">
        <f t="shared" si="204"/>
        <v>193.54119781707556</v>
      </c>
      <c r="BY15" s="155">
        <f t="shared" si="205"/>
        <v>195.22274853515995</v>
      </c>
      <c r="BZ15" s="155">
        <f t="shared" si="206"/>
        <v>196.90753413285421</v>
      </c>
      <c r="CA15" s="155">
        <f t="shared" si="207"/>
        <v>198.59555461015825</v>
      </c>
      <c r="CB15" s="155">
        <f t="shared" si="208"/>
        <v>200.28680996707214</v>
      </c>
      <c r="CC15" s="155">
        <f t="shared" si="209"/>
        <v>201.98130020359588</v>
      </c>
      <c r="CD15" s="155">
        <f t="shared" si="210"/>
        <v>203.67902531972948</v>
      </c>
      <c r="CE15" s="155">
        <f t="shared" si="211"/>
        <v>205.37998531547288</v>
      </c>
      <c r="CF15" s="155">
        <f t="shared" si="212"/>
        <v>207.08418019082615</v>
      </c>
      <c r="CH15" s="155">
        <f>W15*Assumptions!$G$99*$E15</f>
        <v>389917.95909090916</v>
      </c>
      <c r="CI15" s="155">
        <f>X15*Assumptions!$G$99*$E15</f>
        <v>392691.66365137481</v>
      </c>
      <c r="CJ15" s="155">
        <f>Y15*Assumptions!$G$99*$E15</f>
        <v>395472.79183974565</v>
      </c>
      <c r="CK15" s="155">
        <f>Z15*Assumptions!$G$99*$E15</f>
        <v>398261.34365602129</v>
      </c>
      <c r="CL15" s="155">
        <f>AA15*Assumptions!$G$99*$E15</f>
        <v>401057.31910020212</v>
      </c>
      <c r="CM15" s="155">
        <f>AB15*Assumptions!$G$99*$E15</f>
        <v>404715.70057128387</v>
      </c>
      <c r="CN15" s="155">
        <f>AC15*Assumptions!$G$99*$E15</f>
        <v>408381.21591229248</v>
      </c>
      <c r="CO15" s="155">
        <f>AD15*Assumptions!$G$99*$E15</f>
        <v>412053.86512322805</v>
      </c>
      <c r="CP15" s="155">
        <f>AE15*Assumptions!$G$99*$E15</f>
        <v>415733.64820409048</v>
      </c>
      <c r="CQ15" s="155">
        <f>AF15*Assumptions!$G$99*$E15</f>
        <v>419420.56515487994</v>
      </c>
      <c r="CR15" s="155">
        <f>AG15*Assumptions!$G$99*$E15</f>
        <v>423114.61597559642</v>
      </c>
      <c r="CS15" s="155">
        <f>AH15*Assumptions!$G$99*$E15</f>
        <v>426815.80066623969</v>
      </c>
      <c r="CT15" s="155">
        <f>AI15*Assumptions!$G$99*$E15</f>
        <v>430524.11922681011</v>
      </c>
      <c r="CU15" s="155">
        <f>AJ15*Assumptions!$G$99*$E15</f>
        <v>434239.57165730739</v>
      </c>
      <c r="CV15" s="155">
        <f>AK15*Assumptions!$G$99*$E15</f>
        <v>437962.15795773151</v>
      </c>
      <c r="CW15" s="155">
        <f>AL15*Assumptions!$G$99*$E15</f>
        <v>441691.87812808278</v>
      </c>
      <c r="CX15" s="155">
        <f>AM15*Assumptions!$G$99*$E15</f>
        <v>445428.73216836085</v>
      </c>
      <c r="CY15" s="155">
        <f>AN15*Assumptions!$G$99*$E15</f>
        <v>449172.720078566</v>
      </c>
      <c r="CZ15" s="155">
        <f>AO15*Assumptions!$G$99*$E15</f>
        <v>452923.841858698</v>
      </c>
      <c r="DA15" s="155">
        <f>AP15*Assumptions!$G$99*$E15</f>
        <v>456682.09750875691</v>
      </c>
      <c r="DC15" s="155">
        <f t="shared" si="254"/>
        <v>392290.7554664138</v>
      </c>
      <c r="DD15" s="155">
        <f t="shared" si="213"/>
        <v>395081.33905482455</v>
      </c>
      <c r="DE15" s="155">
        <f t="shared" si="213"/>
        <v>397879.39144668827</v>
      </c>
      <c r="DF15" s="155">
        <f t="shared" si="213"/>
        <v>400684.91264200455</v>
      </c>
      <c r="DG15" s="155">
        <f t="shared" si="213"/>
        <v>403497.90264077374</v>
      </c>
      <c r="DH15" s="155">
        <f t="shared" si="213"/>
        <v>407178.54672913795</v>
      </c>
      <c r="DI15" s="155">
        <f t="shared" si="213"/>
        <v>410866.36809969129</v>
      </c>
      <c r="DJ15" s="155">
        <f t="shared" si="213"/>
        <v>414561.36675243388</v>
      </c>
      <c r="DK15" s="155">
        <f t="shared" si="213"/>
        <v>418263.54268736561</v>
      </c>
      <c r="DL15" s="155">
        <f t="shared" si="213"/>
        <v>421972.89590448659</v>
      </c>
      <c r="DM15" s="155">
        <f t="shared" si="213"/>
        <v>425689.42640379688</v>
      </c>
      <c r="DN15" s="155">
        <f t="shared" si="213"/>
        <v>429413.13418529631</v>
      </c>
      <c r="DO15" s="155">
        <f t="shared" si="213"/>
        <v>433144.0192489851</v>
      </c>
      <c r="DP15" s="155">
        <f t="shared" si="213"/>
        <v>436882.08159486303</v>
      </c>
      <c r="DQ15" s="155">
        <f t="shared" si="213"/>
        <v>440627.3212229301</v>
      </c>
      <c r="DR15" s="155">
        <f t="shared" si="213"/>
        <v>444379.73813318653</v>
      </c>
      <c r="DS15" s="155">
        <f t="shared" si="213"/>
        <v>448139.3323256321</v>
      </c>
      <c r="DT15" s="155">
        <f t="shared" si="229"/>
        <v>451906.10380026704</v>
      </c>
      <c r="DU15" s="155">
        <f t="shared" si="230"/>
        <v>455680.05255709105</v>
      </c>
      <c r="DV15" s="155">
        <f t="shared" si="231"/>
        <v>459461.17859610426</v>
      </c>
      <c r="DW15" s="136"/>
      <c r="DX15" s="157" cm="1">
        <f t="array" ref="DX15">SUMPRODUCT(($DC15:$DV15)*(Misc_calcs!$G$29:$Z$29))</f>
        <v>6077098.9869708419</v>
      </c>
      <c r="DZ15" s="157">
        <f t="shared" si="9"/>
        <v>277649.8236361419</v>
      </c>
      <c r="EA15" s="157" cm="1">
        <f t="array" ref="EA15">SUMPRODUCT((PMT(real_disc,Assumptions!$G$40,DZ15)*(Misc_calcs!$G$29:$Z$29)))</f>
        <v>-165451.89647124647</v>
      </c>
      <c r="EC15" s="157">
        <f t="shared" si="173"/>
        <v>5911647.0904995957</v>
      </c>
      <c r="ED15" s="157" t="b">
        <f t="shared" si="255"/>
        <v>1</v>
      </c>
      <c r="EF15" s="158">
        <f>-PMT(real_disc,Assumptions!$G$40,DZ15)</f>
        <v>11442.845964415281</v>
      </c>
      <c r="EH15" s="1" t="str">
        <f t="shared" si="54"/>
        <v>2026-31 reg period</v>
      </c>
    </row>
    <row r="16" spans="1:138" x14ac:dyDescent="0.2">
      <c r="B16" s="194" t="s">
        <v>441</v>
      </c>
      <c r="C16" s="194" t="s">
        <v>315</v>
      </c>
      <c r="D16" s="194" t="str">
        <f t="shared" si="4"/>
        <v>NKA</v>
      </c>
      <c r="E16" s="201">
        <v>1880</v>
      </c>
      <c r="F16" s="204">
        <v>1.378368548921108E-2</v>
      </c>
      <c r="G16" s="204">
        <v>0.18154718832848135</v>
      </c>
      <c r="H16" s="216">
        <f>1/24</f>
        <v>4.1666666666666664E-2</v>
      </c>
      <c r="I16" s="206">
        <v>20.55</v>
      </c>
      <c r="J16" s="1" cm="1">
        <f t="array" ref="J16">_xlfn.IFS($I16&gt;$J$7,$J$6,$I16&gt;$J$6,$I16-$J$6,TRUE,0)</f>
        <v>8.5500000000000007</v>
      </c>
      <c r="K16" s="193" cm="1">
        <f t="array" ref="K16">_xlfn.IFS($I16&gt;$K$7,$K$7-$K$6,$I16&gt;$K$6,$I16-$K$6,TRUE,0)</f>
        <v>0</v>
      </c>
      <c r="L16" s="193">
        <f t="shared" si="232"/>
        <v>0</v>
      </c>
      <c r="M16" s="199">
        <f>I16-Assumptions!$G$52</f>
        <v>15.55</v>
      </c>
      <c r="N16" s="193" cm="1">
        <f t="array" ref="N16">_xlfn.IFS($M16&gt;$N$7,$N$6,$M16&gt;$N$6,$M16-$N$6,TRUE,0)</f>
        <v>3.5500000000000007</v>
      </c>
      <c r="O16" s="193" cm="1">
        <f t="array" ref="O16">_xlfn.IFS($M16&gt;$O$7,$O$7-$O$6,$M16&gt;$O$6,$M16-$O$6,TRUE,0)</f>
        <v>0</v>
      </c>
      <c r="P16" s="193">
        <f t="shared" si="233"/>
        <v>0</v>
      </c>
      <c r="Q16" s="205">
        <f>Assumptions!$G$39</f>
        <v>277649.8236361419</v>
      </c>
      <c r="S16" s="153">
        <f>INDEX(VCR_data!$O$8:$O$86, MATCH($D16, VCR_data!$B$8:$B$86,0))*vcr_esc</f>
        <v>27821.540577309592</v>
      </c>
      <c r="T16" s="153">
        <f>(($J16-$N16)+0.5*($K16-$O16)+0.5*($L16-$P16))*_xlfn.XLOOKUP($D16,VCR_data!$B$8:$B$86,VCR_data!$Q$8:$Q$86,0,0)*vcr_esc</f>
        <v>23427.459088537154</v>
      </c>
      <c r="U16" s="153">
        <f>(0.5*($J16-$N16)-0.5*($L16-$P16))*_xlfn.XLOOKUP($D16,VCR_data!$B$8:$B$86,VCR_data!$R$8:$R$86,0,0)*vcr_esc</f>
        <v>6383.5904211575044</v>
      </c>
      <c r="W16" s="203">
        <f>$H16*_xlfn.XLOOKUP($B16,'Climate esc'!$B$7:$B$36,'Climate esc'!BQ$7:BQ$36,0,0,)</f>
        <v>4.1666666666666664E-2</v>
      </c>
      <c r="X16" s="203">
        <f>$H16*_xlfn.XLOOKUP($B16,'Climate esc'!$B$7:$B$36,'Climate esc'!BR$7:BR$36,0,0,)</f>
        <v>4.3138902714656209E-2</v>
      </c>
      <c r="Y16" s="203">
        <f>$H16*_xlfn.XLOOKUP($B16,'Climate esc'!$B$7:$B$36,'Climate esc'!BS$7:BS$36,0,0,)</f>
        <v>4.4626336376499771E-2</v>
      </c>
      <c r="Z16" s="203">
        <f>$H16*_xlfn.XLOOKUP($B16,'Climate esc'!$B$7:$B$36,'Climate esc'!BT$7:BT$36,0,0,)</f>
        <v>4.6128967652198219E-2</v>
      </c>
      <c r="AA16" s="203">
        <f>$H16*_xlfn.XLOOKUP($B16,'Climate esc'!$B$7:$B$36,'Climate esc'!BU$7:BU$36,0,0,)</f>
        <v>4.7646796541751114E-2</v>
      </c>
      <c r="AB16" s="203">
        <f>$H16*_xlfn.XLOOKUP($B16,'Climate esc'!$B$7:$B$36,'Climate esc'!BV$7:BV$36,0,0,)</f>
        <v>4.7949345153803294E-2</v>
      </c>
      <c r="AC16" s="203">
        <f>$H16*_xlfn.XLOOKUP($B16,'Climate esc'!$B$7:$B$36,'Climate esc'!BW$7:BW$36,0,0,)</f>
        <v>4.825230325852712E-2</v>
      </c>
      <c r="AD16" s="203">
        <f>$H16*_xlfn.XLOOKUP($B16,'Climate esc'!$B$7:$B$36,'Climate esc'!BX$7:BX$36,0,0,)</f>
        <v>4.855567085592255E-2</v>
      </c>
      <c r="AE16" s="203">
        <f>$H16*_xlfn.XLOOKUP($B16,'Climate esc'!$B$7:$B$36,'Climate esc'!BY$7:BY$36,0,0,)</f>
        <v>4.8859447945989579E-2</v>
      </c>
      <c r="AF16" s="203">
        <f>$H16*_xlfn.XLOOKUP($B16,'Climate esc'!$B$7:$B$36,'Climate esc'!BZ$7:BZ$36,0,0,)</f>
        <v>4.9163634528728226E-2</v>
      </c>
      <c r="AG16" s="203">
        <f>$H16*_xlfn.XLOOKUP($B16,'Climate esc'!$B$7:$B$36,'Climate esc'!CA$7:CA$36,0,0,)</f>
        <v>4.9468230604138491E-2</v>
      </c>
      <c r="AH16" s="203">
        <f>$H16*_xlfn.XLOOKUP($B16,'Climate esc'!$B$7:$B$36,'Climate esc'!CB$7:CB$36,0,0,)</f>
        <v>4.9773236172220348E-2</v>
      </c>
      <c r="AI16" s="203">
        <f>$H16*_xlfn.XLOOKUP($B16,'Climate esc'!$B$7:$B$36,'Climate esc'!CC$7:CC$36,0,0,)</f>
        <v>5.0078651232973809E-2</v>
      </c>
      <c r="AJ16" s="203">
        <f>$H16*_xlfn.XLOOKUP($B16,'Climate esc'!$B$7:$B$36,'Climate esc'!CD$7:CD$36,0,0,)</f>
        <v>5.0384475786398882E-2</v>
      </c>
      <c r="AK16" s="203">
        <f>$H16*_xlfn.XLOOKUP($B16,'Climate esc'!$B$7:$B$36,'Climate esc'!CE$7:CE$36,0,0,)</f>
        <v>5.0690709832495559E-2</v>
      </c>
      <c r="AL16" s="203">
        <f>$H16*_xlfn.XLOOKUP($B16,'Climate esc'!$B$7:$B$36,'Climate esc'!CF$7:CF$36,0,0,)</f>
        <v>5.0997353371263834E-2</v>
      </c>
      <c r="AM16" s="203">
        <f>$H16*_xlfn.XLOOKUP($B16,'Climate esc'!$B$7:$B$36,'Climate esc'!CG$7:CG$36,0,0,)</f>
        <v>5.1304406402703714E-2</v>
      </c>
      <c r="AN16" s="203">
        <f>$H16*_xlfn.XLOOKUP($B16,'Climate esc'!$B$7:$B$36,'Climate esc'!CH$7:CH$36,0,0,)</f>
        <v>5.161186892681522E-2</v>
      </c>
      <c r="AO16" s="203">
        <f>$H16*_xlfn.XLOOKUP($B16,'Climate esc'!$B$7:$B$36,'Climate esc'!CI$7:CI$36,0,0,)</f>
        <v>5.191974094359833E-2</v>
      </c>
      <c r="AP16" s="203">
        <f>$H16*_xlfn.XLOOKUP($B16,'Climate esc'!$B$7:$B$36,'Climate esc'!CJ$7:CJ$36,0,0,)</f>
        <v>5.2228022453053038E-2</v>
      </c>
      <c r="AR16" s="155">
        <f t="shared" si="174"/>
        <v>1132.1678816500562</v>
      </c>
      <c r="AS16" s="155">
        <f t="shared" si="234"/>
        <v>1172.1715224758443</v>
      </c>
      <c r="AT16" s="155">
        <f t="shared" si="235"/>
        <v>1212.5881133084301</v>
      </c>
      <c r="AU16" s="155">
        <f t="shared" si="236"/>
        <v>1253.4176541478373</v>
      </c>
      <c r="AV16" s="155">
        <f t="shared" si="237"/>
        <v>1294.660144994054</v>
      </c>
      <c r="AW16" s="155">
        <f t="shared" si="238"/>
        <v>1302.8810047029326</v>
      </c>
      <c r="AX16" s="155">
        <f t="shared" si="239"/>
        <v>1311.1129911586261</v>
      </c>
      <c r="AY16" s="155">
        <f t="shared" si="240"/>
        <v>1319.3561043611328</v>
      </c>
      <c r="AZ16" s="155">
        <f t="shared" si="241"/>
        <v>1327.610344310453</v>
      </c>
      <c r="BA16" s="155">
        <f t="shared" si="242"/>
        <v>1335.8757110065872</v>
      </c>
      <c r="BB16" s="155">
        <f t="shared" si="243"/>
        <v>1344.152204449535</v>
      </c>
      <c r="BC16" s="155">
        <f t="shared" si="244"/>
        <v>1352.4398246392959</v>
      </c>
      <c r="BD16" s="155">
        <f t="shared" si="245"/>
        <v>1360.7385715758703</v>
      </c>
      <c r="BE16" s="155">
        <f t="shared" si="246"/>
        <v>1369.0484452592584</v>
      </c>
      <c r="BF16" s="155">
        <f t="shared" si="247"/>
        <v>1377.36944568946</v>
      </c>
      <c r="BG16" s="155">
        <f t="shared" si="248"/>
        <v>1385.7015728664751</v>
      </c>
      <c r="BH16" s="155">
        <f t="shared" si="249"/>
        <v>1394.0448267903034</v>
      </c>
      <c r="BI16" s="155">
        <f t="shared" si="250"/>
        <v>1402.3992074609459</v>
      </c>
      <c r="BJ16" s="155">
        <f t="shared" si="251"/>
        <v>1410.7647148784019</v>
      </c>
      <c r="BK16" s="155">
        <f t="shared" si="252"/>
        <v>1419.1413490426712</v>
      </c>
      <c r="BM16" s="155">
        <f t="shared" si="194"/>
        <v>61.743317512063612</v>
      </c>
      <c r="BN16" s="155">
        <f t="shared" si="253"/>
        <v>63.924935218392989</v>
      </c>
      <c r="BO16" s="155">
        <f t="shared" si="195"/>
        <v>66.129073351065117</v>
      </c>
      <c r="BP16" s="155">
        <f t="shared" si="196"/>
        <v>68.355731910081275</v>
      </c>
      <c r="BQ16" s="155">
        <f t="shared" si="197"/>
        <v>70.60491089544081</v>
      </c>
      <c r="BR16" s="155">
        <f t="shared" si="198"/>
        <v>71.053239415843336</v>
      </c>
      <c r="BS16" s="155">
        <f t="shared" si="199"/>
        <v>71.50217473871092</v>
      </c>
      <c r="BT16" s="155">
        <f t="shared" si="200"/>
        <v>71.951716864043505</v>
      </c>
      <c r="BU16" s="155">
        <f t="shared" si="201"/>
        <v>72.40186579184109</v>
      </c>
      <c r="BV16" s="155">
        <f t="shared" si="202"/>
        <v>72.852621522103703</v>
      </c>
      <c r="BW16" s="155">
        <f t="shared" si="203"/>
        <v>73.303984054831332</v>
      </c>
      <c r="BX16" s="155">
        <f t="shared" si="204"/>
        <v>73.755953390023933</v>
      </c>
      <c r="BY16" s="155">
        <f t="shared" si="205"/>
        <v>74.208529527681549</v>
      </c>
      <c r="BZ16" s="155">
        <f t="shared" si="206"/>
        <v>74.661712467804165</v>
      </c>
      <c r="CA16" s="155">
        <f t="shared" si="207"/>
        <v>75.115502210391796</v>
      </c>
      <c r="CB16" s="155">
        <f t="shared" si="208"/>
        <v>75.569898755444413</v>
      </c>
      <c r="CC16" s="155">
        <f t="shared" si="209"/>
        <v>76.024902102962031</v>
      </c>
      <c r="CD16" s="155">
        <f t="shared" si="210"/>
        <v>76.480512252944692</v>
      </c>
      <c r="CE16" s="155">
        <f t="shared" si="211"/>
        <v>76.936729205392339</v>
      </c>
      <c r="CF16" s="155">
        <f t="shared" si="212"/>
        <v>77.393552960304987</v>
      </c>
      <c r="CH16" s="155">
        <f>W16*Assumptions!$G$99*$E16</f>
        <v>67806.116666666654</v>
      </c>
      <c r="CI16" s="155">
        <f>X16*Assumptions!$G$99*$E16</f>
        <v>70201.9552882071</v>
      </c>
      <c r="CJ16" s="155">
        <f>Y16*Assumptions!$G$99*$E16</f>
        <v>72622.525698020501</v>
      </c>
      <c r="CK16" s="155">
        <f>Z16*Assumptions!$G$99*$E16</f>
        <v>75067.827896108283</v>
      </c>
      <c r="CL16" s="155">
        <f>AA16*Assumptions!$G$99*$E16</f>
        <v>77537.861882469733</v>
      </c>
      <c r="CM16" s="155">
        <f>AB16*Assumptions!$G$99*$E16</f>
        <v>78030.213398137304</v>
      </c>
      <c r="CN16" s="155">
        <f>AC16*Assumptions!$G$99*$E16</f>
        <v>78523.231300393687</v>
      </c>
      <c r="CO16" s="155">
        <f>AD16*Assumptions!$G$99*$E16</f>
        <v>79016.915589238823</v>
      </c>
      <c r="CP16" s="155">
        <f>AE16*Assumptions!$G$99*$E16</f>
        <v>79511.266264672711</v>
      </c>
      <c r="CQ16" s="155">
        <f>AF16*Assumptions!$G$99*$E16</f>
        <v>80006.283326695397</v>
      </c>
      <c r="CR16" s="155">
        <f>AG16*Assumptions!$G$99*$E16</f>
        <v>80501.96677530685</v>
      </c>
      <c r="CS16" s="155">
        <f>AH16*Assumptions!$G$99*$E16</f>
        <v>80998.316610507041</v>
      </c>
      <c r="CT16" s="155">
        <f>AI16*Assumptions!$G$99*$E16</f>
        <v>81495.332832295986</v>
      </c>
      <c r="CU16" s="155">
        <f>AJ16*Assumptions!$G$99*$E16</f>
        <v>81993.015440673698</v>
      </c>
      <c r="CV16" s="155">
        <f>AK16*Assumptions!$G$99*$E16</f>
        <v>82491.364435640193</v>
      </c>
      <c r="CW16" s="155">
        <f>AL16*Assumptions!$G$99*$E16</f>
        <v>82990.379817195411</v>
      </c>
      <c r="CX16" s="155">
        <f>AM16*Assumptions!$G$99*$E16</f>
        <v>83490.061585339397</v>
      </c>
      <c r="CY16" s="155">
        <f>AN16*Assumptions!$G$99*$E16</f>
        <v>83990.40974007218</v>
      </c>
      <c r="CZ16" s="155">
        <f>AO16*Assumptions!$G$99*$E16</f>
        <v>84491.424281393716</v>
      </c>
      <c r="DA16" s="155">
        <f>AP16*Assumptions!$G$99*$E16</f>
        <v>84993.10520930402</v>
      </c>
      <c r="DC16" s="155">
        <f t="shared" si="254"/>
        <v>69000.027865828772</v>
      </c>
      <c r="DD16" s="155">
        <f t="shared" si="213"/>
        <v>71438.051745901335</v>
      </c>
      <c r="DE16" s="155">
        <f t="shared" si="213"/>
        <v>73901.242884680003</v>
      </c>
      <c r="DF16" s="155">
        <f t="shared" si="213"/>
        <v>76389.601282166201</v>
      </c>
      <c r="DG16" s="155">
        <f t="shared" si="213"/>
        <v>78903.12693835923</v>
      </c>
      <c r="DH16" s="155">
        <f t="shared" si="213"/>
        <v>79404.147642256081</v>
      </c>
      <c r="DI16" s="155">
        <f t="shared" si="213"/>
        <v>79905.846466291026</v>
      </c>
      <c r="DJ16" s="155">
        <f t="shared" si="213"/>
        <v>80408.223410463994</v>
      </c>
      <c r="DK16" s="155">
        <f t="shared" si="213"/>
        <v>80911.278474775012</v>
      </c>
      <c r="DL16" s="155">
        <f t="shared" si="213"/>
        <v>81415.011659224081</v>
      </c>
      <c r="DM16" s="155">
        <f t="shared" si="213"/>
        <v>81919.422963811216</v>
      </c>
      <c r="DN16" s="155">
        <f t="shared" si="213"/>
        <v>82424.512388536357</v>
      </c>
      <c r="DO16" s="155">
        <f t="shared" si="213"/>
        <v>82930.279933399535</v>
      </c>
      <c r="DP16" s="155">
        <f t="shared" si="213"/>
        <v>83436.725598400764</v>
      </c>
      <c r="DQ16" s="155">
        <f t="shared" si="213"/>
        <v>83943.849383540044</v>
      </c>
      <c r="DR16" s="155">
        <f t="shared" si="213"/>
        <v>84451.651288817331</v>
      </c>
      <c r="DS16" s="155">
        <f t="shared" si="213"/>
        <v>84960.131314232669</v>
      </c>
      <c r="DT16" s="155">
        <f t="shared" si="229"/>
        <v>85469.289459786072</v>
      </c>
      <c r="DU16" s="155">
        <f t="shared" si="230"/>
        <v>85979.125725477512</v>
      </c>
      <c r="DV16" s="155">
        <f t="shared" si="231"/>
        <v>86489.640111307002</v>
      </c>
      <c r="DW16" s="136"/>
      <c r="DX16" s="157" cm="1">
        <f t="array" ref="DX16">SUMPRODUCT(($DC16:$DV16)*(Misc_calcs!$G$29:$Z$29))</f>
        <v>1153818.0293005987</v>
      </c>
      <c r="DZ16" s="157">
        <f t="shared" si="9"/>
        <v>277649.8236361419</v>
      </c>
      <c r="EA16" s="157" cm="1">
        <f t="array" ref="EA16">SUMPRODUCT((PMT(real_disc,Assumptions!$G$40,DZ16)*(Misc_calcs!$G$29:$Z$29)))</f>
        <v>-165451.89647124647</v>
      </c>
      <c r="EC16" s="157">
        <f t="shared" si="173"/>
        <v>988366.13282935217</v>
      </c>
      <c r="ED16" s="157" t="b">
        <f t="shared" si="255"/>
        <v>1</v>
      </c>
      <c r="EF16" s="158">
        <f>-PMT(real_disc,Assumptions!$G$40,DZ16)</f>
        <v>11442.845964415281</v>
      </c>
      <c r="EH16" s="1" t="str">
        <f t="shared" si="54"/>
        <v>2026-31 reg period</v>
      </c>
    </row>
    <row r="17" spans="1:138" x14ac:dyDescent="0.2">
      <c r="B17" s="194" t="s">
        <v>427</v>
      </c>
      <c r="C17" s="194" t="s">
        <v>314</v>
      </c>
      <c r="D17" s="194" t="str">
        <f t="shared" si="4"/>
        <v>MRO</v>
      </c>
      <c r="E17" s="201">
        <v>976</v>
      </c>
      <c r="F17" s="204">
        <v>3.309358952625574E-2</v>
      </c>
      <c r="G17" s="204">
        <v>0.13455742832477155</v>
      </c>
      <c r="H17" s="216">
        <f>1/24</f>
        <v>4.1666666666666664E-2</v>
      </c>
      <c r="I17" s="206">
        <v>19.55</v>
      </c>
      <c r="J17" s="1" cm="1">
        <f t="array" ref="J17">_xlfn.IFS($I17&gt;$J$7,$J$6,$I17&gt;$J$6,$I17-$J$6,TRUE,0)</f>
        <v>7.5500000000000007</v>
      </c>
      <c r="K17" s="193" cm="1">
        <f t="array" ref="K17">_xlfn.IFS($I17&gt;$K$7,$K$7-$K$6,$I17&gt;$K$6,$I17-$K$6,TRUE,0)</f>
        <v>0</v>
      </c>
      <c r="L17" s="193">
        <f t="shared" si="232"/>
        <v>0</v>
      </c>
      <c r="M17" s="199">
        <f>I17-Assumptions!$G$52</f>
        <v>14.55</v>
      </c>
      <c r="N17" s="193" cm="1">
        <f t="array" ref="N17">_xlfn.IFS($M17&gt;$N$7,$N$6,$M17&gt;$N$6,$M17-$N$6,TRUE,0)</f>
        <v>2.5500000000000007</v>
      </c>
      <c r="O17" s="193" cm="1">
        <f t="array" ref="O17">_xlfn.IFS($M17&gt;$O$7,$O$7-$O$6,$M17&gt;$O$6,$M17-$O$6,TRUE,0)</f>
        <v>0</v>
      </c>
      <c r="P17" s="193">
        <f t="shared" si="233"/>
        <v>0</v>
      </c>
      <c r="Q17" s="205">
        <f>Assumptions!$G$39</f>
        <v>277649.8236361419</v>
      </c>
      <c r="S17" s="153">
        <f>INDEX(VCR_data!$O$8:$O$86, MATCH($D17, VCR_data!$B$8:$B$86,0))*vcr_esc</f>
        <v>34141.871087583466</v>
      </c>
      <c r="T17" s="153">
        <f>(($J17-$N17)+0.5*($K17-$O17)+0.5*($L17-$P17))*_xlfn.XLOOKUP($D17,VCR_data!$B$8:$B$86,VCR_data!$Q$8:$Q$86,0,0)*vcr_esc</f>
        <v>52894.517700273151</v>
      </c>
      <c r="U17" s="153">
        <f>(0.5*($J17-$N17)-0.5*($L17-$P17))*_xlfn.XLOOKUP($D17,VCR_data!$B$8:$B$86,VCR_data!$R$8:$R$86,0,0)*vcr_esc</f>
        <v>10759.292990262895</v>
      </c>
      <c r="W17" s="203">
        <f>$H17*_xlfn.XLOOKUP($B17,'Climate esc'!$B$7:$B$36,'Climate esc'!BQ$7:BQ$36,0,0,)</f>
        <v>4.1666666666666664E-2</v>
      </c>
      <c r="X17" s="203">
        <f>$H17*_xlfn.XLOOKUP($B17,'Climate esc'!$B$7:$B$36,'Climate esc'!BR$7:BR$36,0,0,)</f>
        <v>4.2352381038071603E-2</v>
      </c>
      <c r="Y17" s="203">
        <f>$H17*_xlfn.XLOOKUP($B17,'Climate esc'!$B$7:$B$36,'Climate esc'!BS$7:BS$36,0,0,)</f>
        <v>4.3043681583655916E-2</v>
      </c>
      <c r="Z17" s="203">
        <f>$H17*_xlfn.XLOOKUP($B17,'Climate esc'!$B$7:$B$36,'Climate esc'!BT$7:BT$36,0,0,)</f>
        <v>4.3740568303419769E-2</v>
      </c>
      <c r="AA17" s="203">
        <f>$H17*_xlfn.XLOOKUP($B17,'Climate esc'!$B$7:$B$36,'Climate esc'!BU$7:BU$36,0,0,)</f>
        <v>4.4443041197363295E-2</v>
      </c>
      <c r="AB17" s="203">
        <f>$H17*_xlfn.XLOOKUP($B17,'Climate esc'!$B$7:$B$36,'Climate esc'!BV$7:BV$36,0,0,)</f>
        <v>4.4208815108829409E-2</v>
      </c>
      <c r="AC17" s="203">
        <f>$H17*_xlfn.XLOOKUP($B17,'Climate esc'!$B$7:$B$36,'Climate esc'!BW$7:BW$36,0,0,)</f>
        <v>4.3974637097736566E-2</v>
      </c>
      <c r="AD17" s="203">
        <f>$H17*_xlfn.XLOOKUP($B17,'Climate esc'!$B$7:$B$36,'Climate esc'!BX$7:BX$36,0,0,)</f>
        <v>4.3740507164084688E-2</v>
      </c>
      <c r="AE17" s="203">
        <f>$H17*_xlfn.XLOOKUP($B17,'Climate esc'!$B$7:$B$36,'Climate esc'!BY$7:BY$36,0,0,)</f>
        <v>4.3506425307873714E-2</v>
      </c>
      <c r="AF17" s="203">
        <f>$H17*_xlfn.XLOOKUP($B17,'Climate esc'!$B$7:$B$36,'Climate esc'!BZ$7:BZ$36,0,0,)</f>
        <v>4.3272391529103782E-2</v>
      </c>
      <c r="AG17" s="203">
        <f>$H17*_xlfn.XLOOKUP($B17,'Climate esc'!$B$7:$B$36,'Climate esc'!CA$7:CA$36,0,0,)</f>
        <v>4.3038405827774809E-2</v>
      </c>
      <c r="AH17" s="203">
        <f>$H17*_xlfn.XLOOKUP($B17,'Climate esc'!$B$7:$B$36,'Climate esc'!CB$7:CB$36,0,0,)</f>
        <v>4.2804468203886732E-2</v>
      </c>
      <c r="AI17" s="203">
        <f>$H17*_xlfn.XLOOKUP($B17,'Climate esc'!$B$7:$B$36,'Climate esc'!CC$7:CC$36,0,0,)</f>
        <v>4.2570578657439712E-2</v>
      </c>
      <c r="AJ17" s="203">
        <f>$H17*_xlfn.XLOOKUP($B17,'Climate esc'!$B$7:$B$36,'Climate esc'!CD$7:CD$36,0,0,)</f>
        <v>4.2336737188433574E-2</v>
      </c>
      <c r="AK17" s="203">
        <f>$H17*_xlfn.XLOOKUP($B17,'Climate esc'!$B$7:$B$36,'Climate esc'!CE$7:CE$36,0,0,)</f>
        <v>4.2102943796868471E-2</v>
      </c>
      <c r="AL17" s="203">
        <f>$H17*_xlfn.XLOOKUP($B17,'Climate esc'!$B$7:$B$36,'Climate esc'!CF$7:CF$36,0,0,)</f>
        <v>4.1869198482744355E-2</v>
      </c>
      <c r="AM17" s="203">
        <f>$H17*_xlfn.XLOOKUP($B17,'Climate esc'!$B$7:$B$36,'Climate esc'!CG$7:CG$36,0,0,)</f>
        <v>4.1635501246061135E-2</v>
      </c>
      <c r="AN17" s="203">
        <f>$H17*_xlfn.XLOOKUP($B17,'Climate esc'!$B$7:$B$36,'Climate esc'!CH$7:CH$36,0,0,)</f>
        <v>4.1401852086818951E-2</v>
      </c>
      <c r="AO17" s="203">
        <f>$H17*_xlfn.XLOOKUP($B17,'Climate esc'!$B$7:$B$36,'Climate esc'!CI$7:CI$36,0,0,)</f>
        <v>4.1168251005017739E-2</v>
      </c>
      <c r="AP17" s="203">
        <f>$H17*_xlfn.XLOOKUP($B17,'Climate esc'!$B$7:$B$36,'Climate esc'!CJ$7:CJ$36,0,0,)</f>
        <v>4.0934698000657417E-2</v>
      </c>
      <c r="AR17" s="155">
        <f t="shared" ref="AR17" si="256">SUM($F17:$G17)*($I17-$M17)*$S17*W17</f>
        <v>1192.4832164941517</v>
      </c>
      <c r="AS17" s="155">
        <f t="shared" ref="AS17" si="257">SUM($F17:$G17)*($I17-$M17)*$S17*X17</f>
        <v>1212.1080855951732</v>
      </c>
      <c r="AT17" s="155">
        <f t="shared" ref="AT17" si="258">SUM($F17:$G17)*($I17-$M17)*$S17*Y17</f>
        <v>1231.8928287510741</v>
      </c>
      <c r="AU17" s="155">
        <f t="shared" ref="AU17" si="259">SUM($F17:$G17)*($I17-$M17)*$S17*Z17</f>
        <v>1251.8374459618597</v>
      </c>
      <c r="AV17" s="155">
        <f t="shared" ref="AV17" si="260">SUM($F17:$G17)*($I17-$M17)*$S17*AA17</f>
        <v>1271.9419372275331</v>
      </c>
      <c r="AW17" s="155">
        <f t="shared" ref="AW17" si="261">SUM($F17:$G17)*($I17-$M17)*$S17*AB17</f>
        <v>1265.2384809209316</v>
      </c>
      <c r="AX17" s="155">
        <f t="shared" ref="AX17" si="262">SUM($F17:$G17)*($I17-$M17)*$S17*AC17</f>
        <v>1258.5364005713268</v>
      </c>
      <c r="AY17" s="155">
        <f t="shared" ref="AY17" si="263">SUM($F17:$G17)*($I17-$M17)*$S17*AD17</f>
        <v>1251.8356961787167</v>
      </c>
      <c r="AZ17" s="155">
        <f t="shared" ref="AZ17" si="264">SUM($F17:$G17)*($I17-$M17)*$S17*AE17</f>
        <v>1245.1363677430995</v>
      </c>
      <c r="BA17" s="155">
        <f t="shared" ref="BA17" si="265">SUM($F17:$G17)*($I17-$M17)*$S17*AF17</f>
        <v>1238.4384152644791</v>
      </c>
      <c r="BB17" s="155">
        <f t="shared" ref="BB17" si="266">SUM($F17:$G17)*($I17-$M17)*$S17*AG17</f>
        <v>1231.7418387428531</v>
      </c>
      <c r="BC17" s="155">
        <f t="shared" ref="BC17" si="267">SUM($F17:$G17)*($I17-$M17)*$S17*AH17</f>
        <v>1225.0466381782198</v>
      </c>
      <c r="BD17" s="155">
        <f t="shared" ref="BD17" si="268">SUM($F17:$G17)*($I17-$M17)*$S17*AI17</f>
        <v>1218.352813570584</v>
      </c>
      <c r="BE17" s="155">
        <f t="shared" ref="BE17" si="269">SUM($F17:$G17)*($I17-$M17)*$S17*AJ17</f>
        <v>1211.6603649199401</v>
      </c>
      <c r="BF17" s="155">
        <f t="shared" ref="BF17" si="270">SUM($F17:$G17)*($I17-$M17)*$S17*AK17</f>
        <v>1204.969292226293</v>
      </c>
      <c r="BG17" s="155">
        <f t="shared" ref="BG17" si="271">SUM($F17:$G17)*($I17-$M17)*$S17*AL17</f>
        <v>1198.279595489641</v>
      </c>
      <c r="BH17" s="155">
        <f t="shared" ref="BH17" si="272">SUM($F17:$G17)*($I17-$M17)*$S17*AM17</f>
        <v>1191.5912747099819</v>
      </c>
      <c r="BI17" s="155">
        <f t="shared" ref="BI17" si="273">SUM($F17:$G17)*($I17-$M17)*$S17*AN17</f>
        <v>1184.9043298873194</v>
      </c>
      <c r="BJ17" s="155">
        <f t="shared" ref="BJ17" si="274">SUM($F17:$G17)*($I17-$M17)*$S17*AO17</f>
        <v>1178.2187610216515</v>
      </c>
      <c r="BK17" s="155">
        <f t="shared" ref="BK17" si="275">SUM($F17:$G17)*($I17-$M17)*$S17*AP17</f>
        <v>1171.5345681129763</v>
      </c>
      <c r="BM17" s="155">
        <f t="shared" ref="BM17" si="276">W17*($F17*$T17+$G17*$U17)</f>
        <v>133.25884384685935</v>
      </c>
      <c r="BN17" s="155">
        <f t="shared" ref="BN17" si="277">X17*($F17*$T17+$G17*$U17)</f>
        <v>135.4519039510817</v>
      </c>
      <c r="BO17" s="155">
        <f t="shared" ref="BO17" si="278">Y17*($F17*$T17+$G17*$U17)</f>
        <v>137.66282982600816</v>
      </c>
      <c r="BP17" s="155">
        <f t="shared" ref="BP17" si="279">Z17*($F17*$T17+$G17*$U17)</f>
        <v>139.89162147163924</v>
      </c>
      <c r="BQ17" s="155">
        <f t="shared" ref="BQ17" si="280">AA17*($F17*$T17+$G17*$U17)</f>
        <v>142.13827888797536</v>
      </c>
      <c r="BR17" s="155">
        <f t="shared" ref="BR17" si="281">AB17*($F17*$T17+$G17*$U17)</f>
        <v>141.38917414181222</v>
      </c>
      <c r="BS17" s="155">
        <f t="shared" ref="BS17" si="282">AC17*($F17*$T17+$G17*$U17)</f>
        <v>140.64022315751006</v>
      </c>
      <c r="BT17" s="155">
        <f t="shared" ref="BT17" si="283">AD17*($F17*$T17+$G17*$U17)</f>
        <v>139.89142593506867</v>
      </c>
      <c r="BU17" s="155">
        <f t="shared" ref="BU17" si="284">AE17*($F17*$T17+$G17*$U17)</f>
        <v>139.14278247448786</v>
      </c>
      <c r="BV17" s="155">
        <f t="shared" ref="BV17" si="285">AF17*($F17*$T17+$G17*$U17)</f>
        <v>138.39429277576804</v>
      </c>
      <c r="BW17" s="155">
        <f t="shared" ref="BW17" si="286">AG17*($F17*$T17+$G17*$U17)</f>
        <v>137.64595683890894</v>
      </c>
      <c r="BX17" s="155">
        <f t="shared" ref="BX17" si="287">AH17*($F17*$T17+$G17*$U17)</f>
        <v>136.89777466391038</v>
      </c>
      <c r="BY17" s="155">
        <f t="shared" ref="BY17" si="288">AI17*($F17*$T17+$G17*$U17)</f>
        <v>136.14974625077286</v>
      </c>
      <c r="BZ17" s="155">
        <f t="shared" ref="BZ17" si="289">AJ17*($F17*$T17+$G17*$U17)</f>
        <v>135.40187159949585</v>
      </c>
      <c r="CA17" s="155">
        <f t="shared" ref="CA17" si="290">AK17*($F17*$T17+$G17*$U17)</f>
        <v>134.65415071007979</v>
      </c>
      <c r="CB17" s="155">
        <f t="shared" ref="CB17" si="291">AL17*($F17*$T17+$G17*$U17)</f>
        <v>133.90658358252458</v>
      </c>
      <c r="CC17" s="155">
        <f t="shared" ref="CC17" si="292">AM17*($F17*$T17+$G17*$U17)</f>
        <v>133.15917021682992</v>
      </c>
      <c r="CD17" s="155">
        <f t="shared" ref="CD17" si="293">AN17*($F17*$T17+$G17*$U17)</f>
        <v>132.41191061299619</v>
      </c>
      <c r="CE17" s="155">
        <f t="shared" ref="CE17" si="294">AO17*($F17*$T17+$G17*$U17)</f>
        <v>131.66480477102328</v>
      </c>
      <c r="CF17" s="155">
        <f t="shared" ref="CF17" si="295">AP17*($F17*$T17+$G17*$U17)</f>
        <v>130.91785269091088</v>
      </c>
      <c r="CH17" s="155">
        <f>W17*Assumptions!$G$99*$E17</f>
        <v>35201.473333333328</v>
      </c>
      <c r="CI17" s="155">
        <f>X17*Assumptions!$G$99*$E17</f>
        <v>35780.789081156399</v>
      </c>
      <c r="CJ17" s="155">
        <f>Y17*Assumptions!$G$99*$E17</f>
        <v>36364.824226453318</v>
      </c>
      <c r="CK17" s="155">
        <f>Z17*Assumptions!$G$99*$E17</f>
        <v>36953.57876922423</v>
      </c>
      <c r="CL17" s="155">
        <f>AA17*Assumptions!$G$99*$E17</f>
        <v>37547.052709469252</v>
      </c>
      <c r="CM17" s="155">
        <f>AB17*Assumptions!$G$99*$E17</f>
        <v>37349.170227641334</v>
      </c>
      <c r="CN17" s="155">
        <f>AC17*Assumptions!$G$99*$E17</f>
        <v>37151.328363335626</v>
      </c>
      <c r="CO17" s="155">
        <f>AD17*Assumptions!$G$99*$E17</f>
        <v>36953.527116552068</v>
      </c>
      <c r="CP17" s="155">
        <f>AE17*Assumptions!$G$99*$E17</f>
        <v>36755.766487290603</v>
      </c>
      <c r="CQ17" s="155">
        <f>AF17*Assumptions!$G$99*$E17</f>
        <v>36558.046475551346</v>
      </c>
      <c r="CR17" s="155">
        <f>AG17*Assumptions!$G$99*$E17</f>
        <v>36360.367081334232</v>
      </c>
      <c r="CS17" s="155">
        <f>AH17*Assumptions!$G$99*$E17</f>
        <v>36162.728304639197</v>
      </c>
      <c r="CT17" s="155">
        <f>AI17*Assumptions!$G$99*$E17</f>
        <v>35965.130145466392</v>
      </c>
      <c r="CU17" s="155">
        <f>AJ17*Assumptions!$G$99*$E17</f>
        <v>35767.572603815664</v>
      </c>
      <c r="CV17" s="155">
        <f>AK17*Assumptions!$G$99*$E17</f>
        <v>35570.055679687139</v>
      </c>
      <c r="CW17" s="155">
        <f>AL17*Assumptions!$G$99*$E17</f>
        <v>35372.579373080785</v>
      </c>
      <c r="CX17" s="155">
        <f>AM17*Assumptions!$G$99*$E17</f>
        <v>35175.143683996503</v>
      </c>
      <c r="CY17" s="155">
        <f>AN17*Assumptions!$G$99*$E17</f>
        <v>34977.748612434443</v>
      </c>
      <c r="CZ17" s="155">
        <f>AO17*Assumptions!$G$99*$E17</f>
        <v>34780.39415839452</v>
      </c>
      <c r="DA17" s="155">
        <f>AP17*Assumptions!$G$99*$E17</f>
        <v>34583.080321876696</v>
      </c>
      <c r="DC17" s="155">
        <f t="shared" ref="DC17" si="296">(AR17+BM17+CH17)</f>
        <v>36527.215393674342</v>
      </c>
      <c r="DD17" s="155">
        <f t="shared" ref="DD17" si="297">(AS17+BN17+CI17)</f>
        <v>37128.349070702658</v>
      </c>
      <c r="DE17" s="155">
        <f t="shared" ref="DE17" si="298">(AT17+BO17+CJ17)</f>
        <v>37734.379885030401</v>
      </c>
      <c r="DF17" s="155">
        <f t="shared" ref="DF17" si="299">(AU17+BP17+CK17)</f>
        <v>38345.307836657732</v>
      </c>
      <c r="DG17" s="155">
        <f t="shared" ref="DG17" si="300">(AV17+BQ17+CL17)</f>
        <v>38961.13292558476</v>
      </c>
      <c r="DH17" s="155">
        <f t="shared" ref="DH17" si="301">(AW17+BR17+CM17)</f>
        <v>38755.797882704079</v>
      </c>
      <c r="DI17" s="155">
        <f t="shared" ref="DI17" si="302">(AX17+BS17+CN17)</f>
        <v>38550.504987064465</v>
      </c>
      <c r="DJ17" s="155">
        <f t="shared" ref="DJ17" si="303">(AY17+BT17+CO17)</f>
        <v>38345.254238665853</v>
      </c>
      <c r="DK17" s="155">
        <f t="shared" ref="DK17" si="304">(AZ17+BU17+CP17)</f>
        <v>38140.045637508192</v>
      </c>
      <c r="DL17" s="155">
        <f t="shared" ref="DL17" si="305">(BA17+BV17+CQ17)</f>
        <v>37934.879183591591</v>
      </c>
      <c r="DM17" s="155">
        <f t="shared" ref="DM17" si="306">(BB17+BW17+CR17)</f>
        <v>37729.754876915991</v>
      </c>
      <c r="DN17" s="155">
        <f t="shared" ref="DN17" si="307">(BC17+BX17+CS17)</f>
        <v>37524.672717481328</v>
      </c>
      <c r="DO17" s="155">
        <f t="shared" ref="DO17" si="308">(BD17+BY17+CT17)</f>
        <v>37319.632705287746</v>
      </c>
      <c r="DP17" s="155">
        <f t="shared" ref="DP17" si="309">(BE17+BZ17+CU17)</f>
        <v>37114.6348403351</v>
      </c>
      <c r="DQ17" s="155">
        <f t="shared" ref="DQ17" si="310">(BF17+CA17+CV17)</f>
        <v>36909.679122623515</v>
      </c>
      <c r="DR17" s="155">
        <f t="shared" ref="DR17" si="311">(BG17+CB17+CW17)</f>
        <v>36704.765552152952</v>
      </c>
      <c r="DS17" s="155">
        <f t="shared" ref="DS17" si="312">(BH17+CC17+CX17)</f>
        <v>36499.894128923312</v>
      </c>
      <c r="DT17" s="155">
        <f t="shared" ref="DT17" si="313">(BI17+CD17+CY17)</f>
        <v>36295.06485293476</v>
      </c>
      <c r="DU17" s="155">
        <f t="shared" ref="DU17" si="314">(BJ17+CE17+CZ17)</f>
        <v>36090.277724187195</v>
      </c>
      <c r="DV17" s="155">
        <f t="shared" ref="DV17" si="315">(BK17+CF17+DA17)</f>
        <v>35885.532742680582</v>
      </c>
      <c r="DW17" s="136"/>
      <c r="DX17" s="157" cm="1">
        <f t="array" ref="DX17">SUMPRODUCT(($DC17:$DV17)*(Misc_calcs!$G$29:$Z$29))</f>
        <v>542636.29202908557</v>
      </c>
      <c r="DZ17" s="157">
        <f t="shared" si="9"/>
        <v>277649.8236361419</v>
      </c>
      <c r="EA17" s="157" cm="1">
        <f t="array" ref="EA17">SUMPRODUCT((PMT(real_disc,Assumptions!$G$40,DZ17)*(Misc_calcs!$G$29:$Z$29)))</f>
        <v>-165451.89647124647</v>
      </c>
      <c r="EC17" s="157">
        <f t="shared" ref="EC17" si="316">EA17+DX17</f>
        <v>377184.39555783907</v>
      </c>
      <c r="ED17" s="157" t="b">
        <f t="shared" ref="ED17" si="317">EC17&gt;0</f>
        <v>1</v>
      </c>
      <c r="EF17" s="158">
        <f>-PMT(real_disc,Assumptions!$G$40,DZ17)</f>
        <v>11442.845964415281</v>
      </c>
      <c r="EH17" s="1" t="str">
        <f t="shared" si="54"/>
        <v>2026-31 reg period</v>
      </c>
    </row>
    <row r="18" spans="1:138" x14ac:dyDescent="0.2">
      <c r="B18" s="194" t="s">
        <v>432</v>
      </c>
      <c r="C18" s="194" t="s">
        <v>304</v>
      </c>
      <c r="D18" s="194" t="str">
        <f t="shared" si="4"/>
        <v>BAN</v>
      </c>
      <c r="E18" s="201">
        <v>1424</v>
      </c>
      <c r="F18" s="204">
        <v>4.358597985522205E-2</v>
      </c>
      <c r="G18" s="204">
        <v>0.14714885699336766</v>
      </c>
      <c r="H18" s="216">
        <v>4.3478260869565216E-2</v>
      </c>
      <c r="I18" s="206">
        <v>14.72</v>
      </c>
      <c r="J18" s="1" cm="1">
        <f t="array" ref="J18">_xlfn.IFS($I18&gt;$J$7,$J$6,$I18&gt;$J$6,$I18-$J$6,TRUE,0)</f>
        <v>2.7200000000000006</v>
      </c>
      <c r="K18" s="193" cm="1">
        <f t="array" ref="K18">_xlfn.IFS($I18&gt;$K$7,$K$7-$K$6,$I18&gt;$K$6,$I18-$K$6,TRUE,0)</f>
        <v>0</v>
      </c>
      <c r="L18" s="193">
        <f t="shared" si="232"/>
        <v>0</v>
      </c>
      <c r="M18" s="199">
        <f>I18-Assumptions!$G$52</f>
        <v>9.7200000000000006</v>
      </c>
      <c r="N18" s="193" cm="1">
        <f t="array" ref="N18">_xlfn.IFS($M18&gt;$N$7,$N$6,$M18&gt;$N$6,$M18-$N$6,TRUE,0)</f>
        <v>0</v>
      </c>
      <c r="O18" s="193" cm="1">
        <f t="array" ref="O18">_xlfn.IFS($M18&gt;$O$7,$O$7-$O$6,$M18&gt;$O$6,$M18-$O$6,TRUE,0)</f>
        <v>0</v>
      </c>
      <c r="P18" s="193">
        <f t="shared" si="233"/>
        <v>0</v>
      </c>
      <c r="Q18" s="205">
        <f>Assumptions!$G$39</f>
        <v>277649.8236361419</v>
      </c>
      <c r="S18" s="153">
        <f>INDEX(VCR_data!$O$8:$O$86, MATCH($D18, VCR_data!$B$8:$B$86,0))*vcr_esc</f>
        <v>32573.845235161316</v>
      </c>
      <c r="T18" s="153">
        <f>(($J18-$N18)+0.5*($K18-$O18)+0.5*($L18-$P18))*_xlfn.XLOOKUP($D18,VCR_data!$B$8:$B$86,VCR_data!$Q$8:$Q$86,0,0)*vcr_esc</f>
        <v>24537.603112832552</v>
      </c>
      <c r="U18" s="153">
        <f>(0.5*($J18-$N18)-0.5*($L18-$P18))*_xlfn.XLOOKUP($D18,VCR_data!$B$8:$B$86,VCR_data!$R$8:$R$86,0,0)*vcr_esc</f>
        <v>5013.6057496258154</v>
      </c>
      <c r="W18" s="203">
        <f>$H18*_xlfn.XLOOKUP($B18,'Climate esc'!$B$7:$B$36,'Climate esc'!BQ$7:BQ$36,0,0,)</f>
        <v>4.3478260869565216E-2</v>
      </c>
      <c r="X18" s="203">
        <f>$H18*_xlfn.XLOOKUP($B18,'Climate esc'!$B$7:$B$36,'Climate esc'!BR$7:BR$36,0,0,)</f>
        <v>4.3915267780425593E-2</v>
      </c>
      <c r="Y18" s="203">
        <f>$H18*_xlfn.XLOOKUP($B18,'Climate esc'!$B$7:$B$36,'Climate esc'!BS$7:BS$36,0,0,)</f>
        <v>4.435266792276929E-2</v>
      </c>
      <c r="Z18" s="203">
        <f>$H18*_xlfn.XLOOKUP($B18,'Climate esc'!$B$7:$B$36,'Climate esc'!BT$7:BT$36,0,0,)</f>
        <v>4.4790461296596314E-2</v>
      </c>
      <c r="AA18" s="203">
        <f>$H18*_xlfn.XLOOKUP($B18,'Climate esc'!$B$7:$B$36,'Climate esc'!BU$7:BU$36,0,0,)</f>
        <v>4.5228647901906664E-2</v>
      </c>
      <c r="AB18" s="203">
        <f>$H18*_xlfn.XLOOKUP($B18,'Climate esc'!$B$7:$B$36,'Climate esc'!BV$7:BV$36,0,0,)</f>
        <v>4.5290012602425052E-2</v>
      </c>
      <c r="AC18" s="203">
        <f>$H18*_xlfn.XLOOKUP($B18,'Climate esc'!$B$7:$B$36,'Climate esc'!BW$7:BW$36,0,0,)</f>
        <v>4.5351333275298236E-2</v>
      </c>
      <c r="AD18" s="203">
        <f>$H18*_xlfn.XLOOKUP($B18,'Climate esc'!$B$7:$B$36,'Climate esc'!BX$7:BX$36,0,0,)</f>
        <v>4.5412609920526224E-2</v>
      </c>
      <c r="AE18" s="203">
        <f>$H18*_xlfn.XLOOKUP($B18,'Climate esc'!$B$7:$B$36,'Climate esc'!BY$7:BY$36,0,0,)</f>
        <v>4.5473842538109016E-2</v>
      </c>
      <c r="AF18" s="203">
        <f>$H18*_xlfn.XLOOKUP($B18,'Climate esc'!$B$7:$B$36,'Climate esc'!BZ$7:BZ$36,0,0,)</f>
        <v>4.5535031128046619E-2</v>
      </c>
      <c r="AG18" s="203">
        <f>$H18*_xlfn.XLOOKUP($B18,'Climate esc'!$B$7:$B$36,'Climate esc'!CA$7:CA$36,0,0,)</f>
        <v>4.5596175690339011E-2</v>
      </c>
      <c r="AH18" s="203">
        <f>$H18*_xlfn.XLOOKUP($B18,'Climate esc'!$B$7:$B$36,'Climate esc'!CB$7:CB$36,0,0,)</f>
        <v>4.56572762249862E-2</v>
      </c>
      <c r="AI18" s="203">
        <f>$H18*_xlfn.XLOOKUP($B18,'Climate esc'!$B$7:$B$36,'Climate esc'!CC$7:CC$36,0,0,)</f>
        <v>4.5718332731988179E-2</v>
      </c>
      <c r="AJ18" s="203">
        <f>$H18*_xlfn.XLOOKUP($B18,'Climate esc'!$B$7:$B$36,'Climate esc'!CD$7:CD$36,0,0,)</f>
        <v>4.5779345211344975E-2</v>
      </c>
      <c r="AK18" s="203">
        <f>$H18*_xlfn.XLOOKUP($B18,'Climate esc'!$B$7:$B$36,'Climate esc'!CE$7:CE$36,0,0,)</f>
        <v>4.5840313663056555E-2</v>
      </c>
      <c r="AL18" s="203">
        <f>$H18*_xlfn.XLOOKUP($B18,'Climate esc'!$B$7:$B$36,'Climate esc'!CF$7:CF$36,0,0,)</f>
        <v>4.5901238087122952E-2</v>
      </c>
      <c r="AM18" s="203">
        <f>$H18*_xlfn.XLOOKUP($B18,'Climate esc'!$B$7:$B$36,'Climate esc'!CG$7:CG$36,0,0,)</f>
        <v>4.5962118483544145E-2</v>
      </c>
      <c r="AN18" s="203">
        <f>$H18*_xlfn.XLOOKUP($B18,'Climate esc'!$B$7:$B$36,'Climate esc'!CH$7:CH$36,0,0,)</f>
        <v>4.6022954852320115E-2</v>
      </c>
      <c r="AO18" s="203">
        <f>$H18*_xlfn.XLOOKUP($B18,'Climate esc'!$B$7:$B$36,'Climate esc'!CI$7:CI$36,0,0,)</f>
        <v>4.6083747193450895E-2</v>
      </c>
      <c r="AP18" s="203">
        <f>$H18*_xlfn.XLOOKUP($B18,'Climate esc'!$B$7:$B$36,'Climate esc'!CJ$7:CJ$36,0,0,)</f>
        <v>4.6144495506936493E-2</v>
      </c>
      <c r="AR18" s="155">
        <f t="shared" ref="AR18:AR19" si="318">SUM($F18:$G18)*($I18-$M18)*$S18*W18</f>
        <v>1350.6450122738488</v>
      </c>
      <c r="AS18" s="155">
        <f t="shared" ref="AS18:AS19" si="319">SUM($F18:$G18)*($I18-$M18)*$S18*X18</f>
        <v>1364.2205599769527</v>
      </c>
      <c r="AT18" s="155">
        <f t="shared" ref="AT18:AT19" si="320">SUM($F18:$G18)*($I18-$M18)*$S18*Y18</f>
        <v>1377.8083233513134</v>
      </c>
      <c r="AU18" s="155">
        <f t="shared" ref="AU18:AU19" si="321">SUM($F18:$G18)*($I18-$M18)*$S18*Z18</f>
        <v>1391.4083023969317</v>
      </c>
      <c r="AV18" s="155">
        <f t="shared" ref="AV18:AV19" si="322">SUM($F18:$G18)*($I18-$M18)*$S18*AA18</f>
        <v>1405.0204971138073</v>
      </c>
      <c r="AW18" s="155">
        <f t="shared" ref="AW18:AW19" si="323">SUM($F18:$G18)*($I18-$M18)*$S18*AB18</f>
        <v>1406.9267814275586</v>
      </c>
      <c r="AX18" s="155">
        <f t="shared" ref="AX18:AX19" si="324">SUM($F18:$G18)*($I18-$M18)*$S18*AC18</f>
        <v>1408.8316980297639</v>
      </c>
      <c r="AY18" s="155">
        <f t="shared" ref="AY18:AY19" si="325">SUM($F18:$G18)*($I18-$M18)*$S18*AD18</f>
        <v>1410.7352469204232</v>
      </c>
      <c r="AZ18" s="155">
        <f t="shared" ref="AZ18:AZ19" si="326">SUM($F18:$G18)*($I18-$M18)*$S18*AE18</f>
        <v>1412.6374280995365</v>
      </c>
      <c r="BA18" s="155">
        <f t="shared" ref="BA18:BA19" si="327">SUM($F18:$G18)*($I18-$M18)*$S18*AF18</f>
        <v>1414.5382415671043</v>
      </c>
      <c r="BB18" s="155">
        <f t="shared" ref="BB18:BB19" si="328">SUM($F18:$G18)*($I18-$M18)*$S18*AG18</f>
        <v>1416.4376873231256</v>
      </c>
      <c r="BC18" s="155">
        <f t="shared" ref="BC18:BC19" si="329">SUM($F18:$G18)*($I18-$M18)*$S18*AH18</f>
        <v>1418.335765367601</v>
      </c>
      <c r="BD18" s="155">
        <f t="shared" ref="BD18:BD19" si="330">SUM($F18:$G18)*($I18-$M18)*$S18*AI18</f>
        <v>1420.2324757005299</v>
      </c>
      <c r="BE18" s="155">
        <f t="shared" ref="BE18:BE19" si="331">SUM($F18:$G18)*($I18-$M18)*$S18*AJ18</f>
        <v>1422.1278183219135</v>
      </c>
      <c r="BF18" s="155">
        <f t="shared" ref="BF18:BF19" si="332">SUM($F18:$G18)*($I18-$M18)*$S18*AK18</f>
        <v>1424.0217932317505</v>
      </c>
      <c r="BG18" s="155">
        <f t="shared" ref="BG18:BG19" si="333">SUM($F18:$G18)*($I18-$M18)*$S18*AL18</f>
        <v>1425.914400430042</v>
      </c>
      <c r="BH18" s="155">
        <f t="shared" ref="BH18:BH19" si="334">SUM($F18:$G18)*($I18-$M18)*$S18*AM18</f>
        <v>1427.8056399167874</v>
      </c>
      <c r="BI18" s="155">
        <f t="shared" ref="BI18:BI19" si="335">SUM($F18:$G18)*($I18-$M18)*$S18*AN18</f>
        <v>1429.695511691986</v>
      </c>
      <c r="BJ18" s="155">
        <f t="shared" ref="BJ18:BJ19" si="336">SUM($F18:$G18)*($I18-$M18)*$S18*AO18</f>
        <v>1431.584015755639</v>
      </c>
      <c r="BK18" s="155">
        <f t="shared" ref="BK18:BK19" si="337">SUM($F18:$G18)*($I18-$M18)*$S18*AP18</f>
        <v>1433.4711521077465</v>
      </c>
      <c r="BM18" s="155">
        <f t="shared" ref="BM18:BM19" si="338">W18*($F18*$T18+$G18*$U18)</f>
        <v>78.575731758442103</v>
      </c>
      <c r="BN18" s="155">
        <f t="shared" ref="BN18:BN19" si="339">X18*($F18*$T18+$G18*$U18)</f>
        <v>79.365508927942159</v>
      </c>
      <c r="BO18" s="155">
        <f t="shared" ref="BO18:BO19" si="340">Y18*($F18*$T18+$G18*$U18)</f>
        <v>80.155996761827922</v>
      </c>
      <c r="BP18" s="155">
        <f t="shared" ref="BP18:BP19" si="341">Z18*($F18*$T18+$G18*$U18)</f>
        <v>80.947195260099406</v>
      </c>
      <c r="BQ18" s="155">
        <f t="shared" ref="BQ18:BQ19" si="342">AA18*($F18*$T18+$G18*$U18)</f>
        <v>81.739104422756597</v>
      </c>
      <c r="BR18" s="155">
        <f t="shared" ref="BR18:BR19" si="343">AB18*($F18*$T18+$G18*$U18)</f>
        <v>81.850005276446112</v>
      </c>
      <c r="BS18" s="155">
        <f t="shared" ref="BS18:BS19" si="344">AC18*($F18*$T18+$G18*$U18)</f>
        <v>81.960826561533509</v>
      </c>
      <c r="BT18" s="155">
        <f t="shared" ref="BT18:BT19" si="345">AD18*($F18*$T18+$G18*$U18)</f>
        <v>82.071568278018816</v>
      </c>
      <c r="BU18" s="155">
        <f t="shared" ref="BU18:BU19" si="346">AE18*($F18*$T18+$G18*$U18)</f>
        <v>82.182230425902034</v>
      </c>
      <c r="BV18" s="155">
        <f t="shared" ref="BV18:BV19" si="347">AF18*($F18*$T18+$G18*$U18)</f>
        <v>82.292813005183163</v>
      </c>
      <c r="BW18" s="155">
        <f t="shared" ref="BW18:BW19" si="348">AG18*($F18*$T18+$G18*$U18)</f>
        <v>82.403316015862174</v>
      </c>
      <c r="BX18" s="155">
        <f t="shared" ref="BX18:BX19" si="349">AH18*($F18*$T18+$G18*$U18)</f>
        <v>82.513739457939081</v>
      </c>
      <c r="BY18" s="155">
        <f t="shared" ref="BY18:BY19" si="350">AI18*($F18*$T18+$G18*$U18)</f>
        <v>82.624083331413857</v>
      </c>
      <c r="BZ18" s="155">
        <f t="shared" ref="BZ18:BZ19" si="351">AJ18*($F18*$T18+$G18*$U18)</f>
        <v>82.734347636286572</v>
      </c>
      <c r="CA18" s="155">
        <f t="shared" ref="CA18:CA19" si="352">AK18*($F18*$T18+$G18*$U18)</f>
        <v>82.844532372557154</v>
      </c>
      <c r="CB18" s="155">
        <f t="shared" ref="CB18:CB19" si="353">AL18*($F18*$T18+$G18*$U18)</f>
        <v>82.954637540225661</v>
      </c>
      <c r="CC18" s="155">
        <f t="shared" ref="CC18:CC19" si="354">AM18*($F18*$T18+$G18*$U18)</f>
        <v>83.064663139292065</v>
      </c>
      <c r="CD18" s="155">
        <f t="shared" ref="CD18:CD19" si="355">AN18*($F18*$T18+$G18*$U18)</f>
        <v>83.174609169756337</v>
      </c>
      <c r="CE18" s="155">
        <f t="shared" ref="CE18:CE19" si="356">AO18*($F18*$T18+$G18*$U18)</f>
        <v>83.284475631618506</v>
      </c>
      <c r="CF18" s="155">
        <f t="shared" ref="CF18:CF19" si="357">AP18*($F18*$T18+$G18*$U18)</f>
        <v>83.394262524878613</v>
      </c>
      <c r="CH18" s="155">
        <f>W18*Assumptions!$G$99*$E18</f>
        <v>53592.549565217385</v>
      </c>
      <c r="CI18" s="155">
        <f>X18*Assumptions!$G$99*$E18</f>
        <v>54131.216799421825</v>
      </c>
      <c r="CJ18" s="155">
        <f>Y18*Assumptions!$G$99*$E18</f>
        <v>54670.368742014733</v>
      </c>
      <c r="CK18" s="155">
        <f>Z18*Assumptions!$G$99*$E18</f>
        <v>55210.00539299615</v>
      </c>
      <c r="CL18" s="155">
        <f>AA18*Assumptions!$G$99*$E18</f>
        <v>55750.126752366064</v>
      </c>
      <c r="CM18" s="155">
        <f>AB18*Assumptions!$G$99*$E18</f>
        <v>55825.766639710047</v>
      </c>
      <c r="CN18" s="155">
        <f>AC18*Assumptions!$G$99*$E18</f>
        <v>55901.352257317609</v>
      </c>
      <c r="CO18" s="155">
        <f>AD18*Assumptions!$G$99*$E18</f>
        <v>55976.883605188748</v>
      </c>
      <c r="CP18" s="155">
        <f>AE18*Assumptions!$G$99*$E18</f>
        <v>56052.360683323466</v>
      </c>
      <c r="CQ18" s="155">
        <f>AF18*Assumptions!$G$99*$E18</f>
        <v>56127.78349172177</v>
      </c>
      <c r="CR18" s="155">
        <f>AG18*Assumptions!$G$99*$E18</f>
        <v>56203.152030383637</v>
      </c>
      <c r="CS18" s="155">
        <f>AH18*Assumptions!$G$99*$E18</f>
        <v>56278.466299309075</v>
      </c>
      <c r="CT18" s="155">
        <f>AI18*Assumptions!$G$99*$E18</f>
        <v>56353.726298498077</v>
      </c>
      <c r="CU18" s="155">
        <f>AJ18*Assumptions!$G$99*$E18</f>
        <v>56428.932027950665</v>
      </c>
      <c r="CV18" s="155">
        <f>AK18*Assumptions!$G$99*$E18</f>
        <v>56504.083487666816</v>
      </c>
      <c r="CW18" s="155">
        <f>AL18*Assumptions!$G$99*$E18</f>
        <v>56579.180677646567</v>
      </c>
      <c r="CX18" s="155">
        <f>AM18*Assumptions!$G$99*$E18</f>
        <v>56654.223597889883</v>
      </c>
      <c r="CY18" s="155">
        <f>AN18*Assumptions!$G$99*$E18</f>
        <v>56729.212248396747</v>
      </c>
      <c r="CZ18" s="155">
        <f>AO18*Assumptions!$G$99*$E18</f>
        <v>56804.14662916719</v>
      </c>
      <c r="DA18" s="155">
        <f>AP18*Assumptions!$G$99*$E18</f>
        <v>56879.02674020124</v>
      </c>
      <c r="DC18" s="155">
        <f t="shared" ref="DC18:DC19" si="358">(AR18+BM18+CH18)</f>
        <v>55021.770309249674</v>
      </c>
      <c r="DD18" s="155">
        <f t="shared" ref="DD18:DD19" si="359">(AS18+BN18+CI18)</f>
        <v>55574.802868326718</v>
      </c>
      <c r="DE18" s="155">
        <f t="shared" ref="DE18:DE19" si="360">(AT18+BO18+CJ18)</f>
        <v>56128.333062127873</v>
      </c>
      <c r="DF18" s="155">
        <f t="shared" ref="DF18:DF19" si="361">(AU18+BP18+CK18)</f>
        <v>56682.360890653181</v>
      </c>
      <c r="DG18" s="155">
        <f t="shared" ref="DG18:DG19" si="362">(AV18+BQ18+CL18)</f>
        <v>57236.886353902628</v>
      </c>
      <c r="DH18" s="155">
        <f t="shared" ref="DH18:DH19" si="363">(AW18+BR18+CM18)</f>
        <v>57314.543426414049</v>
      </c>
      <c r="DI18" s="155">
        <f t="shared" ref="DI18:DI19" si="364">(AX18+BS18+CN18)</f>
        <v>57392.144781908908</v>
      </c>
      <c r="DJ18" s="155">
        <f t="shared" ref="DJ18:DJ19" si="365">(AY18+BT18+CO18)</f>
        <v>57469.690420387189</v>
      </c>
      <c r="DK18" s="155">
        <f t="shared" ref="DK18:DK19" si="366">(AZ18+BU18+CP18)</f>
        <v>57547.180341848907</v>
      </c>
      <c r="DL18" s="155">
        <f t="shared" ref="DL18:DL19" si="367">(BA18+BV18+CQ18)</f>
        <v>57624.614546294055</v>
      </c>
      <c r="DM18" s="155">
        <f t="shared" ref="DM18:DM19" si="368">(BB18+BW18+CR18)</f>
        <v>57701.993033722625</v>
      </c>
      <c r="DN18" s="155">
        <f t="shared" ref="DN18:DN19" si="369">(BC18+BX18+CS18)</f>
        <v>57779.315804134618</v>
      </c>
      <c r="DO18" s="155">
        <f t="shared" ref="DO18:DO19" si="370">(BD18+BY18+CT18)</f>
        <v>57856.582857530018</v>
      </c>
      <c r="DP18" s="155">
        <f t="shared" ref="DP18:DP19" si="371">(BE18+BZ18+CU18)</f>
        <v>57933.794193908863</v>
      </c>
      <c r="DQ18" s="155">
        <f t="shared" ref="DQ18:DQ19" si="372">(BF18+CA18+CV18)</f>
        <v>58010.949813271123</v>
      </c>
      <c r="DR18" s="155">
        <f t="shared" ref="DR18:DR19" si="373">(BG18+CB18+CW18)</f>
        <v>58088.049715616835</v>
      </c>
      <c r="DS18" s="155">
        <f t="shared" ref="DS18:DS19" si="374">(BH18+CC18+CX18)</f>
        <v>58165.093900945962</v>
      </c>
      <c r="DT18" s="155">
        <f t="shared" ref="DT18:DT19" si="375">(BI18+CD18+CY18)</f>
        <v>58242.082369258489</v>
      </c>
      <c r="DU18" s="155">
        <f t="shared" ref="DU18:DU19" si="376">(BJ18+CE18+CZ18)</f>
        <v>58319.015120554446</v>
      </c>
      <c r="DV18" s="155">
        <f t="shared" ref="DV18:DV19" si="377">(BK18+CF18+DA18)</f>
        <v>58395.892154833862</v>
      </c>
      <c r="DW18" s="136"/>
      <c r="DX18" s="157" cm="1">
        <f t="array" ref="DX18">SUMPRODUCT(($DC18:$DV18)*(Misc_calcs!$G$29:$Z$29))</f>
        <v>827943.75623915344</v>
      </c>
      <c r="DZ18" s="157">
        <f t="shared" si="9"/>
        <v>277649.8236361419</v>
      </c>
      <c r="EA18" s="157" cm="1">
        <f t="array" ref="EA18">SUMPRODUCT((PMT(real_disc,Assumptions!$G$40,DZ18)*(Misc_calcs!$G$29:$Z$29)))</f>
        <v>-165451.89647124647</v>
      </c>
      <c r="EC18" s="157">
        <f t="shared" ref="EC18:EC19" si="378">EA18+DX18</f>
        <v>662491.85976790695</v>
      </c>
      <c r="ED18" s="157" t="b">
        <f t="shared" ref="ED18:ED19" si="379">EC18&gt;0</f>
        <v>1</v>
      </c>
      <c r="EF18" s="158">
        <f>-PMT(real_disc,Assumptions!$G$40,DZ18)</f>
        <v>11442.845964415281</v>
      </c>
      <c r="EH18" s="1" t="str">
        <f t="shared" si="54"/>
        <v>2026-31 reg period</v>
      </c>
    </row>
    <row r="19" spans="1:138" x14ac:dyDescent="0.2">
      <c r="B19" s="206" t="s">
        <v>431</v>
      </c>
      <c r="C19" s="194" t="s">
        <v>318</v>
      </c>
      <c r="D19" s="194" t="str">
        <f t="shared" si="4"/>
        <v>STL</v>
      </c>
      <c r="E19" s="201">
        <v>316</v>
      </c>
      <c r="F19" s="204">
        <v>7.160088980450921E-2</v>
      </c>
      <c r="G19" s="204">
        <v>0.30224126866438367</v>
      </c>
      <c r="H19" s="216">
        <f>1/23</f>
        <v>4.3478260869565216E-2</v>
      </c>
      <c r="I19" s="206">
        <v>15.32</v>
      </c>
      <c r="J19" s="1" cm="1">
        <f t="array" ref="J19">_xlfn.IFS($I19&gt;$J$7,$J$6,$I19&gt;$J$6,$I19-$J$6,TRUE,0)</f>
        <v>3.3200000000000003</v>
      </c>
      <c r="K19" s="193" cm="1">
        <f t="array" ref="K19">_xlfn.IFS($I19&gt;$K$7,$K$7-$K$6,$I19&gt;$K$6,$I19-$K$6,TRUE,0)</f>
        <v>0</v>
      </c>
      <c r="L19" s="193">
        <f t="shared" si="232"/>
        <v>0</v>
      </c>
      <c r="M19" s="199">
        <f>I19-Assumptions!$G$52</f>
        <v>10.32</v>
      </c>
      <c r="N19" s="193" cm="1">
        <f t="array" ref="N19">_xlfn.IFS($M19&gt;$N$7,$N$6,$M19&gt;$N$6,$M19-$N$6,TRUE,0)</f>
        <v>0</v>
      </c>
      <c r="O19" s="193" cm="1">
        <f t="array" ref="O19">_xlfn.IFS($M19&gt;$O$7,$O$7-$O$6,$M19&gt;$O$6,$M19-$O$6,TRUE,0)</f>
        <v>0</v>
      </c>
      <c r="P19" s="193">
        <f t="shared" si="233"/>
        <v>0</v>
      </c>
      <c r="Q19" s="205">
        <f>Assumptions!$G$39</f>
        <v>277649.8236361419</v>
      </c>
      <c r="S19" s="153">
        <f>INDEX(VCR_data!$O$8:$O$86, MATCH($D19, VCR_data!$B$8:$B$86,0))*vcr_esc</f>
        <v>33421.420572663854</v>
      </c>
      <c r="T19" s="153">
        <f>(($J19-$N19)+0.5*($K19-$O19)+0.5*($L19-$P19))*_xlfn.XLOOKUP($D19,VCR_data!$B$8:$B$86,VCR_data!$Q$8:$Q$86,0,0)*vcr_esc</f>
        <v>20249.768936387569</v>
      </c>
      <c r="U19" s="153">
        <f>(0.5*($J19-$N19)-0.5*($L19-$P19))*_xlfn.XLOOKUP($D19,VCR_data!$B$8:$B$86,VCR_data!$R$8:$R$86,0,0)*vcr_esc</f>
        <v>10256.484835269608</v>
      </c>
      <c r="W19" s="203">
        <f>$H19*_xlfn.XLOOKUP($B19,'Climate esc'!$B$7:$B$36,'Climate esc'!BQ$7:BQ$36,0,0,)</f>
        <v>4.3478260869565216E-2</v>
      </c>
      <c r="X19" s="203">
        <f>$H19*_xlfn.XLOOKUP($B19,'Climate esc'!$B$7:$B$36,'Climate esc'!BR$7:BR$36,0,0,)</f>
        <v>4.376247141077217E-2</v>
      </c>
      <c r="Y19" s="203">
        <f>$H19*_xlfn.XLOOKUP($B19,'Climate esc'!$B$7:$B$36,'Climate esc'!BS$7:BS$36,0,0,)</f>
        <v>4.4046681951979118E-2</v>
      </c>
      <c r="Z19" s="203">
        <f>$H19*_xlfn.XLOOKUP($B19,'Climate esc'!$B$7:$B$36,'Climate esc'!BT$7:BT$36,0,0,)</f>
        <v>4.4330892493186058E-2</v>
      </c>
      <c r="AA19" s="203">
        <f>$H19*_xlfn.XLOOKUP($B19,'Climate esc'!$B$7:$B$36,'Climate esc'!BU$7:BU$36,0,0,)</f>
        <v>4.4615103034393012E-2</v>
      </c>
      <c r="AB19" s="203">
        <f>$H19*_xlfn.XLOOKUP($B19,'Climate esc'!$B$7:$B$36,'Climate esc'!BV$7:BV$36,0,0,)</f>
        <v>4.4643641641625827E-2</v>
      </c>
      <c r="AC19" s="203">
        <f>$H19*_xlfn.XLOOKUP($B19,'Climate esc'!$B$7:$B$36,'Climate esc'!BW$7:BW$36,0,0,)</f>
        <v>4.4672172063727408E-2</v>
      </c>
      <c r="AD19" s="203">
        <f>$H19*_xlfn.XLOOKUP($B19,'Climate esc'!$B$7:$B$36,'Climate esc'!BX$7:BX$36,0,0,)</f>
        <v>4.4700694300697744E-2</v>
      </c>
      <c r="AE19" s="203">
        <f>$H19*_xlfn.XLOOKUP($B19,'Climate esc'!$B$7:$B$36,'Climate esc'!BY$7:BY$36,0,0,)</f>
        <v>4.4729208352536846E-2</v>
      </c>
      <c r="AF19" s="203">
        <f>$H19*_xlfn.XLOOKUP($B19,'Climate esc'!$B$7:$B$36,'Climate esc'!BZ$7:BZ$36,0,0,)</f>
        <v>4.4757714219244717E-2</v>
      </c>
      <c r="AG19" s="203">
        <f>$H19*_xlfn.XLOOKUP($B19,'Climate esc'!$B$7:$B$36,'Climate esc'!CA$7:CA$36,0,0,)</f>
        <v>4.4786211900821347E-2</v>
      </c>
      <c r="AH19" s="203">
        <f>$H19*_xlfn.XLOOKUP($B19,'Climate esc'!$B$7:$B$36,'Climate esc'!CB$7:CB$36,0,0,)</f>
        <v>4.4814701397266725E-2</v>
      </c>
      <c r="AI19" s="203">
        <f>$H19*_xlfn.XLOOKUP($B19,'Climate esc'!$B$7:$B$36,'Climate esc'!CC$7:CC$36,0,0,)</f>
        <v>4.4843182708580884E-2</v>
      </c>
      <c r="AJ19" s="203">
        <f>$H19*_xlfn.XLOOKUP($B19,'Climate esc'!$B$7:$B$36,'Climate esc'!CD$7:CD$36,0,0,)</f>
        <v>4.4871655834763796E-2</v>
      </c>
      <c r="AK19" s="203">
        <f>$H19*_xlfn.XLOOKUP($B19,'Climate esc'!$B$7:$B$36,'Climate esc'!CE$7:CE$36,0,0,)</f>
        <v>4.4900120775815469E-2</v>
      </c>
      <c r="AL19" s="203">
        <f>$H19*_xlfn.XLOOKUP($B19,'Climate esc'!$B$7:$B$36,'Climate esc'!CF$7:CF$36,0,0,)</f>
        <v>4.4928577531735903E-2</v>
      </c>
      <c r="AM19" s="203">
        <f>$H19*_xlfn.XLOOKUP($B19,'Climate esc'!$B$7:$B$36,'Climate esc'!CG$7:CG$36,0,0,)</f>
        <v>4.4957026102525117E-2</v>
      </c>
      <c r="AN19" s="203">
        <f>$H19*_xlfn.XLOOKUP($B19,'Climate esc'!$B$7:$B$36,'Climate esc'!CH$7:CH$36,0,0,)</f>
        <v>4.4985466488183072E-2</v>
      </c>
      <c r="AO19" s="203">
        <f>$H19*_xlfn.XLOOKUP($B19,'Climate esc'!$B$7:$B$36,'Climate esc'!CI$7:CI$36,0,0,)</f>
        <v>4.5013898688709794E-2</v>
      </c>
      <c r="AP19" s="203">
        <f>$H19*_xlfn.XLOOKUP($B19,'Climate esc'!$B$7:$B$36,'Climate esc'!CJ$7:CJ$36,0,0,)</f>
        <v>4.5042322704105291E-2</v>
      </c>
      <c r="AR19" s="155">
        <f t="shared" si="318"/>
        <v>2716.1600013002862</v>
      </c>
      <c r="AS19" s="155">
        <f t="shared" si="319"/>
        <v>2733.9151112916938</v>
      </c>
      <c r="AT19" s="155">
        <f t="shared" si="320"/>
        <v>2751.6702212831005</v>
      </c>
      <c r="AU19" s="155">
        <f t="shared" si="321"/>
        <v>2769.4253312745072</v>
      </c>
      <c r="AV19" s="155">
        <f t="shared" si="322"/>
        <v>2787.1804412659149</v>
      </c>
      <c r="AW19" s="155">
        <f t="shared" si="323"/>
        <v>2788.9632960054623</v>
      </c>
      <c r="AX19" s="155">
        <f t="shared" si="324"/>
        <v>2790.7456394061105</v>
      </c>
      <c r="AY19" s="155">
        <f t="shared" si="325"/>
        <v>2792.5274714678585</v>
      </c>
      <c r="AZ19" s="155">
        <f t="shared" si="326"/>
        <v>2794.3087921907072</v>
      </c>
      <c r="BA19" s="155">
        <f t="shared" si="327"/>
        <v>2796.0896015746562</v>
      </c>
      <c r="BB19" s="155">
        <f t="shared" si="328"/>
        <v>2797.8698996197058</v>
      </c>
      <c r="BC19" s="155">
        <f t="shared" si="329"/>
        <v>2799.6496863258544</v>
      </c>
      <c r="BD19" s="155">
        <f t="shared" si="330"/>
        <v>2801.4289616931046</v>
      </c>
      <c r="BE19" s="155">
        <f t="shared" si="331"/>
        <v>2803.2077257214546</v>
      </c>
      <c r="BF19" s="155">
        <f t="shared" si="332"/>
        <v>2804.9859784109053</v>
      </c>
      <c r="BG19" s="155">
        <f t="shared" si="333"/>
        <v>2806.7637197614554</v>
      </c>
      <c r="BH19" s="155">
        <f t="shared" si="334"/>
        <v>2808.5409497731075</v>
      </c>
      <c r="BI19" s="155">
        <f t="shared" si="335"/>
        <v>2810.3176684458585</v>
      </c>
      <c r="BJ19" s="155">
        <f t="shared" si="336"/>
        <v>2812.0938757797098</v>
      </c>
      <c r="BK19" s="155">
        <f t="shared" si="337"/>
        <v>2813.8695717746627</v>
      </c>
      <c r="BM19" s="155">
        <f t="shared" si="338"/>
        <v>197.81888968825905</v>
      </c>
      <c r="BN19" s="155">
        <f t="shared" si="339"/>
        <v>199.11200060334201</v>
      </c>
      <c r="BO19" s="155">
        <f t="shared" si="340"/>
        <v>200.40511151842492</v>
      </c>
      <c r="BP19" s="155">
        <f t="shared" si="341"/>
        <v>201.69822243350782</v>
      </c>
      <c r="BQ19" s="155">
        <f t="shared" si="342"/>
        <v>202.99133334859079</v>
      </c>
      <c r="BR19" s="155">
        <f t="shared" si="343"/>
        <v>203.12117928729981</v>
      </c>
      <c r="BS19" s="155">
        <f t="shared" si="344"/>
        <v>203.25098798501665</v>
      </c>
      <c r="BT19" s="155">
        <f t="shared" si="345"/>
        <v>203.3807594417413</v>
      </c>
      <c r="BU19" s="155">
        <f t="shared" si="346"/>
        <v>203.51049365747377</v>
      </c>
      <c r="BV19" s="155">
        <f t="shared" si="347"/>
        <v>203.64019063221406</v>
      </c>
      <c r="BW19" s="155">
        <f t="shared" si="348"/>
        <v>203.76985036596218</v>
      </c>
      <c r="BX19" s="155">
        <f t="shared" si="349"/>
        <v>203.89947285871804</v>
      </c>
      <c r="BY19" s="155">
        <f t="shared" si="350"/>
        <v>204.02905811048177</v>
      </c>
      <c r="BZ19" s="155">
        <f t="shared" si="351"/>
        <v>204.15860612125331</v>
      </c>
      <c r="CA19" s="155">
        <f t="shared" si="352"/>
        <v>204.28811689103262</v>
      </c>
      <c r="CB19" s="155">
        <f t="shared" si="353"/>
        <v>204.41759041981976</v>
      </c>
      <c r="CC19" s="155">
        <f t="shared" si="354"/>
        <v>204.54702670761478</v>
      </c>
      <c r="CD19" s="155">
        <f t="shared" si="355"/>
        <v>204.67642575441752</v>
      </c>
      <c r="CE19" s="155">
        <f t="shared" si="356"/>
        <v>204.80578756022808</v>
      </c>
      <c r="CF19" s="155">
        <f t="shared" si="357"/>
        <v>204.93511212504652</v>
      </c>
      <c r="CH19" s="155">
        <f>W19*Assumptions!$G$99*$E19</f>
        <v>11892.728695652173</v>
      </c>
      <c r="CI19" s="155">
        <f>X19*Assumptions!$G$99*$E19</f>
        <v>11970.469589409604</v>
      </c>
      <c r="CJ19" s="155">
        <f>Y19*Assumptions!$G$99*$E19</f>
        <v>12048.210483167037</v>
      </c>
      <c r="CK19" s="155">
        <f>Z19*Assumptions!$G$99*$E19</f>
        <v>12125.951376924464</v>
      </c>
      <c r="CL19" s="155">
        <f>AA19*Assumptions!$G$99*$E19</f>
        <v>12203.692270681895</v>
      </c>
      <c r="CM19" s="155">
        <f>AB19*Assumptions!$G$99*$E19</f>
        <v>12211.498514684843</v>
      </c>
      <c r="CN19" s="155">
        <f>AC19*Assumptions!$G$99*$E19</f>
        <v>12219.302519786255</v>
      </c>
      <c r="CO19" s="155">
        <f>AD19*Assumptions!$G$99*$E19</f>
        <v>12227.104285986123</v>
      </c>
      <c r="CP19" s="155">
        <f>AE19*Assumptions!$G$99*$E19</f>
        <v>12234.903813284458</v>
      </c>
      <c r="CQ19" s="155">
        <f>AF19*Assumptions!$G$99*$E19</f>
        <v>12242.701101681254</v>
      </c>
      <c r="CR19" s="155">
        <f>AG19*Assumptions!$G$99*$E19</f>
        <v>12250.496151176509</v>
      </c>
      <c r="CS19" s="155">
        <f>AH19*Assumptions!$G$99*$E19</f>
        <v>12258.288961770224</v>
      </c>
      <c r="CT19" s="155">
        <f>AI19*Assumptions!$G$99*$E19</f>
        <v>12266.079533462405</v>
      </c>
      <c r="CU19" s="155">
        <f>AJ19*Assumptions!$G$99*$E19</f>
        <v>12273.867866253044</v>
      </c>
      <c r="CV19" s="155">
        <f>AK19*Assumptions!$G$99*$E19</f>
        <v>12281.653960142146</v>
      </c>
      <c r="CW19" s="155">
        <f>AL19*Assumptions!$G$99*$E19</f>
        <v>12289.437815129708</v>
      </c>
      <c r="CX19" s="155">
        <f>AM19*Assumptions!$G$99*$E19</f>
        <v>12297.219431215739</v>
      </c>
      <c r="CY19" s="155">
        <f>AN19*Assumptions!$G$99*$E19</f>
        <v>12304.998808400223</v>
      </c>
      <c r="CZ19" s="155">
        <f>AO19*Assumptions!$G$99*$E19</f>
        <v>12312.77594668317</v>
      </c>
      <c r="DA19" s="155">
        <f>AP19*Assumptions!$G$99*$E19</f>
        <v>12320.550846064583</v>
      </c>
      <c r="DC19" s="155">
        <f t="shared" si="358"/>
        <v>14806.707586640718</v>
      </c>
      <c r="DD19" s="155">
        <f t="shared" si="359"/>
        <v>14903.496701304641</v>
      </c>
      <c r="DE19" s="155">
        <f t="shared" si="360"/>
        <v>15000.285815968562</v>
      </c>
      <c r="DF19" s="155">
        <f t="shared" si="361"/>
        <v>15097.07493063248</v>
      </c>
      <c r="DG19" s="155">
        <f t="shared" si="362"/>
        <v>15193.864045296401</v>
      </c>
      <c r="DH19" s="155">
        <f t="shared" si="363"/>
        <v>15203.582989977605</v>
      </c>
      <c r="DI19" s="155">
        <f t="shared" si="364"/>
        <v>15213.299147177382</v>
      </c>
      <c r="DJ19" s="155">
        <f t="shared" si="365"/>
        <v>15223.012516895722</v>
      </c>
      <c r="DK19" s="155">
        <f t="shared" si="366"/>
        <v>15232.72309913264</v>
      </c>
      <c r="DL19" s="155">
        <f t="shared" si="367"/>
        <v>15242.430893888124</v>
      </c>
      <c r="DM19" s="155">
        <f t="shared" si="368"/>
        <v>15252.135901162177</v>
      </c>
      <c r="DN19" s="155">
        <f t="shared" si="369"/>
        <v>15261.838120954797</v>
      </c>
      <c r="DO19" s="155">
        <f t="shared" si="370"/>
        <v>15271.537553265993</v>
      </c>
      <c r="DP19" s="155">
        <f t="shared" si="371"/>
        <v>15281.234198095752</v>
      </c>
      <c r="DQ19" s="155">
        <f t="shared" si="372"/>
        <v>15290.928055444085</v>
      </c>
      <c r="DR19" s="155">
        <f t="shared" si="373"/>
        <v>15300.619125310983</v>
      </c>
      <c r="DS19" s="155">
        <f t="shared" si="374"/>
        <v>15310.307407696462</v>
      </c>
      <c r="DT19" s="155">
        <f t="shared" si="375"/>
        <v>15319.992902600499</v>
      </c>
      <c r="DU19" s="155">
        <f t="shared" si="376"/>
        <v>15329.675610023109</v>
      </c>
      <c r="DV19" s="155">
        <f t="shared" si="377"/>
        <v>15339.355529964292</v>
      </c>
      <c r="DW19" s="136"/>
      <c r="DX19" s="157" cm="1">
        <f t="array" ref="DX19">SUMPRODUCT(($DC19:$DV19)*(Misc_calcs!$G$29:$Z$29))</f>
        <v>219472.91277646468</v>
      </c>
      <c r="DZ19" s="157">
        <f t="shared" si="9"/>
        <v>277649.8236361419</v>
      </c>
      <c r="EA19" s="157" cm="1">
        <f t="array" ref="EA19">SUMPRODUCT((PMT(real_disc,Assumptions!$G$40,DZ19)*(Misc_calcs!$G$29:$Z$29)))</f>
        <v>-165451.89647124647</v>
      </c>
      <c r="EC19" s="157">
        <f t="shared" si="378"/>
        <v>54021.016305218218</v>
      </c>
      <c r="ED19" s="157" t="b">
        <f t="shared" si="379"/>
        <v>1</v>
      </c>
      <c r="EF19" s="158">
        <f>-PMT(real_disc,Assumptions!$G$40,DZ19)</f>
        <v>11442.845964415281</v>
      </c>
      <c r="EH19" s="1" t="str">
        <f t="shared" si="54"/>
        <v>2026-31 reg period</v>
      </c>
    </row>
    <row r="20" spans="1:138" x14ac:dyDescent="0.2">
      <c r="B20" s="194" t="s">
        <v>446</v>
      </c>
      <c r="C20" s="194" t="s">
        <v>319</v>
      </c>
      <c r="D20" s="194" t="str">
        <f t="shared" si="4"/>
        <v>TQY</v>
      </c>
      <c r="E20" s="201">
        <v>2545</v>
      </c>
      <c r="F20" s="204">
        <v>7.1289585045661871E-4</v>
      </c>
      <c r="G20" s="204">
        <v>0.12283834469606174</v>
      </c>
      <c r="H20" s="216">
        <f>1/23</f>
        <v>4.3478260869565216E-2</v>
      </c>
      <c r="I20" s="206">
        <v>11.93</v>
      </c>
      <c r="J20" s="1" cm="1">
        <f t="array" ref="J20">_xlfn.IFS($I20&gt;$J$7,$J$6,$I20&gt;$J$6,$I20-$J$6,TRUE,0)</f>
        <v>0</v>
      </c>
      <c r="K20" s="193" cm="1">
        <f t="array" ref="K20">_xlfn.IFS($I20&gt;$K$7,$K$7-$K$6,$I20&gt;$K$6,$I20-$K$6,TRUE,0)</f>
        <v>0</v>
      </c>
      <c r="L20" s="193">
        <f t="shared" si="232"/>
        <v>0</v>
      </c>
      <c r="M20" s="199">
        <f>I20-Assumptions!$G$52</f>
        <v>6.93</v>
      </c>
      <c r="N20" s="193" cm="1">
        <f t="array" ref="N20">_xlfn.IFS($M20&gt;$N$7,$N$6,$M20&gt;$N$6,$M20-$N$6,TRUE,0)</f>
        <v>0</v>
      </c>
      <c r="O20" s="193" cm="1">
        <f t="array" ref="O20">_xlfn.IFS($M20&gt;$O$7,$O$7-$O$6,$M20&gt;$O$6,$M20-$O$6,TRUE,0)</f>
        <v>0</v>
      </c>
      <c r="P20" s="193">
        <f t="shared" si="233"/>
        <v>0</v>
      </c>
      <c r="Q20" s="205">
        <f>Assumptions!$G$39</f>
        <v>277649.8236361419</v>
      </c>
      <c r="S20" s="153">
        <f>INDEX(VCR_data!$O$8:$O$86, MATCH($D20, VCR_data!$B$8:$B$86,0))*vcr_esc</f>
        <v>35123.870309062411</v>
      </c>
      <c r="T20" s="153">
        <f>(($J20-$N20)+0.5*($K20-$O20)+0.5*($L20-$P20))*_xlfn.XLOOKUP($D20,VCR_data!$B$8:$B$86,VCR_data!$Q$8:$Q$86,0,0)*vcr_esc</f>
        <v>0</v>
      </c>
      <c r="U20" s="153">
        <f>(0.5*($J20-$N20)-0.5*($L20-$P20))*_xlfn.XLOOKUP($D20,VCR_data!$B$8:$B$86,VCR_data!$R$8:$R$86,0,0)*vcr_esc</f>
        <v>0</v>
      </c>
      <c r="W20" s="203">
        <f>$H20*_xlfn.XLOOKUP($B20,'Climate esc'!$B$7:$B$36,'Climate esc'!BQ$7:BQ$36,0,0,)</f>
        <v>4.3478260869565216E-2</v>
      </c>
      <c r="X20" s="203">
        <f>$H20*_xlfn.XLOOKUP($B20,'Climate esc'!$B$7:$B$36,'Climate esc'!BR$7:BR$36,0,0,)</f>
        <v>4.3670624427427203E-2</v>
      </c>
      <c r="Y20" s="203">
        <f>$H20*_xlfn.XLOOKUP($B20,'Climate esc'!$B$7:$B$36,'Climate esc'!BS$7:BS$36,0,0,)</f>
        <v>4.3863412545660285E-2</v>
      </c>
      <c r="Z20" s="203">
        <f>$H20*_xlfn.XLOOKUP($B20,'Climate esc'!$B$7:$B$36,'Climate esc'!BT$7:BT$36,0,0,)</f>
        <v>4.4056625224264484E-2</v>
      </c>
      <c r="AA20" s="203">
        <f>$H20*_xlfn.XLOOKUP($B20,'Climate esc'!$B$7:$B$36,'Climate esc'!BU$7:BU$36,0,0,)</f>
        <v>4.4250262463239806E-2</v>
      </c>
      <c r="AB20" s="203">
        <f>$H20*_xlfn.XLOOKUP($B20,'Climate esc'!$B$7:$B$36,'Climate esc'!BV$7:BV$36,0,0,)</f>
        <v>4.3930551723298558E-2</v>
      </c>
      <c r="AC20" s="203">
        <f>$H20*_xlfn.XLOOKUP($B20,'Climate esc'!$B$7:$B$36,'Climate esc'!BW$7:BW$36,0,0,)</f>
        <v>4.3611545938441985E-2</v>
      </c>
      <c r="AD20" s="203">
        <f>$H20*_xlfn.XLOOKUP($B20,'Climate esc'!$B$7:$B$36,'Climate esc'!BX$7:BX$36,0,0,)</f>
        <v>4.3293245108670116E-2</v>
      </c>
      <c r="AE20" s="203">
        <f>$H20*_xlfn.XLOOKUP($B20,'Climate esc'!$B$7:$B$36,'Climate esc'!BY$7:BY$36,0,0,)</f>
        <v>4.2975649233982956E-2</v>
      </c>
      <c r="AF20" s="203">
        <f>$H20*_xlfn.XLOOKUP($B20,'Climate esc'!$B$7:$B$36,'Climate esc'!BZ$7:BZ$36,0,0,)</f>
        <v>4.2658758314380464E-2</v>
      </c>
      <c r="AG20" s="203">
        <f>$H20*_xlfn.XLOOKUP($B20,'Climate esc'!$B$7:$B$36,'Climate esc'!CA$7:CA$36,0,0,)</f>
        <v>4.2342572349862675E-2</v>
      </c>
      <c r="AH20" s="203">
        <f>$H20*_xlfn.XLOOKUP($B20,'Climate esc'!$B$7:$B$36,'Climate esc'!CB$7:CB$36,0,0,)</f>
        <v>4.2027091340429576E-2</v>
      </c>
      <c r="AI20" s="203">
        <f>$H20*_xlfn.XLOOKUP($B20,'Climate esc'!$B$7:$B$36,'Climate esc'!CC$7:CC$36,0,0,)</f>
        <v>4.1712315286081172E-2</v>
      </c>
      <c r="AJ20" s="203">
        <f>$H20*_xlfn.XLOOKUP($B20,'Climate esc'!$B$7:$B$36,'Climate esc'!CD$7:CD$36,0,0,)</f>
        <v>4.1398244186817451E-2</v>
      </c>
      <c r="AK20" s="203">
        <f>$H20*_xlfn.XLOOKUP($B20,'Climate esc'!$B$7:$B$36,'Climate esc'!CE$7:CE$36,0,0,)</f>
        <v>4.1084878042638433E-2</v>
      </c>
      <c r="AL20" s="203">
        <f>$H20*_xlfn.XLOOKUP($B20,'Climate esc'!$B$7:$B$36,'Climate esc'!CF$7:CF$36,0,0,)</f>
        <v>4.0772216853544097E-2</v>
      </c>
      <c r="AM20" s="203">
        <f>$H20*_xlfn.XLOOKUP($B20,'Climate esc'!$B$7:$B$36,'Climate esc'!CG$7:CG$36,0,0,)</f>
        <v>4.0460260619534456E-2</v>
      </c>
      <c r="AN20" s="203">
        <f>$H20*_xlfn.XLOOKUP($B20,'Climate esc'!$B$7:$B$36,'Climate esc'!CH$7:CH$36,0,0,)</f>
        <v>4.0149009340609505E-2</v>
      </c>
      <c r="AO20" s="203">
        <f>$H20*_xlfn.XLOOKUP($B20,'Climate esc'!$B$7:$B$36,'Climate esc'!CI$7:CI$36,0,0,)</f>
        <v>3.9838463016769236E-2</v>
      </c>
      <c r="AP20" s="203">
        <f>$H20*_xlfn.XLOOKUP($B20,'Climate esc'!$B$7:$B$36,'Climate esc'!CJ$7:CJ$36,0,0,)</f>
        <v>3.9528621648013677E-2</v>
      </c>
      <c r="AR20" s="155">
        <f t="shared" si="174"/>
        <v>943.39081510427911</v>
      </c>
      <c r="AS20" s="155">
        <f t="shared" si="234"/>
        <v>947.56471741817802</v>
      </c>
      <c r="AT20" s="155">
        <f t="shared" si="235"/>
        <v>951.7478318382316</v>
      </c>
      <c r="AU20" s="155">
        <f t="shared" si="236"/>
        <v>955.94015836444021</v>
      </c>
      <c r="AV20" s="155">
        <f t="shared" si="237"/>
        <v>960.14169699680406</v>
      </c>
      <c r="AW20" s="155">
        <f t="shared" si="238"/>
        <v>953.20461695913639</v>
      </c>
      <c r="AX20" s="155">
        <f t="shared" si="239"/>
        <v>946.28283302896341</v>
      </c>
      <c r="AY20" s="155">
        <f t="shared" si="240"/>
        <v>939.37634520628581</v>
      </c>
      <c r="AZ20" s="155">
        <f t="shared" si="241"/>
        <v>932.48515349110369</v>
      </c>
      <c r="BA20" s="155">
        <f t="shared" si="242"/>
        <v>925.60925788341615</v>
      </c>
      <c r="BB20" s="155">
        <f t="shared" si="243"/>
        <v>918.74865838322376</v>
      </c>
      <c r="BC20" s="155">
        <f t="shared" si="244"/>
        <v>911.90335499052651</v>
      </c>
      <c r="BD20" s="155">
        <f t="shared" si="245"/>
        <v>905.07334770532441</v>
      </c>
      <c r="BE20" s="155">
        <f t="shared" si="246"/>
        <v>898.25863652761711</v>
      </c>
      <c r="BF20" s="155">
        <f t="shared" si="247"/>
        <v>891.45922145740508</v>
      </c>
      <c r="BG20" s="155">
        <f t="shared" si="248"/>
        <v>884.67510249468796</v>
      </c>
      <c r="BH20" s="155">
        <f t="shared" si="249"/>
        <v>877.90627963946611</v>
      </c>
      <c r="BI20" s="155">
        <f t="shared" si="250"/>
        <v>871.15275289173906</v>
      </c>
      <c r="BJ20" s="155">
        <f t="shared" si="251"/>
        <v>864.41452225150704</v>
      </c>
      <c r="BK20" s="155">
        <f t="shared" si="252"/>
        <v>857.69158771877039</v>
      </c>
      <c r="BM20" s="155">
        <f t="shared" si="194"/>
        <v>0</v>
      </c>
      <c r="BN20" s="155">
        <f t="shared" si="253"/>
        <v>0</v>
      </c>
      <c r="BO20" s="155">
        <f t="shared" si="195"/>
        <v>0</v>
      </c>
      <c r="BP20" s="155">
        <f t="shared" si="196"/>
        <v>0</v>
      </c>
      <c r="BQ20" s="155">
        <f t="shared" si="197"/>
        <v>0</v>
      </c>
      <c r="BR20" s="155">
        <f t="shared" si="198"/>
        <v>0</v>
      </c>
      <c r="BS20" s="155">
        <f t="shared" si="199"/>
        <v>0</v>
      </c>
      <c r="BT20" s="155">
        <f t="shared" si="200"/>
        <v>0</v>
      </c>
      <c r="BU20" s="155">
        <f t="shared" si="201"/>
        <v>0</v>
      </c>
      <c r="BV20" s="155">
        <f t="shared" si="202"/>
        <v>0</v>
      </c>
      <c r="BW20" s="155">
        <f t="shared" si="203"/>
        <v>0</v>
      </c>
      <c r="BX20" s="155">
        <f t="shared" si="204"/>
        <v>0</v>
      </c>
      <c r="BY20" s="155">
        <f t="shared" si="205"/>
        <v>0</v>
      </c>
      <c r="BZ20" s="155">
        <f t="shared" si="206"/>
        <v>0</v>
      </c>
      <c r="CA20" s="155">
        <f t="shared" si="207"/>
        <v>0</v>
      </c>
      <c r="CB20" s="155">
        <f t="shared" si="208"/>
        <v>0</v>
      </c>
      <c r="CC20" s="155">
        <f t="shared" si="209"/>
        <v>0</v>
      </c>
      <c r="CD20" s="155">
        <f t="shared" si="210"/>
        <v>0</v>
      </c>
      <c r="CE20" s="155">
        <f t="shared" si="211"/>
        <v>0</v>
      </c>
      <c r="CF20" s="155">
        <f t="shared" si="212"/>
        <v>0</v>
      </c>
      <c r="CH20" s="155">
        <f>W20*Assumptions!$G$99*$E20</f>
        <v>95781.628260869562</v>
      </c>
      <c r="CI20" s="155">
        <f>X20*Assumptions!$G$99*$E20</f>
        <v>96205.400841041293</v>
      </c>
      <c r="CJ20" s="155">
        <f>Y20*Assumptions!$G$99*$E20</f>
        <v>96630.108718136704</v>
      </c>
      <c r="CK20" s="155">
        <f>Z20*Assumptions!$G$99*$E20</f>
        <v>97055.751892155851</v>
      </c>
      <c r="CL20" s="155">
        <f>AA20*Assumptions!$G$99*$E20</f>
        <v>97482.33036309875</v>
      </c>
      <c r="CM20" s="155">
        <f>AB20*Assumptions!$G$99*$E20</f>
        <v>96778.014812485359</v>
      </c>
      <c r="CN20" s="155">
        <f>AC20*Assumptions!$G$99*$E20</f>
        <v>96075.252262026785</v>
      </c>
      <c r="CO20" s="155">
        <f>AD20*Assumptions!$G$99*$E20</f>
        <v>95374.042711723057</v>
      </c>
      <c r="CP20" s="155">
        <f>AE20*Assumptions!$G$99*$E20</f>
        <v>94674.386161574221</v>
      </c>
      <c r="CQ20" s="155">
        <f>AF20*Assumptions!$G$99*$E20</f>
        <v>93976.282611580173</v>
      </c>
      <c r="CR20" s="155">
        <f>AG20*Assumptions!$G$99*$E20</f>
        <v>93279.732061740986</v>
      </c>
      <c r="CS20" s="155">
        <f>AH20*Assumptions!$G$99*$E20</f>
        <v>92584.734512056617</v>
      </c>
      <c r="CT20" s="155">
        <f>AI20*Assumptions!$G$99*$E20</f>
        <v>91891.289962527124</v>
      </c>
      <c r="CU20" s="155">
        <f>AJ20*Assumptions!$G$99*$E20</f>
        <v>91199.398413152434</v>
      </c>
      <c r="CV20" s="155">
        <f>AK20*Assumptions!$G$99*$E20</f>
        <v>90509.059863932605</v>
      </c>
      <c r="CW20" s="155">
        <f>AL20*Assumptions!$G$99*$E20</f>
        <v>89820.274314867609</v>
      </c>
      <c r="CX20" s="155">
        <f>AM20*Assumptions!$G$99*$E20</f>
        <v>89133.041765957445</v>
      </c>
      <c r="CY20" s="155">
        <f>AN20*Assumptions!$G$99*$E20</f>
        <v>88447.362217202113</v>
      </c>
      <c r="CZ20" s="155">
        <f>AO20*Assumptions!$G$99*$E20</f>
        <v>87763.235668601599</v>
      </c>
      <c r="DA20" s="155">
        <f>AP20*Assumptions!$G$99*$E20</f>
        <v>87080.662120155976</v>
      </c>
      <c r="DC20" s="155">
        <f t="shared" si="254"/>
        <v>96725.019075973847</v>
      </c>
      <c r="DD20" s="155">
        <f t="shared" si="213"/>
        <v>97152.965558459473</v>
      </c>
      <c r="DE20" s="155">
        <f t="shared" si="213"/>
        <v>97581.856549974938</v>
      </c>
      <c r="DF20" s="155">
        <f t="shared" si="213"/>
        <v>98011.692050520287</v>
      </c>
      <c r="DG20" s="155">
        <f t="shared" si="213"/>
        <v>98442.472060095548</v>
      </c>
      <c r="DH20" s="155">
        <f t="shared" si="213"/>
        <v>97731.219429444493</v>
      </c>
      <c r="DI20" s="155">
        <f t="shared" si="213"/>
        <v>97021.535095055748</v>
      </c>
      <c r="DJ20" s="155">
        <f t="shared" si="213"/>
        <v>96313.419056929342</v>
      </c>
      <c r="DK20" s="155">
        <f t="shared" si="213"/>
        <v>95606.87131506532</v>
      </c>
      <c r="DL20" s="155">
        <f t="shared" si="213"/>
        <v>94901.891869463594</v>
      </c>
      <c r="DM20" s="155">
        <f t="shared" si="213"/>
        <v>94198.480720124207</v>
      </c>
      <c r="DN20" s="155">
        <f t="shared" si="213"/>
        <v>93496.637867047146</v>
      </c>
      <c r="DO20" s="155">
        <f t="shared" si="213"/>
        <v>92796.363310232453</v>
      </c>
      <c r="DP20" s="155">
        <f t="shared" si="213"/>
        <v>92097.657049680056</v>
      </c>
      <c r="DQ20" s="155">
        <f t="shared" si="213"/>
        <v>91400.519085390013</v>
      </c>
      <c r="DR20" s="155">
        <f t="shared" si="213"/>
        <v>90704.949417362295</v>
      </c>
      <c r="DS20" s="155">
        <f t="shared" si="213"/>
        <v>90010.948045596917</v>
      </c>
      <c r="DT20" s="155">
        <f t="shared" si="229"/>
        <v>89318.514970093849</v>
      </c>
      <c r="DU20" s="155">
        <f t="shared" si="230"/>
        <v>88627.650190853106</v>
      </c>
      <c r="DV20" s="155">
        <f t="shared" si="231"/>
        <v>87938.353707874747</v>
      </c>
      <c r="DW20" s="136"/>
      <c r="DX20" s="157" cm="1">
        <f t="array" ref="DX20">SUMPRODUCT(($DC20:$DV20)*(Misc_calcs!$G$29:$Z$29))</f>
        <v>1368148.7254654001</v>
      </c>
      <c r="DZ20" s="157">
        <f t="shared" si="9"/>
        <v>277649.8236361419</v>
      </c>
      <c r="EA20" s="157" cm="1">
        <f t="array" ref="EA20">SUMPRODUCT((PMT(real_disc,Assumptions!$G$40,DZ20)*(Misc_calcs!$G$29:$Z$29)))</f>
        <v>-165451.89647124647</v>
      </c>
      <c r="EC20" s="157">
        <f t="shared" si="173"/>
        <v>1202696.8289941538</v>
      </c>
      <c r="ED20" s="157" t="b">
        <f t="shared" si="255"/>
        <v>1</v>
      </c>
      <c r="EF20" s="158">
        <f>-PMT(real_disc,Assumptions!$G$40,DZ20)</f>
        <v>11442.845964415281</v>
      </c>
      <c r="EH20" s="1" t="str">
        <f t="shared" si="54"/>
        <v>2026-31 reg period</v>
      </c>
    </row>
    <row r="21" spans="1:138" x14ac:dyDescent="0.2">
      <c r="B21" s="194" t="s">
        <v>429</v>
      </c>
      <c r="C21" s="194" t="s">
        <v>307</v>
      </c>
      <c r="D21" s="194" t="str">
        <f t="shared" si="4"/>
        <v>CDN</v>
      </c>
      <c r="E21" s="201">
        <v>583</v>
      </c>
      <c r="F21" s="204">
        <v>8.9411132719069246E-3</v>
      </c>
      <c r="G21" s="204">
        <v>0.11750189679821657</v>
      </c>
      <c r="H21" s="216">
        <f>1/24</f>
        <v>4.1666666666666664E-2</v>
      </c>
      <c r="I21" s="206">
        <v>23.48</v>
      </c>
      <c r="J21" s="1" cm="1">
        <f t="array" ref="J21">_xlfn.IFS($I21&gt;$J$7,$J$6,$I21&gt;$J$6,$I21-$J$6,TRUE,0)</f>
        <v>11.48</v>
      </c>
      <c r="K21" s="193" cm="1">
        <f t="array" ref="K21">_xlfn.IFS($I21&gt;$K$7,$K$7-$K$6,$I21&gt;$K$6,$I21-$K$6,TRUE,0)</f>
        <v>0</v>
      </c>
      <c r="L21" s="193">
        <f t="shared" si="232"/>
        <v>0</v>
      </c>
      <c r="M21" s="199">
        <f>I21-Assumptions!$G$52</f>
        <v>18.48</v>
      </c>
      <c r="N21" s="193" cm="1">
        <f t="array" ref="N21">_xlfn.IFS($M21&gt;$N$7,$N$6,$M21&gt;$N$6,$M21-$N$6,TRUE,0)</f>
        <v>6.48</v>
      </c>
      <c r="O21" s="193" cm="1">
        <f t="array" ref="O21">_xlfn.IFS($M21&gt;$O$7,$O$7-$O$6,$M21&gt;$O$6,$M21-$O$6,TRUE,0)</f>
        <v>0</v>
      </c>
      <c r="P21" s="193">
        <f t="shared" si="233"/>
        <v>0</v>
      </c>
      <c r="Q21" s="205">
        <f>Assumptions!$G$39</f>
        <v>277649.8236361419</v>
      </c>
      <c r="S21" s="153">
        <f>INDEX(VCR_data!$O$8:$O$86, MATCH($D21, VCR_data!$B$8:$B$86,0))*vcr_esc</f>
        <v>32556.022335185884</v>
      </c>
      <c r="T21" s="153">
        <f>(($J21-$N21)+0.5*($K21-$O21)+0.5*($L21-$P21))*_xlfn.XLOOKUP($D21,VCR_data!$B$8:$B$86,VCR_data!$Q$8:$Q$86,0,0)*vcr_esc</f>
        <v>54285.129386102839</v>
      </c>
      <c r="U21" s="153">
        <f>(0.5*($J21-$N21)-0.5*($L21-$P21))*_xlfn.XLOOKUP($D21,VCR_data!$B$8:$B$86,VCR_data!$R$8:$R$86,0,0)*vcr_esc</f>
        <v>4778.6610657525289</v>
      </c>
      <c r="W21" s="203">
        <f>$H21*_xlfn.XLOOKUP($B21,'Climate esc'!$B$7:$B$36,'Climate esc'!BQ$7:BQ$36,0,0,)</f>
        <v>4.1666666666666664E-2</v>
      </c>
      <c r="X21" s="203">
        <f>$H21*_xlfn.XLOOKUP($B21,'Climate esc'!$B$7:$B$36,'Climate esc'!BR$7:BR$36,0,0,)</f>
        <v>4.1509713498451291E-2</v>
      </c>
      <c r="Y21" s="203">
        <f>$H21*_xlfn.XLOOKUP($B21,'Climate esc'!$B$7:$B$36,'Climate esc'!BS$7:BS$36,0,0,)</f>
        <v>4.1342967819357729E-2</v>
      </c>
      <c r="Z21" s="203">
        <f>$H21*_xlfn.XLOOKUP($B21,'Climate esc'!$B$7:$B$36,'Climate esc'!BT$7:BT$36,0,0,)</f>
        <v>4.1166429629385853E-2</v>
      </c>
      <c r="AA21" s="203">
        <f>$H21*_xlfn.XLOOKUP($B21,'Climate esc'!$B$7:$B$36,'Climate esc'!BU$7:BU$36,0,0,)</f>
        <v>4.0980098928535533E-2</v>
      </c>
      <c r="AB21" s="203">
        <f>$H21*_xlfn.XLOOKUP($B21,'Climate esc'!$B$7:$B$36,'Climate esc'!BV$7:BV$36,0,0,)</f>
        <v>4.0585473292105913E-2</v>
      </c>
      <c r="AC21" s="203">
        <f>$H21*_xlfn.XLOOKUP($B21,'Climate esc'!$B$7:$B$36,'Climate esc'!BW$7:BW$36,0,0,)</f>
        <v>4.0187087602410111E-2</v>
      </c>
      <c r="AD21" s="203">
        <f>$H21*_xlfn.XLOOKUP($B21,'Climate esc'!$B$7:$B$36,'Climate esc'!BX$7:BX$36,0,0,)</f>
        <v>3.9784941859448086E-2</v>
      </c>
      <c r="AE21" s="203">
        <f>$H21*_xlfn.XLOOKUP($B21,'Climate esc'!$B$7:$B$36,'Climate esc'!BY$7:BY$36,0,0,)</f>
        <v>3.9379036063219852E-2</v>
      </c>
      <c r="AF21" s="203">
        <f>$H21*_xlfn.XLOOKUP($B21,'Climate esc'!$B$7:$B$36,'Climate esc'!BZ$7:BZ$36,0,0,)</f>
        <v>3.8969370213725402E-2</v>
      </c>
      <c r="AG21" s="203">
        <f>$H21*_xlfn.XLOOKUP($B21,'Climate esc'!$B$7:$B$36,'Climate esc'!CA$7:CA$36,0,0,)</f>
        <v>3.8555944310964679E-2</v>
      </c>
      <c r="AH21" s="203">
        <f>$H21*_xlfn.XLOOKUP($B21,'Climate esc'!$B$7:$B$36,'Climate esc'!CB$7:CB$36,0,0,)</f>
        <v>3.8138758354937796E-2</v>
      </c>
      <c r="AI21" s="203">
        <f>$H21*_xlfn.XLOOKUP($B21,'Climate esc'!$B$7:$B$36,'Climate esc'!CC$7:CC$36,0,0,)</f>
        <v>3.7717812345644697E-2</v>
      </c>
      <c r="AJ21" s="203">
        <f>$H21*_xlfn.XLOOKUP($B21,'Climate esc'!$B$7:$B$36,'Climate esc'!CD$7:CD$36,0,0,)</f>
        <v>3.7293106283085381E-2</v>
      </c>
      <c r="AK21" s="203">
        <f>$H21*_xlfn.XLOOKUP($B21,'Climate esc'!$B$7:$B$36,'Climate esc'!CE$7:CE$36,0,0,)</f>
        <v>3.6864640167259856E-2</v>
      </c>
      <c r="AL21" s="203">
        <f>$H21*_xlfn.XLOOKUP($B21,'Climate esc'!$B$7:$B$36,'Climate esc'!CF$7:CF$36,0,0,)</f>
        <v>3.6432413998168052E-2</v>
      </c>
      <c r="AM21" s="203">
        <f>$H21*_xlfn.XLOOKUP($B21,'Climate esc'!$B$7:$B$36,'Climate esc'!CG$7:CG$36,0,0,)</f>
        <v>3.5996427775810108E-2</v>
      </c>
      <c r="AN21" s="203">
        <f>$H21*_xlfn.XLOOKUP($B21,'Climate esc'!$B$7:$B$36,'Climate esc'!CH$7:CH$36,0,0,)</f>
        <v>3.5556681500185927E-2</v>
      </c>
      <c r="AO21" s="203">
        <f>$H21*_xlfn.XLOOKUP($B21,'Climate esc'!$B$7:$B$36,'Climate esc'!CI$7:CI$36,0,0,)</f>
        <v>3.5113175171295544E-2</v>
      </c>
      <c r="AP21" s="203">
        <f>$H21*_xlfn.XLOOKUP($B21,'Climate esc'!$B$7:$B$36,'Climate esc'!CJ$7:CJ$36,0,0,)</f>
        <v>3.466590878913893E-2</v>
      </c>
      <c r="AR21" s="155">
        <f t="shared" si="174"/>
        <v>857.60030416064023</v>
      </c>
      <c r="AS21" s="155">
        <f t="shared" si="234"/>
        <v>854.36983012542873</v>
      </c>
      <c r="AT21" s="155">
        <f t="shared" si="235"/>
        <v>850.93780264283407</v>
      </c>
      <c r="AU21" s="155">
        <f t="shared" si="236"/>
        <v>847.30422171285363</v>
      </c>
      <c r="AV21" s="155">
        <f t="shared" si="237"/>
        <v>843.46908733548491</v>
      </c>
      <c r="AW21" s="155">
        <f t="shared" si="238"/>
        <v>835.34674175552584</v>
      </c>
      <c r="AX21" s="155">
        <f t="shared" si="239"/>
        <v>827.14700522777298</v>
      </c>
      <c r="AY21" s="155">
        <f t="shared" si="240"/>
        <v>818.86987775222565</v>
      </c>
      <c r="AZ21" s="155">
        <f t="shared" si="241"/>
        <v>810.51535932888407</v>
      </c>
      <c r="BA21" s="155">
        <f t="shared" si="242"/>
        <v>802.08344995774803</v>
      </c>
      <c r="BB21" s="155">
        <f t="shared" si="243"/>
        <v>793.57414963881649</v>
      </c>
      <c r="BC21" s="155">
        <f t="shared" si="244"/>
        <v>784.98745837209162</v>
      </c>
      <c r="BD21" s="155">
        <f t="shared" si="245"/>
        <v>776.32337615757228</v>
      </c>
      <c r="BE21" s="155">
        <f t="shared" si="246"/>
        <v>767.58190299525859</v>
      </c>
      <c r="BF21" s="155">
        <f t="shared" si="247"/>
        <v>758.76303888515065</v>
      </c>
      <c r="BG21" s="155">
        <f t="shared" si="248"/>
        <v>749.86678382724699</v>
      </c>
      <c r="BH21" s="155">
        <f t="shared" si="249"/>
        <v>740.89313782155045</v>
      </c>
      <c r="BI21" s="155">
        <f t="shared" si="250"/>
        <v>731.84210086805911</v>
      </c>
      <c r="BJ21" s="155">
        <f t="shared" si="251"/>
        <v>722.71367296677363</v>
      </c>
      <c r="BK21" s="155">
        <f t="shared" si="252"/>
        <v>713.50785411769346</v>
      </c>
      <c r="BM21" s="155">
        <f t="shared" si="194"/>
        <v>43.619634591790749</v>
      </c>
      <c r="BN21" s="155">
        <f t="shared" si="253"/>
        <v>43.455324835496867</v>
      </c>
      <c r="BO21" s="155">
        <f t="shared" si="195"/>
        <v>43.280763581293158</v>
      </c>
      <c r="BP21" s="155">
        <f t="shared" si="196"/>
        <v>43.095950829179493</v>
      </c>
      <c r="BQ21" s="155">
        <f t="shared" si="197"/>
        <v>42.900886579155738</v>
      </c>
      <c r="BR21" s="155">
        <f t="shared" si="198"/>
        <v>42.487764353677029</v>
      </c>
      <c r="BS21" s="155">
        <f t="shared" si="199"/>
        <v>42.070705836609918</v>
      </c>
      <c r="BT21" s="155">
        <f t="shared" si="200"/>
        <v>41.649711027954375</v>
      </c>
      <c r="BU21" s="155">
        <f t="shared" si="201"/>
        <v>41.224779927710401</v>
      </c>
      <c r="BV21" s="155">
        <f t="shared" si="202"/>
        <v>40.795912535878003</v>
      </c>
      <c r="BW21" s="155">
        <f t="shared" si="203"/>
        <v>40.36310885245711</v>
      </c>
      <c r="BX21" s="155">
        <f t="shared" si="204"/>
        <v>39.926368877447835</v>
      </c>
      <c r="BY21" s="155">
        <f t="shared" si="205"/>
        <v>39.485692610850137</v>
      </c>
      <c r="BZ21" s="155">
        <f t="shared" si="206"/>
        <v>39.041080052664</v>
      </c>
      <c r="CA21" s="155">
        <f t="shared" si="207"/>
        <v>38.592531202889447</v>
      </c>
      <c r="CB21" s="155">
        <f t="shared" si="208"/>
        <v>38.140046061526384</v>
      </c>
      <c r="CC21" s="155">
        <f t="shared" si="209"/>
        <v>37.683624628574975</v>
      </c>
      <c r="CD21" s="155">
        <f t="shared" si="210"/>
        <v>37.223266904035114</v>
      </c>
      <c r="CE21" s="155">
        <f t="shared" si="211"/>
        <v>36.758972887906829</v>
      </c>
      <c r="CF21" s="155">
        <f t="shared" si="212"/>
        <v>36.290742580190098</v>
      </c>
      <c r="CH21" s="155">
        <f>W21*Assumptions!$G$99*$E21</f>
        <v>21027.109583333331</v>
      </c>
      <c r="CI21" s="155">
        <f>X21*Assumptions!$G$99*$E21</f>
        <v>20947.903068112948</v>
      </c>
      <c r="CJ21" s="155">
        <f>Y21*Assumptions!$G$99*$E21</f>
        <v>20863.754756108607</v>
      </c>
      <c r="CK21" s="155">
        <f>Z21*Assumptions!$G$99*$E21</f>
        <v>20774.664647320235</v>
      </c>
      <c r="CL21" s="155">
        <f>AA21*Assumptions!$G$99*$E21</f>
        <v>20680.632741747781</v>
      </c>
      <c r="CM21" s="155">
        <f>AB21*Assumptions!$G$99*$E21</f>
        <v>20481.484665709424</v>
      </c>
      <c r="CN21" s="155">
        <f>AC21*Assumptions!$G$99*$E21</f>
        <v>20280.439076421455</v>
      </c>
      <c r="CO21" s="155">
        <f>AD21*Assumptions!$G$99*$E21</f>
        <v>20077.495973883848</v>
      </c>
      <c r="CP21" s="155">
        <f>AE21*Assumptions!$G$99*$E21</f>
        <v>19872.655358096617</v>
      </c>
      <c r="CQ21" s="155">
        <f>AF21*Assumptions!$G$99*$E21</f>
        <v>19665.917229059756</v>
      </c>
      <c r="CR21" s="155">
        <f>AG21*Assumptions!$G$99*$E21</f>
        <v>19457.281586773239</v>
      </c>
      <c r="CS21" s="155">
        <f>AH21*Assumptions!$G$99*$E21</f>
        <v>19246.748431237123</v>
      </c>
      <c r="CT21" s="155">
        <f>AI21*Assumptions!$G$99*$E21</f>
        <v>19034.317762451374</v>
      </c>
      <c r="CU21" s="155">
        <f>AJ21*Assumptions!$G$99*$E21</f>
        <v>18819.989580415997</v>
      </c>
      <c r="CV21" s="155">
        <f>AK21*Assumptions!$G$99*$E21</f>
        <v>18603.763885130993</v>
      </c>
      <c r="CW21" s="155">
        <f>AL21*Assumptions!$G$99*$E21</f>
        <v>18385.640676596329</v>
      </c>
      <c r="CX21" s="155">
        <f>AM21*Assumptions!$G$99*$E21</f>
        <v>18165.619954812071</v>
      </c>
      <c r="CY21" s="155">
        <f>AN21*Assumptions!$G$99*$E21</f>
        <v>17943.701719778172</v>
      </c>
      <c r="CZ21" s="155">
        <f>AO21*Assumptions!$G$99*$E21</f>
        <v>17719.885971494652</v>
      </c>
      <c r="DA21" s="155">
        <f>AP21*Assumptions!$G$99*$E21</f>
        <v>17494.172709961498</v>
      </c>
      <c r="DC21" s="155">
        <f t="shared" si="254"/>
        <v>21928.329522085762</v>
      </c>
      <c r="DD21" s="155">
        <f t="shared" si="213"/>
        <v>21845.728223073875</v>
      </c>
      <c r="DE21" s="155">
        <f t="shared" si="213"/>
        <v>21757.973322332735</v>
      </c>
      <c r="DF21" s="155">
        <f t="shared" si="213"/>
        <v>21665.064819862269</v>
      </c>
      <c r="DG21" s="155">
        <f t="shared" si="213"/>
        <v>21567.00271566242</v>
      </c>
      <c r="DH21" s="155">
        <f t="shared" si="213"/>
        <v>21359.319171818628</v>
      </c>
      <c r="DI21" s="155">
        <f t="shared" si="213"/>
        <v>21149.656787485837</v>
      </c>
      <c r="DJ21" s="155">
        <f t="shared" si="213"/>
        <v>20938.015562664026</v>
      </c>
      <c r="DK21" s="155">
        <f t="shared" si="213"/>
        <v>20724.395497353213</v>
      </c>
      <c r="DL21" s="155">
        <f t="shared" si="213"/>
        <v>20508.796591553382</v>
      </c>
      <c r="DM21" s="155">
        <f t="shared" si="213"/>
        <v>20291.218845264513</v>
      </c>
      <c r="DN21" s="155">
        <f t="shared" si="213"/>
        <v>20071.662258486664</v>
      </c>
      <c r="DO21" s="155">
        <f t="shared" si="213"/>
        <v>19850.126831219797</v>
      </c>
      <c r="DP21" s="155">
        <f t="shared" si="213"/>
        <v>19626.612563463921</v>
      </c>
      <c r="DQ21" s="155">
        <f t="shared" si="213"/>
        <v>19401.119455219032</v>
      </c>
      <c r="DR21" s="155">
        <f t="shared" si="213"/>
        <v>19173.647506485104</v>
      </c>
      <c r="DS21" s="155">
        <f t="shared" si="213"/>
        <v>18944.196717262195</v>
      </c>
      <c r="DT21" s="155">
        <f t="shared" si="229"/>
        <v>18712.767087550266</v>
      </c>
      <c r="DU21" s="155">
        <f t="shared" si="230"/>
        <v>18479.358617349331</v>
      </c>
      <c r="DV21" s="155">
        <f t="shared" si="231"/>
        <v>18243.971306659383</v>
      </c>
      <c r="DW21" s="136"/>
      <c r="DX21" s="157" cm="1">
        <f t="array" ref="DX21">SUMPRODUCT(($DC21:$DV21)*(Misc_calcs!$G$29:$Z$29))</f>
        <v>297000.65810872772</v>
      </c>
      <c r="DZ21" s="157">
        <f t="shared" si="9"/>
        <v>277649.8236361419</v>
      </c>
      <c r="EA21" s="157" cm="1">
        <f t="array" ref="EA21">SUMPRODUCT((PMT(real_disc,Assumptions!$G$40,DZ21)*(Misc_calcs!$G$29:$Z$29)))</f>
        <v>-165451.89647124647</v>
      </c>
      <c r="EC21" s="157">
        <f t="shared" si="173"/>
        <v>131548.76163748125</v>
      </c>
      <c r="ED21" s="157" t="b">
        <f t="shared" si="255"/>
        <v>1</v>
      </c>
      <c r="EF21" s="158">
        <f>-PMT(real_disc,Assumptions!$G$40,DZ21)</f>
        <v>11442.845964415281</v>
      </c>
      <c r="EH21" s="1" t="str">
        <f t="shared" si="54"/>
        <v>2026-31 reg period</v>
      </c>
    </row>
    <row r="22" spans="1:138" x14ac:dyDescent="0.2">
      <c r="B22" s="194" t="s">
        <v>442</v>
      </c>
      <c r="C22" s="194" t="s">
        <v>309</v>
      </c>
      <c r="D22" s="194" t="str">
        <f t="shared" si="4"/>
        <v>CTN</v>
      </c>
      <c r="E22" s="201">
        <v>951</v>
      </c>
      <c r="F22" s="204">
        <v>3.0274136646553578E-2</v>
      </c>
      <c r="G22" s="204">
        <v>0.13318728054558951</v>
      </c>
      <c r="H22" s="216">
        <f>3/24</f>
        <v>0.125</v>
      </c>
      <c r="I22" s="206">
        <v>18.68</v>
      </c>
      <c r="J22" s="1" cm="1">
        <f t="array" ref="J22">_xlfn.IFS($I22&gt;$J$7,$J$6,$I22&gt;$J$6,$I22-$J$6,TRUE,0)</f>
        <v>6.68</v>
      </c>
      <c r="K22" s="193" cm="1">
        <f t="array" ref="K22">_xlfn.IFS($I22&gt;$K$7,$K$7-$K$6,$I22&gt;$K$6,$I22-$K$6,TRUE,0)</f>
        <v>0</v>
      </c>
      <c r="L22" s="193">
        <f t="shared" si="232"/>
        <v>0</v>
      </c>
      <c r="M22" s="199">
        <f>I22-Assumptions!$G$52</f>
        <v>13.68</v>
      </c>
      <c r="N22" s="193" cm="1">
        <f t="array" ref="N22">_xlfn.IFS($M22&gt;$N$7,$N$6,$M22&gt;$N$6,$M22-$N$6,TRUE,0)</f>
        <v>1.6799999999999997</v>
      </c>
      <c r="O22" s="193" cm="1">
        <f t="array" ref="O22">_xlfn.IFS($M22&gt;$O$7,$O$7-$O$6,$M22&gt;$O$6,$M22-$O$6,TRUE,0)</f>
        <v>0</v>
      </c>
      <c r="P22" s="193">
        <f t="shared" si="233"/>
        <v>0</v>
      </c>
      <c r="Q22" s="205">
        <f>Assumptions!$G$39</f>
        <v>277649.8236361419</v>
      </c>
      <c r="S22" s="153">
        <f>INDEX(VCR_data!$O$8:$O$86, MATCH($D22, VCR_data!$B$8:$B$86,0))*vcr_esc</f>
        <v>27432.670373732366</v>
      </c>
      <c r="T22" s="153">
        <f>(($J22-$N22)+0.5*($K22-$O22)+0.5*($L22-$P22))*_xlfn.XLOOKUP($D22,VCR_data!$B$8:$B$86,VCR_data!$Q$8:$Q$86,0,0)*vcr_esc</f>
        <v>31900.639859890904</v>
      </c>
      <c r="U22" s="153">
        <f>(0.5*($J22-$N22)-0.5*($L22-$P22))*_xlfn.XLOOKUP($D22,VCR_data!$B$8:$B$86,VCR_data!$R$8:$R$86,0,0)*vcr_esc</f>
        <v>7597.6892773110758</v>
      </c>
      <c r="W22" s="203">
        <f>$H22*_xlfn.XLOOKUP($B22,'Climate esc'!$B$7:$B$36,'Climate esc'!BQ$7:BQ$36,0,0,)</f>
        <v>0.125</v>
      </c>
      <c r="X22" s="203">
        <f>$H22*_xlfn.XLOOKUP($B22,'Climate esc'!$B$7:$B$36,'Climate esc'!BR$7:BR$36,0,0,)</f>
        <v>0.1272970787350704</v>
      </c>
      <c r="Y22" s="203">
        <f>$H22*_xlfn.XLOOKUP($B22,'Climate esc'!$B$7:$B$36,'Climate esc'!BS$7:BS$36,0,0,)</f>
        <v>0.12961012012931061</v>
      </c>
      <c r="Z22" s="203">
        <f>$H22*_xlfn.XLOOKUP($B22,'Climate esc'!$B$7:$B$36,'Climate esc'!BT$7:BT$36,0,0,)</f>
        <v>0.13193912418271936</v>
      </c>
      <c r="AA22" s="203">
        <f>$H22*_xlfn.XLOOKUP($B22,'Climate esc'!$B$7:$B$36,'Climate esc'!BU$7:BU$36,0,0,)</f>
        <v>0.13428409089529789</v>
      </c>
      <c r="AB22" s="203">
        <f>$H22*_xlfn.XLOOKUP($B22,'Climate esc'!$B$7:$B$36,'Climate esc'!BV$7:BV$36,0,0,)</f>
        <v>0.13432980047358153</v>
      </c>
      <c r="AC22" s="203">
        <f>$H22*_xlfn.XLOOKUP($B22,'Climate esc'!$B$7:$B$36,'Climate esc'!BW$7:BW$36,0,0,)</f>
        <v>0.13437551005186521</v>
      </c>
      <c r="AD22" s="203">
        <f>$H22*_xlfn.XLOOKUP($B22,'Climate esc'!$B$7:$B$36,'Climate esc'!BX$7:BX$36,0,0,)</f>
        <v>0.13442121963014886</v>
      </c>
      <c r="AE22" s="203">
        <f>$H22*_xlfn.XLOOKUP($B22,'Climate esc'!$B$7:$B$36,'Climate esc'!BY$7:BY$36,0,0,)</f>
        <v>0.13446692920843253</v>
      </c>
      <c r="AF22" s="203">
        <f>$H22*_xlfn.XLOOKUP($B22,'Climate esc'!$B$7:$B$36,'Climate esc'!BZ$7:BZ$36,0,0,)</f>
        <v>0.13451263878671618</v>
      </c>
      <c r="AG22" s="203">
        <f>$H22*_xlfn.XLOOKUP($B22,'Climate esc'!$B$7:$B$36,'Climate esc'!CA$7:CA$36,0,0,)</f>
        <v>0.13455834836499986</v>
      </c>
      <c r="AH22" s="203">
        <f>$H22*_xlfn.XLOOKUP($B22,'Climate esc'!$B$7:$B$36,'Climate esc'!CB$7:CB$36,0,0,)</f>
        <v>0.13460405794328351</v>
      </c>
      <c r="AI22" s="203">
        <f>$H22*_xlfn.XLOOKUP($B22,'Climate esc'!$B$7:$B$36,'Climate esc'!CC$7:CC$36,0,0,)</f>
        <v>0.13464976752156718</v>
      </c>
      <c r="AJ22" s="203">
        <f>$H22*_xlfn.XLOOKUP($B22,'Climate esc'!$B$7:$B$36,'Climate esc'!CD$7:CD$36,0,0,)</f>
        <v>0.13469547709985083</v>
      </c>
      <c r="AK22" s="203">
        <f>$H22*_xlfn.XLOOKUP($B22,'Climate esc'!$B$7:$B$36,'Climate esc'!CE$7:CE$36,0,0,)</f>
        <v>0.13474118667813448</v>
      </c>
      <c r="AL22" s="203">
        <f>$H22*_xlfn.XLOOKUP($B22,'Climate esc'!$B$7:$B$36,'Climate esc'!CF$7:CF$36,0,0,)</f>
        <v>0.13478689625641818</v>
      </c>
      <c r="AM22" s="203">
        <f>$H22*_xlfn.XLOOKUP($B22,'Climate esc'!$B$7:$B$36,'Climate esc'!CG$7:CG$36,0,0,)</f>
        <v>0.13483260583470183</v>
      </c>
      <c r="AN22" s="203">
        <f>$H22*_xlfn.XLOOKUP($B22,'Climate esc'!$B$7:$B$36,'Climate esc'!CH$7:CH$36,0,0,)</f>
        <v>0.13487831541298548</v>
      </c>
      <c r="AO22" s="203">
        <f>$H22*_xlfn.XLOOKUP($B22,'Climate esc'!$B$7:$B$36,'Climate esc'!CI$7:CI$36,0,0,)</f>
        <v>0.13492402499126918</v>
      </c>
      <c r="AP22" s="203">
        <f>$H22*_xlfn.XLOOKUP($B22,'Climate esc'!$B$7:$B$36,'Climate esc'!CJ$7:CJ$36,0,0,)</f>
        <v>0.13496973456955283</v>
      </c>
      <c r="AR22" s="155">
        <f t="shared" si="174"/>
        <v>2802.6144854095064</v>
      </c>
      <c r="AS22" s="155">
        <f t="shared" si="234"/>
        <v>2854.117094505782</v>
      </c>
      <c r="AT22" s="155">
        <f t="shared" si="235"/>
        <v>2905.9776010405776</v>
      </c>
      <c r="AU22" s="155">
        <f t="shared" si="236"/>
        <v>2958.1960050138637</v>
      </c>
      <c r="AV22" s="155">
        <f t="shared" si="237"/>
        <v>3010.7723064256693</v>
      </c>
      <c r="AW22" s="155">
        <f t="shared" si="238"/>
        <v>3011.7971570354271</v>
      </c>
      <c r="AX22" s="155">
        <f t="shared" si="239"/>
        <v>3012.8220076451853</v>
      </c>
      <c r="AY22" s="155">
        <f t="shared" si="240"/>
        <v>3013.8468582549431</v>
      </c>
      <c r="AZ22" s="155">
        <f t="shared" si="241"/>
        <v>3014.8717088647013</v>
      </c>
      <c r="BA22" s="155">
        <f t="shared" si="242"/>
        <v>3015.8965594744591</v>
      </c>
      <c r="BB22" s="155">
        <f t="shared" si="243"/>
        <v>3016.9214100842173</v>
      </c>
      <c r="BC22" s="155">
        <f t="shared" si="244"/>
        <v>3017.9462606939751</v>
      </c>
      <c r="BD22" s="155">
        <f t="shared" si="245"/>
        <v>3018.9711113037333</v>
      </c>
      <c r="BE22" s="155">
        <f t="shared" si="246"/>
        <v>3019.9959619134911</v>
      </c>
      <c r="BF22" s="155">
        <f t="shared" si="247"/>
        <v>3021.0208125232489</v>
      </c>
      <c r="BG22" s="155">
        <f t="shared" si="248"/>
        <v>3022.0456631330076</v>
      </c>
      <c r="BH22" s="155">
        <f t="shared" si="249"/>
        <v>3023.0705137427653</v>
      </c>
      <c r="BI22" s="155">
        <f t="shared" si="250"/>
        <v>3024.0953643525231</v>
      </c>
      <c r="BJ22" s="155">
        <f t="shared" si="251"/>
        <v>3025.1202149622823</v>
      </c>
      <c r="BK22" s="155">
        <f t="shared" si="252"/>
        <v>3026.1450655720396</v>
      </c>
      <c r="BM22" s="155">
        <f t="shared" si="194"/>
        <v>247.20998793828483</v>
      </c>
      <c r="BN22" s="155">
        <f t="shared" si="253"/>
        <v>251.75287438940518</v>
      </c>
      <c r="BO22" s="155">
        <f t="shared" si="195"/>
        <v>256.32732987077219</v>
      </c>
      <c r="BP22" s="155">
        <f t="shared" si="196"/>
        <v>260.93335438238336</v>
      </c>
      <c r="BQ22" s="155">
        <f t="shared" si="197"/>
        <v>265.57094792424107</v>
      </c>
      <c r="BR22" s="155">
        <f t="shared" si="198"/>
        <v>265.66134683861037</v>
      </c>
      <c r="BS22" s="155">
        <f t="shared" si="199"/>
        <v>265.75174575297979</v>
      </c>
      <c r="BT22" s="155">
        <f t="shared" si="200"/>
        <v>265.84214466734909</v>
      </c>
      <c r="BU22" s="155">
        <f t="shared" si="201"/>
        <v>265.93254358171845</v>
      </c>
      <c r="BV22" s="155">
        <f t="shared" si="202"/>
        <v>266.02294249608775</v>
      </c>
      <c r="BW22" s="155">
        <f t="shared" si="203"/>
        <v>266.11334141045717</v>
      </c>
      <c r="BX22" s="155">
        <f t="shared" si="204"/>
        <v>266.20374032482647</v>
      </c>
      <c r="BY22" s="155">
        <f t="shared" si="205"/>
        <v>266.29413923919583</v>
      </c>
      <c r="BZ22" s="155">
        <f t="shared" si="206"/>
        <v>266.38453815356513</v>
      </c>
      <c r="CA22" s="155">
        <f t="shared" si="207"/>
        <v>266.47493706793449</v>
      </c>
      <c r="CB22" s="155">
        <f t="shared" si="208"/>
        <v>266.56533598230391</v>
      </c>
      <c r="CC22" s="155">
        <f t="shared" si="209"/>
        <v>266.65573489667321</v>
      </c>
      <c r="CD22" s="155">
        <f t="shared" si="210"/>
        <v>266.74613381104251</v>
      </c>
      <c r="CE22" s="155">
        <f t="shared" si="211"/>
        <v>266.83653272541198</v>
      </c>
      <c r="CF22" s="155">
        <f t="shared" si="212"/>
        <v>266.92693163978129</v>
      </c>
      <c r="CH22" s="155">
        <f>W22*Assumptions!$G$99*$E22</f>
        <v>102899.38875</v>
      </c>
      <c r="CI22" s="155">
        <f>X22*Assumptions!$G$99*$E22</f>
        <v>104790.33273199495</v>
      </c>
      <c r="CJ22" s="155">
        <f>Y22*Assumptions!$G$99*$E22</f>
        <v>106694.41709696106</v>
      </c>
      <c r="CK22" s="155">
        <f>Z22*Assumptions!$G$99*$E22</f>
        <v>108611.64184489731</v>
      </c>
      <c r="CL22" s="155">
        <f>AA22*Assumptions!$G$99*$E22</f>
        <v>110542.00697580473</v>
      </c>
      <c r="CM22" s="155">
        <f>AB22*Assumptions!$G$99*$E22</f>
        <v>110579.634877128</v>
      </c>
      <c r="CN22" s="155">
        <f>AC22*Assumptions!$G$99*$E22</f>
        <v>110617.26277845129</v>
      </c>
      <c r="CO22" s="155">
        <f>AD22*Assumptions!$G$99*$E22</f>
        <v>110654.89067977456</v>
      </c>
      <c r="CP22" s="155">
        <f>AE22*Assumptions!$G$99*$E22</f>
        <v>110692.51858109783</v>
      </c>
      <c r="CQ22" s="155">
        <f>AF22*Assumptions!$G$99*$E22</f>
        <v>110730.1464824211</v>
      </c>
      <c r="CR22" s="155">
        <f>AG22*Assumptions!$G$99*$E22</f>
        <v>110767.77438374438</v>
      </c>
      <c r="CS22" s="155">
        <f>AH22*Assumptions!$G$99*$E22</f>
        <v>110805.40228506764</v>
      </c>
      <c r="CT22" s="155">
        <f>AI22*Assumptions!$G$99*$E22</f>
        <v>110843.03018639093</v>
      </c>
      <c r="CU22" s="155">
        <f>AJ22*Assumptions!$G$99*$E22</f>
        <v>110880.65808771418</v>
      </c>
      <c r="CV22" s="155">
        <f>AK22*Assumptions!$G$99*$E22</f>
        <v>110918.28598903745</v>
      </c>
      <c r="CW22" s="155">
        <f>AL22*Assumptions!$G$99*$E22</f>
        <v>110955.91389036075</v>
      </c>
      <c r="CX22" s="155">
        <f>AM22*Assumptions!$G$99*$E22</f>
        <v>110993.54179168402</v>
      </c>
      <c r="CY22" s="155">
        <f>AN22*Assumptions!$G$99*$E22</f>
        <v>111031.16969300728</v>
      </c>
      <c r="CZ22" s="155">
        <f>AO22*Assumptions!$G$99*$E22</f>
        <v>111068.79759433058</v>
      </c>
      <c r="DA22" s="155">
        <f>AP22*Assumptions!$G$99*$E22</f>
        <v>111106.42549565385</v>
      </c>
      <c r="DC22" s="155">
        <f t="shared" si="254"/>
        <v>105949.21322334779</v>
      </c>
      <c r="DD22" s="155">
        <f t="shared" si="213"/>
        <v>107896.20270089014</v>
      </c>
      <c r="DE22" s="155">
        <f t="shared" si="213"/>
        <v>109856.72202787241</v>
      </c>
      <c r="DF22" s="155">
        <f t="shared" si="213"/>
        <v>111830.77120429356</v>
      </c>
      <c r="DG22" s="155">
        <f t="shared" si="213"/>
        <v>113818.35023015464</v>
      </c>
      <c r="DH22" s="155">
        <f t="shared" si="213"/>
        <v>113857.09338100204</v>
      </c>
      <c r="DI22" s="155">
        <f t="shared" si="213"/>
        <v>113895.83653184945</v>
      </c>
      <c r="DJ22" s="155">
        <f t="shared" si="213"/>
        <v>113934.57968269684</v>
      </c>
      <c r="DK22" s="155">
        <f t="shared" si="213"/>
        <v>113973.32283354425</v>
      </c>
      <c r="DL22" s="155">
        <f t="shared" si="213"/>
        <v>114012.06598439165</v>
      </c>
      <c r="DM22" s="155">
        <f t="shared" si="213"/>
        <v>114050.80913523906</v>
      </c>
      <c r="DN22" s="155">
        <f t="shared" si="213"/>
        <v>114089.55228608644</v>
      </c>
      <c r="DO22" s="155">
        <f t="shared" si="213"/>
        <v>114128.29543693385</v>
      </c>
      <c r="DP22" s="155">
        <f t="shared" si="213"/>
        <v>114167.03858778124</v>
      </c>
      <c r="DQ22" s="155">
        <f t="shared" si="213"/>
        <v>114205.78173862863</v>
      </c>
      <c r="DR22" s="155">
        <f t="shared" si="213"/>
        <v>114244.52488947606</v>
      </c>
      <c r="DS22" s="155">
        <f t="shared" si="213"/>
        <v>114283.26804032346</v>
      </c>
      <c r="DT22" s="155">
        <f t="shared" si="229"/>
        <v>114322.01119117085</v>
      </c>
      <c r="DU22" s="155">
        <f t="shared" si="230"/>
        <v>114360.75434201828</v>
      </c>
      <c r="DV22" s="155">
        <f t="shared" si="231"/>
        <v>114399.49749286567</v>
      </c>
      <c r="DW22" s="136"/>
      <c r="DX22" s="157" cm="1">
        <f t="array" ref="DX22">SUMPRODUCT(($DC22:$DV22)*(Misc_calcs!$G$29:$Z$29))</f>
        <v>1629754.3287004335</v>
      </c>
      <c r="DZ22" s="157">
        <f t="shared" si="9"/>
        <v>277649.8236361419</v>
      </c>
      <c r="EA22" s="157" cm="1">
        <f t="array" ref="EA22">SUMPRODUCT((PMT(real_disc,Assumptions!$G$40,DZ22)*(Misc_calcs!$G$29:$Z$29)))</f>
        <v>-165451.89647124647</v>
      </c>
      <c r="EC22" s="157">
        <f t="shared" si="173"/>
        <v>1464302.4322291871</v>
      </c>
      <c r="ED22" s="157" t="b">
        <f t="shared" si="255"/>
        <v>1</v>
      </c>
      <c r="EF22" s="158">
        <f>-PMT(real_disc,Assumptions!$G$40,DZ22)</f>
        <v>11442.845964415281</v>
      </c>
      <c r="EH22" s="1" t="str">
        <f t="shared" si="54"/>
        <v>2026-31 reg period</v>
      </c>
    </row>
    <row r="23" spans="1:138" x14ac:dyDescent="0.2">
      <c r="B23" s="194" t="s">
        <v>443</v>
      </c>
      <c r="C23" s="194" t="s">
        <v>316</v>
      </c>
      <c r="D23" s="194" t="str">
        <f t="shared" si="4"/>
        <v>OYN</v>
      </c>
      <c r="E23" s="201">
        <v>278</v>
      </c>
      <c r="F23" s="204">
        <v>1.5899592408675757E-2</v>
      </c>
      <c r="G23" s="204">
        <v>0.10024419527682664</v>
      </c>
      <c r="H23" s="216">
        <f>2/24</f>
        <v>8.3333333333333329E-2</v>
      </c>
      <c r="I23" s="206">
        <v>16.079999999999998</v>
      </c>
      <c r="J23" s="1" cm="1">
        <f t="array" ref="J23">_xlfn.IFS($I23&gt;$J$7,$J$6,$I23&gt;$J$6,$I23-$J$6,TRUE,0)</f>
        <v>4.0799999999999983</v>
      </c>
      <c r="K23" s="193" cm="1">
        <f t="array" ref="K23">_xlfn.IFS($I23&gt;$K$7,$K$7-$K$6,$I23&gt;$K$6,$I23-$K$6,TRUE,0)</f>
        <v>0</v>
      </c>
      <c r="L23" s="193">
        <f t="shared" si="232"/>
        <v>0</v>
      </c>
      <c r="M23" s="199">
        <f>I23-Assumptions!$G$52</f>
        <v>11.079999999999998</v>
      </c>
      <c r="N23" s="193" cm="1">
        <f t="array" ref="N23">_xlfn.IFS($M23&gt;$N$7,$N$6,$M23&gt;$N$6,$M23-$N$6,TRUE,0)</f>
        <v>0</v>
      </c>
      <c r="O23" s="193" cm="1">
        <f t="array" ref="O23">_xlfn.IFS($M23&gt;$O$7,$O$7-$O$6,$M23&gt;$O$6,$M23-$O$6,TRUE,0)</f>
        <v>0</v>
      </c>
      <c r="P23" s="193">
        <f t="shared" si="233"/>
        <v>0</v>
      </c>
      <c r="Q23" s="205">
        <f>Assumptions!$G$39</f>
        <v>277649.8236361419</v>
      </c>
      <c r="S23" s="153">
        <f>INDEX(VCR_data!$O$8:$O$86, MATCH($D23, VCR_data!$B$8:$B$86,0))*vcr_esc</f>
        <v>26869.102270311694</v>
      </c>
      <c r="T23" s="153">
        <f>(($J23-$N23)+0.5*($K23-$O23)+0.5*($L23-$P23))*_xlfn.XLOOKUP($D23,VCR_data!$B$8:$B$86,VCR_data!$Q$8:$Q$86,0,0)*vcr_esc</f>
        <v>30414.005587555461</v>
      </c>
      <c r="U23" s="153">
        <f>(0.5*($J23-$N23)-0.5*($L23-$P23))*_xlfn.XLOOKUP($D23,VCR_data!$B$8:$B$86,VCR_data!$R$8:$R$86,0,0)*vcr_esc</f>
        <v>5866.211143175693</v>
      </c>
      <c r="W23" s="203">
        <f>$H23*_xlfn.XLOOKUP($B23,'Climate esc'!$B$7:$B$36,'Climate esc'!BQ$7:BQ$36,0,0,)</f>
        <v>8.3333333333333329E-2</v>
      </c>
      <c r="X23" s="203">
        <f>$H23*_xlfn.XLOOKUP($B23,'Climate esc'!$B$7:$B$36,'Climate esc'!BR$7:BR$36,0,0,)</f>
        <v>8.3842697771472963E-2</v>
      </c>
      <c r="Y23" s="203">
        <f>$H23*_xlfn.XLOOKUP($B23,'Climate esc'!$B$7:$B$36,'Climate esc'!BS$7:BS$36,0,0,)</f>
        <v>8.4352062209612583E-2</v>
      </c>
      <c r="Z23" s="203">
        <f>$H23*_xlfn.XLOOKUP($B23,'Climate esc'!$B$7:$B$36,'Climate esc'!BT$7:BT$36,0,0,)</f>
        <v>8.4861426647752217E-2</v>
      </c>
      <c r="AA23" s="203">
        <f>$H23*_xlfn.XLOOKUP($B23,'Climate esc'!$B$7:$B$36,'Climate esc'!BU$7:BU$36,0,0,)</f>
        <v>8.5370791085891851E-2</v>
      </c>
      <c r="AB23" s="203">
        <f>$H23*_xlfn.XLOOKUP($B23,'Climate esc'!$B$7:$B$36,'Climate esc'!BV$7:BV$36,0,0,)</f>
        <v>8.5141702290955981E-2</v>
      </c>
      <c r="AC23" s="203">
        <f>$H23*_xlfn.XLOOKUP($B23,'Climate esc'!$B$7:$B$36,'Climate esc'!BW$7:BW$36,0,0,)</f>
        <v>8.4912613496020112E-2</v>
      </c>
      <c r="AD23" s="203">
        <f>$H23*_xlfn.XLOOKUP($B23,'Climate esc'!$B$7:$B$36,'Climate esc'!BX$7:BX$36,0,0,)</f>
        <v>8.4683524701084256E-2</v>
      </c>
      <c r="AE23" s="203">
        <f>$H23*_xlfn.XLOOKUP($B23,'Climate esc'!$B$7:$B$36,'Climate esc'!BY$7:BY$36,0,0,)</f>
        <v>8.4454435906148387E-2</v>
      </c>
      <c r="AF23" s="203">
        <f>$H23*_xlfn.XLOOKUP($B23,'Climate esc'!$B$7:$B$36,'Climate esc'!BZ$7:BZ$36,0,0,)</f>
        <v>8.4225347111212504E-2</v>
      </c>
      <c r="AG23" s="203">
        <f>$H23*_xlfn.XLOOKUP($B23,'Climate esc'!$B$7:$B$36,'Climate esc'!CA$7:CA$36,0,0,)</f>
        <v>8.3996258316276634E-2</v>
      </c>
      <c r="AH23" s="203">
        <f>$H23*_xlfn.XLOOKUP($B23,'Climate esc'!$B$7:$B$36,'Climate esc'!CB$7:CB$36,0,0,)</f>
        <v>8.3767169521340779E-2</v>
      </c>
      <c r="AI23" s="203">
        <f>$H23*_xlfn.XLOOKUP($B23,'Climate esc'!$B$7:$B$36,'Climate esc'!CC$7:CC$36,0,0,)</f>
        <v>8.3538080726404909E-2</v>
      </c>
      <c r="AJ23" s="203">
        <f>$H23*_xlfn.XLOOKUP($B23,'Climate esc'!$B$7:$B$36,'Climate esc'!CD$7:CD$36,0,0,)</f>
        <v>8.330899193146904E-2</v>
      </c>
      <c r="AK23" s="203">
        <f>$H23*_xlfn.XLOOKUP($B23,'Climate esc'!$B$7:$B$36,'Climate esc'!CE$7:CE$36,0,0,)</f>
        <v>8.307990313653317E-2</v>
      </c>
      <c r="AL23" s="203">
        <f>$H23*_xlfn.XLOOKUP($B23,'Climate esc'!$B$7:$B$36,'Climate esc'!CF$7:CF$36,0,0,)</f>
        <v>8.2850814341597301E-2</v>
      </c>
      <c r="AM23" s="203">
        <f>$H23*_xlfn.XLOOKUP($B23,'Climate esc'!$B$7:$B$36,'Climate esc'!CG$7:CG$36,0,0,)</f>
        <v>8.2621725546661431E-2</v>
      </c>
      <c r="AN23" s="203">
        <f>$H23*_xlfn.XLOOKUP($B23,'Climate esc'!$B$7:$B$36,'Climate esc'!CH$7:CH$36,0,0,)</f>
        <v>8.2392636751725562E-2</v>
      </c>
      <c r="AO23" s="203">
        <f>$H23*_xlfn.XLOOKUP($B23,'Climate esc'!$B$7:$B$36,'Climate esc'!CI$7:CI$36,0,0,)</f>
        <v>8.2163547956789706E-2</v>
      </c>
      <c r="AP23" s="203">
        <f>$H23*_xlfn.XLOOKUP($B23,'Climate esc'!$B$7:$B$36,'Climate esc'!CJ$7:CJ$36,0,0,)</f>
        <v>8.1934459161853823E-2</v>
      </c>
      <c r="AR23" s="155">
        <f t="shared" si="174"/>
        <v>1300.2830455763049</v>
      </c>
      <c r="AS23" s="155">
        <f t="shared" si="234"/>
        <v>1308.2308608914946</v>
      </c>
      <c r="AT23" s="155">
        <f t="shared" si="235"/>
        <v>1316.1786762066838</v>
      </c>
      <c r="AU23" s="155">
        <f t="shared" si="236"/>
        <v>1324.1264915218735</v>
      </c>
      <c r="AV23" s="155">
        <f t="shared" si="237"/>
        <v>1332.074306837063</v>
      </c>
      <c r="AW23" s="155">
        <f t="shared" si="238"/>
        <v>1328.4997435252237</v>
      </c>
      <c r="AX23" s="155">
        <f t="shared" si="239"/>
        <v>1324.9251802133842</v>
      </c>
      <c r="AY23" s="155">
        <f t="shared" si="240"/>
        <v>1321.350616901545</v>
      </c>
      <c r="AZ23" s="155">
        <f t="shared" si="241"/>
        <v>1317.7760535897055</v>
      </c>
      <c r="BA23" s="155">
        <f t="shared" si="242"/>
        <v>1314.201490277866</v>
      </c>
      <c r="BB23" s="155">
        <f t="shared" si="243"/>
        <v>1310.6269269660265</v>
      </c>
      <c r="BC23" s="155">
        <f t="shared" si="244"/>
        <v>1307.0523636541873</v>
      </c>
      <c r="BD23" s="155">
        <f t="shared" si="245"/>
        <v>1303.477800342348</v>
      </c>
      <c r="BE23" s="155">
        <f t="shared" si="246"/>
        <v>1299.9032370305085</v>
      </c>
      <c r="BF23" s="155">
        <f t="shared" si="247"/>
        <v>1296.3286737186691</v>
      </c>
      <c r="BG23" s="155">
        <f t="shared" si="248"/>
        <v>1292.7541104068298</v>
      </c>
      <c r="BH23" s="155">
        <f t="shared" si="249"/>
        <v>1289.1795470949903</v>
      </c>
      <c r="BI23" s="155">
        <f t="shared" si="250"/>
        <v>1285.6049837831508</v>
      </c>
      <c r="BJ23" s="155">
        <f t="shared" si="251"/>
        <v>1282.0304204713116</v>
      </c>
      <c r="BK23" s="155">
        <f t="shared" si="252"/>
        <v>1278.4558571594721</v>
      </c>
      <c r="BM23" s="155">
        <f t="shared" si="194"/>
        <v>89.301992310743287</v>
      </c>
      <c r="BN23" s="155">
        <f t="shared" si="253"/>
        <v>89.847839420400618</v>
      </c>
      <c r="BO23" s="155">
        <f t="shared" si="195"/>
        <v>90.393686530057948</v>
      </c>
      <c r="BP23" s="155">
        <f t="shared" si="196"/>
        <v>90.939533639715293</v>
      </c>
      <c r="BQ23" s="155">
        <f t="shared" si="197"/>
        <v>91.485380749372624</v>
      </c>
      <c r="BR23" s="155">
        <f t="shared" si="198"/>
        <v>91.239883719726535</v>
      </c>
      <c r="BS23" s="155">
        <f t="shared" si="199"/>
        <v>90.994386690080461</v>
      </c>
      <c r="BT23" s="155">
        <f t="shared" si="200"/>
        <v>90.748889660434386</v>
      </c>
      <c r="BU23" s="155">
        <f t="shared" si="201"/>
        <v>90.503392630788298</v>
      </c>
      <c r="BV23" s="155">
        <f t="shared" si="202"/>
        <v>90.257895601142195</v>
      </c>
      <c r="BW23" s="155">
        <f t="shared" si="203"/>
        <v>90.012398571496121</v>
      </c>
      <c r="BX23" s="155">
        <f t="shared" si="204"/>
        <v>89.766901541850046</v>
      </c>
      <c r="BY23" s="155">
        <f t="shared" si="205"/>
        <v>89.521404512203958</v>
      </c>
      <c r="BZ23" s="155">
        <f t="shared" si="206"/>
        <v>89.275907482557869</v>
      </c>
      <c r="CA23" s="155">
        <f t="shared" si="207"/>
        <v>89.030410452911781</v>
      </c>
      <c r="CB23" s="155">
        <f t="shared" si="208"/>
        <v>88.784913423265706</v>
      </c>
      <c r="CC23" s="155">
        <f t="shared" si="209"/>
        <v>88.539416393619618</v>
      </c>
      <c r="CD23" s="155">
        <f t="shared" si="210"/>
        <v>88.293919363973529</v>
      </c>
      <c r="CE23" s="155">
        <f t="shared" si="211"/>
        <v>88.048422334327455</v>
      </c>
      <c r="CF23" s="155">
        <f t="shared" si="212"/>
        <v>87.802925304681366</v>
      </c>
      <c r="CH23" s="155">
        <f>W23*Assumptions!$G$99*$E23</f>
        <v>20053.298333333332</v>
      </c>
      <c r="CI23" s="155">
        <f>X23*Assumptions!$G$99*$E23</f>
        <v>20175.871577794191</v>
      </c>
      <c r="CJ23" s="155">
        <f>Y23*Assumptions!$G$99*$E23</f>
        <v>20298.444822255042</v>
      </c>
      <c r="CK23" s="155">
        <f>Z23*Assumptions!$G$99*$E23</f>
        <v>20421.0180667159</v>
      </c>
      <c r="CL23" s="155">
        <f>AA23*Assumptions!$G$99*$E23</f>
        <v>20543.591311176759</v>
      </c>
      <c r="CM23" s="155">
        <f>AB23*Assumptions!$G$99*$E23</f>
        <v>20488.463479780687</v>
      </c>
      <c r="CN23" s="155">
        <f>AC23*Assumptions!$G$99*$E23</f>
        <v>20433.335648384611</v>
      </c>
      <c r="CO23" s="155">
        <f>AD23*Assumptions!$G$99*$E23</f>
        <v>20378.207816988543</v>
      </c>
      <c r="CP23" s="155">
        <f>AE23*Assumptions!$G$99*$E23</f>
        <v>20323.079985592467</v>
      </c>
      <c r="CQ23" s="155">
        <f>AF23*Assumptions!$G$99*$E23</f>
        <v>20267.952154196388</v>
      </c>
      <c r="CR23" s="155">
        <f>AG23*Assumptions!$G$99*$E23</f>
        <v>20212.824322800319</v>
      </c>
      <c r="CS23" s="155">
        <f>AH23*Assumptions!$G$99*$E23</f>
        <v>20157.696491404244</v>
      </c>
      <c r="CT23" s="155">
        <f>AI23*Assumptions!$G$99*$E23</f>
        <v>20102.568660008175</v>
      </c>
      <c r="CU23" s="155">
        <f>AJ23*Assumptions!$G$99*$E23</f>
        <v>20047.4408286121</v>
      </c>
      <c r="CV23" s="155">
        <f>AK23*Assumptions!$G$99*$E23</f>
        <v>19992.312997216028</v>
      </c>
      <c r="CW23" s="155">
        <f>AL23*Assumptions!$G$99*$E23</f>
        <v>19937.185165819952</v>
      </c>
      <c r="CX23" s="155">
        <f>AM23*Assumptions!$G$99*$E23</f>
        <v>19882.057334423876</v>
      </c>
      <c r="CY23" s="155">
        <f>AN23*Assumptions!$G$99*$E23</f>
        <v>19826.929503027804</v>
      </c>
      <c r="CZ23" s="155">
        <f>AO23*Assumptions!$G$99*$E23</f>
        <v>19771.801671631732</v>
      </c>
      <c r="DA23" s="155">
        <f>AP23*Assumptions!$G$99*$E23</f>
        <v>19716.673840235657</v>
      </c>
      <c r="DC23" s="155">
        <f t="shared" si="254"/>
        <v>21442.883371220381</v>
      </c>
      <c r="DD23" s="155">
        <f t="shared" si="213"/>
        <v>21573.950278106087</v>
      </c>
      <c r="DE23" s="155">
        <f t="shared" si="213"/>
        <v>21705.017184991782</v>
      </c>
      <c r="DF23" s="155">
        <f t="shared" si="213"/>
        <v>21836.084091877488</v>
      </c>
      <c r="DG23" s="155">
        <f t="shared" si="213"/>
        <v>21967.150998763194</v>
      </c>
      <c r="DH23" s="155">
        <f t="shared" si="213"/>
        <v>21908.203107025638</v>
      </c>
      <c r="DI23" s="155">
        <f t="shared" si="213"/>
        <v>21849.255215288074</v>
      </c>
      <c r="DJ23" s="155">
        <f t="shared" si="213"/>
        <v>21790.307323550522</v>
      </c>
      <c r="DK23" s="155">
        <f t="shared" si="213"/>
        <v>21731.359431812962</v>
      </c>
      <c r="DL23" s="155">
        <f t="shared" si="213"/>
        <v>21672.411540075394</v>
      </c>
      <c r="DM23" s="155">
        <f t="shared" si="213"/>
        <v>21613.463648337842</v>
      </c>
      <c r="DN23" s="155">
        <f t="shared" si="213"/>
        <v>21554.515756600282</v>
      </c>
      <c r="DO23" s="155">
        <f t="shared" si="213"/>
        <v>21495.567864862729</v>
      </c>
      <c r="DP23" s="155">
        <f t="shared" si="213"/>
        <v>21436.619973125165</v>
      </c>
      <c r="DQ23" s="155">
        <f t="shared" si="213"/>
        <v>21377.672081387609</v>
      </c>
      <c r="DR23" s="155">
        <f t="shared" si="213"/>
        <v>21318.724189650049</v>
      </c>
      <c r="DS23" s="155">
        <f t="shared" si="213"/>
        <v>21259.776297912485</v>
      </c>
      <c r="DT23" s="155">
        <f t="shared" si="229"/>
        <v>21200.828406174929</v>
      </c>
      <c r="DU23" s="155">
        <f t="shared" si="230"/>
        <v>21141.880514437373</v>
      </c>
      <c r="DV23" s="155">
        <f t="shared" si="231"/>
        <v>21082.932622699809</v>
      </c>
      <c r="DW23" s="136"/>
      <c r="DX23" s="157" cm="1">
        <f t="array" ref="DX23">SUMPRODUCT(($DC23:$DV23)*(Misc_calcs!$G$29:$Z$29))</f>
        <v>312096.49349327164</v>
      </c>
      <c r="DZ23" s="157">
        <f t="shared" si="9"/>
        <v>277649.8236361419</v>
      </c>
      <c r="EA23" s="157" cm="1">
        <f t="array" ref="EA23">SUMPRODUCT((PMT(real_disc,Assumptions!$G$40,DZ23)*(Misc_calcs!$G$29:$Z$29)))</f>
        <v>-165451.89647124647</v>
      </c>
      <c r="EC23" s="157">
        <f t="shared" si="173"/>
        <v>146644.59702202518</v>
      </c>
      <c r="ED23" s="157" t="b">
        <f t="shared" si="255"/>
        <v>1</v>
      </c>
      <c r="EF23" s="158">
        <f>-PMT(real_disc,Assumptions!$G$40,DZ23)</f>
        <v>11442.845964415281</v>
      </c>
      <c r="EH23" s="1" t="str">
        <f t="shared" si="54"/>
        <v>2026-31 reg period</v>
      </c>
    </row>
    <row r="24" spans="1:138" x14ac:dyDescent="0.2">
      <c r="B24" s="206" t="s">
        <v>184</v>
      </c>
      <c r="C24" s="206" t="s">
        <v>317</v>
      </c>
      <c r="D24" s="206" t="str">
        <f t="shared" si="4"/>
        <v>SHL</v>
      </c>
      <c r="E24" s="219">
        <v>11508</v>
      </c>
      <c r="F24" s="204">
        <v>2.304675388413234E-2</v>
      </c>
      <c r="G24" s="204">
        <v>0.25919190596175867</v>
      </c>
      <c r="H24" s="202">
        <f>1/18</f>
        <v>5.5555555555555552E-2</v>
      </c>
      <c r="I24" s="194">
        <v>27.08</v>
      </c>
      <c r="J24" s="1" cm="1">
        <f t="array" ref="J24">_xlfn.IFS($I24&gt;$J$7,$J$6,$I24&gt;$J$6,$I24-$J$6,TRUE,0)</f>
        <v>12</v>
      </c>
      <c r="K24" s="193" cm="1">
        <f t="array" ref="K24">_xlfn.IFS($I24&gt;$K$7,$K$7-$K$6,$I24&gt;$K$6,$I24-$K$6,TRUE,0)</f>
        <v>3.0799999999999983</v>
      </c>
      <c r="L24" s="193">
        <f t="shared" si="232"/>
        <v>0</v>
      </c>
      <c r="M24" s="199">
        <f>I24-Assumptions!$G$52</f>
        <v>22.08</v>
      </c>
      <c r="N24" s="193" cm="1">
        <f t="array" ref="N24">_xlfn.IFS($M24&gt;$N$7,$N$6,$M24&gt;$N$6,$M24-$N$6,TRUE,0)</f>
        <v>10.079999999999998</v>
      </c>
      <c r="O24" s="193" cm="1">
        <f t="array" ref="O24">_xlfn.IFS($M24&gt;$O$7,$O$7-$O$6,$M24&gt;$O$6,$M24-$O$6,TRUE,0)</f>
        <v>0</v>
      </c>
      <c r="P24" s="193">
        <f t="shared" si="233"/>
        <v>0</v>
      </c>
      <c r="Q24" s="205">
        <f>Assumptions!$G$39</f>
        <v>277649.8236361419</v>
      </c>
      <c r="S24" s="153">
        <f>INDEX(VCR_data!$O$8:$O$86, MATCH($D24, VCR_data!$B$8:$B$86,0))*vcr_esc</f>
        <v>27985.803742075437</v>
      </c>
      <c r="T24" s="153">
        <f>(($J24-$N24)+0.5*($K24-$O24)+0.5*($L24-$P24))*_xlfn.XLOOKUP($D24,VCR_data!$B$8:$B$86,VCR_data!$Q$8:$Q$86,0,0)*vcr_esc</f>
        <v>19316.75203764403</v>
      </c>
      <c r="U24" s="153">
        <f>(0.5*($J24-$N24)-0.5*($L24-$P24))*_xlfn.XLOOKUP($D24,VCR_data!$B$8:$B$86,VCR_data!$R$8:$R$86,0,0)*vcr_esc</f>
        <v>3963.2929503272362</v>
      </c>
      <c r="W24" s="203">
        <f>$H24*_xlfn.XLOOKUP($B24,'Climate esc'!$B$7:$B$36,'Climate esc'!BQ$7:BQ$36,0,0,)</f>
        <v>5.5555555555555552E-2</v>
      </c>
      <c r="X24" s="203">
        <f>$H24*_xlfn.XLOOKUP($B24,'Climate esc'!$B$7:$B$36,'Climate esc'!BR$7:BR$36,0,0,)</f>
        <v>5.6043677933389685E-2</v>
      </c>
      <c r="Y24" s="203">
        <f>$H24*_xlfn.XLOOKUP($B24,'Climate esc'!$B$7:$B$36,'Climate esc'!BS$7:BS$36,0,0,)</f>
        <v>5.6530627585498129E-2</v>
      </c>
      <c r="Z24" s="203">
        <f>$H24*_xlfn.XLOOKUP($B24,'Climate esc'!$B$7:$B$36,'Climate esc'!BT$7:BT$36,0,0,)</f>
        <v>5.7016404511880808E-2</v>
      </c>
      <c r="AA24" s="203">
        <f>$H24*_xlfn.XLOOKUP($B24,'Climate esc'!$B$7:$B$36,'Climate esc'!BU$7:BU$36,0,0,)</f>
        <v>5.7501008712537771E-2</v>
      </c>
      <c r="AB24" s="203">
        <f>$H24*_xlfn.XLOOKUP($B24,'Climate esc'!$B$7:$B$36,'Climate esc'!BV$7:BV$36,0,0,)</f>
        <v>5.8553002724911096E-2</v>
      </c>
      <c r="AC24" s="203">
        <f>$H24*_xlfn.XLOOKUP($B24,'Climate esc'!$B$7:$B$36,'Climate esc'!BW$7:BW$36,0,0,)</f>
        <v>5.9609294287799888E-2</v>
      </c>
      <c r="AD24" s="203">
        <f>$H24*_xlfn.XLOOKUP($B24,'Climate esc'!$B$7:$B$36,'Climate esc'!BX$7:BX$36,0,0,)</f>
        <v>6.0669883401203814E-2</v>
      </c>
      <c r="AE24" s="203">
        <f>$H24*_xlfn.XLOOKUP($B24,'Climate esc'!$B$7:$B$36,'Climate esc'!BY$7:BY$36,0,0,)</f>
        <v>6.1734770065122853E-2</v>
      </c>
      <c r="AF24" s="203">
        <f>$H24*_xlfn.XLOOKUP($B24,'Climate esc'!$B$7:$B$36,'Climate esc'!BZ$7:BZ$36,0,0,)</f>
        <v>6.2803954279557039E-2</v>
      </c>
      <c r="AG24" s="203">
        <f>$H24*_xlfn.XLOOKUP($B24,'Climate esc'!$B$7:$B$36,'Climate esc'!CA$7:CA$36,0,0,)</f>
        <v>6.3877436044505978E-2</v>
      </c>
      <c r="AH24" s="203">
        <f>$H24*_xlfn.XLOOKUP($B24,'Climate esc'!$B$7:$B$36,'Climate esc'!CB$7:CB$36,0,0,)</f>
        <v>6.4955215359970439E-2</v>
      </c>
      <c r="AI24" s="203">
        <f>$H24*_xlfn.XLOOKUP($B24,'Climate esc'!$B$7:$B$36,'Climate esc'!CC$7:CC$36,0,0,)</f>
        <v>6.603729222595002E-2</v>
      </c>
      <c r="AJ24" s="203">
        <f>$H24*_xlfn.XLOOKUP($B24,'Climate esc'!$B$7:$B$36,'Climate esc'!CD$7:CD$36,0,0,)</f>
        <v>6.7123666642444735E-2</v>
      </c>
      <c r="AK24" s="203">
        <f>$H24*_xlfn.XLOOKUP($B24,'Climate esc'!$B$7:$B$36,'Climate esc'!CE$7:CE$36,0,0,)</f>
        <v>6.8214338609454583E-2</v>
      </c>
      <c r="AL24" s="203">
        <f>$H24*_xlfn.XLOOKUP($B24,'Climate esc'!$B$7:$B$36,'Climate esc'!CF$7:CF$36,0,0,)</f>
        <v>6.9309308126979149E-2</v>
      </c>
      <c r="AM24" s="203">
        <f>$H24*_xlfn.XLOOKUP($B24,'Climate esc'!$B$7:$B$36,'Climate esc'!CG$7:CG$36,0,0,)</f>
        <v>7.0408575195019293E-2</v>
      </c>
      <c r="AN24" s="203">
        <f>$H24*_xlfn.XLOOKUP($B24,'Climate esc'!$B$7:$B$36,'Climate esc'!CH$7:CH$36,0,0,)</f>
        <v>7.151213981357453E-2</v>
      </c>
      <c r="AO24" s="203">
        <f>$H24*_xlfn.XLOOKUP($B24,'Climate esc'!$B$7:$B$36,'Climate esc'!CI$7:CI$36,0,0,)</f>
        <v>7.2620001982644913E-2</v>
      </c>
      <c r="AP24" s="203">
        <f>$H24*_xlfn.XLOOKUP($B24,'Climate esc'!$B$7:$B$36,'Climate esc'!CJ$7:CJ$36,0,0,)</f>
        <v>7.3732161702230417E-2</v>
      </c>
      <c r="AR24" s="155">
        <f t="shared" si="174"/>
        <v>2194.0765952426373</v>
      </c>
      <c r="AS24" s="155">
        <f t="shared" si="234"/>
        <v>2213.354197169398</v>
      </c>
      <c r="AT24" s="155">
        <f t="shared" si="235"/>
        <v>2232.5854841949463</v>
      </c>
      <c r="AU24" s="155">
        <f t="shared" si="236"/>
        <v>2251.7704563192788</v>
      </c>
      <c r="AV24" s="155">
        <f t="shared" si="237"/>
        <v>2270.9091135423978</v>
      </c>
      <c r="AW24" s="155">
        <f t="shared" si="238"/>
        <v>2312.4559114783042</v>
      </c>
      <c r="AX24" s="155">
        <f t="shared" si="239"/>
        <v>2354.1724342042626</v>
      </c>
      <c r="AY24" s="155">
        <f t="shared" si="240"/>
        <v>2396.0586817202588</v>
      </c>
      <c r="AZ24" s="155">
        <f t="shared" si="241"/>
        <v>2438.114654026293</v>
      </c>
      <c r="BA24" s="155">
        <f t="shared" si="242"/>
        <v>2480.340351122366</v>
      </c>
      <c r="BB24" s="155">
        <f t="shared" si="243"/>
        <v>2522.7357730084618</v>
      </c>
      <c r="BC24" s="155">
        <f t="shared" si="244"/>
        <v>2565.3009196846115</v>
      </c>
      <c r="BD24" s="155">
        <f t="shared" si="245"/>
        <v>2608.035791150799</v>
      </c>
      <c r="BE24" s="155">
        <f t="shared" si="246"/>
        <v>2650.9403874070249</v>
      </c>
      <c r="BF24" s="155">
        <f t="shared" si="247"/>
        <v>2694.0147084532887</v>
      </c>
      <c r="BG24" s="155">
        <f t="shared" si="248"/>
        <v>2737.2587542895749</v>
      </c>
      <c r="BH24" s="155">
        <f t="shared" si="249"/>
        <v>2780.6725249159163</v>
      </c>
      <c r="BI24" s="155">
        <f t="shared" si="250"/>
        <v>2824.2560203322951</v>
      </c>
      <c r="BJ24" s="155">
        <f t="shared" si="251"/>
        <v>2868.0092405387122</v>
      </c>
      <c r="BK24" s="155">
        <f t="shared" si="252"/>
        <v>2911.9321855351673</v>
      </c>
      <c r="BM24" s="155">
        <f t="shared" si="194"/>
        <v>81.802326874028438</v>
      </c>
      <c r="BN24" s="155">
        <f t="shared" si="253"/>
        <v>82.521058707538529</v>
      </c>
      <c r="BO24" s="155">
        <f t="shared" si="195"/>
        <v>83.238063770571969</v>
      </c>
      <c r="BP24" s="155">
        <f t="shared" si="196"/>
        <v>83.953342063128673</v>
      </c>
      <c r="BQ24" s="155">
        <f t="shared" si="197"/>
        <v>84.666893585208697</v>
      </c>
      <c r="BR24" s="155">
        <f t="shared" si="198"/>
        <v>86.215893630463</v>
      </c>
      <c r="BS24" s="155">
        <f t="shared" si="199"/>
        <v>87.77122156909374</v>
      </c>
      <c r="BT24" s="155">
        <f t="shared" si="200"/>
        <v>89.332877401100404</v>
      </c>
      <c r="BU24" s="155">
        <f t="shared" si="201"/>
        <v>90.90086112648298</v>
      </c>
      <c r="BV24" s="155">
        <f t="shared" si="202"/>
        <v>92.475172745241522</v>
      </c>
      <c r="BW24" s="155">
        <f t="shared" si="203"/>
        <v>94.055812257375436</v>
      </c>
      <c r="BX24" s="155">
        <f t="shared" si="204"/>
        <v>95.642779662885872</v>
      </c>
      <c r="BY24" s="155">
        <f t="shared" si="205"/>
        <v>97.236074961772218</v>
      </c>
      <c r="BZ24" s="155">
        <f t="shared" si="206"/>
        <v>98.835698154034503</v>
      </c>
      <c r="CA24" s="155">
        <f t="shared" si="207"/>
        <v>100.44164923967273</v>
      </c>
      <c r="CB24" s="155">
        <f t="shared" si="208"/>
        <v>102.05392821868628</v>
      </c>
      <c r="CC24" s="155">
        <f t="shared" si="209"/>
        <v>103.67253509107643</v>
      </c>
      <c r="CD24" s="155">
        <f t="shared" si="210"/>
        <v>105.29746985684245</v>
      </c>
      <c r="CE24" s="155">
        <f t="shared" si="211"/>
        <v>106.92873251598444</v>
      </c>
      <c r="CF24" s="155">
        <f t="shared" si="212"/>
        <v>108.56632306850233</v>
      </c>
      <c r="CH24" s="155">
        <f>W24*Assumptions!$G$99*$E24</f>
        <v>553413.32666666666</v>
      </c>
      <c r="CI24" s="155">
        <f>X24*Assumptions!$G$99*$E24</f>
        <v>558275.72838754393</v>
      </c>
      <c r="CJ24" s="155">
        <f>Y24*Assumptions!$G$99*$E24</f>
        <v>563126.44807160925</v>
      </c>
      <c r="CK24" s="155">
        <f>Z24*Assumptions!$G$99*$E24</f>
        <v>567965.48571886146</v>
      </c>
      <c r="CL24" s="155">
        <f>AA24*Assumptions!$G$99*$E24</f>
        <v>572792.84132930124</v>
      </c>
      <c r="CM24" s="155">
        <f>AB24*Assumptions!$G$99*$E24</f>
        <v>583272.21643767809</v>
      </c>
      <c r="CN24" s="155">
        <f>AC24*Assumptions!$G$99*$E24</f>
        <v>593794.40133714606</v>
      </c>
      <c r="CO24" s="155">
        <f>AD24*Assumptions!$G$99*$E24</f>
        <v>604359.39602770167</v>
      </c>
      <c r="CP24" s="155">
        <f>AE24*Assumptions!$G$99*$E24</f>
        <v>614967.20050934504</v>
      </c>
      <c r="CQ24" s="155">
        <f>AF24*Assumptions!$G$99*$E24</f>
        <v>625617.81478207617</v>
      </c>
      <c r="CR24" s="155">
        <f>AG24*Assumptions!$G$99*$E24</f>
        <v>636311.23884589132</v>
      </c>
      <c r="CS24" s="155">
        <f>AH24*Assumptions!$G$99*$E24</f>
        <v>647047.47270079807</v>
      </c>
      <c r="CT24" s="155">
        <f>AI24*Assumptions!$G$99*$E24</f>
        <v>657826.51634679257</v>
      </c>
      <c r="CU24" s="155">
        <f>AJ24*Assumptions!$G$99*$E24</f>
        <v>668648.36978387472</v>
      </c>
      <c r="CV24" s="155">
        <f>AK24*Assumptions!$G$99*$E24</f>
        <v>679513.03301204462</v>
      </c>
      <c r="CW24" s="155">
        <f>AL24*Assumptions!$G$99*$E24</f>
        <v>690420.5060312982</v>
      </c>
      <c r="CX24" s="155">
        <f>AM24*Assumptions!$G$99*$E24</f>
        <v>701370.78884164395</v>
      </c>
      <c r="CY24" s="155">
        <f>AN24*Assumptions!$G$99*$E24</f>
        <v>712363.88144307712</v>
      </c>
      <c r="CZ24" s="155">
        <f>AO24*Assumptions!$G$99*$E24</f>
        <v>723399.78383559815</v>
      </c>
      <c r="DA24" s="155">
        <f>AP24*Assumptions!$G$99*$E24</f>
        <v>734478.49601920682</v>
      </c>
      <c r="DC24" s="155">
        <f t="shared" si="254"/>
        <v>555689.20558878337</v>
      </c>
      <c r="DD24" s="155">
        <f t="shared" si="213"/>
        <v>560571.60364342085</v>
      </c>
      <c r="DE24" s="155">
        <f t="shared" si="213"/>
        <v>565442.27161957475</v>
      </c>
      <c r="DF24" s="155">
        <f t="shared" si="213"/>
        <v>570301.2095172439</v>
      </c>
      <c r="DG24" s="155">
        <f t="shared" si="213"/>
        <v>575148.41733642889</v>
      </c>
      <c r="DH24" s="155">
        <f t="shared" si="213"/>
        <v>585670.88824278687</v>
      </c>
      <c r="DI24" s="155">
        <f t="shared" si="213"/>
        <v>596236.34499291936</v>
      </c>
      <c r="DJ24" s="155">
        <f t="shared" si="213"/>
        <v>606844.78758682299</v>
      </c>
      <c r="DK24" s="155">
        <f t="shared" si="213"/>
        <v>617496.21602449787</v>
      </c>
      <c r="DL24" s="155">
        <f t="shared" si="213"/>
        <v>628190.63030594378</v>
      </c>
      <c r="DM24" s="155">
        <f t="shared" si="213"/>
        <v>638928.03043115721</v>
      </c>
      <c r="DN24" s="155">
        <f t="shared" si="213"/>
        <v>649708.41640014562</v>
      </c>
      <c r="DO24" s="155">
        <f t="shared" si="213"/>
        <v>660531.78821290517</v>
      </c>
      <c r="DP24" s="155">
        <f t="shared" si="213"/>
        <v>671398.14586943574</v>
      </c>
      <c r="DQ24" s="155">
        <f t="shared" si="213"/>
        <v>682307.48936973757</v>
      </c>
      <c r="DR24" s="155">
        <f t="shared" si="213"/>
        <v>693259.81871380645</v>
      </c>
      <c r="DS24" s="155">
        <f t="shared" si="213"/>
        <v>704255.1339016509</v>
      </c>
      <c r="DT24" s="155">
        <f t="shared" si="229"/>
        <v>715293.43493326625</v>
      </c>
      <c r="DU24" s="155">
        <f t="shared" si="230"/>
        <v>726374.72180865286</v>
      </c>
      <c r="DV24" s="155">
        <f t="shared" si="231"/>
        <v>737498.99452781049</v>
      </c>
      <c r="DW24" s="136"/>
      <c r="DX24" s="157" cm="1">
        <f t="array" ref="DX24">SUMPRODUCT(($DC24:$DV24)*(Misc_calcs!$G$29:$Z$29))</f>
        <v>9047834.6818017457</v>
      </c>
      <c r="DZ24" s="157">
        <f t="shared" si="9"/>
        <v>277649.8236361419</v>
      </c>
      <c r="EA24" s="157" cm="1">
        <f t="array" ref="EA24">SUMPRODUCT((PMT(real_disc,Assumptions!$G$40,DZ24)*(Misc_calcs!$G$29:$Z$29)))</f>
        <v>-165451.89647124647</v>
      </c>
      <c r="EC24" s="157">
        <f t="shared" si="173"/>
        <v>8882382.7853304986</v>
      </c>
      <c r="ED24" s="157" t="b">
        <f t="shared" si="255"/>
        <v>1</v>
      </c>
      <c r="EF24" s="158">
        <f>-PMT(real_disc,Assumptions!$G$40,DZ24)</f>
        <v>11442.845964415281</v>
      </c>
      <c r="EH24" s="1" t="str">
        <f t="shared" si="54"/>
        <v>2026-31 reg period</v>
      </c>
    </row>
    <row r="25" spans="1:138" x14ac:dyDescent="0.2">
      <c r="B25" s="194"/>
      <c r="C25" s="194"/>
      <c r="D25" s="194"/>
      <c r="E25" s="194"/>
      <c r="F25" s="198"/>
      <c r="G25" s="198"/>
      <c r="H25" s="194"/>
      <c r="I25" s="194"/>
      <c r="K25" s="193"/>
      <c r="L25" s="193"/>
      <c r="M25" s="199"/>
      <c r="N25" s="193"/>
      <c r="O25" s="193"/>
      <c r="P25" s="193"/>
      <c r="Q25" s="200"/>
      <c r="S25" s="153"/>
      <c r="T25" s="153"/>
      <c r="U25" s="153"/>
      <c r="W25" s="154"/>
      <c r="X25" s="154"/>
      <c r="Y25" s="154"/>
      <c r="Z25" s="154"/>
      <c r="AA25" s="154"/>
      <c r="AB25" s="154"/>
      <c r="AC25" s="154"/>
      <c r="AD25" s="154"/>
      <c r="AE25" s="154"/>
      <c r="AF25" s="154"/>
      <c r="AG25" s="154"/>
      <c r="AH25" s="154"/>
      <c r="AI25" s="154"/>
      <c r="AJ25" s="154"/>
      <c r="AK25" s="154"/>
      <c r="AL25" s="154"/>
      <c r="AM25" s="154"/>
      <c r="AN25" s="154"/>
      <c r="AO25" s="154"/>
      <c r="AP25" s="154"/>
      <c r="AR25" s="155"/>
      <c r="AS25" s="155"/>
      <c r="AT25" s="155"/>
      <c r="AU25" s="155"/>
      <c r="AV25" s="155"/>
      <c r="AW25" s="155"/>
      <c r="AX25" s="155"/>
      <c r="AY25" s="155"/>
      <c r="AZ25" s="155"/>
      <c r="BA25" s="155"/>
      <c r="BB25" s="155"/>
      <c r="BC25" s="155"/>
      <c r="BD25" s="155"/>
      <c r="BE25" s="155"/>
      <c r="BF25" s="155"/>
      <c r="BG25" s="155"/>
      <c r="BH25" s="155"/>
      <c r="BI25" s="155"/>
      <c r="BJ25" s="155"/>
      <c r="BK25" s="155"/>
      <c r="BM25" s="155"/>
      <c r="BN25" s="155"/>
      <c r="BO25" s="155"/>
      <c r="BP25" s="155"/>
      <c r="BQ25" s="155"/>
      <c r="BR25" s="155"/>
      <c r="BS25" s="155"/>
      <c r="BT25" s="155"/>
      <c r="BU25" s="155"/>
      <c r="BV25" s="155"/>
      <c r="BW25" s="155"/>
      <c r="BX25" s="155"/>
      <c r="BY25" s="155"/>
      <c r="BZ25" s="155"/>
      <c r="CA25" s="155"/>
      <c r="CB25" s="155"/>
      <c r="CC25" s="155"/>
      <c r="CD25" s="155"/>
      <c r="CE25" s="155"/>
      <c r="CF25" s="155"/>
      <c r="CH25" s="155"/>
      <c r="CI25" s="155"/>
      <c r="CJ25" s="155"/>
      <c r="CK25" s="155"/>
      <c r="CL25" s="155"/>
      <c r="CM25" s="155"/>
      <c r="CN25" s="155"/>
      <c r="CO25" s="155"/>
      <c r="CP25" s="155"/>
      <c r="CQ25" s="155"/>
      <c r="CR25" s="155"/>
      <c r="CS25" s="155"/>
      <c r="CT25" s="155"/>
      <c r="CU25" s="155"/>
      <c r="CV25" s="155"/>
      <c r="CW25" s="155"/>
      <c r="CX25" s="155"/>
      <c r="CY25" s="155"/>
      <c r="CZ25" s="155"/>
      <c r="DA25" s="155"/>
      <c r="DC25" s="156"/>
      <c r="DD25" s="156"/>
      <c r="DE25" s="156"/>
      <c r="DF25" s="156"/>
      <c r="DG25" s="156"/>
      <c r="DH25" s="156"/>
      <c r="DI25" s="156"/>
      <c r="DJ25" s="156"/>
      <c r="DK25" s="156"/>
      <c r="DL25" s="156"/>
      <c r="DM25" s="156"/>
      <c r="DN25" s="156"/>
      <c r="DO25" s="156"/>
      <c r="DP25" s="156"/>
      <c r="DQ25" s="156"/>
      <c r="DR25" s="156"/>
      <c r="DS25" s="156"/>
      <c r="DT25" s="156"/>
      <c r="DU25" s="156"/>
      <c r="DV25" s="156"/>
      <c r="DW25" s="136"/>
      <c r="DX25" s="157"/>
      <c r="DZ25" s="157"/>
      <c r="EA25" s="157"/>
      <c r="EC25" s="157"/>
      <c r="ED25" s="157"/>
      <c r="EF25" s="158"/>
    </row>
    <row r="26" spans="1:138" x14ac:dyDescent="0.2">
      <c r="DW26" s="1"/>
    </row>
    <row r="27" spans="1:138" ht="15.75" x14ac:dyDescent="0.25">
      <c r="A27" s="5"/>
      <c r="B27" s="133" t="s">
        <v>367</v>
      </c>
      <c r="C27" s="133"/>
      <c r="D27" s="133"/>
      <c r="E27" s="133"/>
      <c r="F27" s="133"/>
      <c r="G27" s="133"/>
      <c r="H27" s="133"/>
      <c r="I27" s="133"/>
      <c r="J27" s="139"/>
      <c r="K27" s="139"/>
      <c r="L27" s="139"/>
      <c r="M27" s="139"/>
      <c r="N27" s="139"/>
      <c r="O27" s="139"/>
      <c r="P27" s="139"/>
      <c r="Q27" s="139" cm="1">
        <f t="array" ref="Q27">SUMPRODUCT((Q8:Q24)*($ED$8:$ED$24))</f>
        <v>4720047.0018144129</v>
      </c>
      <c r="R27" s="134"/>
      <c r="S27" s="134"/>
      <c r="T27" s="134"/>
      <c r="U27" s="134"/>
      <c r="V27" s="134"/>
      <c r="W27" s="134"/>
      <c r="X27" s="134"/>
      <c r="Y27" s="134"/>
      <c r="Z27" s="134"/>
      <c r="AA27" s="134"/>
      <c r="AB27" s="134"/>
      <c r="AC27" s="134"/>
      <c r="AD27" s="134"/>
      <c r="AE27" s="134"/>
      <c r="AF27" s="134"/>
      <c r="AG27" s="134"/>
      <c r="AH27" s="134"/>
      <c r="AI27" s="134"/>
      <c r="AJ27" s="134"/>
      <c r="AK27" s="134"/>
      <c r="AL27" s="134"/>
      <c r="AM27" s="134"/>
      <c r="AN27" s="134"/>
      <c r="AO27" s="134"/>
      <c r="AP27" s="134"/>
      <c r="AQ27" s="134"/>
      <c r="AR27" s="134"/>
      <c r="AS27" s="134"/>
      <c r="AT27" s="134"/>
      <c r="AU27" s="134"/>
      <c r="AV27" s="134"/>
      <c r="AW27" s="134"/>
      <c r="AX27" s="134"/>
      <c r="AY27" s="134"/>
      <c r="AZ27" s="134"/>
      <c r="BA27" s="134"/>
      <c r="BB27" s="134"/>
      <c r="BC27" s="134"/>
      <c r="BD27" s="134"/>
      <c r="BE27" s="134"/>
      <c r="BF27" s="134"/>
      <c r="BG27" s="134"/>
      <c r="BH27" s="134"/>
      <c r="BI27" s="134"/>
      <c r="BJ27" s="134"/>
      <c r="BK27" s="134"/>
      <c r="BL27" s="134"/>
      <c r="BM27" s="134"/>
      <c r="BN27" s="134"/>
      <c r="BO27" s="134"/>
      <c r="BP27" s="134"/>
      <c r="BQ27" s="134"/>
      <c r="BR27" s="134"/>
      <c r="BS27" s="134"/>
      <c r="BT27" s="134"/>
      <c r="BU27" s="134"/>
      <c r="BV27" s="134"/>
      <c r="BW27" s="134"/>
      <c r="BX27" s="134"/>
      <c r="BY27" s="134"/>
      <c r="BZ27" s="134"/>
      <c r="CA27" s="134"/>
      <c r="CB27" s="134"/>
      <c r="CC27" s="134"/>
      <c r="CD27" s="134"/>
      <c r="CE27" s="134"/>
      <c r="CF27" s="134"/>
      <c r="CG27" s="134"/>
      <c r="CH27" s="134"/>
      <c r="CI27" s="134"/>
      <c r="CJ27" s="134"/>
      <c r="CK27" s="134"/>
      <c r="CL27" s="134"/>
      <c r="CM27" s="134"/>
      <c r="CN27" s="134"/>
      <c r="CO27" s="134"/>
      <c r="CP27" s="134"/>
      <c r="CQ27" s="134"/>
      <c r="CR27" s="134"/>
      <c r="CS27" s="134"/>
      <c r="CT27" s="134"/>
      <c r="CU27" s="134"/>
      <c r="CV27" s="134"/>
      <c r="CW27" s="134"/>
      <c r="CX27" s="134"/>
      <c r="CY27" s="134"/>
      <c r="CZ27" s="134"/>
      <c r="DA27" s="134"/>
      <c r="DB27" s="134"/>
      <c r="DC27" s="134"/>
      <c r="DD27" s="134"/>
      <c r="DE27" s="134"/>
      <c r="DF27" s="134"/>
      <c r="DG27" s="134"/>
      <c r="DH27" s="134"/>
      <c r="DI27" s="134"/>
      <c r="DJ27" s="134"/>
      <c r="DK27" s="134"/>
      <c r="DL27" s="134"/>
      <c r="DM27" s="134"/>
      <c r="DN27" s="134"/>
      <c r="DO27" s="134"/>
      <c r="DP27" s="134"/>
      <c r="DQ27" s="134"/>
      <c r="DR27" s="134"/>
      <c r="DS27" s="134"/>
      <c r="DT27" s="134"/>
      <c r="DU27" s="134"/>
      <c r="DV27" s="134"/>
      <c r="DW27" s="133"/>
      <c r="DX27" s="135" cm="1">
        <f t="array" ref="DX27">SUMPRODUCT((DX$8:DX$25)*($ED$8:$ED$25))</f>
        <v>42323811.562740937</v>
      </c>
      <c r="DY27" s="134"/>
      <c r="DZ27" s="135" cm="1">
        <f t="array" ref="DZ27">SUMPRODUCT((DZ$8:DZ$25)*($ED$8:$ED$25))</f>
        <v>4720047.0018144129</v>
      </c>
      <c r="EA27" s="135" cm="1">
        <f t="array" ref="EA27">SUMPRODUCT((EA$8:EA$25)*($ED$8:$ED$25))</f>
        <v>-2481778.4470686968</v>
      </c>
      <c r="EB27" s="134"/>
      <c r="EC27" s="135" cm="1">
        <f t="array" ref="EC27">SUMPRODUCT((EC$8:EC$25)*($ED$8:$ED$25))</f>
        <v>39842033.115672246</v>
      </c>
      <c r="ED27" s="139"/>
      <c r="EE27" s="139"/>
      <c r="EF27" s="135" cm="1">
        <f t="array" ref="EF27">SUMPRODUCT((EF$8:EF$25)*($ED$8:$ED$25))</f>
        <v>194528.38139505978</v>
      </c>
      <c r="EG27" s="139"/>
      <c r="EH27" s="139"/>
    </row>
    <row r="28" spans="1:138" x14ac:dyDescent="0.2">
      <c r="DW28" s="1"/>
    </row>
    <row r="29" spans="1:138" x14ac:dyDescent="0.2">
      <c r="DW29" s="1"/>
    </row>
    <row r="30" spans="1:138" x14ac:dyDescent="0.2">
      <c r="DW30" s="1"/>
    </row>
    <row r="31" spans="1:138" x14ac:dyDescent="0.2">
      <c r="DW31" s="1"/>
    </row>
    <row r="32" spans="1:138" x14ac:dyDescent="0.2">
      <c r="DW32" s="1"/>
    </row>
    <row r="33" spans="127:127" x14ac:dyDescent="0.2">
      <c r="DW33" s="1"/>
    </row>
    <row r="34" spans="127:127" x14ac:dyDescent="0.2">
      <c r="DW34" s="1"/>
    </row>
    <row r="35" spans="127:127" x14ac:dyDescent="0.2">
      <c r="DW35" s="1"/>
    </row>
    <row r="36" spans="127:127" x14ac:dyDescent="0.2">
      <c r="DW36" s="1"/>
    </row>
    <row r="37" spans="127:127" x14ac:dyDescent="0.2">
      <c r="DW37" s="1"/>
    </row>
    <row r="38" spans="127:127" x14ac:dyDescent="0.2">
      <c r="DW38" s="1"/>
    </row>
    <row r="39" spans="127:127" x14ac:dyDescent="0.2">
      <c r="DW39" s="1"/>
    </row>
  </sheetData>
  <autoFilter ref="A7:EX27" xr:uid="{85C1E0FC-EF0F-4091-9E6C-65D4C53294DA}"/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830FE-14F3-4F91-B604-620D6CEADE3A}">
  <sheetPr codeName="Sheet6">
    <tabColor theme="5"/>
  </sheetPr>
  <dimension ref="A1:CM64"/>
  <sheetViews>
    <sheetView showGridLines="0" zoomScale="80" zoomScaleNormal="80" workbookViewId="0">
      <pane xSplit="3" ySplit="8" topLeftCell="D9" activePane="bottomRight" state="frozen"/>
      <selection activeCell="N2" sqref="N2"/>
      <selection pane="topRight" activeCell="N2" sqref="N2"/>
      <selection pane="bottomLeft" activeCell="N2" sqref="N2"/>
      <selection pane="bottomRight" activeCell="E38" sqref="E38"/>
    </sheetView>
  </sheetViews>
  <sheetFormatPr defaultColWidth="8" defaultRowHeight="12.75" x14ac:dyDescent="0.2"/>
  <cols>
    <col min="1" max="1" width="2.625" style="1" customWidth="1"/>
    <col min="2" max="2" width="11.875" style="1" customWidth="1"/>
    <col min="3" max="3" width="8" style="1"/>
    <col min="4" max="4" width="3.25" customWidth="1"/>
    <col min="5" max="5" width="13.375" style="1" customWidth="1"/>
    <col min="6" max="6" width="2.5" style="1" customWidth="1"/>
    <col min="7" max="7" width="13.125" style="1" customWidth="1"/>
    <col min="8" max="8" width="2.5" style="1" customWidth="1"/>
    <col min="9" max="9" width="11.5" style="1" customWidth="1"/>
    <col min="10" max="12" width="8" style="1"/>
    <col min="13" max="17" width="11.125" style="1" customWidth="1"/>
    <col min="18" max="18" width="3" style="1" customWidth="1"/>
    <col min="19" max="19" width="11.75" style="1" customWidth="1"/>
    <col min="20" max="16384" width="8" style="1"/>
  </cols>
  <sheetData>
    <row r="1" spans="1:91" ht="18.75" x14ac:dyDescent="0.3">
      <c r="A1" s="14" t="str">
        <f>bus</f>
        <v>Powercor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</row>
    <row r="2" spans="1:91" ht="18.75" x14ac:dyDescent="0.3">
      <c r="A2" s="46" t="str">
        <f>proj</f>
        <v>Quick connect points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</row>
    <row r="3" spans="1:91" x14ac:dyDescent="0.2">
      <c r="A3" s="3"/>
      <c r="B3" s="3"/>
      <c r="D3" s="7"/>
      <c r="L3" s="2"/>
      <c r="M3" s="108"/>
    </row>
    <row r="5" spans="1:91" x14ac:dyDescent="0.2">
      <c r="A5" s="3"/>
      <c r="B5" s="13"/>
      <c r="C5" s="13"/>
      <c r="D5" s="13"/>
      <c r="E5" s="147"/>
      <c r="F5" s="3"/>
      <c r="G5" s="147"/>
      <c r="H5" s="3"/>
      <c r="I5" s="147"/>
      <c r="J5" s="147"/>
    </row>
    <row r="6" spans="1:91" x14ac:dyDescent="0.2">
      <c r="B6" s="7"/>
      <c r="C6" s="7"/>
      <c r="D6" s="7"/>
      <c r="E6" s="149" t="s">
        <v>85</v>
      </c>
      <c r="G6" s="149" t="s">
        <v>85</v>
      </c>
      <c r="I6" s="149" t="s">
        <v>85</v>
      </c>
      <c r="J6" s="149" t="s">
        <v>373</v>
      </c>
      <c r="L6" s="148" t="s">
        <v>369</v>
      </c>
      <c r="M6" s="161">
        <f t="array" ref="M6:Q7">TRANSPOSE(Assumptions!G104:H108)</f>
        <v>0.1</v>
      </c>
      <c r="N6" s="161">
        <v>-0.1</v>
      </c>
      <c r="O6" s="161">
        <v>0</v>
      </c>
      <c r="P6" s="161">
        <v>0</v>
      </c>
      <c r="Q6" s="161">
        <v>0.1</v>
      </c>
      <c r="S6" s="149" t="s">
        <v>380</v>
      </c>
    </row>
    <row r="7" spans="1:91" x14ac:dyDescent="0.2">
      <c r="B7" s="3"/>
      <c r="D7" s="7"/>
      <c r="E7" s="149" t="s">
        <v>360</v>
      </c>
      <c r="F7" s="138"/>
      <c r="G7" s="149" t="s">
        <v>372</v>
      </c>
      <c r="H7" s="138"/>
      <c r="I7" s="149"/>
      <c r="J7" s="149" t="s">
        <v>366</v>
      </c>
      <c r="L7" s="148" t="s">
        <v>370</v>
      </c>
      <c r="M7" s="161">
        <v>0</v>
      </c>
      <c r="N7" s="161">
        <v>0</v>
      </c>
      <c r="O7" s="161">
        <v>0.1</v>
      </c>
      <c r="P7" s="161">
        <v>-0.1</v>
      </c>
      <c r="Q7" s="161">
        <v>-0.1</v>
      </c>
      <c r="S7" s="162" t="s">
        <v>379</v>
      </c>
    </row>
    <row r="8" spans="1:91" s="93" customFormat="1" x14ac:dyDescent="0.2">
      <c r="B8" s="163" t="s">
        <v>335</v>
      </c>
      <c r="C8" s="162" t="s">
        <v>72</v>
      </c>
      <c r="E8" s="149" t="s">
        <v>371</v>
      </c>
      <c r="G8" s="149" t="s">
        <v>371</v>
      </c>
      <c r="I8" s="149" t="s">
        <v>374</v>
      </c>
      <c r="J8" s="149"/>
      <c r="M8" s="164" t="str" cm="1">
        <f t="array" ref="M8:Q8">TRANSPOSE("Sensitivity "&amp;Assumptions!$B104:$B108)</f>
        <v>Sensitivity 1</v>
      </c>
      <c r="N8" s="164" t="str">
        <v>Sensitivity 2</v>
      </c>
      <c r="O8" s="164" t="str">
        <v>Sensitivity 3</v>
      </c>
      <c r="P8" s="164" t="str">
        <v>Sensitivity 4</v>
      </c>
      <c r="Q8" s="164" t="str">
        <v>Sensitivity 5</v>
      </c>
      <c r="S8" s="162" t="s">
        <v>375</v>
      </c>
    </row>
    <row r="9" spans="1:91" x14ac:dyDescent="0.2">
      <c r="B9" s="1" t="str">
        <f>Calcs!B8</f>
        <v>Birchip</v>
      </c>
      <c r="C9" s="1" t="str">
        <f>INDEX(Calcs!$D$8:$D$627, MATCH($B9, Calcs!$B$8:$B$627,0))</f>
        <v>CTN</v>
      </c>
      <c r="D9" s="7"/>
      <c r="E9" s="157">
        <f>INDEX(Calcs!$DX$8:$DX$627, MATCH($B9, Calcs!$B$8:$B$627,0))</f>
        <v>1570500.5732668038</v>
      </c>
      <c r="G9" s="157">
        <f>INDEX(Calcs!$EA$8:$EA$627, MATCH($B9, Calcs!$B$8:$B$627,0))</f>
        <v>165451.89647124647</v>
      </c>
      <c r="I9" s="157">
        <f>INDEX(Calcs!$EC$8:$EC$627, MATCH($B9, Calcs!$B$8:$B$627,0))</f>
        <v>1735952.4697380501</v>
      </c>
      <c r="J9" s="157" t="b">
        <f>INDEX(Calcs!$ED$8:$ED$627, MATCH($B9, Calcs!$B$8:$B$627,0))</f>
        <v>1</v>
      </c>
      <c r="M9" s="157">
        <f>(1+M$6)*$G9+(1+M$7)*$E9</f>
        <v>1752497.659385175</v>
      </c>
      <c r="N9" s="157">
        <f t="shared" ref="M9:Q18" si="0">(1+N$6)*$G9+(1+N$7)*$E9</f>
        <v>1719407.2800909255</v>
      </c>
      <c r="O9" s="157">
        <f t="shared" si="0"/>
        <v>1893002.5270647306</v>
      </c>
      <c r="P9" s="157">
        <f t="shared" si="0"/>
        <v>1578902.4124113698</v>
      </c>
      <c r="Q9" s="157">
        <f t="shared" si="0"/>
        <v>1595447.6020584947</v>
      </c>
      <c r="S9" s="157" t="b" cm="1">
        <f t="array" ref="S9">IF(J9,AND(SIGN(J9)=SIGN(M9:Q9)), TRUE)</f>
        <v>1</v>
      </c>
    </row>
    <row r="10" spans="1:91" x14ac:dyDescent="0.2">
      <c r="B10" s="1" t="str">
        <f>Calcs!B9</f>
        <v>Boort</v>
      </c>
      <c r="C10" s="1" t="str">
        <f>INDEX(Calcs!$D$8:$D$627, MATCH($B10, Calcs!$B$8:$B$627,0))</f>
        <v>CTN</v>
      </c>
      <c r="D10" s="7"/>
      <c r="E10" s="157">
        <f>INDEX(Calcs!$DX$8:$DX$627, MATCH($B10, Calcs!$B$8:$B$627,0))</f>
        <v>2011567.303458727</v>
      </c>
      <c r="G10" s="157">
        <f>INDEX(Calcs!$EA$8:$EA$627, MATCH($B10, Calcs!$B$8:$B$627,0))</f>
        <v>-165451.89647124647</v>
      </c>
      <c r="I10" s="157">
        <f>INDEX(Calcs!$EC$8:$EC$627, MATCH($B10, Calcs!$B$8:$B$627,0))</f>
        <v>1846115.4069874806</v>
      </c>
      <c r="J10" s="157" t="b">
        <f>INDEX(Calcs!$ED$8:$ED$627, MATCH($B10, Calcs!$B$8:$B$627,0))</f>
        <v>1</v>
      </c>
      <c r="M10" s="157">
        <f t="shared" si="0"/>
        <v>1829570.2173403557</v>
      </c>
      <c r="N10" s="157">
        <f t="shared" si="0"/>
        <v>1862660.5966346052</v>
      </c>
      <c r="O10" s="157">
        <f t="shared" si="0"/>
        <v>2047272.1373333533</v>
      </c>
      <c r="P10" s="157">
        <f t="shared" si="0"/>
        <v>1644958.6766416079</v>
      </c>
      <c r="Q10" s="157">
        <f t="shared" si="0"/>
        <v>1628413.486994483</v>
      </c>
      <c r="S10" s="157" t="b" cm="1">
        <f t="array" ref="S10">IF(J10,AND(SIGN(J10)=SIGN(M10:Q10)), TRUE)</f>
        <v>1</v>
      </c>
    </row>
    <row r="11" spans="1:91" x14ac:dyDescent="0.2">
      <c r="B11" s="1" t="str">
        <f>Calcs!B10</f>
        <v>Wycheproof</v>
      </c>
      <c r="C11" s="1" t="str">
        <f>INDEX(Calcs!$D$8:$D$627, MATCH($B11, Calcs!$B$8:$B$627,0))</f>
        <v>CTN</v>
      </c>
      <c r="D11" s="7"/>
      <c r="E11" s="157">
        <f>INDEX(Calcs!$DX$8:$DX$627, MATCH($B11, Calcs!$B$8:$B$627,0))</f>
        <v>1256710.061807527</v>
      </c>
      <c r="G11" s="157">
        <f>INDEX(Calcs!$EA$8:$EA$627, MATCH($B11, Calcs!$B$8:$B$627,0))</f>
        <v>-165451.89647124647</v>
      </c>
      <c r="I11" s="157">
        <f>INDEX(Calcs!$EC$8:$EC$627, MATCH($B11, Calcs!$B$8:$B$627,0))</f>
        <v>1091258.1653362806</v>
      </c>
      <c r="J11" s="157" t="b">
        <f>INDEX(Calcs!$ED$8:$ED$627, MATCH($B11, Calcs!$B$8:$B$627,0))</f>
        <v>1</v>
      </c>
      <c r="M11" s="157">
        <f t="shared" si="0"/>
        <v>1074712.9756891557</v>
      </c>
      <c r="N11" s="157">
        <f t="shared" si="0"/>
        <v>1107803.3549834052</v>
      </c>
      <c r="O11" s="157">
        <f t="shared" si="0"/>
        <v>1216929.1715170334</v>
      </c>
      <c r="P11" s="157">
        <f t="shared" si="0"/>
        <v>965587.15915552771</v>
      </c>
      <c r="Q11" s="157">
        <f t="shared" si="0"/>
        <v>949041.9695084031</v>
      </c>
      <c r="S11" s="157" t="b" cm="1">
        <f t="array" ref="S11">IF(J11,AND(SIGN(J11)=SIGN(M11:Q11)), TRUE)</f>
        <v>1</v>
      </c>
    </row>
    <row r="12" spans="1:91" x14ac:dyDescent="0.2">
      <c r="B12" s="1" t="str">
        <f>Calcs!B11</f>
        <v>St Arnaud</v>
      </c>
      <c r="C12" s="1" t="str">
        <f>INDEX(Calcs!$D$8:$D$627, MATCH($B12, Calcs!$B$8:$B$627,0))</f>
        <v>CTN</v>
      </c>
      <c r="D12" s="7"/>
      <c r="E12" s="157">
        <f>INDEX(Calcs!$DX$8:$DX$627, MATCH($B12, Calcs!$B$8:$B$627,0))</f>
        <v>5788000.9523730418</v>
      </c>
      <c r="G12" s="157">
        <f>INDEX(Calcs!$EA$8:$EA$627, MATCH($B12, Calcs!$B$8:$B$627,0))</f>
        <v>-165451.89647124647</v>
      </c>
      <c r="I12" s="157">
        <f>INDEX(Calcs!$EC$8:$EC$627, MATCH($B12, Calcs!$B$8:$B$627,0))</f>
        <v>5622549.0559017956</v>
      </c>
      <c r="J12" s="157" t="b">
        <f>INDEX(Calcs!$ED$8:$ED$627, MATCH($B12, Calcs!$B$8:$B$627,0))</f>
        <v>1</v>
      </c>
      <c r="M12" s="157">
        <f t="shared" si="0"/>
        <v>5606003.8662546705</v>
      </c>
      <c r="N12" s="157">
        <f t="shared" si="0"/>
        <v>5639094.2455489198</v>
      </c>
      <c r="O12" s="157">
        <f t="shared" si="0"/>
        <v>6201349.1511391001</v>
      </c>
      <c r="P12" s="157">
        <f t="shared" si="0"/>
        <v>5043748.9606644912</v>
      </c>
      <c r="Q12" s="157">
        <f t="shared" si="0"/>
        <v>5027203.7710173661</v>
      </c>
      <c r="S12" s="157" t="b" cm="1">
        <f t="array" ref="S12">IF(J12,AND(SIGN(J12)=SIGN(M12:Q12)), TRUE)</f>
        <v>1</v>
      </c>
    </row>
    <row r="13" spans="1:91" x14ac:dyDescent="0.2">
      <c r="B13" s="1" t="str">
        <f>Calcs!B12</f>
        <v>Nelson</v>
      </c>
      <c r="C13" s="1" t="str">
        <f>INDEX(Calcs!$D$8:$D$627, MATCH($B13, Calcs!$B$8:$B$627,0))</f>
        <v>ETSA</v>
      </c>
      <c r="D13" s="7"/>
      <c r="E13" s="157">
        <f>INDEX(Calcs!$DX$8:$DX$627, MATCH($B13, Calcs!$B$8:$B$627,0))</f>
        <v>220516.68800265979</v>
      </c>
      <c r="G13" s="157">
        <f>INDEX(Calcs!$EA$8:$EA$627, MATCH($B13, Calcs!$B$8:$B$627,0))</f>
        <v>-165451.89647124647</v>
      </c>
      <c r="I13" s="157">
        <f>INDEX(Calcs!$EC$8:$EC$627, MATCH($B13, Calcs!$B$8:$B$627,0))</f>
        <v>55064.791531413328</v>
      </c>
      <c r="J13" s="157" t="b">
        <f>INDEX(Calcs!$ED$8:$ED$627, MATCH($B13, Calcs!$B$8:$B$627,0))</f>
        <v>1</v>
      </c>
      <c r="M13" s="157">
        <f t="shared" si="0"/>
        <v>38519.601884288655</v>
      </c>
      <c r="N13" s="157">
        <f t="shared" si="0"/>
        <v>71609.981178537972</v>
      </c>
      <c r="O13" s="157">
        <f t="shared" si="0"/>
        <v>77116.460331679322</v>
      </c>
      <c r="P13" s="157">
        <f t="shared" si="0"/>
        <v>33013.122731147363</v>
      </c>
      <c r="Q13" s="157">
        <f t="shared" si="0"/>
        <v>16467.93308402269</v>
      </c>
      <c r="S13" s="157" t="b" cm="1">
        <f t="array" ref="S13">IF(J13,AND(SIGN(J13)=SIGN(M13:Q13)), TRUE)</f>
        <v>1</v>
      </c>
    </row>
    <row r="14" spans="1:91" x14ac:dyDescent="0.2">
      <c r="B14" s="1" t="str">
        <f>Calcs!B13</f>
        <v>Hepburn</v>
      </c>
      <c r="C14" s="1" t="str">
        <f>INDEX(Calcs!$D$8:$D$627, MATCH($B14, Calcs!$B$8:$B$627,0))</f>
        <v>BAN</v>
      </c>
      <c r="D14" s="7"/>
      <c r="E14" s="157">
        <f>INDEX(Calcs!$DX$8:$DX$627, MATCH($B14, Calcs!$B$8:$B$627,0))</f>
        <v>9354197.947796626</v>
      </c>
      <c r="G14" s="157">
        <f>INDEX(Calcs!$EA$8:$EA$627, MATCH($B14, Calcs!$B$8:$B$627,0))</f>
        <v>-165451.89647124647</v>
      </c>
      <c r="I14" s="157">
        <f>INDEX(Calcs!$EC$8:$EC$627, MATCH($B14, Calcs!$B$8:$B$627,0))</f>
        <v>9188746.0513253789</v>
      </c>
      <c r="J14" s="157" t="b">
        <f>INDEX(Calcs!$ED$8:$ED$627, MATCH($B14, Calcs!$B$8:$B$627,0))</f>
        <v>1</v>
      </c>
      <c r="M14" s="157">
        <f t="shared" si="0"/>
        <v>9172200.8616782557</v>
      </c>
      <c r="N14" s="157">
        <f t="shared" si="0"/>
        <v>9205291.240972504</v>
      </c>
      <c r="O14" s="157">
        <f t="shared" si="0"/>
        <v>10124165.846105043</v>
      </c>
      <c r="P14" s="157">
        <f t="shared" si="0"/>
        <v>8253326.2565457178</v>
      </c>
      <c r="Q14" s="157">
        <f t="shared" si="0"/>
        <v>8236781.0668985927</v>
      </c>
      <c r="S14" s="157" t="b" cm="1">
        <f t="array" ref="S14">IF(J14,AND(SIGN(J14)=SIGN(M14:Q14)), TRUE)</f>
        <v>1</v>
      </c>
    </row>
    <row r="15" spans="1:91" x14ac:dyDescent="0.2">
      <c r="B15" s="1" t="str">
        <f>Calcs!B14</f>
        <v>Beaufort</v>
      </c>
      <c r="C15" s="1" t="str">
        <f>INDEX(Calcs!$D$8:$D$627, MATCH($B15, Calcs!$B$8:$B$627,0))</f>
        <v>BAS</v>
      </c>
      <c r="D15" s="7"/>
      <c r="E15" s="157">
        <f>INDEX(Calcs!$DX$8:$DX$627, MATCH($B15, Calcs!$B$8:$B$627,0))</f>
        <v>646513.17114982812</v>
      </c>
      <c r="G15" s="157">
        <f>INDEX(Calcs!$EA$8:$EA$627, MATCH($B15, Calcs!$B$8:$B$627,0))</f>
        <v>-165451.89647124647</v>
      </c>
      <c r="I15" s="157">
        <f>INDEX(Calcs!$EC$8:$EC$627, MATCH($B15, Calcs!$B$8:$B$627,0))</f>
        <v>481061.27467858163</v>
      </c>
      <c r="J15" s="157" t="b">
        <f>INDEX(Calcs!$ED$8:$ED$627, MATCH($B15, Calcs!$B$8:$B$627,0))</f>
        <v>1</v>
      </c>
      <c r="M15" s="157">
        <f t="shared" si="0"/>
        <v>464516.08503145701</v>
      </c>
      <c r="N15" s="157">
        <f t="shared" si="0"/>
        <v>497606.4643257063</v>
      </c>
      <c r="O15" s="157">
        <f t="shared" si="0"/>
        <v>545712.5917935645</v>
      </c>
      <c r="P15" s="157">
        <f t="shared" si="0"/>
        <v>416409.95756359887</v>
      </c>
      <c r="Q15" s="157">
        <f t="shared" si="0"/>
        <v>399864.76791647426</v>
      </c>
      <c r="S15" s="157" t="b" cm="1">
        <f t="array" ref="S15">IF(J15,AND(SIGN(J15)=SIGN(M15:Q15)), TRUE)</f>
        <v>1</v>
      </c>
    </row>
    <row r="16" spans="1:91" x14ac:dyDescent="0.2">
      <c r="B16" s="1" t="str">
        <f>Calcs!B15</f>
        <v>Tatura</v>
      </c>
      <c r="C16" s="1" t="str">
        <f>INDEX(Calcs!$D$8:$D$627, MATCH($B16, Calcs!$B$8:$B$627,0))</f>
        <v>MNA</v>
      </c>
      <c r="D16" s="7"/>
      <c r="E16" s="157">
        <f>INDEX(Calcs!$DX$8:$DX$627, MATCH($B16, Calcs!$B$8:$B$627,0))</f>
        <v>6077098.9869708419</v>
      </c>
      <c r="G16" s="157">
        <f>INDEX(Calcs!$EA$8:$EA$627, MATCH($B16, Calcs!$B$8:$B$627,0))</f>
        <v>-165451.89647124647</v>
      </c>
      <c r="I16" s="157">
        <f>INDEX(Calcs!$EC$8:$EC$627, MATCH($B16, Calcs!$B$8:$B$627,0))</f>
        <v>5911647.0904995957</v>
      </c>
      <c r="J16" s="157" t="b">
        <f>INDEX(Calcs!$ED$8:$ED$627, MATCH($B16, Calcs!$B$8:$B$627,0))</f>
        <v>1</v>
      </c>
      <c r="M16" s="157">
        <f t="shared" si="0"/>
        <v>5895101.9008524707</v>
      </c>
      <c r="N16" s="157">
        <f t="shared" si="0"/>
        <v>5928192.2801467199</v>
      </c>
      <c r="O16" s="157">
        <f t="shared" si="0"/>
        <v>6519356.9891966805</v>
      </c>
      <c r="P16" s="157">
        <f t="shared" si="0"/>
        <v>5303937.1918025119</v>
      </c>
      <c r="Q16" s="157">
        <f t="shared" si="0"/>
        <v>5287392.0021553868</v>
      </c>
      <c r="S16" s="157" t="b" cm="1">
        <f t="array" ref="S16">IF(J16,AND(SIGN(J16)=SIGN(M16:Q16)), TRUE)</f>
        <v>1</v>
      </c>
    </row>
    <row r="17" spans="1:19" x14ac:dyDescent="0.2">
      <c r="B17" s="1" t="str">
        <f>Calcs!B16</f>
        <v>Nathalia</v>
      </c>
      <c r="C17" s="1" t="str">
        <f>INDEX(Calcs!$D$8:$D$627, MATCH($B17, Calcs!$B$8:$B$627,0))</f>
        <v>NKA</v>
      </c>
      <c r="D17" s="7"/>
      <c r="E17" s="157">
        <f>INDEX(Calcs!$DX$8:$DX$627, MATCH($B17, Calcs!$B$8:$B$627,0))</f>
        <v>1153818.0293005987</v>
      </c>
      <c r="G17" s="157">
        <f>INDEX(Calcs!$EA$8:$EA$627, MATCH($B17, Calcs!$B$8:$B$627,0))</f>
        <v>-165451.89647124647</v>
      </c>
      <c r="I17" s="157">
        <f>INDEX(Calcs!$EC$8:$EC$627, MATCH($B17, Calcs!$B$8:$B$627,0))</f>
        <v>988366.13282935217</v>
      </c>
      <c r="J17" s="157" t="b">
        <f>INDEX(Calcs!$ED$8:$ED$627, MATCH($B17, Calcs!$B$8:$B$627,0))</f>
        <v>1</v>
      </c>
      <c r="M17" s="157">
        <f t="shared" si="0"/>
        <v>971820.94318222755</v>
      </c>
      <c r="N17" s="157">
        <f t="shared" si="0"/>
        <v>1004911.3224764769</v>
      </c>
      <c r="O17" s="157">
        <f t="shared" si="0"/>
        <v>1103747.9357594124</v>
      </c>
      <c r="P17" s="157">
        <f t="shared" si="0"/>
        <v>872984.32989929232</v>
      </c>
      <c r="Q17" s="157">
        <f t="shared" si="0"/>
        <v>856439.14025216771</v>
      </c>
      <c r="S17" s="157" t="b" cm="1">
        <f t="array" ref="S17">IF(J17,AND(SIGN(J17)=SIGN(M17:Q17)), TRUE)</f>
        <v>1</v>
      </c>
    </row>
    <row r="18" spans="1:19" x14ac:dyDescent="0.2">
      <c r="B18" s="1" t="str">
        <f>Calcs!B17</f>
        <v>Avoca</v>
      </c>
      <c r="C18" s="1" t="str">
        <f>INDEX(Calcs!$D$8:$D$627, MATCH($B18, Calcs!$B$8:$B$627,0))</f>
        <v>MRO</v>
      </c>
      <c r="D18" s="7"/>
      <c r="E18" s="157">
        <f>INDEX(Calcs!$DX$8:$DX$627, MATCH($B18, Calcs!$B$8:$B$627,0))</f>
        <v>542636.29202908557</v>
      </c>
      <c r="G18" s="157">
        <f>INDEX(Calcs!$EA$8:$EA$627, MATCH($B18, Calcs!$B$8:$B$627,0))</f>
        <v>-165451.89647124647</v>
      </c>
      <c r="I18" s="157">
        <f>INDEX(Calcs!$EC$8:$EC$627, MATCH($B18, Calcs!$B$8:$B$627,0))</f>
        <v>377184.39555783907</v>
      </c>
      <c r="J18" s="157" t="b">
        <f>INDEX(Calcs!$ED$8:$ED$627, MATCH($B18, Calcs!$B$8:$B$627,0))</f>
        <v>1</v>
      </c>
      <c r="M18" s="157">
        <f t="shared" si="0"/>
        <v>360639.20591071446</v>
      </c>
      <c r="N18" s="157">
        <f t="shared" si="0"/>
        <v>393729.58520496375</v>
      </c>
      <c r="O18" s="157">
        <f t="shared" si="0"/>
        <v>431448.02476074768</v>
      </c>
      <c r="P18" s="157">
        <f t="shared" si="0"/>
        <v>322920.76635493059</v>
      </c>
      <c r="Q18" s="157">
        <f t="shared" si="0"/>
        <v>306375.57670780586</v>
      </c>
      <c r="S18" s="157" t="b" cm="1">
        <f t="array" ref="S18">IF(J18,AND(SIGN(J18)=SIGN(M18:Q18)), TRUE)</f>
        <v>1</v>
      </c>
    </row>
    <row r="19" spans="1:19" x14ac:dyDescent="0.2">
      <c r="B19" s="1" t="str">
        <f>Calcs!B18</f>
        <v>Clunes</v>
      </c>
      <c r="C19" s="1" t="str">
        <f>INDEX(Calcs!$D$8:$D$627, MATCH($B19, Calcs!$B$8:$B$627,0))</f>
        <v>BAN</v>
      </c>
      <c r="D19" s="7"/>
      <c r="E19" s="157">
        <f>INDEX(Calcs!$DX$8:$DX$627, MATCH($B19, Calcs!$B$8:$B$627,0))</f>
        <v>827943.75623915344</v>
      </c>
      <c r="G19" s="157">
        <f>INDEX(Calcs!$EA$8:$EA$627, MATCH($B19, Calcs!$B$8:$B$627,0))</f>
        <v>-165451.89647124647</v>
      </c>
      <c r="I19" s="157">
        <f>INDEX(Calcs!$EC$8:$EC$627, MATCH($B19, Calcs!$B$8:$B$627,0))</f>
        <v>662491.85976790695</v>
      </c>
      <c r="J19" s="157" t="b">
        <f>INDEX(Calcs!$ED$8:$ED$627, MATCH($B19, Calcs!$B$8:$B$627,0))</f>
        <v>1</v>
      </c>
      <c r="M19" s="157">
        <f t="shared" ref="M19:Q25" si="1">(1+M$6)*$G19+(1+M$7)*$E19</f>
        <v>645946.67012078234</v>
      </c>
      <c r="N19" s="157">
        <f t="shared" si="1"/>
        <v>679037.04941503168</v>
      </c>
      <c r="O19" s="157">
        <f t="shared" si="1"/>
        <v>745286.23539182241</v>
      </c>
      <c r="P19" s="157">
        <f t="shared" si="1"/>
        <v>579697.48414399161</v>
      </c>
      <c r="Q19" s="157">
        <f t="shared" si="1"/>
        <v>563152.29449686699</v>
      </c>
      <c r="S19" s="157" t="b" cm="1">
        <f t="array" ref="S19">IF(J19,AND(SIGN(J19)=SIGN(M19:Q19)), TRUE)</f>
        <v>1</v>
      </c>
    </row>
    <row r="20" spans="1:19" x14ac:dyDescent="0.2">
      <c r="B20" s="1" t="str">
        <f>Calcs!B19</f>
        <v>Halls Gap</v>
      </c>
      <c r="C20" s="1" t="str">
        <f>INDEX(Calcs!$D$8:$D$627, MATCH($B20, Calcs!$B$8:$B$627,0))</f>
        <v>STL</v>
      </c>
      <c r="D20" s="7"/>
      <c r="E20" s="157">
        <f>INDEX(Calcs!$DX$8:$DX$627, MATCH($B20, Calcs!$B$8:$B$627,0))</f>
        <v>219472.91277646468</v>
      </c>
      <c r="G20" s="157">
        <f>INDEX(Calcs!$EA$8:$EA$627, MATCH($B20, Calcs!$B$8:$B$627,0))</f>
        <v>-165451.89647124647</v>
      </c>
      <c r="I20" s="157">
        <f>INDEX(Calcs!$EC$8:$EC$627, MATCH($B20, Calcs!$B$8:$B$627,0))</f>
        <v>54021.016305218218</v>
      </c>
      <c r="J20" s="157" t="b">
        <f>INDEX(Calcs!$ED$8:$ED$627, MATCH($B20, Calcs!$B$8:$B$627,0))</f>
        <v>1</v>
      </c>
      <c r="M20" s="157">
        <f t="shared" si="1"/>
        <v>37475.826658093545</v>
      </c>
      <c r="N20" s="157">
        <f t="shared" si="1"/>
        <v>70566.205952342862</v>
      </c>
      <c r="O20" s="157">
        <f t="shared" si="1"/>
        <v>75968.307582864712</v>
      </c>
      <c r="P20" s="157">
        <f t="shared" si="1"/>
        <v>32073.725027571752</v>
      </c>
      <c r="Q20" s="157">
        <f t="shared" si="1"/>
        <v>15528.53538044708</v>
      </c>
      <c r="S20" s="157" t="b" cm="1">
        <f t="array" ref="S20">IF(J20,AND(SIGN(J20)=SIGN(M20:Q20)), TRUE)</f>
        <v>1</v>
      </c>
    </row>
    <row r="21" spans="1:19" x14ac:dyDescent="0.2">
      <c r="B21" s="1" t="str">
        <f>Calcs!B20</f>
        <v>Anglesea</v>
      </c>
      <c r="C21" s="1" t="str">
        <f>INDEX(Calcs!$D$8:$D$627, MATCH($B21, Calcs!$B$8:$B$627,0))</f>
        <v>TQY</v>
      </c>
      <c r="D21" s="7"/>
      <c r="E21" s="157">
        <f>INDEX(Calcs!$DX$8:$DX$627, MATCH($B21, Calcs!$B$8:$B$627,0))</f>
        <v>1368148.7254654001</v>
      </c>
      <c r="G21" s="157">
        <f>INDEX(Calcs!$EA$8:$EA$627, MATCH($B21, Calcs!$B$8:$B$627,0))</f>
        <v>-165451.89647124647</v>
      </c>
      <c r="I21" s="157">
        <f>INDEX(Calcs!$EC$8:$EC$627, MATCH($B21, Calcs!$B$8:$B$627,0))</f>
        <v>1202696.8289941538</v>
      </c>
      <c r="J21" s="157" t="b">
        <f>INDEX(Calcs!$ED$8:$ED$627, MATCH($B21, Calcs!$B$8:$B$627,0))</f>
        <v>1</v>
      </c>
      <c r="M21" s="157">
        <f t="shared" si="1"/>
        <v>1186151.6393470289</v>
      </c>
      <c r="N21" s="157">
        <f t="shared" si="1"/>
        <v>1219242.0186412784</v>
      </c>
      <c r="O21" s="157">
        <f t="shared" si="1"/>
        <v>1339511.7015406939</v>
      </c>
      <c r="P21" s="157">
        <f t="shared" si="1"/>
        <v>1065881.9564476139</v>
      </c>
      <c r="Q21" s="157">
        <f t="shared" si="1"/>
        <v>1049336.766800489</v>
      </c>
      <c r="S21" s="157" t="b" cm="1">
        <f t="array" ref="S21">IF(J21,AND(SIGN(J21)=SIGN(M21:Q21)), TRUE)</f>
        <v>1</v>
      </c>
    </row>
    <row r="22" spans="1:19" x14ac:dyDescent="0.2">
      <c r="B22" s="1" t="str">
        <f>Calcs!B21</f>
        <v>Simpson</v>
      </c>
      <c r="C22" s="1" t="str">
        <f>INDEX(Calcs!$D$8:$D$627, MATCH($B22, Calcs!$B$8:$B$627,0))</f>
        <v>CDN</v>
      </c>
      <c r="D22" s="7"/>
      <c r="E22" s="157">
        <f>INDEX(Calcs!$DX$8:$DX$627, MATCH($B22, Calcs!$B$8:$B$627,0))</f>
        <v>297000.65810872772</v>
      </c>
      <c r="G22" s="157">
        <f>INDEX(Calcs!$EA$8:$EA$627, MATCH($B22, Calcs!$B$8:$B$627,0))</f>
        <v>-165451.89647124647</v>
      </c>
      <c r="I22" s="157">
        <f>INDEX(Calcs!$EC$8:$EC$627, MATCH($B22, Calcs!$B$8:$B$627,0))</f>
        <v>131548.76163748125</v>
      </c>
      <c r="J22" s="157" t="b">
        <f>INDEX(Calcs!$ED$8:$ED$627, MATCH($B22, Calcs!$B$8:$B$627,0))</f>
        <v>1</v>
      </c>
      <c r="M22" s="157">
        <f t="shared" si="1"/>
        <v>115003.57199035658</v>
      </c>
      <c r="N22" s="157">
        <f t="shared" si="1"/>
        <v>148093.95128460589</v>
      </c>
      <c r="O22" s="157">
        <f t="shared" si="1"/>
        <v>161248.82744835407</v>
      </c>
      <c r="P22" s="157">
        <f t="shared" si="1"/>
        <v>101848.69582660848</v>
      </c>
      <c r="Q22" s="157">
        <f t="shared" si="1"/>
        <v>85303.506179483811</v>
      </c>
      <c r="S22" s="157" t="b" cm="1">
        <f t="array" ref="S22">IF(J22,AND(SIGN(J22)=SIGN(M22:Q22)), TRUE)</f>
        <v>1</v>
      </c>
    </row>
    <row r="23" spans="1:19" x14ac:dyDescent="0.2">
      <c r="B23" s="1" t="str">
        <f>Calcs!B22</f>
        <v>Wedderburn</v>
      </c>
      <c r="C23" s="1" t="str">
        <f>INDEX(Calcs!$D$8:$D$627, MATCH($B23, Calcs!$B$8:$B$627,0))</f>
        <v>CTN</v>
      </c>
      <c r="D23" s="7"/>
      <c r="E23" s="157">
        <f>INDEX(Calcs!$DX$8:$DX$627, MATCH($B23, Calcs!$B$8:$B$627,0))</f>
        <v>1629754.3287004335</v>
      </c>
      <c r="G23" s="157">
        <f>INDEX(Calcs!$EA$8:$EA$627, MATCH($B23, Calcs!$B$8:$B$627,0))</f>
        <v>-165451.89647124647</v>
      </c>
      <c r="I23" s="157">
        <f>INDEX(Calcs!$EC$8:$EC$627, MATCH($B23, Calcs!$B$8:$B$627,0))</f>
        <v>1464302.4322291871</v>
      </c>
      <c r="J23" s="157" t="b">
        <f>INDEX(Calcs!$ED$8:$ED$627, MATCH($B23, Calcs!$B$8:$B$627,0))</f>
        <v>1</v>
      </c>
      <c r="M23" s="157">
        <f t="shared" si="1"/>
        <v>1447757.2425820623</v>
      </c>
      <c r="N23" s="157">
        <f t="shared" si="1"/>
        <v>1480847.6218763117</v>
      </c>
      <c r="O23" s="157">
        <f t="shared" si="1"/>
        <v>1627277.8650992305</v>
      </c>
      <c r="P23" s="157">
        <f t="shared" si="1"/>
        <v>1301326.9993591439</v>
      </c>
      <c r="Q23" s="157">
        <f t="shared" si="1"/>
        <v>1284781.8097120191</v>
      </c>
      <c r="S23" s="157" t="b" cm="1">
        <f t="array" ref="S23">IF(J23,AND(SIGN(J23)=SIGN(M23:Q23)), TRUE)</f>
        <v>1</v>
      </c>
    </row>
    <row r="24" spans="1:19" x14ac:dyDescent="0.2">
      <c r="B24" s="1" t="str">
        <f>Calcs!B23</f>
        <v>Murrayville</v>
      </c>
      <c r="C24" s="1" t="str">
        <f>INDEX(Calcs!$D$8:$D$627, MATCH($B24, Calcs!$B$8:$B$627,0))</f>
        <v>OYN</v>
      </c>
      <c r="D24" s="7"/>
      <c r="E24" s="157">
        <f>INDEX(Calcs!$DX$8:$DX$627, MATCH($B24, Calcs!$B$8:$B$627,0))</f>
        <v>312096.49349327164</v>
      </c>
      <c r="G24" s="157">
        <f>INDEX(Calcs!$EA$8:$EA$627, MATCH($B24, Calcs!$B$8:$B$627,0))</f>
        <v>-165451.89647124647</v>
      </c>
      <c r="I24" s="157">
        <f>INDEX(Calcs!$EC$8:$EC$627, MATCH($B24, Calcs!$B$8:$B$627,0))</f>
        <v>146644.59702202518</v>
      </c>
      <c r="J24" s="157" t="b">
        <f>INDEX(Calcs!$ED$8:$ED$627, MATCH($B24, Calcs!$B$8:$B$627,0))</f>
        <v>1</v>
      </c>
      <c r="M24" s="157">
        <f t="shared" si="1"/>
        <v>130099.4073749005</v>
      </c>
      <c r="N24" s="157">
        <f t="shared" si="1"/>
        <v>163189.78666914982</v>
      </c>
      <c r="O24" s="157">
        <f t="shared" si="1"/>
        <v>177854.24637135238</v>
      </c>
      <c r="P24" s="157">
        <f t="shared" si="1"/>
        <v>115434.94767269804</v>
      </c>
      <c r="Q24" s="157">
        <f t="shared" si="1"/>
        <v>98889.758025573363</v>
      </c>
      <c r="S24" s="157" t="b" cm="1">
        <f t="array" ref="S24">IF(J24,AND(SIGN(J24)=SIGN(M24:Q24)), TRUE)</f>
        <v>1</v>
      </c>
    </row>
    <row r="25" spans="1:19" x14ac:dyDescent="0.2">
      <c r="B25" s="1" t="str">
        <f>Calcs!B24</f>
        <v>Swan Hill</v>
      </c>
      <c r="C25" s="1" t="str">
        <f>INDEX(Calcs!$D$8:$D$627, MATCH($B25, Calcs!$B$8:$B$627,0))</f>
        <v>SHL</v>
      </c>
      <c r="D25" s="7"/>
      <c r="E25" s="157">
        <f>INDEX(Calcs!$DX$8:$DX$627, MATCH($B25, Calcs!$B$8:$B$627,0))</f>
        <v>9047834.6818017457</v>
      </c>
      <c r="G25" s="157">
        <f>INDEX(Calcs!$EA$8:$EA$627, MATCH($B25, Calcs!$B$8:$B$627,0))</f>
        <v>-165451.89647124647</v>
      </c>
      <c r="I25" s="157">
        <f>INDEX(Calcs!$EC$8:$EC$627, MATCH($B25, Calcs!$B$8:$B$627,0))</f>
        <v>8882382.7853304986</v>
      </c>
      <c r="J25" s="157" t="b">
        <f>INDEX(Calcs!$ED$8:$ED$627, MATCH($B25, Calcs!$B$8:$B$627,0))</f>
        <v>1</v>
      </c>
      <c r="M25" s="157">
        <f t="shared" si="1"/>
        <v>8865837.5956833754</v>
      </c>
      <c r="N25" s="157">
        <f t="shared" si="1"/>
        <v>8898927.9749776237</v>
      </c>
      <c r="O25" s="157">
        <f t="shared" si="1"/>
        <v>9787166.2535106745</v>
      </c>
      <c r="P25" s="157">
        <f t="shared" si="1"/>
        <v>7977599.3171503255</v>
      </c>
      <c r="Q25" s="157">
        <f t="shared" si="1"/>
        <v>7961054.1275032004</v>
      </c>
      <c r="S25" s="157" t="b" cm="1">
        <f t="array" ref="S25">IF(J25,AND(SIGN(J25)=SIGN(M25:Q25)), TRUE)</f>
        <v>1</v>
      </c>
    </row>
    <row r="26" spans="1:19" x14ac:dyDescent="0.2">
      <c r="D26" s="1"/>
    </row>
    <row r="27" spans="1:19" x14ac:dyDescent="0.2">
      <c r="A27" s="3"/>
      <c r="B27" s="133" t="s">
        <v>8</v>
      </c>
      <c r="C27" s="133"/>
      <c r="D27" s="133"/>
      <c r="E27" s="135" cm="1">
        <f t="array" ref="E27">SUMPRODUCT((E$9:E$26)*($J$9:$J$26))</f>
        <v>42323811.562740937</v>
      </c>
      <c r="F27" s="134"/>
      <c r="G27" s="135" cm="1">
        <f t="array" ref="G27">SUMPRODUCT((G$9:G$26)*($J$9:$J$26))</f>
        <v>-2481778.4470686968</v>
      </c>
      <c r="H27" s="134"/>
      <c r="I27" s="135" cm="1">
        <f t="array" ref="I27">SUMPRODUCT((I$9:I$26)*($J$9:$J$26))</f>
        <v>39842033.115672246</v>
      </c>
      <c r="J27" s="135"/>
      <c r="M27" s="135" cm="1">
        <f t="array" ref="M27">SUMPRODUCT((M$9:M$26)*($J$9:$J$26))</f>
        <v>39593855.270965375</v>
      </c>
      <c r="N27" s="135" cm="1">
        <f t="array" ref="N27">SUMPRODUCT((N$9:N$26)*($J$9:$J$26))</f>
        <v>40090210.960379109</v>
      </c>
      <c r="O27" s="135" cm="1">
        <f t="array" ref="O27">SUMPRODUCT((O$9:O$26)*($J$9:$J$26))</f>
        <v>44074414.271946341</v>
      </c>
      <c r="P27" s="135" cm="1">
        <f t="array" ref="P27">SUMPRODUCT((P$9:P$26)*($J$9:$J$26))</f>
        <v>35609651.95939815</v>
      </c>
      <c r="Q27" s="135" cm="1">
        <f t="array" ref="Q27">SUMPRODUCT((Q$9:Q$26)*($J$9:$J$26))</f>
        <v>35361474.114691272</v>
      </c>
    </row>
    <row r="28" spans="1:19" x14ac:dyDescent="0.2">
      <c r="D28" s="1"/>
    </row>
    <row r="29" spans="1:19" x14ac:dyDescent="0.2">
      <c r="D29" s="1"/>
    </row>
    <row r="30" spans="1:19" x14ac:dyDescent="0.2">
      <c r="D30" s="1"/>
    </row>
    <row r="31" spans="1:19" x14ac:dyDescent="0.2">
      <c r="D31" s="1"/>
    </row>
    <row r="32" spans="1:19" x14ac:dyDescent="0.2">
      <c r="D32" s="1"/>
    </row>
    <row r="33" spans="4:4" x14ac:dyDescent="0.2">
      <c r="D33" s="1"/>
    </row>
    <row r="34" spans="4:4" x14ac:dyDescent="0.2">
      <c r="D34" s="1"/>
    </row>
    <row r="35" spans="4:4" x14ac:dyDescent="0.2">
      <c r="D35" s="1"/>
    </row>
    <row r="36" spans="4:4" x14ac:dyDescent="0.2">
      <c r="D36" s="1"/>
    </row>
    <row r="37" spans="4:4" x14ac:dyDescent="0.2">
      <c r="D37" s="1"/>
    </row>
    <row r="38" spans="4:4" x14ac:dyDescent="0.2">
      <c r="D38" s="1"/>
    </row>
    <row r="39" spans="4:4" x14ac:dyDescent="0.2">
      <c r="D39" s="7"/>
    </row>
    <row r="40" spans="4:4" x14ac:dyDescent="0.2">
      <c r="D40" s="7"/>
    </row>
    <row r="41" spans="4:4" x14ac:dyDescent="0.2">
      <c r="D41" s="7"/>
    </row>
    <row r="42" spans="4:4" x14ac:dyDescent="0.2">
      <c r="D42" s="7"/>
    </row>
    <row r="43" spans="4:4" x14ac:dyDescent="0.2">
      <c r="D43" s="7"/>
    </row>
    <row r="44" spans="4:4" x14ac:dyDescent="0.2">
      <c r="D44" s="7"/>
    </row>
    <row r="45" spans="4:4" x14ac:dyDescent="0.2">
      <c r="D45" s="7"/>
    </row>
    <row r="46" spans="4:4" x14ac:dyDescent="0.2">
      <c r="D46" s="7"/>
    </row>
    <row r="47" spans="4:4" x14ac:dyDescent="0.2">
      <c r="D47" s="7"/>
    </row>
    <row r="48" spans="4:4" x14ac:dyDescent="0.2">
      <c r="D48" s="7"/>
    </row>
    <row r="49" spans="4:4" x14ac:dyDescent="0.2">
      <c r="D49" s="7"/>
    </row>
    <row r="50" spans="4:4" x14ac:dyDescent="0.2">
      <c r="D50" s="7"/>
    </row>
    <row r="51" spans="4:4" x14ac:dyDescent="0.2">
      <c r="D51" s="7"/>
    </row>
    <row r="52" spans="4:4" x14ac:dyDescent="0.2">
      <c r="D52" s="7"/>
    </row>
    <row r="53" spans="4:4" x14ac:dyDescent="0.2">
      <c r="D53" s="7"/>
    </row>
    <row r="54" spans="4:4" x14ac:dyDescent="0.2">
      <c r="D54" s="7"/>
    </row>
    <row r="55" spans="4:4" x14ac:dyDescent="0.2">
      <c r="D55" s="7"/>
    </row>
    <row r="56" spans="4:4" x14ac:dyDescent="0.2">
      <c r="D56" s="7"/>
    </row>
    <row r="57" spans="4:4" x14ac:dyDescent="0.2">
      <c r="D57" s="7"/>
    </row>
    <row r="58" spans="4:4" x14ac:dyDescent="0.2">
      <c r="D58" s="7"/>
    </row>
    <row r="59" spans="4:4" x14ac:dyDescent="0.2">
      <c r="D59" s="7"/>
    </row>
    <row r="60" spans="4:4" x14ac:dyDescent="0.2">
      <c r="D60" s="7"/>
    </row>
    <row r="61" spans="4:4" x14ac:dyDescent="0.2">
      <c r="D61" s="7"/>
    </row>
    <row r="62" spans="4:4" x14ac:dyDescent="0.2">
      <c r="D62" s="7"/>
    </row>
    <row r="63" spans="4:4" x14ac:dyDescent="0.2">
      <c r="D63" s="7"/>
    </row>
    <row r="64" spans="4:4" x14ac:dyDescent="0.2">
      <c r="D64" s="7"/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5BE28-7759-4AD8-93D9-96655D9E0FC5}">
  <sheetPr codeName="Sheet8">
    <tabColor rgb="FFFFFFCC"/>
  </sheetPr>
  <dimension ref="A1:CM42"/>
  <sheetViews>
    <sheetView showGridLines="0" zoomScale="80" zoomScaleNormal="80" workbookViewId="0">
      <pane ySplit="2" topLeftCell="A5" activePane="bottomLeft" state="frozen"/>
      <selection activeCell="N2" sqref="N2"/>
      <selection pane="bottomLeft" activeCell="M8" sqref="M8"/>
    </sheetView>
  </sheetViews>
  <sheetFormatPr defaultRowHeight="12.75" x14ac:dyDescent="0.2"/>
  <cols>
    <col min="2" max="2" width="21.375" customWidth="1"/>
    <col min="3" max="3" width="20.5" customWidth="1"/>
    <col min="4" max="4" width="14.5" style="39" customWidth="1"/>
    <col min="5" max="5" width="14.5" customWidth="1"/>
    <col min="8" max="17" width="10.875" customWidth="1"/>
    <col min="18" max="18" width="12.625" customWidth="1"/>
  </cols>
  <sheetData>
    <row r="1" spans="1:91" ht="18.75" x14ac:dyDescent="0.3">
      <c r="A1" s="10" t="str">
        <f>bus</f>
        <v>Powercor</v>
      </c>
      <c r="B1" s="10"/>
      <c r="C1" s="10"/>
      <c r="D1" s="91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</row>
    <row r="2" spans="1:91" ht="18.75" x14ac:dyDescent="0.3">
      <c r="A2" s="97" t="str">
        <f>proj</f>
        <v>Quick connect points</v>
      </c>
      <c r="B2" s="10"/>
      <c r="C2" s="10"/>
      <c r="D2" s="91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</row>
    <row r="3" spans="1:91" ht="15.75" x14ac:dyDescent="0.25">
      <c r="A3" s="5"/>
    </row>
    <row r="4" spans="1:91" s="1" customFormat="1" ht="15" x14ac:dyDescent="0.2">
      <c r="A4" s="17" t="s">
        <v>73</v>
      </c>
      <c r="B4" s="17"/>
      <c r="C4" s="15"/>
      <c r="D4" s="15"/>
      <c r="E4" s="15"/>
      <c r="F4" s="15"/>
      <c r="G4" s="15"/>
      <c r="H4" s="15"/>
      <c r="I4" s="15"/>
      <c r="J4" s="15"/>
      <c r="K4" s="15"/>
      <c r="L4" s="15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91" s="1" customFormat="1" x14ac:dyDescent="0.2"/>
    <row r="6" spans="1:91" s="1" customFormat="1" x14ac:dyDescent="0.2">
      <c r="B6" s="63" t="s">
        <v>74</v>
      </c>
      <c r="C6" s="63"/>
      <c r="D6" s="40"/>
      <c r="E6" s="27"/>
      <c r="F6" s="37"/>
      <c r="G6" s="27"/>
      <c r="H6" s="38">
        <v>44377</v>
      </c>
      <c r="I6" s="36">
        <f>IF(EOMONTH(H6,12)&gt;output_dollars, output_dollars, EOMONTH(H6,12))</f>
        <v>44742</v>
      </c>
      <c r="J6" s="36">
        <f>IF(EOMONTH(I6,12)&gt;output_dollars, output_dollars, EOMONTH(I6,12))</f>
        <v>45107</v>
      </c>
      <c r="K6" s="36">
        <f>IF(EOMONTH(J6,12)&gt;output_dollars, output_dollars, EOMONTH(J6,12))</f>
        <v>45473</v>
      </c>
      <c r="L6" s="36">
        <f>IF(EOMONTH(K6,12)&gt;output_dollars, output_dollars, EOMONTH(K6,12))</f>
        <v>45838</v>
      </c>
      <c r="M6" s="36">
        <f>IF(EOMONTH(L6,12)&gt;output_dollars, output_dollars, EOMONTH(L6,12))</f>
        <v>46203</v>
      </c>
    </row>
    <row r="7" spans="1:91" s="20" customFormat="1" x14ac:dyDescent="0.2">
      <c r="D7" s="41"/>
      <c r="N7" s="1"/>
      <c r="O7"/>
      <c r="P7"/>
      <c r="Q7"/>
      <c r="R7"/>
      <c r="S7"/>
      <c r="T7"/>
      <c r="U7"/>
      <c r="V7"/>
      <c r="W7"/>
    </row>
    <row r="8" spans="1:91" s="20" customFormat="1" x14ac:dyDescent="0.2">
      <c r="B8" s="20" t="s">
        <v>75</v>
      </c>
      <c r="D8" s="41"/>
      <c r="H8" s="32">
        <v>0</v>
      </c>
      <c r="I8" s="32">
        <v>8.6058519793459354E-3</v>
      </c>
      <c r="J8" s="32">
        <v>3.4982935153583528E-2</v>
      </c>
      <c r="K8" s="32">
        <v>7.8318219291014124E-2</v>
      </c>
      <c r="L8" s="32">
        <v>4.0519877675840865E-2</v>
      </c>
      <c r="M8" s="32">
        <v>2.4246877296105973E-2</v>
      </c>
      <c r="N8" s="1"/>
      <c r="O8"/>
      <c r="P8"/>
      <c r="Q8"/>
      <c r="R8"/>
      <c r="S8"/>
      <c r="T8"/>
      <c r="U8"/>
      <c r="V8"/>
      <c r="W8"/>
    </row>
    <row r="9" spans="1:91" s="1" customFormat="1" x14ac:dyDescent="0.2">
      <c r="D9" s="11"/>
      <c r="O9"/>
      <c r="P9"/>
      <c r="Q9"/>
      <c r="R9"/>
      <c r="S9"/>
      <c r="T9"/>
      <c r="U9"/>
      <c r="V9"/>
      <c r="W9"/>
    </row>
    <row r="10" spans="1:91" s="1" customFormat="1" x14ac:dyDescent="0.2">
      <c r="D10" s="11"/>
      <c r="O10"/>
      <c r="P10"/>
      <c r="Q10"/>
      <c r="R10"/>
      <c r="S10"/>
      <c r="T10"/>
      <c r="U10"/>
      <c r="V10"/>
      <c r="W10"/>
    </row>
    <row r="11" spans="1:91" s="1" customFormat="1" x14ac:dyDescent="0.2">
      <c r="A11"/>
      <c r="B11" s="20" t="s">
        <v>76</v>
      </c>
      <c r="C11"/>
      <c r="D11"/>
      <c r="E11"/>
      <c r="F11"/>
      <c r="G11"/>
      <c r="H11" s="64">
        <f>H6</f>
        <v>44377</v>
      </c>
      <c r="I11" s="64">
        <f>EOMONTH(H11,6)</f>
        <v>44561</v>
      </c>
      <c r="J11" s="64">
        <f>EOMONTH(I11,6)</f>
        <v>44742</v>
      </c>
      <c r="K11" s="64">
        <f t="shared" ref="K11:Q11" si="0">EOMONTH(J11,6)</f>
        <v>44926</v>
      </c>
      <c r="L11" s="64">
        <f t="shared" si="0"/>
        <v>45107</v>
      </c>
      <c r="M11" s="64">
        <f t="shared" si="0"/>
        <v>45291</v>
      </c>
      <c r="N11" s="64">
        <f t="shared" si="0"/>
        <v>45473</v>
      </c>
      <c r="O11" s="64">
        <f t="shared" si="0"/>
        <v>45657</v>
      </c>
      <c r="P11" s="64">
        <f t="shared" si="0"/>
        <v>45838</v>
      </c>
      <c r="Q11" s="64">
        <f t="shared" si="0"/>
        <v>46022</v>
      </c>
      <c r="R11" s="64">
        <f>EOMONTH(Q11,6)</f>
        <v>46203</v>
      </c>
      <c r="S11"/>
      <c r="T11"/>
      <c r="U11"/>
      <c r="V11"/>
      <c r="W11"/>
    </row>
    <row r="12" spans="1:91" s="1" customFormat="1" x14ac:dyDescent="0.2">
      <c r="A12"/>
      <c r="B12" s="20" t="s">
        <v>77</v>
      </c>
      <c r="C12"/>
      <c r="D12"/>
      <c r="E12"/>
      <c r="F12"/>
      <c r="G12"/>
      <c r="H12" s="62">
        <f t="shared" ref="H12:R12" si="1">IF(MONTH(H11)=12, EOMONTH(H11,6), H11)</f>
        <v>44377</v>
      </c>
      <c r="I12" s="62">
        <f t="shared" si="1"/>
        <v>44742</v>
      </c>
      <c r="J12" s="62">
        <f t="shared" si="1"/>
        <v>44742</v>
      </c>
      <c r="K12" s="62">
        <f t="shared" si="1"/>
        <v>45107</v>
      </c>
      <c r="L12" s="62">
        <f t="shared" si="1"/>
        <v>45107</v>
      </c>
      <c r="M12" s="62">
        <f t="shared" si="1"/>
        <v>45473</v>
      </c>
      <c r="N12" s="62">
        <f t="shared" si="1"/>
        <v>45473</v>
      </c>
      <c r="O12" s="62">
        <f t="shared" si="1"/>
        <v>45838</v>
      </c>
      <c r="P12" s="62">
        <f t="shared" si="1"/>
        <v>45838</v>
      </c>
      <c r="Q12" s="62">
        <f t="shared" si="1"/>
        <v>46203</v>
      </c>
      <c r="R12" s="62">
        <f t="shared" si="1"/>
        <v>46203</v>
      </c>
      <c r="S12"/>
      <c r="T12"/>
      <c r="U12"/>
      <c r="V12"/>
      <c r="W12"/>
    </row>
    <row r="13" spans="1:91" s="1" customFormat="1" x14ac:dyDescent="0.2">
      <c r="A13"/>
      <c r="B13" s="20" t="s">
        <v>75</v>
      </c>
      <c r="C13"/>
      <c r="D13"/>
      <c r="E13"/>
      <c r="F13"/>
      <c r="G13"/>
      <c r="H13" s="65">
        <f t="shared" ref="H13:R13" si="2">IF(output_dollars&lt;H12,0,INDEX($H$8:$M$8,MATCH(H12,CY_years,0)))</f>
        <v>0</v>
      </c>
      <c r="I13" s="65">
        <f t="shared" si="2"/>
        <v>8.6058519793459354E-3</v>
      </c>
      <c r="J13" s="65">
        <f t="shared" si="2"/>
        <v>8.6058519793459354E-3</v>
      </c>
      <c r="K13" s="65">
        <f t="shared" si="2"/>
        <v>3.4982935153583528E-2</v>
      </c>
      <c r="L13" s="65">
        <f t="shared" si="2"/>
        <v>3.4982935153583528E-2</v>
      </c>
      <c r="M13" s="65">
        <f t="shared" si="2"/>
        <v>7.8318219291014124E-2</v>
      </c>
      <c r="N13" s="65">
        <f t="shared" si="2"/>
        <v>7.8318219291014124E-2</v>
      </c>
      <c r="O13" s="65">
        <f t="shared" si="2"/>
        <v>4.0519877675840865E-2</v>
      </c>
      <c r="P13" s="65">
        <f t="shared" si="2"/>
        <v>4.0519877675840865E-2</v>
      </c>
      <c r="Q13" s="65">
        <f t="shared" si="2"/>
        <v>2.4246877296105973E-2</v>
      </c>
      <c r="R13" s="65">
        <f t="shared" si="2"/>
        <v>2.4246877296105973E-2</v>
      </c>
      <c r="S13"/>
      <c r="T13"/>
      <c r="U13"/>
      <c r="V13"/>
      <c r="W13"/>
    </row>
    <row r="14" spans="1:91" s="1" customFormat="1" x14ac:dyDescent="0.2">
      <c r="A14"/>
      <c r="B14"/>
      <c r="C14"/>
      <c r="D14"/>
      <c r="E14"/>
      <c r="F14"/>
      <c r="G14"/>
      <c r="S14"/>
      <c r="T14"/>
      <c r="U14"/>
      <c r="V14"/>
      <c r="W14"/>
    </row>
    <row r="15" spans="1:91" s="20" customFormat="1" x14ac:dyDescent="0.2">
      <c r="A15"/>
      <c r="B15" s="20" t="s">
        <v>78</v>
      </c>
      <c r="C15"/>
      <c r="D15"/>
      <c r="E15"/>
      <c r="F15"/>
      <c r="G15"/>
      <c r="H15" s="33">
        <v>1</v>
      </c>
      <c r="I15" s="20">
        <f t="shared" ref="I15:R15" si="3">H15*(1+I$13)^0.5</f>
        <v>1.0042937080253693</v>
      </c>
      <c r="J15" s="20">
        <f t="shared" si="3"/>
        <v>1.0086058519793457</v>
      </c>
      <c r="K15" s="20">
        <f t="shared" si="3"/>
        <v>1.0260961975293987</v>
      </c>
      <c r="L15" s="20">
        <f t="shared" si="3"/>
        <v>1.0438898450946641</v>
      </c>
      <c r="M15" s="20">
        <f t="shared" si="3"/>
        <v>1.0839971599793141</v>
      </c>
      <c r="N15" s="20">
        <f t="shared" si="3"/>
        <v>1.1256454388984505</v>
      </c>
      <c r="O15" s="20">
        <f t="shared" si="3"/>
        <v>1.1482244927118261</v>
      </c>
      <c r="P15" s="20">
        <f t="shared" si="3"/>
        <v>1.1712564543889838</v>
      </c>
      <c r="Q15" s="20">
        <f t="shared" si="3"/>
        <v>1.1853710637938346</v>
      </c>
      <c r="R15" s="20">
        <f t="shared" si="3"/>
        <v>1.1996557659208258</v>
      </c>
      <c r="S15"/>
      <c r="T15"/>
      <c r="U15"/>
      <c r="V15"/>
      <c r="W15"/>
    </row>
    <row r="16" spans="1:91" s="20" customFormat="1" x14ac:dyDescent="0.2">
      <c r="A16"/>
      <c r="B16" s="20" t="s">
        <v>79</v>
      </c>
      <c r="C16" s="54">
        <f>input_dollars</f>
        <v>45291</v>
      </c>
      <c r="D16" s="20">
        <f>INDEX(hy_escalation, MATCH(C16,hy_dates,0))</f>
        <v>1.0839971599793141</v>
      </c>
      <c r="E16"/>
      <c r="F16"/>
      <c r="G16"/>
      <c r="S16"/>
      <c r="T16"/>
      <c r="U16"/>
      <c r="V16"/>
      <c r="W16"/>
    </row>
    <row r="17" spans="1:33" s="20" customFormat="1" x14ac:dyDescent="0.2">
      <c r="A17"/>
      <c r="B17" s="20" t="s">
        <v>80</v>
      </c>
      <c r="C17" s="54">
        <f>output_dollars</f>
        <v>46203</v>
      </c>
      <c r="D17" s="20">
        <f>INDEX(hy_escalation, MATCH(C17,hy_dates,0))</f>
        <v>1.1996557659208258</v>
      </c>
      <c r="E17"/>
      <c r="F17"/>
      <c r="G17"/>
      <c r="S17"/>
      <c r="T17"/>
      <c r="U17"/>
      <c r="V17"/>
      <c r="W17"/>
    </row>
    <row r="18" spans="1:33" s="1" customForma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</row>
    <row r="19" spans="1:33" x14ac:dyDescent="0.2">
      <c r="B19" s="20" t="s">
        <v>81</v>
      </c>
      <c r="D19" s="20">
        <f>D17/D16</f>
        <v>1.1066964104811112</v>
      </c>
      <c r="E19" s="20"/>
    </row>
    <row r="20" spans="1:33" x14ac:dyDescent="0.2">
      <c r="B20" s="20"/>
      <c r="D20" s="20"/>
    </row>
    <row r="21" spans="1:33" x14ac:dyDescent="0.2">
      <c r="B21" s="20" t="s">
        <v>82</v>
      </c>
      <c r="C21" s="54">
        <f>vcr_date</f>
        <v>45657</v>
      </c>
      <c r="D21" s="20">
        <f>INDEX(hy_escalation, MATCH(C21,hy_dates,0))</f>
        <v>1.1482244927118261</v>
      </c>
      <c r="F21" s="54">
        <v>45809</v>
      </c>
      <c r="G21" s="20">
        <f>P15</f>
        <v>1.1712564543889838</v>
      </c>
    </row>
    <row r="22" spans="1:33" x14ac:dyDescent="0.2">
      <c r="B22" s="20" t="s">
        <v>83</v>
      </c>
      <c r="C22" s="54">
        <f>input_dollars</f>
        <v>45291</v>
      </c>
      <c r="D22" s="20">
        <f>INDEX(hy_escalation, MATCH(C22,hy_dates,0))</f>
        <v>1.0839971599793141</v>
      </c>
      <c r="F22" s="54">
        <f>input_dollars</f>
        <v>45291</v>
      </c>
      <c r="G22" s="20">
        <f>M15</f>
        <v>1.0839971599793141</v>
      </c>
    </row>
    <row r="23" spans="1:33" x14ac:dyDescent="0.2">
      <c r="B23" s="20" t="s">
        <v>84</v>
      </c>
      <c r="D23" s="20">
        <f>D22/D21</f>
        <v>0.94406378444268968</v>
      </c>
      <c r="G23" s="20">
        <f>G22/G21</f>
        <v>0.92549941212047293</v>
      </c>
    </row>
    <row r="25" spans="1:33" x14ac:dyDescent="0.2">
      <c r="D25"/>
      <c r="G25" s="105"/>
      <c r="H25" s="105"/>
    </row>
    <row r="26" spans="1:33" x14ac:dyDescent="0.2">
      <c r="D26"/>
      <c r="F26" s="7">
        <f t="shared" ref="F26:Z26" si="4">E26+(F27=start)+IF(F27&gt;start,1,0)</f>
        <v>0</v>
      </c>
      <c r="G26" s="7">
        <f t="shared" si="4"/>
        <v>1</v>
      </c>
      <c r="H26" s="7">
        <f t="shared" si="4"/>
        <v>2</v>
      </c>
      <c r="I26" s="7">
        <f t="shared" si="4"/>
        <v>3</v>
      </c>
      <c r="J26" s="7">
        <f t="shared" si="4"/>
        <v>4</v>
      </c>
      <c r="K26" s="7">
        <f t="shared" si="4"/>
        <v>5</v>
      </c>
      <c r="L26" s="7">
        <f t="shared" si="4"/>
        <v>6</v>
      </c>
      <c r="M26" s="7">
        <f t="shared" si="4"/>
        <v>7</v>
      </c>
      <c r="N26" s="7">
        <f t="shared" si="4"/>
        <v>8</v>
      </c>
      <c r="O26" s="7">
        <f t="shared" si="4"/>
        <v>9</v>
      </c>
      <c r="P26" s="7">
        <f t="shared" si="4"/>
        <v>10</v>
      </c>
      <c r="Q26" s="7">
        <f t="shared" si="4"/>
        <v>11</v>
      </c>
      <c r="R26" s="7">
        <f t="shared" si="4"/>
        <v>12</v>
      </c>
      <c r="S26" s="7">
        <f t="shared" si="4"/>
        <v>13</v>
      </c>
      <c r="T26" s="7">
        <f t="shared" si="4"/>
        <v>14</v>
      </c>
      <c r="U26" s="7">
        <f t="shared" si="4"/>
        <v>15</v>
      </c>
      <c r="V26" s="7">
        <f t="shared" si="4"/>
        <v>16</v>
      </c>
      <c r="W26" s="7">
        <f t="shared" si="4"/>
        <v>17</v>
      </c>
      <c r="X26" s="7">
        <f t="shared" si="4"/>
        <v>18</v>
      </c>
      <c r="Y26" s="7">
        <f t="shared" si="4"/>
        <v>19</v>
      </c>
      <c r="Z26" s="7">
        <f t="shared" si="4"/>
        <v>20</v>
      </c>
    </row>
    <row r="27" spans="1:33" ht="15" x14ac:dyDescent="0.2">
      <c r="A27" s="17" t="s">
        <v>320</v>
      </c>
      <c r="B27" s="17"/>
      <c r="C27" s="17"/>
      <c r="D27" s="17"/>
      <c r="E27" s="95"/>
      <c r="F27" s="120">
        <f>DATE(LEFT(G27,4), 6,30)</f>
        <v>46203</v>
      </c>
      <c r="G27" s="95" t="s">
        <v>48</v>
      </c>
      <c r="H27" s="95" t="s">
        <v>49</v>
      </c>
      <c r="I27" s="95" t="s">
        <v>50</v>
      </c>
      <c r="J27" s="95" t="s">
        <v>51</v>
      </c>
      <c r="K27" s="95" t="s">
        <v>52</v>
      </c>
      <c r="L27" s="95" t="s">
        <v>53</v>
      </c>
      <c r="M27" s="95" t="s">
        <v>322</v>
      </c>
      <c r="N27" s="95" t="s">
        <v>323</v>
      </c>
      <c r="O27" s="95" t="s">
        <v>324</v>
      </c>
      <c r="P27" s="95" t="s">
        <v>325</v>
      </c>
      <c r="Q27" s="95" t="s">
        <v>326</v>
      </c>
      <c r="R27" s="95" t="s">
        <v>327</v>
      </c>
      <c r="S27" s="95" t="s">
        <v>328</v>
      </c>
      <c r="T27" s="95" t="s">
        <v>329</v>
      </c>
      <c r="U27" s="95" t="s">
        <v>330</v>
      </c>
      <c r="V27" s="95" t="s">
        <v>331</v>
      </c>
      <c r="W27" s="95" t="s">
        <v>332</v>
      </c>
      <c r="X27" s="95" t="s">
        <v>333</v>
      </c>
      <c r="Y27" s="95" t="s">
        <v>334</v>
      </c>
      <c r="Z27" s="95" t="s">
        <v>349</v>
      </c>
      <c r="AA27" s="96" t="s">
        <v>350</v>
      </c>
      <c r="AB27" s="96" t="s">
        <v>351</v>
      </c>
      <c r="AC27" s="96" t="s">
        <v>352</v>
      </c>
      <c r="AD27" s="96" t="s">
        <v>353</v>
      </c>
      <c r="AE27" s="96" t="s">
        <v>354</v>
      </c>
      <c r="AF27" s="96"/>
      <c r="AG27" s="96"/>
    </row>
    <row r="28" spans="1:33" x14ac:dyDescent="0.2">
      <c r="D28"/>
    </row>
    <row r="29" spans="1:33" ht="15.75" x14ac:dyDescent="0.25">
      <c r="A29" s="5"/>
      <c r="B29" s="94" t="s">
        <v>71</v>
      </c>
      <c r="C29" s="94"/>
      <c r="D29" s="94"/>
      <c r="E29" s="94"/>
      <c r="F29" s="88">
        <f>IF(F$27=start,1,IF(E$27=start,E29/((1+real_disc)^(1/2)),E29/(1+real_disc)))</f>
        <v>0</v>
      </c>
      <c r="G29" s="88">
        <f>IF(G27=start,1/((1+real_disc)^(1/2)),F29/(1+real_disc))</f>
        <v>0.98294637436598087</v>
      </c>
      <c r="H29" s="88">
        <f t="shared" ref="H29:Z29" si="5">IF(H27=start,1,G29/(1+real_disc))</f>
        <v>0.94970664189949849</v>
      </c>
      <c r="I29" s="88">
        <f t="shared" si="5"/>
        <v>0.91759095835700344</v>
      </c>
      <c r="J29" s="88">
        <f t="shared" si="5"/>
        <v>0.88656131242222558</v>
      </c>
      <c r="K29" s="88">
        <f t="shared" si="5"/>
        <v>0.85658097818572532</v>
      </c>
      <c r="L29" s="88">
        <f t="shared" si="5"/>
        <v>0.8276144716770294</v>
      </c>
      <c r="M29" s="88">
        <f t="shared" si="5"/>
        <v>0.79962750886669509</v>
      </c>
      <c r="N29" s="88">
        <f t="shared" si="5"/>
        <v>0.77258696508859437</v>
      </c>
      <c r="O29" s="88">
        <f t="shared" si="5"/>
        <v>0.74646083583439071</v>
      </c>
      <c r="P29" s="88">
        <f t="shared" si="5"/>
        <v>0.72121819887380756</v>
      </c>
      <c r="Q29" s="88">
        <f t="shared" si="5"/>
        <v>0.69682917765585273</v>
      </c>
      <c r="R29" s="88">
        <f t="shared" si="5"/>
        <v>0.67326490594768384</v>
      </c>
      <c r="S29" s="88">
        <f t="shared" si="5"/>
        <v>0.6504974936692598</v>
      </c>
      <c r="T29" s="88">
        <f t="shared" si="5"/>
        <v>0.62849999388334288</v>
      </c>
      <c r="U29" s="88">
        <f t="shared" si="5"/>
        <v>0.60724637090178057</v>
      </c>
      <c r="V29" s="88">
        <f t="shared" si="5"/>
        <v>0.58671146947031949</v>
      </c>
      <c r="W29" s="88">
        <f t="shared" si="5"/>
        <v>0.56687098499547783</v>
      </c>
      <c r="X29" s="88">
        <f t="shared" si="5"/>
        <v>0.54770143477823952</v>
      </c>
      <c r="Y29" s="88">
        <f t="shared" si="5"/>
        <v>0.52918013022052135</v>
      </c>
      <c r="Z29" s="88">
        <f t="shared" si="5"/>
        <v>0.5112851499715183</v>
      </c>
      <c r="AA29" s="88"/>
      <c r="AB29" s="88"/>
      <c r="AC29" s="88"/>
      <c r="AD29" s="88"/>
      <c r="AE29" s="88"/>
      <c r="AF29" s="88"/>
    </row>
    <row r="30" spans="1:33" x14ac:dyDescent="0.2">
      <c r="D30"/>
      <c r="H30" s="88">
        <f>IF(H$27=start,1,IF(G$27=start,G30/((1+real_disc)^(1/2)),G30/(1+real_disc)))</f>
        <v>0</v>
      </c>
    </row>
    <row r="31" spans="1:33" x14ac:dyDescent="0.2">
      <c r="B31" s="13"/>
      <c r="C31" s="13"/>
      <c r="D31" s="160"/>
    </row>
    <row r="32" spans="1:33" x14ac:dyDescent="0.2">
      <c r="B32" s="20"/>
      <c r="C32" s="20"/>
      <c r="D32" s="125"/>
    </row>
    <row r="33" spans="2:4" x14ac:dyDescent="0.2">
      <c r="B33" s="20"/>
      <c r="C33" s="20"/>
      <c r="D33" s="125"/>
    </row>
    <row r="34" spans="2:4" x14ac:dyDescent="0.2">
      <c r="B34" s="20"/>
      <c r="C34" s="20"/>
      <c r="D34" s="125"/>
    </row>
    <row r="35" spans="2:4" x14ac:dyDescent="0.2">
      <c r="B35" s="20"/>
      <c r="C35" s="20"/>
      <c r="D35" s="125"/>
    </row>
    <row r="36" spans="2:4" x14ac:dyDescent="0.2">
      <c r="B36" s="20"/>
      <c r="C36" s="20"/>
      <c r="D36" s="125"/>
    </row>
    <row r="37" spans="2:4" x14ac:dyDescent="0.2">
      <c r="B37" s="20"/>
      <c r="C37" s="20"/>
      <c r="D37" s="125"/>
    </row>
    <row r="38" spans="2:4" x14ac:dyDescent="0.2">
      <c r="B38" s="20"/>
      <c r="C38" s="20"/>
      <c r="D38" s="125"/>
    </row>
    <row r="39" spans="2:4" x14ac:dyDescent="0.2">
      <c r="B39" s="20"/>
      <c r="C39" s="20"/>
      <c r="D39" s="125"/>
    </row>
    <row r="40" spans="2:4" x14ac:dyDescent="0.2">
      <c r="B40" s="20"/>
      <c r="C40" s="20"/>
      <c r="D40" s="125"/>
    </row>
    <row r="41" spans="2:4" x14ac:dyDescent="0.2">
      <c r="B41" s="20"/>
      <c r="C41" s="20"/>
      <c r="D41" s="125"/>
    </row>
    <row r="42" spans="2:4" x14ac:dyDescent="0.2">
      <c r="D42" s="19"/>
    </row>
  </sheetData>
  <pageMargins left="0.7" right="0.7" top="0.75" bottom="0.75" header="0.3" footer="0.3"/>
  <pageSetup paperSize="9" orientation="portrait" horizontalDpi="90" verticalDpi="9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1E31B-D919-4625-B2CD-E9F193C9DE73}">
  <sheetPr codeName="Sheet9">
    <tabColor rgb="FFFFFFCC"/>
  </sheetPr>
  <dimension ref="A1:CM1095"/>
  <sheetViews>
    <sheetView showGridLines="0" zoomScale="80" zoomScaleNormal="80" workbookViewId="0">
      <pane ySplit="2" topLeftCell="A3" activePane="bottomLeft" state="frozen"/>
      <selection activeCell="N2" sqref="N2"/>
      <selection pane="bottomLeft" activeCell="B9" sqref="B9"/>
    </sheetView>
  </sheetViews>
  <sheetFormatPr defaultColWidth="9" defaultRowHeight="12.75" x14ac:dyDescent="0.2"/>
  <cols>
    <col min="1" max="1" width="5.375" style="7" customWidth="1"/>
    <col min="2" max="20" width="9" style="7"/>
    <col min="21" max="21" width="11.375" style="7" bestFit="1" customWidth="1"/>
    <col min="22" max="26" width="9" style="7"/>
    <col min="27" max="27" width="19.125" style="7" customWidth="1"/>
    <col min="28" max="16384" width="9" style="7"/>
  </cols>
  <sheetData>
    <row r="1" spans="1:91" ht="18.75" x14ac:dyDescent="0.3">
      <c r="A1" s="10" t="str">
        <f>bus</f>
        <v>Powercor</v>
      </c>
      <c r="B1" s="10"/>
      <c r="C1" s="10"/>
      <c r="D1" s="10"/>
      <c r="E1" s="10"/>
      <c r="F1" s="10"/>
      <c r="G1" s="10"/>
      <c r="H1" s="10"/>
      <c r="I1" s="10"/>
      <c r="J1" s="10"/>
      <c r="K1" s="91"/>
      <c r="L1" s="91"/>
      <c r="M1" s="91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</row>
    <row r="2" spans="1:91" ht="18.75" x14ac:dyDescent="0.3">
      <c r="A2" s="97" t="str">
        <f>proj</f>
        <v>Quick connect points</v>
      </c>
      <c r="B2" s="97"/>
      <c r="C2" s="97"/>
      <c r="D2" s="97"/>
      <c r="E2" s="97"/>
      <c r="F2" s="97"/>
      <c r="G2" s="10"/>
      <c r="H2" s="10"/>
      <c r="I2" s="10"/>
      <c r="J2" s="10"/>
      <c r="K2" s="91"/>
      <c r="L2" s="91"/>
      <c r="M2" s="91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</row>
    <row r="3" spans="1:91" ht="15.75" x14ac:dyDescent="0.25">
      <c r="A3" s="5"/>
      <c r="B3" s="5"/>
      <c r="C3" s="5"/>
      <c r="D3" s="5"/>
      <c r="E3" s="5"/>
      <c r="F3" s="5"/>
    </row>
    <row r="5" spans="1:91" ht="15" x14ac:dyDescent="0.25">
      <c r="A5" s="165" t="s">
        <v>88</v>
      </c>
      <c r="B5" s="165"/>
      <c r="C5" s="165"/>
      <c r="D5" s="165"/>
      <c r="E5" s="165"/>
      <c r="F5" s="166"/>
      <c r="G5" s="165"/>
      <c r="H5" s="165"/>
      <c r="I5" s="165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</row>
    <row r="8" spans="1:91" x14ac:dyDescent="0.2">
      <c r="B8" s="67" t="s">
        <v>18</v>
      </c>
      <c r="C8" s="19"/>
      <c r="T8"/>
      <c r="U8"/>
      <c r="V8"/>
      <c r="W8"/>
    </row>
    <row r="9" spans="1:91" x14ac:dyDescent="0.2">
      <c r="B9" s="67" t="s">
        <v>90</v>
      </c>
      <c r="C9" s="19"/>
      <c r="T9"/>
      <c r="U9"/>
      <c r="V9"/>
      <c r="W9"/>
    </row>
    <row r="10" spans="1:91" x14ac:dyDescent="0.2">
      <c r="B10" s="67" t="s">
        <v>91</v>
      </c>
      <c r="T10"/>
      <c r="U10"/>
      <c r="V10"/>
      <c r="W10"/>
    </row>
    <row r="11" spans="1:91" x14ac:dyDescent="0.2">
      <c r="T11"/>
      <c r="U11"/>
      <c r="V11"/>
      <c r="W11"/>
    </row>
    <row r="12" spans="1:91" x14ac:dyDescent="0.2">
      <c r="T12"/>
      <c r="U12"/>
      <c r="V12"/>
      <c r="W12"/>
    </row>
    <row r="13" spans="1:91" x14ac:dyDescent="0.2">
      <c r="T13"/>
      <c r="U13"/>
      <c r="V13"/>
      <c r="W13"/>
    </row>
    <row r="14" spans="1:91" x14ac:dyDescent="0.2">
      <c r="A14" s="13" t="s">
        <v>93</v>
      </c>
      <c r="T14"/>
      <c r="U14"/>
      <c r="V14"/>
      <c r="W14"/>
    </row>
    <row r="15" spans="1:91" x14ac:dyDescent="0.2">
      <c r="A15" s="48"/>
      <c r="B15" s="48"/>
      <c r="C15" s="44" t="s">
        <v>92</v>
      </c>
      <c r="D15" s="44" t="s">
        <v>94</v>
      </c>
      <c r="E15" s="44" t="s">
        <v>60</v>
      </c>
      <c r="F15" s="7" t="s">
        <v>95</v>
      </c>
      <c r="T15"/>
      <c r="U15"/>
      <c r="V15"/>
      <c r="W15"/>
    </row>
    <row r="16" spans="1:91" x14ac:dyDescent="0.2">
      <c r="A16" s="25">
        <v>1</v>
      </c>
      <c r="B16" s="25" t="s">
        <v>96</v>
      </c>
      <c r="C16" s="25" t="s">
        <v>97</v>
      </c>
      <c r="D16" s="25" t="b">
        <v>0</v>
      </c>
      <c r="E16" s="21" t="s">
        <v>62</v>
      </c>
      <c r="F16" s="25" t="b">
        <v>0</v>
      </c>
      <c r="T16"/>
      <c r="U16"/>
      <c r="V16"/>
      <c r="W16"/>
    </row>
    <row r="17" spans="1:23" x14ac:dyDescent="0.2">
      <c r="A17" s="25">
        <f>A16+1</f>
        <v>2</v>
      </c>
      <c r="B17" s="25" t="s">
        <v>98</v>
      </c>
      <c r="C17" s="25" t="s">
        <v>98</v>
      </c>
      <c r="D17" s="25" t="b">
        <v>0</v>
      </c>
      <c r="E17" s="21" t="s">
        <v>64</v>
      </c>
      <c r="F17" s="25" t="b">
        <v>1</v>
      </c>
      <c r="T17"/>
      <c r="U17"/>
      <c r="V17"/>
      <c r="W17"/>
    </row>
    <row r="18" spans="1:23" x14ac:dyDescent="0.2">
      <c r="A18" s="25">
        <f t="shared" ref="A18:A28" si="0">A17+1</f>
        <v>3</v>
      </c>
      <c r="B18" s="25" t="s">
        <v>99</v>
      </c>
      <c r="C18" s="25" t="s">
        <v>100</v>
      </c>
      <c r="D18" s="25" t="b">
        <v>0</v>
      </c>
      <c r="E18" s="21" t="s">
        <v>64</v>
      </c>
      <c r="F18" s="25" t="b">
        <v>1</v>
      </c>
      <c r="T18"/>
      <c r="U18"/>
      <c r="V18"/>
      <c r="W18"/>
    </row>
    <row r="19" spans="1:23" x14ac:dyDescent="0.2">
      <c r="A19" s="25">
        <f t="shared" si="0"/>
        <v>4</v>
      </c>
      <c r="B19" s="25" t="s">
        <v>101</v>
      </c>
      <c r="C19" s="25" t="s">
        <v>102</v>
      </c>
      <c r="D19" s="25" t="b">
        <v>0</v>
      </c>
      <c r="E19" s="21" t="s">
        <v>64</v>
      </c>
      <c r="F19" s="25" t="b">
        <v>1</v>
      </c>
      <c r="T19"/>
      <c r="U19"/>
      <c r="V19"/>
      <c r="W19"/>
    </row>
    <row r="20" spans="1:23" ht="13.5" x14ac:dyDescent="0.25">
      <c r="A20" s="25">
        <f t="shared" si="0"/>
        <v>5</v>
      </c>
      <c r="B20" s="25" t="s">
        <v>63</v>
      </c>
      <c r="C20" s="25" t="s">
        <v>103</v>
      </c>
      <c r="D20" s="25" t="b">
        <v>1</v>
      </c>
      <c r="E20" s="21" t="s">
        <v>62</v>
      </c>
      <c r="F20" s="25" t="b">
        <v>0</v>
      </c>
      <c r="T20"/>
      <c r="U20"/>
      <c r="V20"/>
      <c r="W20"/>
    </row>
    <row r="21" spans="1:23" x14ac:dyDescent="0.2">
      <c r="A21" s="25">
        <f t="shared" si="0"/>
        <v>6</v>
      </c>
      <c r="B21" s="25" t="s">
        <v>65</v>
      </c>
      <c r="C21" s="25" t="s">
        <v>104</v>
      </c>
      <c r="D21" s="25" t="b">
        <v>1</v>
      </c>
      <c r="E21" s="21" t="s">
        <v>62</v>
      </c>
      <c r="F21" s="25" t="b">
        <v>0</v>
      </c>
      <c r="T21"/>
      <c r="U21"/>
      <c r="V21"/>
      <c r="W21"/>
    </row>
    <row r="22" spans="1:23" x14ac:dyDescent="0.2">
      <c r="A22" s="25">
        <f t="shared" si="0"/>
        <v>7</v>
      </c>
      <c r="B22" s="25" t="s">
        <v>66</v>
      </c>
      <c r="C22" s="25" t="s">
        <v>104</v>
      </c>
      <c r="D22" s="25" t="b">
        <v>1</v>
      </c>
      <c r="E22" s="21" t="s">
        <v>62</v>
      </c>
      <c r="F22" s="25" t="b">
        <v>0</v>
      </c>
      <c r="T22"/>
      <c r="U22"/>
      <c r="V22"/>
      <c r="W22"/>
    </row>
    <row r="23" spans="1:23" x14ac:dyDescent="0.2">
      <c r="A23" s="25">
        <f t="shared" si="0"/>
        <v>8</v>
      </c>
      <c r="B23" s="25" t="s">
        <v>67</v>
      </c>
      <c r="C23" s="25" t="s">
        <v>104</v>
      </c>
      <c r="D23" s="25" t="b">
        <v>1</v>
      </c>
      <c r="E23" s="21" t="s">
        <v>62</v>
      </c>
      <c r="F23" s="25"/>
      <c r="T23"/>
      <c r="U23"/>
      <c r="V23"/>
      <c r="W23"/>
    </row>
    <row r="24" spans="1:23" x14ac:dyDescent="0.2">
      <c r="A24" s="25">
        <f t="shared" si="0"/>
        <v>9</v>
      </c>
      <c r="B24" s="25" t="s">
        <v>68</v>
      </c>
      <c r="C24" s="25" t="s">
        <v>104</v>
      </c>
      <c r="D24" s="25" t="b">
        <v>1</v>
      </c>
      <c r="E24" s="21" t="s">
        <v>105</v>
      </c>
      <c r="F24" s="25" t="b">
        <v>0</v>
      </c>
      <c r="T24"/>
      <c r="U24"/>
      <c r="V24"/>
      <c r="W24"/>
    </row>
    <row r="25" spans="1:23" x14ac:dyDescent="0.2">
      <c r="A25" s="25">
        <f t="shared" si="0"/>
        <v>10</v>
      </c>
      <c r="B25" s="25" t="s">
        <v>106</v>
      </c>
      <c r="C25" s="25" t="s">
        <v>104</v>
      </c>
      <c r="D25" s="25" t="b">
        <v>1</v>
      </c>
      <c r="E25" s="21" t="s">
        <v>107</v>
      </c>
      <c r="F25" s="25" t="b">
        <v>0</v>
      </c>
      <c r="T25"/>
      <c r="U25"/>
      <c r="V25"/>
      <c r="W25"/>
    </row>
    <row r="26" spans="1:23" x14ac:dyDescent="0.2">
      <c r="A26" s="25">
        <f t="shared" si="0"/>
        <v>11</v>
      </c>
      <c r="B26" s="25" t="s">
        <v>108</v>
      </c>
      <c r="C26" s="25" t="s">
        <v>104</v>
      </c>
      <c r="D26" s="25" t="b">
        <v>1</v>
      </c>
      <c r="E26" s="21" t="s">
        <v>107</v>
      </c>
      <c r="F26" s="25" t="b">
        <v>0</v>
      </c>
      <c r="T26"/>
      <c r="U26"/>
      <c r="V26"/>
      <c r="W26"/>
    </row>
    <row r="27" spans="1:23" x14ac:dyDescent="0.2">
      <c r="A27" s="25">
        <f t="shared" si="0"/>
        <v>12</v>
      </c>
      <c r="B27" s="25" t="s">
        <v>69</v>
      </c>
      <c r="C27" s="25" t="s">
        <v>104</v>
      </c>
      <c r="D27" s="25" t="b">
        <v>1</v>
      </c>
      <c r="E27" s="21" t="s">
        <v>105</v>
      </c>
      <c r="F27" s="25" t="b">
        <v>0</v>
      </c>
      <c r="T27"/>
      <c r="U27"/>
      <c r="V27"/>
      <c r="W27"/>
    </row>
    <row r="28" spans="1:23" x14ac:dyDescent="0.2">
      <c r="A28" s="25">
        <f t="shared" si="0"/>
        <v>13</v>
      </c>
      <c r="B28" s="25" t="s">
        <v>70</v>
      </c>
      <c r="C28" s="25" t="s">
        <v>104</v>
      </c>
      <c r="D28" s="25" t="b">
        <v>1</v>
      </c>
      <c r="E28" s="21" t="s">
        <v>105</v>
      </c>
      <c r="F28" s="25" t="b">
        <v>0</v>
      </c>
      <c r="T28"/>
      <c r="U28"/>
      <c r="V28"/>
      <c r="W28"/>
    </row>
    <row r="29" spans="1:23" x14ac:dyDescent="0.2">
      <c r="T29"/>
      <c r="U29"/>
      <c r="V29"/>
      <c r="W29"/>
    </row>
    <row r="30" spans="1:23" x14ac:dyDescent="0.2">
      <c r="T30"/>
      <c r="U30"/>
      <c r="V30"/>
      <c r="W30"/>
    </row>
    <row r="31" spans="1:23" x14ac:dyDescent="0.2">
      <c r="A31" s="7" t="s">
        <v>111</v>
      </c>
      <c r="T31"/>
      <c r="U31"/>
      <c r="W31"/>
    </row>
    <row r="32" spans="1:23" x14ac:dyDescent="0.2">
      <c r="B32" s="7" t="s">
        <v>112</v>
      </c>
      <c r="C32" s="68">
        <v>1000</v>
      </c>
      <c r="V32"/>
      <c r="W32"/>
    </row>
    <row r="33" spans="1:23" x14ac:dyDescent="0.2">
      <c r="B33" s="7" t="s">
        <v>113</v>
      </c>
      <c r="C33" s="68">
        <v>1000000</v>
      </c>
      <c r="V33"/>
      <c r="W33"/>
    </row>
    <row r="34" spans="1:23" x14ac:dyDescent="0.2">
      <c r="V34"/>
      <c r="W34"/>
    </row>
    <row r="35" spans="1:23" x14ac:dyDescent="0.2">
      <c r="V35"/>
      <c r="W35"/>
    </row>
    <row r="36" spans="1:23" x14ac:dyDescent="0.2">
      <c r="A36" s="7" t="s">
        <v>87</v>
      </c>
      <c r="V36"/>
      <c r="W36"/>
    </row>
    <row r="37" spans="1:23" x14ac:dyDescent="0.2">
      <c r="B37" s="7" t="s">
        <v>87</v>
      </c>
      <c r="C37" s="77" t="s">
        <v>114</v>
      </c>
      <c r="V37"/>
      <c r="W37"/>
    </row>
    <row r="38" spans="1:23" x14ac:dyDescent="0.2">
      <c r="V38"/>
      <c r="W38"/>
    </row>
    <row r="39" spans="1:23" x14ac:dyDescent="0.2">
      <c r="V39"/>
      <c r="W39"/>
    </row>
    <row r="40" spans="1:23" x14ac:dyDescent="0.2">
      <c r="A40" s="7" t="s">
        <v>115</v>
      </c>
      <c r="C40" s="7" t="s">
        <v>116</v>
      </c>
      <c r="V40"/>
      <c r="W40"/>
    </row>
    <row r="41" spans="1:23" x14ac:dyDescent="0.2">
      <c r="V41"/>
      <c r="W41"/>
    </row>
    <row r="42" spans="1:23" x14ac:dyDescent="0.2">
      <c r="V42"/>
      <c r="W42"/>
    </row>
    <row r="43" spans="1:23" x14ac:dyDescent="0.2">
      <c r="V43"/>
      <c r="W43"/>
    </row>
    <row r="44" spans="1:23" x14ac:dyDescent="0.2">
      <c r="A44" s="1"/>
      <c r="B44" s="1"/>
      <c r="C44" s="1"/>
      <c r="D44" s="1"/>
      <c r="E44" s="1"/>
      <c r="F44" s="1"/>
      <c r="K44" s="1"/>
      <c r="L44" s="1"/>
      <c r="M44" s="1"/>
      <c r="N44" s="1"/>
      <c r="O44" s="1"/>
    </row>
    <row r="45" spans="1:23" x14ac:dyDescent="0.2">
      <c r="A45" s="13" t="s">
        <v>117</v>
      </c>
      <c r="B45" s="13"/>
      <c r="K45" s="1"/>
      <c r="L45" s="1"/>
      <c r="M45" s="1"/>
      <c r="N45" s="1"/>
      <c r="O45" s="1"/>
    </row>
    <row r="46" spans="1:23" x14ac:dyDescent="0.2">
      <c r="A46" s="13"/>
      <c r="B46" s="51" t="s">
        <v>118</v>
      </c>
      <c r="F46" s="79">
        <v>0</v>
      </c>
      <c r="K46" s="1"/>
      <c r="L46" s="1"/>
      <c r="M46" s="1"/>
      <c r="N46" s="1"/>
      <c r="O46" s="1"/>
    </row>
    <row r="47" spans="1:23" x14ac:dyDescent="0.2">
      <c r="A47" s="1"/>
      <c r="B47" s="7" t="s">
        <v>119</v>
      </c>
      <c r="F47" s="79">
        <v>1</v>
      </c>
      <c r="K47" s="1"/>
      <c r="L47" s="1"/>
      <c r="M47" s="1"/>
      <c r="N47" s="1"/>
      <c r="O47" s="1"/>
    </row>
    <row r="48" spans="1:23" x14ac:dyDescent="0.2">
      <c r="A48" s="1"/>
      <c r="B48" s="7" t="s">
        <v>120</v>
      </c>
      <c r="F48" s="79">
        <v>1</v>
      </c>
      <c r="K48" s="1"/>
      <c r="L48" s="1"/>
      <c r="M48" s="1"/>
      <c r="N48" s="1"/>
      <c r="O48" s="1"/>
    </row>
    <row r="49" spans="1:24" x14ac:dyDescent="0.2">
      <c r="A49" s="1"/>
      <c r="B49" s="7" t="s">
        <v>121</v>
      </c>
      <c r="F49" s="79">
        <v>1</v>
      </c>
      <c r="K49" s="1"/>
      <c r="L49" s="1"/>
      <c r="M49" s="1"/>
      <c r="N49" s="1"/>
      <c r="O49" s="1"/>
    </row>
    <row r="50" spans="1:24" x14ac:dyDescent="0.2">
      <c r="A50" s="1"/>
      <c r="B50" s="7" t="s">
        <v>122</v>
      </c>
      <c r="F50" s="79">
        <v>1</v>
      </c>
      <c r="K50" s="1"/>
      <c r="L50" s="1"/>
      <c r="M50" s="1"/>
      <c r="N50" s="1"/>
      <c r="O50" s="1"/>
    </row>
    <row r="51" spans="1:24" x14ac:dyDescent="0.2">
      <c r="A51" s="1"/>
      <c r="B51" s="7" t="s">
        <v>123</v>
      </c>
      <c r="F51" s="79">
        <v>3</v>
      </c>
      <c r="K51" s="1"/>
      <c r="L51" s="1"/>
      <c r="M51" s="1"/>
      <c r="N51" s="1"/>
      <c r="O51" s="1"/>
    </row>
    <row r="52" spans="1:24" x14ac:dyDescent="0.2">
      <c r="A52" s="1"/>
      <c r="B52" s="7" t="s">
        <v>124</v>
      </c>
      <c r="F52" s="79">
        <v>3</v>
      </c>
      <c r="K52" s="1"/>
      <c r="L52" s="1"/>
      <c r="M52" s="1"/>
      <c r="N52" s="1"/>
      <c r="O52" s="1"/>
    </row>
    <row r="53" spans="1:24" x14ac:dyDescent="0.2">
      <c r="A53" s="1"/>
      <c r="B53" s="7" t="s">
        <v>125</v>
      </c>
      <c r="F53" s="79">
        <v>6</v>
      </c>
      <c r="K53" s="1"/>
      <c r="L53" s="1"/>
      <c r="M53" s="1"/>
      <c r="N53" s="1"/>
      <c r="O53" s="1"/>
    </row>
    <row r="54" spans="1:24" x14ac:dyDescent="0.2">
      <c r="A54" s="1"/>
      <c r="B54" s="7" t="s">
        <v>126</v>
      </c>
      <c r="F54" s="79">
        <v>6</v>
      </c>
      <c r="K54" s="1"/>
      <c r="L54" s="1"/>
      <c r="M54" s="1"/>
      <c r="N54" s="1"/>
      <c r="O54" s="1"/>
    </row>
    <row r="55" spans="1:24" x14ac:dyDescent="0.2">
      <c r="A55" s="1"/>
      <c r="B55" s="7" t="s">
        <v>127</v>
      </c>
      <c r="F55" s="79">
        <v>10</v>
      </c>
      <c r="K55" s="1"/>
      <c r="L55" s="1"/>
      <c r="M55" s="1"/>
      <c r="N55" s="1"/>
      <c r="O55" s="1"/>
    </row>
    <row r="56" spans="1:24" x14ac:dyDescent="0.2">
      <c r="A56" s="1"/>
      <c r="B56" s="1"/>
      <c r="C56" s="1"/>
      <c r="D56" s="1"/>
      <c r="E56" s="1"/>
      <c r="F56" s="1"/>
      <c r="K56" s="1"/>
      <c r="L56" s="1"/>
      <c r="M56" s="1"/>
      <c r="N56" s="1"/>
      <c r="O56" s="1"/>
    </row>
    <row r="57" spans="1:24" x14ac:dyDescent="0.2">
      <c r="A57" s="1"/>
      <c r="B57" s="1"/>
      <c r="C57" s="1"/>
      <c r="D57" s="1"/>
      <c r="E57" s="1"/>
      <c r="F57" s="1"/>
      <c r="K57" s="1"/>
      <c r="L57" s="1"/>
      <c r="M57" s="1"/>
      <c r="N57" s="1"/>
      <c r="O57" s="1"/>
    </row>
    <row r="58" spans="1:24" x14ac:dyDescent="0.2">
      <c r="T58"/>
      <c r="U58"/>
      <c r="V58"/>
      <c r="W58"/>
    </row>
    <row r="59" spans="1:24" ht="15" x14ac:dyDescent="0.25">
      <c r="A59" s="165" t="s">
        <v>128</v>
      </c>
      <c r="B59" s="165"/>
      <c r="C59" s="165"/>
      <c r="D59" s="165"/>
      <c r="E59" s="165"/>
      <c r="F59" s="166"/>
      <c r="G59" s="165"/>
      <c r="H59" s="165"/>
      <c r="I59" s="165"/>
      <c r="J59" s="166"/>
      <c r="K59" s="166"/>
      <c r="L59" s="166"/>
      <c r="M59" s="166"/>
      <c r="N59" s="166"/>
      <c r="O59" s="166"/>
      <c r="P59" s="166"/>
      <c r="Q59" s="166"/>
      <c r="R59" s="166"/>
      <c r="S59" s="166"/>
      <c r="T59" s="166"/>
      <c r="U59" s="166"/>
      <c r="V59" s="166"/>
      <c r="W59" s="166"/>
    </row>
    <row r="60" spans="1:24" x14ac:dyDescent="0.2">
      <c r="T60"/>
      <c r="U60"/>
      <c r="V60"/>
      <c r="W60"/>
      <c r="X60"/>
    </row>
    <row r="61" spans="1:24" x14ac:dyDescent="0.2">
      <c r="B61" s="7" t="s">
        <v>129</v>
      </c>
      <c r="E61" s="7" t="s">
        <v>130</v>
      </c>
      <c r="G61" s="7" t="s">
        <v>131</v>
      </c>
      <c r="I61" s="7" t="s">
        <v>132</v>
      </c>
      <c r="M61" s="7" t="s">
        <v>133</v>
      </c>
      <c r="O61" s="7" t="s">
        <v>111</v>
      </c>
      <c r="Q61" s="7" t="s">
        <v>134</v>
      </c>
      <c r="S61" s="7" t="s">
        <v>348</v>
      </c>
      <c r="T61"/>
      <c r="U61"/>
      <c r="V61" s="7" t="s">
        <v>355</v>
      </c>
      <c r="X61"/>
    </row>
    <row r="62" spans="1:24" x14ac:dyDescent="0.2">
      <c r="B62" s="23" t="s">
        <v>109</v>
      </c>
      <c r="C62" s="75" t="s">
        <v>135</v>
      </c>
      <c r="E62" s="51" t="s">
        <v>118</v>
      </c>
      <c r="G62" s="23" t="b">
        <v>0</v>
      </c>
      <c r="I62" s="23" t="s">
        <v>16</v>
      </c>
      <c r="J62" s="35">
        <v>6</v>
      </c>
      <c r="K62" s="35" t="s">
        <v>136</v>
      </c>
      <c r="M62" s="35" t="s">
        <v>89</v>
      </c>
      <c r="P62" s="22"/>
      <c r="Q62" s="21">
        <v>2023</v>
      </c>
      <c r="S62" s="42" t="s">
        <v>345</v>
      </c>
      <c r="T62"/>
      <c r="U62"/>
      <c r="V62" s="21" t="s">
        <v>48</v>
      </c>
    </row>
    <row r="63" spans="1:24" x14ac:dyDescent="0.2">
      <c r="B63" s="23" t="s">
        <v>13</v>
      </c>
      <c r="C63" s="75" t="s">
        <v>137</v>
      </c>
      <c r="E63" s="23" t="s">
        <v>61</v>
      </c>
      <c r="G63" s="23" t="b">
        <v>1</v>
      </c>
      <c r="I63" s="23" t="s">
        <v>138</v>
      </c>
      <c r="J63" s="35">
        <v>12</v>
      </c>
      <c r="K63" s="35" t="s">
        <v>139</v>
      </c>
      <c r="P63" s="22"/>
      <c r="Q63" s="21">
        <f>Q62-1</f>
        <v>2022</v>
      </c>
      <c r="S63" s="42" t="s">
        <v>336</v>
      </c>
      <c r="T63"/>
      <c r="U63"/>
      <c r="V63" s="21" t="s">
        <v>356</v>
      </c>
    </row>
    <row r="64" spans="1:24" x14ac:dyDescent="0.2">
      <c r="B64" s="23" t="s">
        <v>110</v>
      </c>
      <c r="C64" s="75" t="s">
        <v>140</v>
      </c>
      <c r="E64" s="23" t="s">
        <v>141</v>
      </c>
      <c r="I64" s="19"/>
      <c r="J64" s="19"/>
      <c r="K64" s="22"/>
      <c r="P64" s="22"/>
      <c r="Q64" s="21">
        <f>Q63-1</f>
        <v>2021</v>
      </c>
      <c r="S64" s="42" t="s">
        <v>337</v>
      </c>
      <c r="T64"/>
      <c r="U64"/>
      <c r="V64" s="21" t="s">
        <v>357</v>
      </c>
      <c r="W64"/>
      <c r="X64"/>
    </row>
    <row r="65" spans="3:24" x14ac:dyDescent="0.2">
      <c r="C65" s="71"/>
      <c r="E65" s="23"/>
      <c r="I65" s="19"/>
      <c r="J65" s="19"/>
      <c r="P65" s="22"/>
      <c r="Q65" s="21">
        <f>Q64-1</f>
        <v>2020</v>
      </c>
      <c r="S65" s="42" t="s">
        <v>338</v>
      </c>
      <c r="T65"/>
      <c r="U65"/>
      <c r="V65" s="21"/>
      <c r="W65"/>
      <c r="X65"/>
    </row>
    <row r="66" spans="3:24" x14ac:dyDescent="0.2">
      <c r="C66" s="71"/>
      <c r="I66" s="19"/>
      <c r="J66" s="19"/>
      <c r="Q66" s="21"/>
      <c r="S66" s="42" t="s">
        <v>346</v>
      </c>
      <c r="T66"/>
      <c r="U66"/>
      <c r="V66"/>
      <c r="W66"/>
      <c r="X66"/>
    </row>
    <row r="67" spans="3:24" x14ac:dyDescent="0.2">
      <c r="I67" s="19"/>
      <c r="J67" s="19"/>
      <c r="Q67" s="21"/>
      <c r="S67" s="42" t="s">
        <v>339</v>
      </c>
      <c r="T67"/>
      <c r="U67"/>
      <c r="V67"/>
      <c r="W67"/>
      <c r="X67"/>
    </row>
    <row r="68" spans="3:24" x14ac:dyDescent="0.2">
      <c r="S68" s="42" t="s">
        <v>347</v>
      </c>
      <c r="T68"/>
      <c r="U68"/>
      <c r="V68"/>
      <c r="W68"/>
      <c r="X68"/>
    </row>
    <row r="69" spans="3:24" x14ac:dyDescent="0.2">
      <c r="S69" s="42" t="s">
        <v>340</v>
      </c>
      <c r="T69"/>
      <c r="U69"/>
      <c r="V69"/>
      <c r="W69"/>
      <c r="X69"/>
    </row>
    <row r="70" spans="3:24" x14ac:dyDescent="0.2">
      <c r="S70" s="42" t="s">
        <v>341</v>
      </c>
      <c r="T70"/>
      <c r="U70"/>
      <c r="V70"/>
      <c r="W70"/>
      <c r="X70"/>
    </row>
    <row r="71" spans="3:24" x14ac:dyDescent="0.2">
      <c r="S71" s="42" t="s">
        <v>342</v>
      </c>
      <c r="T71"/>
      <c r="U71"/>
      <c r="V71"/>
      <c r="W71"/>
      <c r="X71"/>
    </row>
    <row r="72" spans="3:24" x14ac:dyDescent="0.2">
      <c r="S72" s="42" t="s">
        <v>343</v>
      </c>
      <c r="T72"/>
      <c r="U72"/>
      <c r="V72"/>
      <c r="W72"/>
      <c r="X72"/>
    </row>
    <row r="73" spans="3:24" x14ac:dyDescent="0.2">
      <c r="T73"/>
      <c r="U73"/>
      <c r="V73"/>
      <c r="W73"/>
    </row>
    <row r="74" spans="3:24" x14ac:dyDescent="0.2">
      <c r="T74"/>
      <c r="U74"/>
      <c r="V74"/>
      <c r="W74"/>
    </row>
    <row r="75" spans="3:24" x14ac:dyDescent="0.2">
      <c r="U75"/>
      <c r="V75"/>
      <c r="W75"/>
    </row>
    <row r="76" spans="3:24" x14ac:dyDescent="0.2">
      <c r="T76"/>
      <c r="U76"/>
      <c r="V76"/>
      <c r="W76"/>
    </row>
    <row r="77" spans="3:24" x14ac:dyDescent="0.2">
      <c r="T77"/>
      <c r="U77"/>
      <c r="V77"/>
      <c r="W77"/>
    </row>
    <row r="78" spans="3:24" x14ac:dyDescent="0.2">
      <c r="T78"/>
      <c r="U78"/>
      <c r="V78"/>
      <c r="W78"/>
    </row>
    <row r="79" spans="3:24" x14ac:dyDescent="0.2">
      <c r="T79"/>
      <c r="U79"/>
      <c r="V79"/>
      <c r="W79"/>
    </row>
    <row r="80" spans="3:24" x14ac:dyDescent="0.2">
      <c r="T80"/>
      <c r="U80"/>
      <c r="V80"/>
      <c r="W80"/>
    </row>
    <row r="81" spans="20:23" x14ac:dyDescent="0.2">
      <c r="T81"/>
      <c r="U81"/>
      <c r="V81"/>
      <c r="W81"/>
    </row>
    <row r="82" spans="20:23" x14ac:dyDescent="0.2">
      <c r="T82"/>
      <c r="U82"/>
      <c r="V82"/>
      <c r="W82"/>
    </row>
    <row r="83" spans="20:23" x14ac:dyDescent="0.2">
      <c r="T83"/>
      <c r="U83"/>
      <c r="V83"/>
      <c r="W83"/>
    </row>
    <row r="84" spans="20:23" x14ac:dyDescent="0.2">
      <c r="T84"/>
      <c r="U84"/>
      <c r="V84"/>
      <c r="W84"/>
    </row>
    <row r="85" spans="20:23" x14ac:dyDescent="0.2">
      <c r="T85"/>
      <c r="U85"/>
      <c r="V85"/>
      <c r="W85"/>
    </row>
    <row r="86" spans="20:23" x14ac:dyDescent="0.2">
      <c r="T86"/>
      <c r="U86"/>
      <c r="V86"/>
      <c r="W86"/>
    </row>
    <row r="87" spans="20:23" x14ac:dyDescent="0.2">
      <c r="T87"/>
      <c r="U87"/>
      <c r="V87"/>
      <c r="W87"/>
    </row>
    <row r="88" spans="20:23" x14ac:dyDescent="0.2">
      <c r="T88"/>
      <c r="U88"/>
      <c r="V88"/>
      <c r="W88"/>
    </row>
    <row r="89" spans="20:23" x14ac:dyDescent="0.2">
      <c r="T89"/>
      <c r="U89"/>
      <c r="V89"/>
      <c r="W89"/>
    </row>
    <row r="90" spans="20:23" x14ac:dyDescent="0.2">
      <c r="T90"/>
      <c r="U90"/>
      <c r="V90"/>
      <c r="W90"/>
    </row>
    <row r="91" spans="20:23" x14ac:dyDescent="0.2">
      <c r="T91"/>
      <c r="U91"/>
      <c r="V91"/>
      <c r="W91"/>
    </row>
    <row r="92" spans="20:23" x14ac:dyDescent="0.2">
      <c r="T92"/>
      <c r="U92"/>
      <c r="V92"/>
      <c r="W92"/>
    </row>
    <row r="93" spans="20:23" x14ac:dyDescent="0.2">
      <c r="T93"/>
      <c r="U93"/>
      <c r="V93"/>
      <c r="W93"/>
    </row>
    <row r="94" spans="20:23" x14ac:dyDescent="0.2">
      <c r="T94"/>
      <c r="U94"/>
      <c r="V94"/>
      <c r="W94"/>
    </row>
    <row r="95" spans="20:23" x14ac:dyDescent="0.2">
      <c r="T95"/>
      <c r="U95"/>
      <c r="V95"/>
      <c r="W95"/>
    </row>
    <row r="96" spans="20:23" x14ac:dyDescent="0.2">
      <c r="T96"/>
      <c r="U96"/>
      <c r="V96"/>
      <c r="W96"/>
    </row>
    <row r="97" spans="20:23" x14ac:dyDescent="0.2">
      <c r="T97"/>
      <c r="U97"/>
      <c r="V97"/>
      <c r="W97"/>
    </row>
    <row r="98" spans="20:23" x14ac:dyDescent="0.2">
      <c r="T98"/>
      <c r="U98"/>
      <c r="V98"/>
      <c r="W98"/>
    </row>
    <row r="99" spans="20:23" x14ac:dyDescent="0.2">
      <c r="T99"/>
      <c r="U99"/>
      <c r="V99"/>
      <c r="W99"/>
    </row>
    <row r="100" spans="20:23" x14ac:dyDescent="0.2">
      <c r="T100"/>
      <c r="U100"/>
      <c r="V100"/>
      <c r="W100"/>
    </row>
    <row r="101" spans="20:23" x14ac:dyDescent="0.2">
      <c r="T101"/>
      <c r="U101"/>
      <c r="V101"/>
      <c r="W101"/>
    </row>
    <row r="102" spans="20:23" x14ac:dyDescent="0.2">
      <c r="T102"/>
      <c r="U102"/>
      <c r="V102"/>
      <c r="W102"/>
    </row>
    <row r="103" spans="20:23" x14ac:dyDescent="0.2">
      <c r="T103"/>
      <c r="U103"/>
      <c r="V103"/>
      <c r="W103"/>
    </row>
    <row r="104" spans="20:23" x14ac:dyDescent="0.2">
      <c r="T104"/>
      <c r="U104"/>
      <c r="V104"/>
      <c r="W104"/>
    </row>
    <row r="105" spans="20:23" x14ac:dyDescent="0.2">
      <c r="T105"/>
      <c r="U105"/>
      <c r="V105"/>
      <c r="W105"/>
    </row>
    <row r="106" spans="20:23" x14ac:dyDescent="0.2">
      <c r="T106"/>
      <c r="U106"/>
      <c r="V106"/>
      <c r="W106"/>
    </row>
    <row r="107" spans="20:23" x14ac:dyDescent="0.2">
      <c r="T107"/>
      <c r="U107"/>
      <c r="V107"/>
      <c r="W107"/>
    </row>
    <row r="108" spans="20:23" x14ac:dyDescent="0.2">
      <c r="T108"/>
      <c r="U108"/>
      <c r="V108"/>
      <c r="W108"/>
    </row>
    <row r="109" spans="20:23" x14ac:dyDescent="0.2">
      <c r="T109"/>
      <c r="U109"/>
      <c r="V109"/>
      <c r="W109"/>
    </row>
    <row r="110" spans="20:23" x14ac:dyDescent="0.2">
      <c r="T110"/>
      <c r="U110"/>
      <c r="V110"/>
      <c r="W110"/>
    </row>
    <row r="111" spans="20:23" x14ac:dyDescent="0.2">
      <c r="T111"/>
      <c r="U111"/>
      <c r="V111"/>
      <c r="W111"/>
    </row>
    <row r="112" spans="20:23" x14ac:dyDescent="0.2">
      <c r="T112"/>
      <c r="U112"/>
      <c r="V112"/>
      <c r="W112"/>
    </row>
    <row r="113" spans="20:23" x14ac:dyDescent="0.2">
      <c r="T113"/>
      <c r="U113"/>
      <c r="V113"/>
      <c r="W113"/>
    </row>
    <row r="114" spans="20:23" x14ac:dyDescent="0.2">
      <c r="T114"/>
      <c r="U114"/>
      <c r="V114"/>
      <c r="W114"/>
    </row>
    <row r="115" spans="20:23" x14ac:dyDescent="0.2">
      <c r="T115"/>
      <c r="U115"/>
      <c r="V115"/>
      <c r="W115"/>
    </row>
    <row r="116" spans="20:23" x14ac:dyDescent="0.2">
      <c r="T116"/>
      <c r="U116"/>
      <c r="V116"/>
      <c r="W116"/>
    </row>
    <row r="117" spans="20:23" x14ac:dyDescent="0.2">
      <c r="T117"/>
      <c r="U117"/>
      <c r="V117"/>
      <c r="W117"/>
    </row>
    <row r="118" spans="20:23" x14ac:dyDescent="0.2">
      <c r="T118"/>
      <c r="U118"/>
      <c r="V118"/>
      <c r="W118"/>
    </row>
    <row r="119" spans="20:23" x14ac:dyDescent="0.2">
      <c r="T119"/>
      <c r="U119"/>
      <c r="V119"/>
      <c r="W119"/>
    </row>
    <row r="120" spans="20:23" x14ac:dyDescent="0.2">
      <c r="T120"/>
      <c r="U120"/>
      <c r="V120"/>
      <c r="W120"/>
    </row>
    <row r="121" spans="20:23" x14ac:dyDescent="0.2">
      <c r="T121"/>
      <c r="U121"/>
      <c r="V121"/>
      <c r="W121"/>
    </row>
    <row r="122" spans="20:23" x14ac:dyDescent="0.2">
      <c r="T122"/>
      <c r="U122"/>
      <c r="V122"/>
      <c r="W122"/>
    </row>
    <row r="123" spans="20:23" x14ac:dyDescent="0.2">
      <c r="T123"/>
      <c r="U123"/>
      <c r="V123"/>
      <c r="W123"/>
    </row>
    <row r="124" spans="20:23" x14ac:dyDescent="0.2">
      <c r="T124"/>
      <c r="U124"/>
      <c r="V124"/>
      <c r="W124"/>
    </row>
    <row r="125" spans="20:23" x14ac:dyDescent="0.2">
      <c r="T125"/>
      <c r="U125"/>
      <c r="V125"/>
      <c r="W125"/>
    </row>
    <row r="126" spans="20:23" x14ac:dyDescent="0.2">
      <c r="T126"/>
      <c r="U126"/>
      <c r="V126"/>
      <c r="W126"/>
    </row>
    <row r="127" spans="20:23" x14ac:dyDescent="0.2">
      <c r="T127"/>
      <c r="U127"/>
      <c r="V127"/>
      <c r="W127"/>
    </row>
    <row r="128" spans="20:23" x14ac:dyDescent="0.2">
      <c r="T128"/>
      <c r="U128"/>
      <c r="V128"/>
      <c r="W128"/>
    </row>
    <row r="129" spans="20:23" x14ac:dyDescent="0.2">
      <c r="T129"/>
      <c r="U129"/>
      <c r="V129"/>
      <c r="W129"/>
    </row>
    <row r="130" spans="20:23" x14ac:dyDescent="0.2">
      <c r="T130"/>
      <c r="U130"/>
      <c r="V130"/>
      <c r="W130"/>
    </row>
    <row r="131" spans="20:23" x14ac:dyDescent="0.2">
      <c r="T131"/>
      <c r="U131"/>
      <c r="V131"/>
      <c r="W131"/>
    </row>
    <row r="132" spans="20:23" x14ac:dyDescent="0.2">
      <c r="T132"/>
      <c r="U132"/>
      <c r="V132"/>
      <c r="W132"/>
    </row>
    <row r="133" spans="20:23" x14ac:dyDescent="0.2">
      <c r="T133"/>
      <c r="U133"/>
      <c r="V133"/>
      <c r="W133"/>
    </row>
    <row r="134" spans="20:23" x14ac:dyDescent="0.2">
      <c r="T134"/>
      <c r="U134"/>
      <c r="V134"/>
      <c r="W134"/>
    </row>
    <row r="135" spans="20:23" x14ac:dyDescent="0.2">
      <c r="T135"/>
      <c r="U135"/>
      <c r="V135"/>
      <c r="W135"/>
    </row>
    <row r="136" spans="20:23" x14ac:dyDescent="0.2">
      <c r="T136"/>
      <c r="U136"/>
      <c r="V136"/>
      <c r="W136"/>
    </row>
    <row r="137" spans="20:23" x14ac:dyDescent="0.2">
      <c r="T137"/>
      <c r="U137"/>
      <c r="V137"/>
      <c r="W137"/>
    </row>
    <row r="138" spans="20:23" x14ac:dyDescent="0.2">
      <c r="T138"/>
      <c r="U138"/>
      <c r="V138"/>
      <c r="W138"/>
    </row>
    <row r="139" spans="20:23" x14ac:dyDescent="0.2">
      <c r="T139"/>
      <c r="U139"/>
      <c r="V139"/>
      <c r="W139"/>
    </row>
    <row r="140" spans="20:23" x14ac:dyDescent="0.2">
      <c r="T140"/>
      <c r="U140"/>
      <c r="V140"/>
      <c r="W140"/>
    </row>
    <row r="141" spans="20:23" x14ac:dyDescent="0.2">
      <c r="T141"/>
      <c r="U141"/>
      <c r="V141"/>
      <c r="W141"/>
    </row>
    <row r="142" spans="20:23" x14ac:dyDescent="0.2">
      <c r="T142"/>
      <c r="U142"/>
      <c r="V142"/>
      <c r="W142"/>
    </row>
    <row r="143" spans="20:23" x14ac:dyDescent="0.2">
      <c r="T143"/>
      <c r="U143"/>
      <c r="V143"/>
      <c r="W143"/>
    </row>
    <row r="144" spans="20:23" x14ac:dyDescent="0.2">
      <c r="T144"/>
      <c r="U144"/>
      <c r="V144"/>
      <c r="W144"/>
    </row>
    <row r="145" spans="20:23" x14ac:dyDescent="0.2">
      <c r="T145"/>
      <c r="U145"/>
      <c r="V145"/>
      <c r="W145"/>
    </row>
    <row r="146" spans="20:23" x14ac:dyDescent="0.2">
      <c r="T146"/>
      <c r="U146"/>
      <c r="V146"/>
      <c r="W146"/>
    </row>
    <row r="147" spans="20:23" x14ac:dyDescent="0.2">
      <c r="T147"/>
      <c r="U147"/>
      <c r="V147"/>
      <c r="W147"/>
    </row>
    <row r="148" spans="20:23" x14ac:dyDescent="0.2">
      <c r="T148"/>
      <c r="U148"/>
      <c r="V148"/>
      <c r="W148"/>
    </row>
    <row r="149" spans="20:23" x14ac:dyDescent="0.2">
      <c r="T149"/>
      <c r="U149"/>
      <c r="V149"/>
      <c r="W149"/>
    </row>
    <row r="150" spans="20:23" x14ac:dyDescent="0.2">
      <c r="T150"/>
      <c r="U150"/>
      <c r="V150"/>
      <c r="W150"/>
    </row>
    <row r="151" spans="20:23" x14ac:dyDescent="0.2">
      <c r="T151"/>
      <c r="U151"/>
      <c r="V151"/>
      <c r="W151"/>
    </row>
    <row r="152" spans="20:23" x14ac:dyDescent="0.2">
      <c r="T152"/>
      <c r="U152"/>
      <c r="V152"/>
      <c r="W152"/>
    </row>
    <row r="153" spans="20:23" x14ac:dyDescent="0.2">
      <c r="T153"/>
      <c r="U153"/>
      <c r="V153"/>
      <c r="W153"/>
    </row>
    <row r="154" spans="20:23" x14ac:dyDescent="0.2">
      <c r="T154"/>
      <c r="U154"/>
      <c r="V154"/>
      <c r="W154"/>
    </row>
    <row r="155" spans="20:23" x14ac:dyDescent="0.2">
      <c r="T155"/>
      <c r="U155"/>
      <c r="V155"/>
      <c r="W155"/>
    </row>
    <row r="156" spans="20:23" x14ac:dyDescent="0.2">
      <c r="T156"/>
      <c r="U156"/>
      <c r="V156"/>
      <c r="W156"/>
    </row>
    <row r="157" spans="20:23" x14ac:dyDescent="0.2">
      <c r="T157"/>
      <c r="U157"/>
      <c r="V157"/>
      <c r="W157"/>
    </row>
    <row r="158" spans="20:23" x14ac:dyDescent="0.2">
      <c r="T158"/>
      <c r="U158"/>
      <c r="V158"/>
      <c r="W158"/>
    </row>
    <row r="159" spans="20:23" x14ac:dyDescent="0.2">
      <c r="T159"/>
      <c r="U159"/>
      <c r="V159"/>
      <c r="W159"/>
    </row>
    <row r="160" spans="20:23" x14ac:dyDescent="0.2">
      <c r="T160"/>
      <c r="U160"/>
      <c r="V160"/>
      <c r="W160"/>
    </row>
    <row r="161" spans="20:23" x14ac:dyDescent="0.2">
      <c r="T161"/>
      <c r="U161"/>
      <c r="V161"/>
      <c r="W161"/>
    </row>
    <row r="162" spans="20:23" x14ac:dyDescent="0.2">
      <c r="T162"/>
      <c r="U162"/>
      <c r="V162"/>
      <c r="W162"/>
    </row>
    <row r="163" spans="20:23" x14ac:dyDescent="0.2">
      <c r="T163"/>
      <c r="U163"/>
      <c r="V163"/>
      <c r="W163"/>
    </row>
    <row r="164" spans="20:23" x14ac:dyDescent="0.2">
      <c r="T164"/>
      <c r="U164"/>
      <c r="V164"/>
      <c r="W164"/>
    </row>
    <row r="165" spans="20:23" x14ac:dyDescent="0.2">
      <c r="T165"/>
      <c r="U165"/>
      <c r="V165"/>
      <c r="W165"/>
    </row>
    <row r="166" spans="20:23" x14ac:dyDescent="0.2">
      <c r="T166"/>
      <c r="U166"/>
      <c r="V166"/>
      <c r="W166"/>
    </row>
    <row r="167" spans="20:23" x14ac:dyDescent="0.2">
      <c r="T167"/>
      <c r="U167"/>
      <c r="V167"/>
      <c r="W167"/>
    </row>
    <row r="168" spans="20:23" x14ac:dyDescent="0.2">
      <c r="T168"/>
      <c r="U168"/>
      <c r="V168"/>
      <c r="W168"/>
    </row>
    <row r="169" spans="20:23" x14ac:dyDescent="0.2">
      <c r="T169"/>
      <c r="U169"/>
      <c r="V169"/>
      <c r="W169"/>
    </row>
    <row r="170" spans="20:23" x14ac:dyDescent="0.2">
      <c r="T170"/>
      <c r="U170"/>
      <c r="V170"/>
      <c r="W170"/>
    </row>
    <row r="171" spans="20:23" x14ac:dyDescent="0.2">
      <c r="T171"/>
      <c r="U171"/>
      <c r="V171"/>
      <c r="W171"/>
    </row>
    <row r="172" spans="20:23" x14ac:dyDescent="0.2">
      <c r="T172"/>
      <c r="U172"/>
      <c r="V172"/>
      <c r="W172"/>
    </row>
    <row r="173" spans="20:23" x14ac:dyDescent="0.2">
      <c r="T173"/>
      <c r="U173"/>
      <c r="V173"/>
      <c r="W173"/>
    </row>
    <row r="174" spans="20:23" x14ac:dyDescent="0.2">
      <c r="T174"/>
      <c r="U174"/>
      <c r="V174"/>
      <c r="W174"/>
    </row>
    <row r="175" spans="20:23" x14ac:dyDescent="0.2">
      <c r="T175"/>
      <c r="U175"/>
      <c r="V175"/>
      <c r="W175"/>
    </row>
    <row r="176" spans="20:23" x14ac:dyDescent="0.2">
      <c r="T176"/>
      <c r="U176"/>
      <c r="V176"/>
      <c r="W176"/>
    </row>
    <row r="177" spans="20:23" x14ac:dyDescent="0.2">
      <c r="T177"/>
      <c r="U177"/>
      <c r="V177"/>
      <c r="W177"/>
    </row>
    <row r="178" spans="20:23" x14ac:dyDescent="0.2">
      <c r="T178"/>
      <c r="U178"/>
      <c r="V178"/>
      <c r="W178"/>
    </row>
    <row r="179" spans="20:23" x14ac:dyDescent="0.2">
      <c r="T179"/>
      <c r="U179"/>
      <c r="V179"/>
      <c r="W179"/>
    </row>
    <row r="180" spans="20:23" x14ac:dyDescent="0.2">
      <c r="T180"/>
      <c r="U180"/>
      <c r="V180"/>
      <c r="W180"/>
    </row>
    <row r="181" spans="20:23" x14ac:dyDescent="0.2">
      <c r="T181"/>
      <c r="U181"/>
      <c r="V181"/>
      <c r="W181"/>
    </row>
    <row r="182" spans="20:23" x14ac:dyDescent="0.2">
      <c r="T182"/>
      <c r="U182"/>
      <c r="V182"/>
      <c r="W182"/>
    </row>
    <row r="183" spans="20:23" x14ac:dyDescent="0.2">
      <c r="T183"/>
      <c r="U183"/>
      <c r="V183"/>
      <c r="W183"/>
    </row>
    <row r="184" spans="20:23" x14ac:dyDescent="0.2">
      <c r="T184"/>
      <c r="U184"/>
      <c r="V184"/>
      <c r="W184"/>
    </row>
    <row r="185" spans="20:23" x14ac:dyDescent="0.2">
      <c r="T185"/>
      <c r="U185"/>
      <c r="V185"/>
      <c r="W185"/>
    </row>
    <row r="186" spans="20:23" x14ac:dyDescent="0.2">
      <c r="T186"/>
      <c r="U186"/>
      <c r="V186"/>
      <c r="W186"/>
    </row>
    <row r="187" spans="20:23" x14ac:dyDescent="0.2">
      <c r="T187"/>
      <c r="U187"/>
      <c r="V187"/>
      <c r="W187"/>
    </row>
    <row r="188" spans="20:23" x14ac:dyDescent="0.2">
      <c r="T188"/>
      <c r="U188"/>
      <c r="V188"/>
      <c r="W188"/>
    </row>
    <row r="189" spans="20:23" x14ac:dyDescent="0.2">
      <c r="T189"/>
      <c r="U189"/>
      <c r="V189"/>
      <c r="W189"/>
    </row>
    <row r="190" spans="20:23" x14ac:dyDescent="0.2">
      <c r="T190"/>
      <c r="U190"/>
      <c r="V190"/>
      <c r="W190"/>
    </row>
    <row r="191" spans="20:23" x14ac:dyDescent="0.2">
      <c r="T191"/>
      <c r="U191"/>
      <c r="V191"/>
      <c r="W191"/>
    </row>
    <row r="192" spans="20:23" x14ac:dyDescent="0.2">
      <c r="T192"/>
      <c r="U192"/>
      <c r="V192"/>
      <c r="W192"/>
    </row>
    <row r="193" spans="20:23" x14ac:dyDescent="0.2">
      <c r="T193"/>
      <c r="U193"/>
      <c r="V193"/>
      <c r="W193"/>
    </row>
    <row r="194" spans="20:23" x14ac:dyDescent="0.2">
      <c r="T194"/>
      <c r="U194"/>
      <c r="V194"/>
      <c r="W194"/>
    </row>
    <row r="195" spans="20:23" x14ac:dyDescent="0.2">
      <c r="T195"/>
      <c r="U195"/>
      <c r="V195"/>
      <c r="W195"/>
    </row>
    <row r="196" spans="20:23" x14ac:dyDescent="0.2">
      <c r="T196"/>
      <c r="U196"/>
      <c r="V196"/>
      <c r="W196"/>
    </row>
    <row r="197" spans="20:23" x14ac:dyDescent="0.2">
      <c r="T197"/>
      <c r="U197"/>
      <c r="V197"/>
      <c r="W197"/>
    </row>
    <row r="198" spans="20:23" x14ac:dyDescent="0.2">
      <c r="T198"/>
      <c r="U198"/>
      <c r="V198"/>
      <c r="W198"/>
    </row>
    <row r="199" spans="20:23" x14ac:dyDescent="0.2">
      <c r="T199"/>
      <c r="U199"/>
      <c r="V199"/>
      <c r="W199"/>
    </row>
    <row r="200" spans="20:23" x14ac:dyDescent="0.2">
      <c r="T200"/>
      <c r="U200"/>
      <c r="V200"/>
      <c r="W200"/>
    </row>
    <row r="201" spans="20:23" x14ac:dyDescent="0.2">
      <c r="T201"/>
      <c r="U201"/>
      <c r="V201"/>
      <c r="W201"/>
    </row>
    <row r="202" spans="20:23" x14ac:dyDescent="0.2">
      <c r="T202"/>
      <c r="U202"/>
      <c r="V202"/>
      <c r="W202"/>
    </row>
    <row r="203" spans="20:23" x14ac:dyDescent="0.2">
      <c r="T203"/>
      <c r="U203"/>
      <c r="V203"/>
      <c r="W203"/>
    </row>
    <row r="204" spans="20:23" x14ac:dyDescent="0.2">
      <c r="T204"/>
      <c r="U204"/>
      <c r="V204"/>
      <c r="W204"/>
    </row>
    <row r="205" spans="20:23" x14ac:dyDescent="0.2">
      <c r="T205"/>
      <c r="U205"/>
      <c r="V205"/>
      <c r="W205"/>
    </row>
    <row r="206" spans="20:23" x14ac:dyDescent="0.2">
      <c r="T206"/>
      <c r="U206"/>
      <c r="V206"/>
      <c r="W206"/>
    </row>
    <row r="207" spans="20:23" x14ac:dyDescent="0.2">
      <c r="T207"/>
      <c r="U207"/>
      <c r="V207"/>
      <c r="W207"/>
    </row>
    <row r="208" spans="20:23" x14ac:dyDescent="0.2">
      <c r="T208"/>
      <c r="U208"/>
      <c r="V208"/>
      <c r="W208"/>
    </row>
    <row r="209" spans="20:23" x14ac:dyDescent="0.2">
      <c r="T209"/>
      <c r="U209"/>
      <c r="V209"/>
      <c r="W209"/>
    </row>
    <row r="210" spans="20:23" x14ac:dyDescent="0.2">
      <c r="T210"/>
      <c r="U210"/>
      <c r="V210"/>
      <c r="W210"/>
    </row>
    <row r="211" spans="20:23" x14ac:dyDescent="0.2">
      <c r="T211"/>
      <c r="U211"/>
      <c r="V211"/>
      <c r="W211"/>
    </row>
    <row r="212" spans="20:23" x14ac:dyDescent="0.2">
      <c r="T212"/>
      <c r="U212"/>
      <c r="V212"/>
      <c r="W212"/>
    </row>
    <row r="213" spans="20:23" x14ac:dyDescent="0.2">
      <c r="T213"/>
      <c r="U213"/>
      <c r="V213"/>
      <c r="W213"/>
    </row>
    <row r="214" spans="20:23" x14ac:dyDescent="0.2">
      <c r="T214"/>
      <c r="U214"/>
      <c r="V214"/>
      <c r="W214"/>
    </row>
    <row r="215" spans="20:23" x14ac:dyDescent="0.2">
      <c r="T215"/>
      <c r="U215"/>
      <c r="V215"/>
      <c r="W215"/>
    </row>
    <row r="216" spans="20:23" x14ac:dyDescent="0.2">
      <c r="T216"/>
      <c r="U216"/>
      <c r="V216"/>
      <c r="W216"/>
    </row>
    <row r="217" spans="20:23" x14ac:dyDescent="0.2">
      <c r="T217"/>
      <c r="U217"/>
      <c r="V217"/>
      <c r="W217"/>
    </row>
    <row r="218" spans="20:23" x14ac:dyDescent="0.2">
      <c r="T218"/>
      <c r="U218"/>
      <c r="V218"/>
      <c r="W218"/>
    </row>
    <row r="219" spans="20:23" x14ac:dyDescent="0.2">
      <c r="T219"/>
      <c r="U219"/>
      <c r="V219"/>
      <c r="W219"/>
    </row>
    <row r="220" spans="20:23" x14ac:dyDescent="0.2">
      <c r="T220"/>
      <c r="U220"/>
      <c r="V220"/>
      <c r="W220"/>
    </row>
    <row r="221" spans="20:23" x14ac:dyDescent="0.2">
      <c r="T221"/>
      <c r="U221"/>
      <c r="V221"/>
    </row>
    <row r="222" spans="20:23" x14ac:dyDescent="0.2">
      <c r="T222"/>
      <c r="U222"/>
      <c r="V222"/>
    </row>
    <row r="223" spans="20:23" x14ac:dyDescent="0.2">
      <c r="T223"/>
      <c r="U223"/>
      <c r="V223"/>
    </row>
    <row r="224" spans="20:23" x14ac:dyDescent="0.2">
      <c r="T224"/>
      <c r="U224"/>
      <c r="V224"/>
    </row>
    <row r="225" spans="20:22" x14ac:dyDescent="0.2">
      <c r="T225"/>
      <c r="U225"/>
      <c r="V225"/>
    </row>
    <row r="226" spans="20:22" x14ac:dyDescent="0.2">
      <c r="T226"/>
      <c r="U226"/>
      <c r="V226"/>
    </row>
    <row r="227" spans="20:22" x14ac:dyDescent="0.2">
      <c r="T227"/>
      <c r="U227"/>
      <c r="V227"/>
    </row>
    <row r="228" spans="20:22" x14ac:dyDescent="0.2">
      <c r="T228"/>
      <c r="U228"/>
      <c r="V228"/>
    </row>
    <row r="229" spans="20:22" x14ac:dyDescent="0.2">
      <c r="T229"/>
      <c r="U229"/>
      <c r="V229"/>
    </row>
    <row r="230" spans="20:22" x14ac:dyDescent="0.2">
      <c r="T230"/>
      <c r="U230"/>
      <c r="V230"/>
    </row>
    <row r="231" spans="20:22" x14ac:dyDescent="0.2">
      <c r="T231"/>
      <c r="U231"/>
      <c r="V231"/>
    </row>
    <row r="232" spans="20:22" x14ac:dyDescent="0.2">
      <c r="T232"/>
      <c r="U232"/>
      <c r="V232"/>
    </row>
    <row r="233" spans="20:22" x14ac:dyDescent="0.2">
      <c r="T233"/>
      <c r="U233"/>
      <c r="V233"/>
    </row>
    <row r="234" spans="20:22" x14ac:dyDescent="0.2">
      <c r="T234"/>
      <c r="U234"/>
      <c r="V234"/>
    </row>
    <row r="235" spans="20:22" x14ac:dyDescent="0.2">
      <c r="T235"/>
      <c r="U235"/>
      <c r="V235"/>
    </row>
    <row r="236" spans="20:22" x14ac:dyDescent="0.2">
      <c r="T236"/>
      <c r="U236"/>
      <c r="V236"/>
    </row>
    <row r="237" spans="20:22" x14ac:dyDescent="0.2">
      <c r="T237"/>
      <c r="U237"/>
      <c r="V237"/>
    </row>
    <row r="238" spans="20:22" x14ac:dyDescent="0.2">
      <c r="T238"/>
      <c r="U238"/>
      <c r="V238"/>
    </row>
    <row r="239" spans="20:22" x14ac:dyDescent="0.2">
      <c r="T239"/>
      <c r="U239"/>
      <c r="V239"/>
    </row>
    <row r="240" spans="20:22" x14ac:dyDescent="0.2">
      <c r="T240"/>
      <c r="U240"/>
      <c r="V240"/>
    </row>
    <row r="241" spans="20:22" x14ac:dyDescent="0.2">
      <c r="T241"/>
      <c r="U241"/>
      <c r="V241"/>
    </row>
    <row r="242" spans="20:22" x14ac:dyDescent="0.2">
      <c r="T242"/>
      <c r="U242"/>
      <c r="V242"/>
    </row>
    <row r="243" spans="20:22" x14ac:dyDescent="0.2">
      <c r="T243"/>
      <c r="U243"/>
      <c r="V243"/>
    </row>
    <row r="244" spans="20:22" x14ac:dyDescent="0.2">
      <c r="T244"/>
      <c r="U244"/>
      <c r="V244"/>
    </row>
    <row r="245" spans="20:22" x14ac:dyDescent="0.2">
      <c r="T245"/>
      <c r="U245"/>
      <c r="V245"/>
    </row>
    <row r="246" spans="20:22" x14ac:dyDescent="0.2">
      <c r="T246"/>
      <c r="U246"/>
      <c r="V246"/>
    </row>
    <row r="247" spans="20:22" x14ac:dyDescent="0.2">
      <c r="T247"/>
      <c r="U247"/>
      <c r="V247"/>
    </row>
    <row r="248" spans="20:22" x14ac:dyDescent="0.2">
      <c r="T248"/>
      <c r="U248"/>
      <c r="V248"/>
    </row>
    <row r="249" spans="20:22" x14ac:dyDescent="0.2">
      <c r="T249"/>
      <c r="U249"/>
      <c r="V249"/>
    </row>
    <row r="250" spans="20:22" x14ac:dyDescent="0.2">
      <c r="T250"/>
      <c r="U250"/>
      <c r="V250"/>
    </row>
    <row r="251" spans="20:22" x14ac:dyDescent="0.2">
      <c r="T251"/>
      <c r="U251"/>
      <c r="V251"/>
    </row>
    <row r="252" spans="20:22" x14ac:dyDescent="0.2">
      <c r="T252"/>
      <c r="U252"/>
      <c r="V252"/>
    </row>
    <row r="253" spans="20:22" x14ac:dyDescent="0.2">
      <c r="T253"/>
      <c r="U253"/>
      <c r="V253"/>
    </row>
    <row r="254" spans="20:22" x14ac:dyDescent="0.2">
      <c r="T254"/>
      <c r="U254"/>
      <c r="V254"/>
    </row>
    <row r="255" spans="20:22" x14ac:dyDescent="0.2">
      <c r="T255"/>
      <c r="U255"/>
      <c r="V255"/>
    </row>
    <row r="256" spans="20:22" x14ac:dyDescent="0.2">
      <c r="T256"/>
      <c r="U256"/>
      <c r="V256"/>
    </row>
    <row r="257" spans="20:22" x14ac:dyDescent="0.2">
      <c r="T257"/>
      <c r="U257"/>
      <c r="V257"/>
    </row>
    <row r="258" spans="20:22" x14ac:dyDescent="0.2">
      <c r="T258"/>
      <c r="U258"/>
      <c r="V258"/>
    </row>
    <row r="259" spans="20:22" x14ac:dyDescent="0.2">
      <c r="T259"/>
      <c r="U259"/>
      <c r="V259"/>
    </row>
    <row r="260" spans="20:22" x14ac:dyDescent="0.2">
      <c r="T260"/>
      <c r="U260"/>
      <c r="V260"/>
    </row>
    <row r="261" spans="20:22" x14ac:dyDescent="0.2">
      <c r="T261"/>
      <c r="U261"/>
      <c r="V261"/>
    </row>
    <row r="262" spans="20:22" x14ac:dyDescent="0.2">
      <c r="T262"/>
      <c r="U262"/>
      <c r="V262"/>
    </row>
    <row r="263" spans="20:22" x14ac:dyDescent="0.2">
      <c r="T263"/>
      <c r="U263"/>
      <c r="V263"/>
    </row>
    <row r="264" spans="20:22" x14ac:dyDescent="0.2">
      <c r="T264"/>
      <c r="U264"/>
      <c r="V264"/>
    </row>
    <row r="265" spans="20:22" x14ac:dyDescent="0.2">
      <c r="T265"/>
      <c r="U265"/>
      <c r="V265"/>
    </row>
    <row r="266" spans="20:22" x14ac:dyDescent="0.2">
      <c r="T266"/>
      <c r="U266"/>
      <c r="V266"/>
    </row>
    <row r="267" spans="20:22" x14ac:dyDescent="0.2">
      <c r="T267"/>
      <c r="U267"/>
      <c r="V267"/>
    </row>
    <row r="268" spans="20:22" x14ac:dyDescent="0.2">
      <c r="T268"/>
      <c r="U268"/>
      <c r="V268"/>
    </row>
    <row r="269" spans="20:22" x14ac:dyDescent="0.2">
      <c r="T269"/>
      <c r="U269"/>
      <c r="V269"/>
    </row>
    <row r="270" spans="20:22" x14ac:dyDescent="0.2">
      <c r="T270"/>
      <c r="U270"/>
      <c r="V270"/>
    </row>
    <row r="271" spans="20:22" x14ac:dyDescent="0.2">
      <c r="T271"/>
      <c r="U271"/>
      <c r="V271"/>
    </row>
    <row r="272" spans="20:22" x14ac:dyDescent="0.2">
      <c r="T272"/>
      <c r="U272"/>
      <c r="V272"/>
    </row>
    <row r="273" spans="20:21" x14ac:dyDescent="0.2">
      <c r="T273"/>
      <c r="U273"/>
    </row>
    <row r="274" spans="20:21" x14ac:dyDescent="0.2">
      <c r="T274"/>
      <c r="U274"/>
    </row>
    <row r="275" spans="20:21" x14ac:dyDescent="0.2">
      <c r="T275"/>
      <c r="U275"/>
    </row>
    <row r="276" spans="20:21" x14ac:dyDescent="0.2">
      <c r="T276"/>
      <c r="U276"/>
    </row>
    <row r="277" spans="20:21" x14ac:dyDescent="0.2">
      <c r="T277"/>
      <c r="U277"/>
    </row>
    <row r="278" spans="20:21" x14ac:dyDescent="0.2">
      <c r="T278"/>
      <c r="U278"/>
    </row>
    <row r="279" spans="20:21" x14ac:dyDescent="0.2">
      <c r="U279"/>
    </row>
    <row r="280" spans="20:21" x14ac:dyDescent="0.2">
      <c r="U280"/>
    </row>
    <row r="281" spans="20:21" x14ac:dyDescent="0.2">
      <c r="U281"/>
    </row>
    <row r="282" spans="20:21" x14ac:dyDescent="0.2">
      <c r="U282"/>
    </row>
    <row r="283" spans="20:21" x14ac:dyDescent="0.2">
      <c r="U283"/>
    </row>
    <row r="284" spans="20:21" x14ac:dyDescent="0.2">
      <c r="U284"/>
    </row>
    <row r="285" spans="20:21" x14ac:dyDescent="0.2">
      <c r="U285"/>
    </row>
    <row r="286" spans="20:21" x14ac:dyDescent="0.2">
      <c r="U286"/>
    </row>
    <row r="287" spans="20:21" x14ac:dyDescent="0.2">
      <c r="U287"/>
    </row>
    <row r="288" spans="20:21" x14ac:dyDescent="0.2">
      <c r="U288"/>
    </row>
    <row r="289" spans="21:21" x14ac:dyDescent="0.2">
      <c r="U289"/>
    </row>
    <row r="290" spans="21:21" x14ac:dyDescent="0.2">
      <c r="U290"/>
    </row>
    <row r="291" spans="21:21" x14ac:dyDescent="0.2">
      <c r="U291"/>
    </row>
    <row r="292" spans="21:21" x14ac:dyDescent="0.2">
      <c r="U292"/>
    </row>
    <row r="293" spans="21:21" x14ac:dyDescent="0.2">
      <c r="U293"/>
    </row>
    <row r="294" spans="21:21" x14ac:dyDescent="0.2">
      <c r="U294"/>
    </row>
    <row r="295" spans="21:21" x14ac:dyDescent="0.2">
      <c r="U295"/>
    </row>
    <row r="296" spans="21:21" x14ac:dyDescent="0.2">
      <c r="U296"/>
    </row>
    <row r="297" spans="21:21" x14ac:dyDescent="0.2">
      <c r="U297"/>
    </row>
    <row r="298" spans="21:21" x14ac:dyDescent="0.2">
      <c r="U298"/>
    </row>
    <row r="299" spans="21:21" x14ac:dyDescent="0.2">
      <c r="U299"/>
    </row>
    <row r="300" spans="21:21" x14ac:dyDescent="0.2">
      <c r="U300"/>
    </row>
    <row r="301" spans="21:21" x14ac:dyDescent="0.2">
      <c r="U301"/>
    </row>
    <row r="302" spans="21:21" x14ac:dyDescent="0.2">
      <c r="U302"/>
    </row>
    <row r="303" spans="21:21" x14ac:dyDescent="0.2">
      <c r="U303"/>
    </row>
    <row r="304" spans="21:21" x14ac:dyDescent="0.2">
      <c r="U304"/>
    </row>
    <row r="305" spans="21:21" x14ac:dyDescent="0.2">
      <c r="U305"/>
    </row>
    <row r="306" spans="21:21" x14ac:dyDescent="0.2">
      <c r="U306"/>
    </row>
    <row r="307" spans="21:21" x14ac:dyDescent="0.2">
      <c r="U307"/>
    </row>
    <row r="308" spans="21:21" x14ac:dyDescent="0.2">
      <c r="U308"/>
    </row>
    <row r="309" spans="21:21" x14ac:dyDescent="0.2">
      <c r="U309"/>
    </row>
    <row r="310" spans="21:21" x14ac:dyDescent="0.2">
      <c r="U310"/>
    </row>
    <row r="311" spans="21:21" x14ac:dyDescent="0.2">
      <c r="U311"/>
    </row>
    <row r="312" spans="21:21" x14ac:dyDescent="0.2">
      <c r="U312"/>
    </row>
    <row r="313" spans="21:21" x14ac:dyDescent="0.2">
      <c r="U313"/>
    </row>
    <row r="314" spans="21:21" x14ac:dyDescent="0.2">
      <c r="U314"/>
    </row>
    <row r="315" spans="21:21" x14ac:dyDescent="0.2">
      <c r="U315"/>
    </row>
    <row r="316" spans="21:21" x14ac:dyDescent="0.2">
      <c r="U316"/>
    </row>
    <row r="317" spans="21:21" x14ac:dyDescent="0.2">
      <c r="U317"/>
    </row>
    <row r="318" spans="21:21" x14ac:dyDescent="0.2">
      <c r="U318"/>
    </row>
    <row r="319" spans="21:21" x14ac:dyDescent="0.2">
      <c r="U319"/>
    </row>
    <row r="320" spans="21:21" x14ac:dyDescent="0.2">
      <c r="U320"/>
    </row>
    <row r="321" spans="21:21" x14ac:dyDescent="0.2">
      <c r="U321"/>
    </row>
    <row r="322" spans="21:21" x14ac:dyDescent="0.2">
      <c r="U322"/>
    </row>
    <row r="323" spans="21:21" x14ac:dyDescent="0.2">
      <c r="U323"/>
    </row>
    <row r="324" spans="21:21" x14ac:dyDescent="0.2">
      <c r="U324"/>
    </row>
    <row r="325" spans="21:21" x14ac:dyDescent="0.2">
      <c r="U325"/>
    </row>
    <row r="326" spans="21:21" x14ac:dyDescent="0.2">
      <c r="U326"/>
    </row>
    <row r="327" spans="21:21" x14ac:dyDescent="0.2">
      <c r="U327"/>
    </row>
    <row r="328" spans="21:21" x14ac:dyDescent="0.2">
      <c r="U328"/>
    </row>
    <row r="329" spans="21:21" x14ac:dyDescent="0.2">
      <c r="U329"/>
    </row>
    <row r="330" spans="21:21" x14ac:dyDescent="0.2">
      <c r="U330"/>
    </row>
    <row r="331" spans="21:21" x14ac:dyDescent="0.2">
      <c r="U331"/>
    </row>
    <row r="332" spans="21:21" x14ac:dyDescent="0.2">
      <c r="U332"/>
    </row>
    <row r="333" spans="21:21" x14ac:dyDescent="0.2">
      <c r="U333"/>
    </row>
    <row r="334" spans="21:21" x14ac:dyDescent="0.2">
      <c r="U334"/>
    </row>
    <row r="335" spans="21:21" x14ac:dyDescent="0.2">
      <c r="U335"/>
    </row>
    <row r="336" spans="21:21" x14ac:dyDescent="0.2">
      <c r="U336"/>
    </row>
    <row r="337" spans="21:21" x14ac:dyDescent="0.2">
      <c r="U337"/>
    </row>
    <row r="338" spans="21:21" x14ac:dyDescent="0.2">
      <c r="U338"/>
    </row>
    <row r="339" spans="21:21" x14ac:dyDescent="0.2">
      <c r="U339"/>
    </row>
    <row r="340" spans="21:21" x14ac:dyDescent="0.2">
      <c r="U340"/>
    </row>
    <row r="341" spans="21:21" x14ac:dyDescent="0.2">
      <c r="U341"/>
    </row>
    <row r="342" spans="21:21" x14ac:dyDescent="0.2">
      <c r="U342"/>
    </row>
    <row r="343" spans="21:21" x14ac:dyDescent="0.2">
      <c r="U343"/>
    </row>
    <row r="344" spans="21:21" x14ac:dyDescent="0.2">
      <c r="U344"/>
    </row>
    <row r="345" spans="21:21" x14ac:dyDescent="0.2">
      <c r="U345"/>
    </row>
    <row r="346" spans="21:21" x14ac:dyDescent="0.2">
      <c r="U346"/>
    </row>
    <row r="347" spans="21:21" x14ac:dyDescent="0.2">
      <c r="U347"/>
    </row>
    <row r="348" spans="21:21" x14ac:dyDescent="0.2">
      <c r="U348"/>
    </row>
    <row r="349" spans="21:21" x14ac:dyDescent="0.2">
      <c r="U349"/>
    </row>
    <row r="350" spans="21:21" x14ac:dyDescent="0.2">
      <c r="U350"/>
    </row>
    <row r="351" spans="21:21" x14ac:dyDescent="0.2">
      <c r="U351"/>
    </row>
    <row r="352" spans="21:21" x14ac:dyDescent="0.2">
      <c r="U352"/>
    </row>
    <row r="353" spans="21:21" x14ac:dyDescent="0.2">
      <c r="U353"/>
    </row>
    <row r="354" spans="21:21" x14ac:dyDescent="0.2">
      <c r="U354"/>
    </row>
    <row r="355" spans="21:21" x14ac:dyDescent="0.2">
      <c r="U355"/>
    </row>
    <row r="356" spans="21:21" x14ac:dyDescent="0.2">
      <c r="U356"/>
    </row>
    <row r="357" spans="21:21" x14ac:dyDescent="0.2">
      <c r="U357"/>
    </row>
    <row r="358" spans="21:21" x14ac:dyDescent="0.2">
      <c r="U358"/>
    </row>
    <row r="359" spans="21:21" x14ac:dyDescent="0.2">
      <c r="U359"/>
    </row>
    <row r="360" spans="21:21" x14ac:dyDescent="0.2">
      <c r="U360"/>
    </row>
    <row r="361" spans="21:21" x14ac:dyDescent="0.2">
      <c r="U361"/>
    </row>
    <row r="362" spans="21:21" x14ac:dyDescent="0.2">
      <c r="U362"/>
    </row>
    <row r="363" spans="21:21" x14ac:dyDescent="0.2">
      <c r="U363"/>
    </row>
    <row r="364" spans="21:21" x14ac:dyDescent="0.2">
      <c r="U364"/>
    </row>
    <row r="365" spans="21:21" x14ac:dyDescent="0.2">
      <c r="U365"/>
    </row>
    <row r="366" spans="21:21" x14ac:dyDescent="0.2">
      <c r="U366"/>
    </row>
    <row r="367" spans="21:21" x14ac:dyDescent="0.2">
      <c r="U367"/>
    </row>
    <row r="368" spans="21:21" x14ac:dyDescent="0.2">
      <c r="U368"/>
    </row>
    <row r="369" spans="21:21" x14ac:dyDescent="0.2">
      <c r="U369"/>
    </row>
    <row r="370" spans="21:21" x14ac:dyDescent="0.2">
      <c r="U370"/>
    </row>
    <row r="371" spans="21:21" x14ac:dyDescent="0.2">
      <c r="U371"/>
    </row>
    <row r="372" spans="21:21" x14ac:dyDescent="0.2">
      <c r="U372"/>
    </row>
    <row r="373" spans="21:21" x14ac:dyDescent="0.2">
      <c r="U373"/>
    </row>
    <row r="374" spans="21:21" x14ac:dyDescent="0.2">
      <c r="U374"/>
    </row>
    <row r="375" spans="21:21" x14ac:dyDescent="0.2">
      <c r="U375"/>
    </row>
    <row r="376" spans="21:21" x14ac:dyDescent="0.2">
      <c r="U376"/>
    </row>
    <row r="377" spans="21:21" x14ac:dyDescent="0.2">
      <c r="U377"/>
    </row>
    <row r="378" spans="21:21" x14ac:dyDescent="0.2">
      <c r="U378"/>
    </row>
    <row r="379" spans="21:21" x14ac:dyDescent="0.2">
      <c r="U379"/>
    </row>
    <row r="380" spans="21:21" x14ac:dyDescent="0.2">
      <c r="U380"/>
    </row>
    <row r="381" spans="21:21" x14ac:dyDescent="0.2">
      <c r="U381"/>
    </row>
    <row r="382" spans="21:21" x14ac:dyDescent="0.2">
      <c r="U382"/>
    </row>
    <row r="383" spans="21:21" x14ac:dyDescent="0.2">
      <c r="U383"/>
    </row>
    <row r="384" spans="21:21" x14ac:dyDescent="0.2">
      <c r="U384"/>
    </row>
    <row r="385" spans="21:21" x14ac:dyDescent="0.2">
      <c r="U385"/>
    </row>
    <row r="386" spans="21:21" x14ac:dyDescent="0.2">
      <c r="U386"/>
    </row>
    <row r="387" spans="21:21" x14ac:dyDescent="0.2">
      <c r="U387"/>
    </row>
    <row r="388" spans="21:21" x14ac:dyDescent="0.2">
      <c r="U388"/>
    </row>
    <row r="389" spans="21:21" x14ac:dyDescent="0.2">
      <c r="U389"/>
    </row>
    <row r="390" spans="21:21" x14ac:dyDescent="0.2">
      <c r="U390"/>
    </row>
    <row r="391" spans="21:21" x14ac:dyDescent="0.2">
      <c r="U391"/>
    </row>
    <row r="392" spans="21:21" x14ac:dyDescent="0.2">
      <c r="U392"/>
    </row>
    <row r="393" spans="21:21" x14ac:dyDescent="0.2">
      <c r="U393"/>
    </row>
    <row r="394" spans="21:21" x14ac:dyDescent="0.2">
      <c r="U394"/>
    </row>
    <row r="395" spans="21:21" x14ac:dyDescent="0.2">
      <c r="U395"/>
    </row>
    <row r="396" spans="21:21" x14ac:dyDescent="0.2">
      <c r="U396"/>
    </row>
    <row r="397" spans="21:21" x14ac:dyDescent="0.2">
      <c r="U397"/>
    </row>
    <row r="398" spans="21:21" x14ac:dyDescent="0.2">
      <c r="U398"/>
    </row>
    <row r="399" spans="21:21" x14ac:dyDescent="0.2">
      <c r="U399"/>
    </row>
    <row r="400" spans="21:21" x14ac:dyDescent="0.2">
      <c r="U400"/>
    </row>
    <row r="401" spans="21:21" x14ac:dyDescent="0.2">
      <c r="U401"/>
    </row>
    <row r="402" spans="21:21" x14ac:dyDescent="0.2">
      <c r="U402"/>
    </row>
    <row r="403" spans="21:21" x14ac:dyDescent="0.2">
      <c r="U403"/>
    </row>
    <row r="404" spans="21:21" x14ac:dyDescent="0.2">
      <c r="U404"/>
    </row>
    <row r="405" spans="21:21" x14ac:dyDescent="0.2">
      <c r="U405"/>
    </row>
    <row r="406" spans="21:21" x14ac:dyDescent="0.2">
      <c r="U406"/>
    </row>
    <row r="407" spans="21:21" x14ac:dyDescent="0.2">
      <c r="U407"/>
    </row>
    <row r="408" spans="21:21" x14ac:dyDescent="0.2">
      <c r="U408"/>
    </row>
    <row r="409" spans="21:21" x14ac:dyDescent="0.2">
      <c r="U409"/>
    </row>
    <row r="410" spans="21:21" x14ac:dyDescent="0.2">
      <c r="U410"/>
    </row>
    <row r="411" spans="21:21" x14ac:dyDescent="0.2">
      <c r="U411"/>
    </row>
    <row r="412" spans="21:21" x14ac:dyDescent="0.2">
      <c r="U412"/>
    </row>
    <row r="413" spans="21:21" x14ac:dyDescent="0.2">
      <c r="U413"/>
    </row>
    <row r="414" spans="21:21" x14ac:dyDescent="0.2">
      <c r="U414"/>
    </row>
    <row r="415" spans="21:21" x14ac:dyDescent="0.2">
      <c r="U415"/>
    </row>
    <row r="416" spans="21:21" x14ac:dyDescent="0.2">
      <c r="U416"/>
    </row>
    <row r="417" spans="21:21" x14ac:dyDescent="0.2">
      <c r="U417"/>
    </row>
    <row r="418" spans="21:21" x14ac:dyDescent="0.2">
      <c r="U418"/>
    </row>
    <row r="419" spans="21:21" x14ac:dyDescent="0.2">
      <c r="U419"/>
    </row>
    <row r="420" spans="21:21" x14ac:dyDescent="0.2">
      <c r="U420"/>
    </row>
    <row r="421" spans="21:21" x14ac:dyDescent="0.2">
      <c r="U421"/>
    </row>
    <row r="422" spans="21:21" x14ac:dyDescent="0.2">
      <c r="U422"/>
    </row>
    <row r="423" spans="21:21" x14ac:dyDescent="0.2">
      <c r="U423"/>
    </row>
    <row r="424" spans="21:21" x14ac:dyDescent="0.2">
      <c r="U424"/>
    </row>
    <row r="425" spans="21:21" x14ac:dyDescent="0.2">
      <c r="U425"/>
    </row>
    <row r="426" spans="21:21" x14ac:dyDescent="0.2">
      <c r="U426"/>
    </row>
    <row r="427" spans="21:21" x14ac:dyDescent="0.2">
      <c r="U427"/>
    </row>
    <row r="428" spans="21:21" x14ac:dyDescent="0.2">
      <c r="U428"/>
    </row>
    <row r="429" spans="21:21" x14ac:dyDescent="0.2">
      <c r="U429"/>
    </row>
    <row r="430" spans="21:21" x14ac:dyDescent="0.2">
      <c r="U430"/>
    </row>
    <row r="431" spans="21:21" x14ac:dyDescent="0.2">
      <c r="U431"/>
    </row>
    <row r="432" spans="21:21" x14ac:dyDescent="0.2">
      <c r="U432"/>
    </row>
    <row r="433" spans="21:21" x14ac:dyDescent="0.2">
      <c r="U433"/>
    </row>
    <row r="434" spans="21:21" x14ac:dyDescent="0.2">
      <c r="U434"/>
    </row>
    <row r="435" spans="21:21" x14ac:dyDescent="0.2">
      <c r="U435"/>
    </row>
    <row r="436" spans="21:21" x14ac:dyDescent="0.2">
      <c r="U436"/>
    </row>
    <row r="437" spans="21:21" x14ac:dyDescent="0.2">
      <c r="U437"/>
    </row>
    <row r="438" spans="21:21" x14ac:dyDescent="0.2">
      <c r="U438"/>
    </row>
    <row r="439" spans="21:21" x14ac:dyDescent="0.2">
      <c r="U439"/>
    </row>
    <row r="440" spans="21:21" x14ac:dyDescent="0.2">
      <c r="U440"/>
    </row>
    <row r="441" spans="21:21" x14ac:dyDescent="0.2">
      <c r="U441"/>
    </row>
    <row r="442" spans="21:21" x14ac:dyDescent="0.2">
      <c r="U442"/>
    </row>
    <row r="443" spans="21:21" x14ac:dyDescent="0.2">
      <c r="U443"/>
    </row>
    <row r="444" spans="21:21" x14ac:dyDescent="0.2">
      <c r="U444"/>
    </row>
    <row r="445" spans="21:21" x14ac:dyDescent="0.2">
      <c r="U445"/>
    </row>
    <row r="446" spans="21:21" x14ac:dyDescent="0.2">
      <c r="U446"/>
    </row>
    <row r="447" spans="21:21" x14ac:dyDescent="0.2">
      <c r="U447"/>
    </row>
    <row r="448" spans="21:21" x14ac:dyDescent="0.2">
      <c r="U448"/>
    </row>
    <row r="449" spans="21:21" x14ac:dyDescent="0.2">
      <c r="U449"/>
    </row>
    <row r="450" spans="21:21" x14ac:dyDescent="0.2">
      <c r="U450"/>
    </row>
    <row r="451" spans="21:21" x14ac:dyDescent="0.2">
      <c r="U451"/>
    </row>
    <row r="452" spans="21:21" x14ac:dyDescent="0.2">
      <c r="U452"/>
    </row>
    <row r="453" spans="21:21" x14ac:dyDescent="0.2">
      <c r="U453"/>
    </row>
    <row r="454" spans="21:21" x14ac:dyDescent="0.2">
      <c r="U454"/>
    </row>
    <row r="455" spans="21:21" x14ac:dyDescent="0.2">
      <c r="U455"/>
    </row>
    <row r="456" spans="21:21" x14ac:dyDescent="0.2">
      <c r="U456"/>
    </row>
    <row r="457" spans="21:21" x14ac:dyDescent="0.2">
      <c r="U457"/>
    </row>
    <row r="458" spans="21:21" x14ac:dyDescent="0.2">
      <c r="U458"/>
    </row>
    <row r="459" spans="21:21" x14ac:dyDescent="0.2">
      <c r="U459"/>
    </row>
    <row r="460" spans="21:21" x14ac:dyDescent="0.2">
      <c r="U460"/>
    </row>
    <row r="461" spans="21:21" x14ac:dyDescent="0.2">
      <c r="U461"/>
    </row>
    <row r="462" spans="21:21" x14ac:dyDescent="0.2">
      <c r="U462"/>
    </row>
    <row r="463" spans="21:21" x14ac:dyDescent="0.2">
      <c r="U463"/>
    </row>
    <row r="464" spans="21:21" x14ac:dyDescent="0.2">
      <c r="U464"/>
    </row>
    <row r="465" spans="21:21" x14ac:dyDescent="0.2">
      <c r="U465"/>
    </row>
    <row r="466" spans="21:21" x14ac:dyDescent="0.2">
      <c r="U466"/>
    </row>
    <row r="467" spans="21:21" x14ac:dyDescent="0.2">
      <c r="U467"/>
    </row>
    <row r="468" spans="21:21" x14ac:dyDescent="0.2">
      <c r="U468"/>
    </row>
    <row r="469" spans="21:21" x14ac:dyDescent="0.2">
      <c r="U469"/>
    </row>
    <row r="470" spans="21:21" x14ac:dyDescent="0.2">
      <c r="U470"/>
    </row>
    <row r="471" spans="21:21" x14ac:dyDescent="0.2">
      <c r="U471"/>
    </row>
    <row r="472" spans="21:21" x14ac:dyDescent="0.2">
      <c r="U472"/>
    </row>
    <row r="473" spans="21:21" x14ac:dyDescent="0.2">
      <c r="U473"/>
    </row>
    <row r="474" spans="21:21" x14ac:dyDescent="0.2">
      <c r="U474"/>
    </row>
    <row r="475" spans="21:21" x14ac:dyDescent="0.2">
      <c r="U475"/>
    </row>
    <row r="476" spans="21:21" x14ac:dyDescent="0.2">
      <c r="U476"/>
    </row>
    <row r="477" spans="21:21" x14ac:dyDescent="0.2">
      <c r="U477"/>
    </row>
    <row r="478" spans="21:21" x14ac:dyDescent="0.2">
      <c r="U478"/>
    </row>
    <row r="479" spans="21:21" x14ac:dyDescent="0.2">
      <c r="U479"/>
    </row>
    <row r="480" spans="21:21" x14ac:dyDescent="0.2">
      <c r="U480"/>
    </row>
    <row r="481" spans="21:21" x14ac:dyDescent="0.2">
      <c r="U481"/>
    </row>
    <row r="482" spans="21:21" x14ac:dyDescent="0.2">
      <c r="U482"/>
    </row>
    <row r="483" spans="21:21" x14ac:dyDescent="0.2">
      <c r="U483"/>
    </row>
    <row r="484" spans="21:21" x14ac:dyDescent="0.2">
      <c r="U484"/>
    </row>
    <row r="485" spans="21:21" x14ac:dyDescent="0.2">
      <c r="U485"/>
    </row>
    <row r="486" spans="21:21" x14ac:dyDescent="0.2">
      <c r="U486"/>
    </row>
    <row r="487" spans="21:21" x14ac:dyDescent="0.2">
      <c r="U487"/>
    </row>
    <row r="488" spans="21:21" x14ac:dyDescent="0.2">
      <c r="U488"/>
    </row>
    <row r="489" spans="21:21" x14ac:dyDescent="0.2">
      <c r="U489"/>
    </row>
    <row r="490" spans="21:21" x14ac:dyDescent="0.2">
      <c r="U490"/>
    </row>
    <row r="491" spans="21:21" x14ac:dyDescent="0.2">
      <c r="U491"/>
    </row>
    <row r="492" spans="21:21" x14ac:dyDescent="0.2">
      <c r="U492"/>
    </row>
    <row r="493" spans="21:21" x14ac:dyDescent="0.2">
      <c r="U493"/>
    </row>
    <row r="494" spans="21:21" x14ac:dyDescent="0.2">
      <c r="U494"/>
    </row>
    <row r="495" spans="21:21" x14ac:dyDescent="0.2">
      <c r="U495"/>
    </row>
    <row r="496" spans="21:21" x14ac:dyDescent="0.2">
      <c r="U496"/>
    </row>
    <row r="497" spans="21:21" x14ac:dyDescent="0.2">
      <c r="U497"/>
    </row>
    <row r="498" spans="21:21" x14ac:dyDescent="0.2">
      <c r="U498"/>
    </row>
    <row r="499" spans="21:21" x14ac:dyDescent="0.2">
      <c r="U499"/>
    </row>
    <row r="500" spans="21:21" x14ac:dyDescent="0.2">
      <c r="U500"/>
    </row>
    <row r="501" spans="21:21" x14ac:dyDescent="0.2">
      <c r="U501"/>
    </row>
    <row r="502" spans="21:21" x14ac:dyDescent="0.2">
      <c r="U502"/>
    </row>
    <row r="503" spans="21:21" x14ac:dyDescent="0.2">
      <c r="U503"/>
    </row>
    <row r="504" spans="21:21" x14ac:dyDescent="0.2">
      <c r="U504"/>
    </row>
    <row r="505" spans="21:21" x14ac:dyDescent="0.2">
      <c r="U505"/>
    </row>
    <row r="506" spans="21:21" x14ac:dyDescent="0.2">
      <c r="U506"/>
    </row>
    <row r="507" spans="21:21" x14ac:dyDescent="0.2">
      <c r="U507"/>
    </row>
    <row r="508" spans="21:21" x14ac:dyDescent="0.2">
      <c r="U508"/>
    </row>
    <row r="509" spans="21:21" x14ac:dyDescent="0.2">
      <c r="U509"/>
    </row>
    <row r="510" spans="21:21" x14ac:dyDescent="0.2">
      <c r="U510"/>
    </row>
    <row r="511" spans="21:21" x14ac:dyDescent="0.2">
      <c r="U511"/>
    </row>
    <row r="512" spans="21:21" x14ac:dyDescent="0.2">
      <c r="U512"/>
    </row>
    <row r="513" spans="21:21" x14ac:dyDescent="0.2">
      <c r="U513"/>
    </row>
    <row r="514" spans="21:21" x14ac:dyDescent="0.2">
      <c r="U514"/>
    </row>
    <row r="515" spans="21:21" x14ac:dyDescent="0.2">
      <c r="U515"/>
    </row>
    <row r="516" spans="21:21" x14ac:dyDescent="0.2">
      <c r="U516"/>
    </row>
    <row r="517" spans="21:21" x14ac:dyDescent="0.2">
      <c r="U517"/>
    </row>
    <row r="518" spans="21:21" x14ac:dyDescent="0.2">
      <c r="U518"/>
    </row>
    <row r="519" spans="21:21" x14ac:dyDescent="0.2">
      <c r="U519"/>
    </row>
    <row r="520" spans="21:21" x14ac:dyDescent="0.2">
      <c r="U520"/>
    </row>
    <row r="521" spans="21:21" x14ac:dyDescent="0.2">
      <c r="U521"/>
    </row>
    <row r="522" spans="21:21" x14ac:dyDescent="0.2">
      <c r="U522"/>
    </row>
    <row r="523" spans="21:21" x14ac:dyDescent="0.2">
      <c r="U523"/>
    </row>
    <row r="524" spans="21:21" x14ac:dyDescent="0.2">
      <c r="U524"/>
    </row>
    <row r="525" spans="21:21" x14ac:dyDescent="0.2">
      <c r="U525"/>
    </row>
    <row r="526" spans="21:21" x14ac:dyDescent="0.2">
      <c r="U526"/>
    </row>
    <row r="527" spans="21:21" x14ac:dyDescent="0.2">
      <c r="U527"/>
    </row>
    <row r="528" spans="21:21" x14ac:dyDescent="0.2">
      <c r="U528"/>
    </row>
    <row r="529" spans="21:21" x14ac:dyDescent="0.2">
      <c r="U529"/>
    </row>
    <row r="530" spans="21:21" x14ac:dyDescent="0.2">
      <c r="U530"/>
    </row>
    <row r="531" spans="21:21" x14ac:dyDescent="0.2">
      <c r="U531"/>
    </row>
    <row r="532" spans="21:21" x14ac:dyDescent="0.2">
      <c r="U532"/>
    </row>
    <row r="533" spans="21:21" x14ac:dyDescent="0.2">
      <c r="U533"/>
    </row>
    <row r="534" spans="21:21" x14ac:dyDescent="0.2">
      <c r="U534"/>
    </row>
    <row r="535" spans="21:21" x14ac:dyDescent="0.2">
      <c r="U535"/>
    </row>
    <row r="536" spans="21:21" x14ac:dyDescent="0.2">
      <c r="U536"/>
    </row>
    <row r="537" spans="21:21" x14ac:dyDescent="0.2">
      <c r="U537"/>
    </row>
    <row r="538" spans="21:21" x14ac:dyDescent="0.2">
      <c r="U538"/>
    </row>
    <row r="539" spans="21:21" x14ac:dyDescent="0.2">
      <c r="U539"/>
    </row>
    <row r="540" spans="21:21" x14ac:dyDescent="0.2">
      <c r="U540"/>
    </row>
    <row r="541" spans="21:21" x14ac:dyDescent="0.2">
      <c r="U541"/>
    </row>
    <row r="542" spans="21:21" x14ac:dyDescent="0.2">
      <c r="U542"/>
    </row>
    <row r="543" spans="21:21" x14ac:dyDescent="0.2">
      <c r="U543"/>
    </row>
    <row r="544" spans="21:21" x14ac:dyDescent="0.2">
      <c r="U544"/>
    </row>
    <row r="545" spans="21:21" x14ac:dyDescent="0.2">
      <c r="U545"/>
    </row>
    <row r="546" spans="21:21" x14ac:dyDescent="0.2">
      <c r="U546"/>
    </row>
    <row r="547" spans="21:21" x14ac:dyDescent="0.2">
      <c r="U547"/>
    </row>
    <row r="548" spans="21:21" x14ac:dyDescent="0.2">
      <c r="U548"/>
    </row>
    <row r="549" spans="21:21" x14ac:dyDescent="0.2">
      <c r="U549"/>
    </row>
    <row r="550" spans="21:21" x14ac:dyDescent="0.2">
      <c r="U550"/>
    </row>
    <row r="551" spans="21:21" x14ac:dyDescent="0.2">
      <c r="U551"/>
    </row>
    <row r="552" spans="21:21" x14ac:dyDescent="0.2">
      <c r="U552"/>
    </row>
    <row r="553" spans="21:21" x14ac:dyDescent="0.2">
      <c r="U553"/>
    </row>
    <row r="554" spans="21:21" x14ac:dyDescent="0.2">
      <c r="U554"/>
    </row>
    <row r="555" spans="21:21" x14ac:dyDescent="0.2">
      <c r="U555"/>
    </row>
    <row r="556" spans="21:21" x14ac:dyDescent="0.2">
      <c r="U556"/>
    </row>
    <row r="557" spans="21:21" x14ac:dyDescent="0.2">
      <c r="U557"/>
    </row>
    <row r="558" spans="21:21" x14ac:dyDescent="0.2">
      <c r="U558"/>
    </row>
    <row r="559" spans="21:21" x14ac:dyDescent="0.2">
      <c r="U559"/>
    </row>
    <row r="560" spans="21:21" x14ac:dyDescent="0.2">
      <c r="U560"/>
    </row>
    <row r="561" spans="21:21" x14ac:dyDescent="0.2">
      <c r="U561"/>
    </row>
    <row r="562" spans="21:21" x14ac:dyDescent="0.2">
      <c r="U562"/>
    </row>
    <row r="563" spans="21:21" x14ac:dyDescent="0.2">
      <c r="U563"/>
    </row>
    <row r="564" spans="21:21" x14ac:dyDescent="0.2">
      <c r="U564"/>
    </row>
    <row r="565" spans="21:21" x14ac:dyDescent="0.2">
      <c r="U565"/>
    </row>
    <row r="566" spans="21:21" x14ac:dyDescent="0.2">
      <c r="U566"/>
    </row>
    <row r="567" spans="21:21" x14ac:dyDescent="0.2">
      <c r="U567"/>
    </row>
    <row r="568" spans="21:21" x14ac:dyDescent="0.2">
      <c r="U568"/>
    </row>
    <row r="569" spans="21:21" x14ac:dyDescent="0.2">
      <c r="U569"/>
    </row>
    <row r="570" spans="21:21" x14ac:dyDescent="0.2">
      <c r="U570"/>
    </row>
    <row r="571" spans="21:21" x14ac:dyDescent="0.2">
      <c r="U571"/>
    </row>
    <row r="572" spans="21:21" x14ac:dyDescent="0.2">
      <c r="U572"/>
    </row>
    <row r="573" spans="21:21" x14ac:dyDescent="0.2">
      <c r="U573"/>
    </row>
    <row r="574" spans="21:21" x14ac:dyDescent="0.2">
      <c r="U574"/>
    </row>
    <row r="575" spans="21:21" x14ac:dyDescent="0.2">
      <c r="U575"/>
    </row>
    <row r="576" spans="21:21" x14ac:dyDescent="0.2">
      <c r="U576"/>
    </row>
    <row r="577" spans="21:21" x14ac:dyDescent="0.2">
      <c r="U577"/>
    </row>
    <row r="578" spans="21:21" x14ac:dyDescent="0.2">
      <c r="U578"/>
    </row>
    <row r="579" spans="21:21" x14ac:dyDescent="0.2">
      <c r="U579"/>
    </row>
    <row r="580" spans="21:21" x14ac:dyDescent="0.2">
      <c r="U580"/>
    </row>
    <row r="581" spans="21:21" x14ac:dyDescent="0.2">
      <c r="U581"/>
    </row>
    <row r="582" spans="21:21" x14ac:dyDescent="0.2">
      <c r="U582"/>
    </row>
    <row r="583" spans="21:21" x14ac:dyDescent="0.2">
      <c r="U583"/>
    </row>
    <row r="584" spans="21:21" x14ac:dyDescent="0.2">
      <c r="U584"/>
    </row>
    <row r="585" spans="21:21" x14ac:dyDescent="0.2">
      <c r="U585"/>
    </row>
    <row r="586" spans="21:21" x14ac:dyDescent="0.2">
      <c r="U586"/>
    </row>
    <row r="587" spans="21:21" x14ac:dyDescent="0.2">
      <c r="U587"/>
    </row>
    <row r="588" spans="21:21" x14ac:dyDescent="0.2">
      <c r="U588"/>
    </row>
    <row r="589" spans="21:21" x14ac:dyDescent="0.2">
      <c r="U589"/>
    </row>
    <row r="590" spans="21:21" x14ac:dyDescent="0.2">
      <c r="U590"/>
    </row>
    <row r="591" spans="21:21" x14ac:dyDescent="0.2">
      <c r="U591"/>
    </row>
    <row r="592" spans="21:21" x14ac:dyDescent="0.2">
      <c r="U592"/>
    </row>
    <row r="593" spans="21:21" x14ac:dyDescent="0.2">
      <c r="U593"/>
    </row>
    <row r="594" spans="21:21" x14ac:dyDescent="0.2">
      <c r="U594"/>
    </row>
    <row r="595" spans="21:21" x14ac:dyDescent="0.2">
      <c r="U595"/>
    </row>
    <row r="596" spans="21:21" x14ac:dyDescent="0.2">
      <c r="U596"/>
    </row>
    <row r="597" spans="21:21" x14ac:dyDescent="0.2">
      <c r="U597"/>
    </row>
    <row r="598" spans="21:21" x14ac:dyDescent="0.2">
      <c r="U598"/>
    </row>
    <row r="599" spans="21:21" x14ac:dyDescent="0.2">
      <c r="U599"/>
    </row>
    <row r="600" spans="21:21" x14ac:dyDescent="0.2">
      <c r="U600"/>
    </row>
    <row r="601" spans="21:21" x14ac:dyDescent="0.2">
      <c r="U601"/>
    </row>
    <row r="602" spans="21:21" x14ac:dyDescent="0.2">
      <c r="U602"/>
    </row>
    <row r="603" spans="21:21" x14ac:dyDescent="0.2">
      <c r="U603"/>
    </row>
    <row r="604" spans="21:21" x14ac:dyDescent="0.2">
      <c r="U604"/>
    </row>
    <row r="605" spans="21:21" x14ac:dyDescent="0.2">
      <c r="U605"/>
    </row>
    <row r="606" spans="21:21" x14ac:dyDescent="0.2">
      <c r="U606"/>
    </row>
    <row r="607" spans="21:21" x14ac:dyDescent="0.2">
      <c r="U607"/>
    </row>
    <row r="608" spans="21:21" x14ac:dyDescent="0.2">
      <c r="U608"/>
    </row>
    <row r="609" spans="21:21" x14ac:dyDescent="0.2">
      <c r="U609"/>
    </row>
    <row r="610" spans="21:21" x14ac:dyDescent="0.2">
      <c r="U610"/>
    </row>
    <row r="611" spans="21:21" x14ac:dyDescent="0.2">
      <c r="U611"/>
    </row>
    <row r="612" spans="21:21" x14ac:dyDescent="0.2">
      <c r="U612"/>
    </row>
    <row r="613" spans="21:21" x14ac:dyDescent="0.2">
      <c r="U613"/>
    </row>
    <row r="614" spans="21:21" x14ac:dyDescent="0.2">
      <c r="U614"/>
    </row>
    <row r="615" spans="21:21" x14ac:dyDescent="0.2">
      <c r="U615"/>
    </row>
    <row r="616" spans="21:21" x14ac:dyDescent="0.2">
      <c r="U616"/>
    </row>
    <row r="617" spans="21:21" x14ac:dyDescent="0.2">
      <c r="U617"/>
    </row>
    <row r="618" spans="21:21" x14ac:dyDescent="0.2">
      <c r="U618"/>
    </row>
    <row r="619" spans="21:21" x14ac:dyDescent="0.2">
      <c r="U619"/>
    </row>
    <row r="620" spans="21:21" x14ac:dyDescent="0.2">
      <c r="U620"/>
    </row>
    <row r="621" spans="21:21" x14ac:dyDescent="0.2">
      <c r="U621"/>
    </row>
    <row r="622" spans="21:21" x14ac:dyDescent="0.2">
      <c r="U622"/>
    </row>
    <row r="623" spans="21:21" x14ac:dyDescent="0.2">
      <c r="U623"/>
    </row>
    <row r="624" spans="21:21" x14ac:dyDescent="0.2">
      <c r="U624"/>
    </row>
    <row r="625" spans="21:21" x14ac:dyDescent="0.2">
      <c r="U625"/>
    </row>
    <row r="626" spans="21:21" x14ac:dyDescent="0.2">
      <c r="U626"/>
    </row>
    <row r="627" spans="21:21" x14ac:dyDescent="0.2">
      <c r="U627"/>
    </row>
    <row r="628" spans="21:21" x14ac:dyDescent="0.2">
      <c r="U628"/>
    </row>
    <row r="629" spans="21:21" x14ac:dyDescent="0.2">
      <c r="U629"/>
    </row>
    <row r="630" spans="21:21" x14ac:dyDescent="0.2">
      <c r="U630"/>
    </row>
    <row r="631" spans="21:21" x14ac:dyDescent="0.2">
      <c r="U631"/>
    </row>
    <row r="632" spans="21:21" x14ac:dyDescent="0.2">
      <c r="U632"/>
    </row>
    <row r="633" spans="21:21" x14ac:dyDescent="0.2">
      <c r="U633"/>
    </row>
    <row r="634" spans="21:21" x14ac:dyDescent="0.2">
      <c r="U634"/>
    </row>
    <row r="635" spans="21:21" x14ac:dyDescent="0.2">
      <c r="U635"/>
    </row>
    <row r="636" spans="21:21" x14ac:dyDescent="0.2">
      <c r="U636"/>
    </row>
    <row r="637" spans="21:21" x14ac:dyDescent="0.2">
      <c r="U637"/>
    </row>
    <row r="638" spans="21:21" x14ac:dyDescent="0.2">
      <c r="U638"/>
    </row>
    <row r="639" spans="21:21" x14ac:dyDescent="0.2">
      <c r="U639"/>
    </row>
    <row r="640" spans="21:21" x14ac:dyDescent="0.2">
      <c r="U640"/>
    </row>
    <row r="641" spans="21:21" x14ac:dyDescent="0.2">
      <c r="U641"/>
    </row>
    <row r="642" spans="21:21" x14ac:dyDescent="0.2">
      <c r="U642"/>
    </row>
    <row r="643" spans="21:21" x14ac:dyDescent="0.2">
      <c r="U643"/>
    </row>
    <row r="644" spans="21:21" x14ac:dyDescent="0.2">
      <c r="U644"/>
    </row>
    <row r="645" spans="21:21" x14ac:dyDescent="0.2">
      <c r="U645"/>
    </row>
    <row r="646" spans="21:21" x14ac:dyDescent="0.2">
      <c r="U646"/>
    </row>
    <row r="647" spans="21:21" x14ac:dyDescent="0.2">
      <c r="U647"/>
    </row>
    <row r="648" spans="21:21" x14ac:dyDescent="0.2">
      <c r="U648"/>
    </row>
    <row r="649" spans="21:21" x14ac:dyDescent="0.2">
      <c r="U649"/>
    </row>
    <row r="650" spans="21:21" x14ac:dyDescent="0.2">
      <c r="U650"/>
    </row>
    <row r="651" spans="21:21" x14ac:dyDescent="0.2">
      <c r="U651"/>
    </row>
    <row r="652" spans="21:21" x14ac:dyDescent="0.2">
      <c r="U652"/>
    </row>
    <row r="653" spans="21:21" x14ac:dyDescent="0.2">
      <c r="U653"/>
    </row>
    <row r="654" spans="21:21" x14ac:dyDescent="0.2">
      <c r="U654"/>
    </row>
    <row r="655" spans="21:21" x14ac:dyDescent="0.2">
      <c r="U655"/>
    </row>
    <row r="656" spans="21:21" x14ac:dyDescent="0.2">
      <c r="U656"/>
    </row>
    <row r="657" spans="21:21" x14ac:dyDescent="0.2">
      <c r="U657"/>
    </row>
    <row r="658" spans="21:21" x14ac:dyDescent="0.2">
      <c r="U658"/>
    </row>
    <row r="659" spans="21:21" x14ac:dyDescent="0.2">
      <c r="U659"/>
    </row>
    <row r="660" spans="21:21" x14ac:dyDescent="0.2">
      <c r="U660"/>
    </row>
    <row r="661" spans="21:21" x14ac:dyDescent="0.2">
      <c r="U661"/>
    </row>
    <row r="662" spans="21:21" x14ac:dyDescent="0.2">
      <c r="U662"/>
    </row>
    <row r="663" spans="21:21" x14ac:dyDescent="0.2">
      <c r="U663"/>
    </row>
    <row r="664" spans="21:21" x14ac:dyDescent="0.2">
      <c r="U664"/>
    </row>
    <row r="665" spans="21:21" x14ac:dyDescent="0.2">
      <c r="U665"/>
    </row>
    <row r="666" spans="21:21" x14ac:dyDescent="0.2">
      <c r="U666"/>
    </row>
    <row r="667" spans="21:21" x14ac:dyDescent="0.2">
      <c r="U667"/>
    </row>
    <row r="668" spans="21:21" x14ac:dyDescent="0.2">
      <c r="U668"/>
    </row>
    <row r="669" spans="21:21" x14ac:dyDescent="0.2">
      <c r="U669"/>
    </row>
    <row r="670" spans="21:21" x14ac:dyDescent="0.2">
      <c r="U670"/>
    </row>
    <row r="671" spans="21:21" x14ac:dyDescent="0.2">
      <c r="U671"/>
    </row>
    <row r="672" spans="21:21" x14ac:dyDescent="0.2">
      <c r="U672"/>
    </row>
    <row r="673" spans="21:21" x14ac:dyDescent="0.2">
      <c r="U673"/>
    </row>
    <row r="674" spans="21:21" x14ac:dyDescent="0.2">
      <c r="U674"/>
    </row>
    <row r="675" spans="21:21" x14ac:dyDescent="0.2">
      <c r="U675"/>
    </row>
    <row r="676" spans="21:21" x14ac:dyDescent="0.2">
      <c r="U676"/>
    </row>
    <row r="677" spans="21:21" x14ac:dyDescent="0.2">
      <c r="U677"/>
    </row>
    <row r="678" spans="21:21" x14ac:dyDescent="0.2">
      <c r="U678"/>
    </row>
    <row r="679" spans="21:21" x14ac:dyDescent="0.2">
      <c r="U679"/>
    </row>
    <row r="680" spans="21:21" x14ac:dyDescent="0.2">
      <c r="U680"/>
    </row>
    <row r="681" spans="21:21" x14ac:dyDescent="0.2">
      <c r="U681"/>
    </row>
    <row r="682" spans="21:21" x14ac:dyDescent="0.2">
      <c r="U682"/>
    </row>
    <row r="683" spans="21:21" x14ac:dyDescent="0.2">
      <c r="U683"/>
    </row>
    <row r="684" spans="21:21" x14ac:dyDescent="0.2">
      <c r="U684"/>
    </row>
    <row r="685" spans="21:21" x14ac:dyDescent="0.2">
      <c r="U685"/>
    </row>
    <row r="686" spans="21:21" x14ac:dyDescent="0.2">
      <c r="U686"/>
    </row>
    <row r="687" spans="21:21" x14ac:dyDescent="0.2">
      <c r="U687"/>
    </row>
    <row r="688" spans="21:21" x14ac:dyDescent="0.2">
      <c r="U688"/>
    </row>
    <row r="689" spans="21:21" x14ac:dyDescent="0.2">
      <c r="U689"/>
    </row>
    <row r="690" spans="21:21" x14ac:dyDescent="0.2">
      <c r="U690"/>
    </row>
    <row r="691" spans="21:21" x14ac:dyDescent="0.2">
      <c r="U691"/>
    </row>
    <row r="692" spans="21:21" x14ac:dyDescent="0.2">
      <c r="U692"/>
    </row>
    <row r="693" spans="21:21" x14ac:dyDescent="0.2">
      <c r="U693"/>
    </row>
    <row r="694" spans="21:21" x14ac:dyDescent="0.2">
      <c r="U694"/>
    </row>
    <row r="695" spans="21:21" x14ac:dyDescent="0.2">
      <c r="U695"/>
    </row>
    <row r="696" spans="21:21" x14ac:dyDescent="0.2">
      <c r="U696"/>
    </row>
    <row r="697" spans="21:21" x14ac:dyDescent="0.2">
      <c r="U697"/>
    </row>
    <row r="698" spans="21:21" x14ac:dyDescent="0.2">
      <c r="U698"/>
    </row>
    <row r="699" spans="21:21" x14ac:dyDescent="0.2">
      <c r="U699"/>
    </row>
    <row r="700" spans="21:21" x14ac:dyDescent="0.2">
      <c r="U700"/>
    </row>
    <row r="701" spans="21:21" x14ac:dyDescent="0.2">
      <c r="U701"/>
    </row>
    <row r="702" spans="21:21" x14ac:dyDescent="0.2">
      <c r="U702"/>
    </row>
    <row r="703" spans="21:21" x14ac:dyDescent="0.2">
      <c r="U703"/>
    </row>
    <row r="704" spans="21:21" x14ac:dyDescent="0.2">
      <c r="U704"/>
    </row>
    <row r="705" spans="21:21" x14ac:dyDescent="0.2">
      <c r="U705"/>
    </row>
    <row r="706" spans="21:21" x14ac:dyDescent="0.2">
      <c r="U706"/>
    </row>
    <row r="707" spans="21:21" x14ac:dyDescent="0.2">
      <c r="U707"/>
    </row>
    <row r="708" spans="21:21" x14ac:dyDescent="0.2">
      <c r="U708"/>
    </row>
    <row r="709" spans="21:21" x14ac:dyDescent="0.2">
      <c r="U709"/>
    </row>
    <row r="710" spans="21:21" x14ac:dyDescent="0.2">
      <c r="U710"/>
    </row>
    <row r="711" spans="21:21" x14ac:dyDescent="0.2">
      <c r="U711"/>
    </row>
    <row r="712" spans="21:21" x14ac:dyDescent="0.2">
      <c r="U712"/>
    </row>
    <row r="713" spans="21:21" x14ac:dyDescent="0.2">
      <c r="U713"/>
    </row>
    <row r="714" spans="21:21" x14ac:dyDescent="0.2">
      <c r="U714"/>
    </row>
    <row r="715" spans="21:21" x14ac:dyDescent="0.2">
      <c r="U715"/>
    </row>
    <row r="716" spans="21:21" x14ac:dyDescent="0.2">
      <c r="U716"/>
    </row>
    <row r="717" spans="21:21" x14ac:dyDescent="0.2">
      <c r="U717"/>
    </row>
    <row r="718" spans="21:21" x14ac:dyDescent="0.2">
      <c r="U718"/>
    </row>
    <row r="719" spans="21:21" x14ac:dyDescent="0.2">
      <c r="U719"/>
    </row>
    <row r="720" spans="21:21" x14ac:dyDescent="0.2">
      <c r="U720"/>
    </row>
    <row r="721" spans="21:21" x14ac:dyDescent="0.2">
      <c r="U721"/>
    </row>
    <row r="722" spans="21:21" x14ac:dyDescent="0.2">
      <c r="U722"/>
    </row>
    <row r="723" spans="21:21" x14ac:dyDescent="0.2">
      <c r="U723"/>
    </row>
    <row r="724" spans="21:21" x14ac:dyDescent="0.2">
      <c r="U724"/>
    </row>
    <row r="725" spans="21:21" x14ac:dyDescent="0.2">
      <c r="U725"/>
    </row>
    <row r="726" spans="21:21" x14ac:dyDescent="0.2">
      <c r="U726"/>
    </row>
    <row r="727" spans="21:21" x14ac:dyDescent="0.2">
      <c r="U727"/>
    </row>
    <row r="728" spans="21:21" x14ac:dyDescent="0.2">
      <c r="U728"/>
    </row>
    <row r="729" spans="21:21" x14ac:dyDescent="0.2">
      <c r="U729"/>
    </row>
    <row r="730" spans="21:21" x14ac:dyDescent="0.2">
      <c r="U730"/>
    </row>
    <row r="731" spans="21:21" x14ac:dyDescent="0.2">
      <c r="U731"/>
    </row>
    <row r="732" spans="21:21" x14ac:dyDescent="0.2">
      <c r="U732"/>
    </row>
    <row r="733" spans="21:21" x14ac:dyDescent="0.2">
      <c r="U733"/>
    </row>
    <row r="734" spans="21:21" x14ac:dyDescent="0.2">
      <c r="U734"/>
    </row>
    <row r="735" spans="21:21" x14ac:dyDescent="0.2">
      <c r="U735"/>
    </row>
    <row r="736" spans="21:21" x14ac:dyDescent="0.2">
      <c r="U736"/>
    </row>
    <row r="737" spans="21:21" x14ac:dyDescent="0.2">
      <c r="U737"/>
    </row>
    <row r="738" spans="21:21" x14ac:dyDescent="0.2">
      <c r="U738"/>
    </row>
    <row r="739" spans="21:21" x14ac:dyDescent="0.2">
      <c r="U739"/>
    </row>
    <row r="740" spans="21:21" x14ac:dyDescent="0.2">
      <c r="U740"/>
    </row>
    <row r="741" spans="21:21" x14ac:dyDescent="0.2">
      <c r="U741"/>
    </row>
    <row r="742" spans="21:21" x14ac:dyDescent="0.2">
      <c r="U742"/>
    </row>
    <row r="743" spans="21:21" x14ac:dyDescent="0.2">
      <c r="U743"/>
    </row>
    <row r="744" spans="21:21" x14ac:dyDescent="0.2">
      <c r="U744"/>
    </row>
    <row r="745" spans="21:21" x14ac:dyDescent="0.2">
      <c r="U745"/>
    </row>
    <row r="746" spans="21:21" x14ac:dyDescent="0.2">
      <c r="U746"/>
    </row>
    <row r="747" spans="21:21" x14ac:dyDescent="0.2">
      <c r="U747"/>
    </row>
    <row r="748" spans="21:21" x14ac:dyDescent="0.2">
      <c r="U748"/>
    </row>
    <row r="749" spans="21:21" x14ac:dyDescent="0.2">
      <c r="U749"/>
    </row>
    <row r="750" spans="21:21" x14ac:dyDescent="0.2">
      <c r="U750"/>
    </row>
    <row r="751" spans="21:21" x14ac:dyDescent="0.2">
      <c r="U751"/>
    </row>
    <row r="752" spans="21:21" x14ac:dyDescent="0.2">
      <c r="U752"/>
    </row>
    <row r="753" spans="21:21" x14ac:dyDescent="0.2">
      <c r="U753"/>
    </row>
    <row r="754" spans="21:21" x14ac:dyDescent="0.2">
      <c r="U754"/>
    </row>
    <row r="755" spans="21:21" x14ac:dyDescent="0.2">
      <c r="U755"/>
    </row>
    <row r="756" spans="21:21" x14ac:dyDescent="0.2">
      <c r="U756"/>
    </row>
    <row r="757" spans="21:21" x14ac:dyDescent="0.2">
      <c r="U757"/>
    </row>
    <row r="758" spans="21:21" x14ac:dyDescent="0.2">
      <c r="U758"/>
    </row>
    <row r="759" spans="21:21" x14ac:dyDescent="0.2">
      <c r="U759"/>
    </row>
    <row r="760" spans="21:21" x14ac:dyDescent="0.2">
      <c r="U760"/>
    </row>
    <row r="761" spans="21:21" x14ac:dyDescent="0.2">
      <c r="U761"/>
    </row>
    <row r="762" spans="21:21" x14ac:dyDescent="0.2">
      <c r="U762"/>
    </row>
    <row r="763" spans="21:21" x14ac:dyDescent="0.2">
      <c r="U763"/>
    </row>
    <row r="764" spans="21:21" x14ac:dyDescent="0.2">
      <c r="U764"/>
    </row>
    <row r="765" spans="21:21" x14ac:dyDescent="0.2">
      <c r="U765"/>
    </row>
    <row r="766" spans="21:21" x14ac:dyDescent="0.2">
      <c r="U766"/>
    </row>
    <row r="767" spans="21:21" x14ac:dyDescent="0.2">
      <c r="U767"/>
    </row>
    <row r="768" spans="21:21" x14ac:dyDescent="0.2">
      <c r="U768"/>
    </row>
    <row r="769" spans="21:21" x14ac:dyDescent="0.2">
      <c r="U769"/>
    </row>
    <row r="770" spans="21:21" x14ac:dyDescent="0.2">
      <c r="U770"/>
    </row>
    <row r="771" spans="21:21" x14ac:dyDescent="0.2">
      <c r="U771"/>
    </row>
    <row r="772" spans="21:21" x14ac:dyDescent="0.2">
      <c r="U772"/>
    </row>
    <row r="773" spans="21:21" x14ac:dyDescent="0.2">
      <c r="U773"/>
    </row>
    <row r="774" spans="21:21" x14ac:dyDescent="0.2">
      <c r="U774"/>
    </row>
    <row r="775" spans="21:21" x14ac:dyDescent="0.2">
      <c r="U775"/>
    </row>
    <row r="776" spans="21:21" x14ac:dyDescent="0.2">
      <c r="U776"/>
    </row>
    <row r="777" spans="21:21" x14ac:dyDescent="0.2">
      <c r="U777"/>
    </row>
    <row r="778" spans="21:21" x14ac:dyDescent="0.2">
      <c r="U778"/>
    </row>
    <row r="779" spans="21:21" x14ac:dyDescent="0.2">
      <c r="U779"/>
    </row>
    <row r="780" spans="21:21" x14ac:dyDescent="0.2">
      <c r="U780"/>
    </row>
    <row r="781" spans="21:21" x14ac:dyDescent="0.2">
      <c r="U781"/>
    </row>
    <row r="782" spans="21:21" x14ac:dyDescent="0.2">
      <c r="U782"/>
    </row>
    <row r="783" spans="21:21" x14ac:dyDescent="0.2">
      <c r="U783"/>
    </row>
    <row r="784" spans="21:21" x14ac:dyDescent="0.2">
      <c r="U784"/>
    </row>
    <row r="785" spans="21:21" x14ac:dyDescent="0.2">
      <c r="U785"/>
    </row>
    <row r="786" spans="21:21" x14ac:dyDescent="0.2">
      <c r="U786"/>
    </row>
    <row r="787" spans="21:21" x14ac:dyDescent="0.2">
      <c r="U787"/>
    </row>
    <row r="788" spans="21:21" x14ac:dyDescent="0.2">
      <c r="U788"/>
    </row>
    <row r="789" spans="21:21" x14ac:dyDescent="0.2">
      <c r="U789"/>
    </row>
    <row r="790" spans="21:21" x14ac:dyDescent="0.2">
      <c r="U790"/>
    </row>
    <row r="791" spans="21:21" x14ac:dyDescent="0.2">
      <c r="U791"/>
    </row>
    <row r="792" spans="21:21" x14ac:dyDescent="0.2">
      <c r="U792"/>
    </row>
    <row r="793" spans="21:21" x14ac:dyDescent="0.2">
      <c r="U793"/>
    </row>
    <row r="794" spans="21:21" x14ac:dyDescent="0.2">
      <c r="U794"/>
    </row>
    <row r="795" spans="21:21" x14ac:dyDescent="0.2">
      <c r="U795"/>
    </row>
    <row r="796" spans="21:21" x14ac:dyDescent="0.2">
      <c r="U796"/>
    </row>
    <row r="797" spans="21:21" x14ac:dyDescent="0.2">
      <c r="U797"/>
    </row>
    <row r="798" spans="21:21" x14ac:dyDescent="0.2">
      <c r="U798"/>
    </row>
    <row r="799" spans="21:21" x14ac:dyDescent="0.2">
      <c r="U799"/>
    </row>
    <row r="800" spans="21:21" x14ac:dyDescent="0.2">
      <c r="U800"/>
    </row>
    <row r="801" spans="21:21" x14ac:dyDescent="0.2">
      <c r="U801"/>
    </row>
    <row r="802" spans="21:21" x14ac:dyDescent="0.2">
      <c r="U802"/>
    </row>
    <row r="803" spans="21:21" x14ac:dyDescent="0.2">
      <c r="U803"/>
    </row>
    <row r="804" spans="21:21" x14ac:dyDescent="0.2">
      <c r="U804"/>
    </row>
    <row r="805" spans="21:21" x14ac:dyDescent="0.2">
      <c r="U805"/>
    </row>
    <row r="806" spans="21:21" x14ac:dyDescent="0.2">
      <c r="U806"/>
    </row>
    <row r="807" spans="21:21" x14ac:dyDescent="0.2">
      <c r="U807"/>
    </row>
    <row r="808" spans="21:21" x14ac:dyDescent="0.2">
      <c r="U808"/>
    </row>
    <row r="809" spans="21:21" x14ac:dyDescent="0.2">
      <c r="U809"/>
    </row>
    <row r="810" spans="21:21" x14ac:dyDescent="0.2">
      <c r="U810"/>
    </row>
    <row r="811" spans="21:21" x14ac:dyDescent="0.2">
      <c r="U811"/>
    </row>
    <row r="812" spans="21:21" x14ac:dyDescent="0.2">
      <c r="U812"/>
    </row>
    <row r="813" spans="21:21" x14ac:dyDescent="0.2">
      <c r="U813"/>
    </row>
    <row r="814" spans="21:21" x14ac:dyDescent="0.2">
      <c r="U814"/>
    </row>
    <row r="815" spans="21:21" x14ac:dyDescent="0.2">
      <c r="U815"/>
    </row>
    <row r="816" spans="21:21" x14ac:dyDescent="0.2">
      <c r="U816"/>
    </row>
    <row r="817" spans="21:21" x14ac:dyDescent="0.2">
      <c r="U817"/>
    </row>
    <row r="818" spans="21:21" x14ac:dyDescent="0.2">
      <c r="U818"/>
    </row>
    <row r="819" spans="21:21" x14ac:dyDescent="0.2">
      <c r="U819"/>
    </row>
    <row r="820" spans="21:21" x14ac:dyDescent="0.2">
      <c r="U820"/>
    </row>
    <row r="821" spans="21:21" x14ac:dyDescent="0.2">
      <c r="U821"/>
    </row>
    <row r="822" spans="21:21" x14ac:dyDescent="0.2">
      <c r="U822"/>
    </row>
    <row r="823" spans="21:21" x14ac:dyDescent="0.2">
      <c r="U823"/>
    </row>
    <row r="824" spans="21:21" x14ac:dyDescent="0.2">
      <c r="U824"/>
    </row>
    <row r="825" spans="21:21" x14ac:dyDescent="0.2">
      <c r="U825"/>
    </row>
    <row r="826" spans="21:21" x14ac:dyDescent="0.2">
      <c r="U826"/>
    </row>
    <row r="827" spans="21:21" x14ac:dyDescent="0.2">
      <c r="U827"/>
    </row>
    <row r="828" spans="21:21" x14ac:dyDescent="0.2">
      <c r="U828"/>
    </row>
    <row r="829" spans="21:21" x14ac:dyDescent="0.2">
      <c r="U829"/>
    </row>
    <row r="830" spans="21:21" x14ac:dyDescent="0.2">
      <c r="U830"/>
    </row>
    <row r="831" spans="21:21" x14ac:dyDescent="0.2">
      <c r="U831"/>
    </row>
    <row r="832" spans="21:21" x14ac:dyDescent="0.2">
      <c r="U832"/>
    </row>
    <row r="833" spans="21:21" x14ac:dyDescent="0.2">
      <c r="U833"/>
    </row>
    <row r="834" spans="21:21" x14ac:dyDescent="0.2">
      <c r="U834"/>
    </row>
    <row r="835" spans="21:21" x14ac:dyDescent="0.2">
      <c r="U835"/>
    </row>
    <row r="836" spans="21:21" x14ac:dyDescent="0.2">
      <c r="U836"/>
    </row>
    <row r="837" spans="21:21" x14ac:dyDescent="0.2">
      <c r="U837"/>
    </row>
    <row r="838" spans="21:21" x14ac:dyDescent="0.2">
      <c r="U838"/>
    </row>
    <row r="839" spans="21:21" x14ac:dyDescent="0.2">
      <c r="U839"/>
    </row>
    <row r="840" spans="21:21" x14ac:dyDescent="0.2">
      <c r="U840"/>
    </row>
    <row r="841" spans="21:21" x14ac:dyDescent="0.2">
      <c r="U841"/>
    </row>
    <row r="842" spans="21:21" x14ac:dyDescent="0.2">
      <c r="U842"/>
    </row>
    <row r="843" spans="21:21" x14ac:dyDescent="0.2">
      <c r="U843"/>
    </row>
    <row r="844" spans="21:21" x14ac:dyDescent="0.2">
      <c r="U844"/>
    </row>
    <row r="845" spans="21:21" x14ac:dyDescent="0.2">
      <c r="U845"/>
    </row>
    <row r="846" spans="21:21" x14ac:dyDescent="0.2">
      <c r="U846"/>
    </row>
    <row r="847" spans="21:21" x14ac:dyDescent="0.2">
      <c r="U847"/>
    </row>
    <row r="848" spans="21:21" x14ac:dyDescent="0.2">
      <c r="U848"/>
    </row>
    <row r="849" spans="21:21" x14ac:dyDescent="0.2">
      <c r="U849"/>
    </row>
    <row r="850" spans="21:21" x14ac:dyDescent="0.2">
      <c r="U850"/>
    </row>
    <row r="851" spans="21:21" x14ac:dyDescent="0.2">
      <c r="U851"/>
    </row>
    <row r="852" spans="21:21" x14ac:dyDescent="0.2">
      <c r="U852"/>
    </row>
    <row r="853" spans="21:21" x14ac:dyDescent="0.2">
      <c r="U853"/>
    </row>
    <row r="854" spans="21:21" x14ac:dyDescent="0.2">
      <c r="U854"/>
    </row>
    <row r="855" spans="21:21" x14ac:dyDescent="0.2">
      <c r="U855"/>
    </row>
    <row r="856" spans="21:21" x14ac:dyDescent="0.2">
      <c r="U856"/>
    </row>
    <row r="857" spans="21:21" x14ac:dyDescent="0.2">
      <c r="U857"/>
    </row>
    <row r="858" spans="21:21" x14ac:dyDescent="0.2">
      <c r="U858"/>
    </row>
    <row r="859" spans="21:21" x14ac:dyDescent="0.2">
      <c r="U859"/>
    </row>
    <row r="860" spans="21:21" x14ac:dyDescent="0.2">
      <c r="U860"/>
    </row>
    <row r="861" spans="21:21" x14ac:dyDescent="0.2">
      <c r="U861"/>
    </row>
    <row r="862" spans="21:21" x14ac:dyDescent="0.2">
      <c r="U862"/>
    </row>
    <row r="863" spans="21:21" x14ac:dyDescent="0.2">
      <c r="U863"/>
    </row>
    <row r="864" spans="21:21" x14ac:dyDescent="0.2">
      <c r="U864"/>
    </row>
    <row r="865" spans="21:21" x14ac:dyDescent="0.2">
      <c r="U865"/>
    </row>
    <row r="866" spans="21:21" x14ac:dyDescent="0.2">
      <c r="U866"/>
    </row>
    <row r="867" spans="21:21" x14ac:dyDescent="0.2">
      <c r="U867"/>
    </row>
    <row r="868" spans="21:21" x14ac:dyDescent="0.2">
      <c r="U868"/>
    </row>
    <row r="869" spans="21:21" x14ac:dyDescent="0.2">
      <c r="U869"/>
    </row>
    <row r="870" spans="21:21" x14ac:dyDescent="0.2">
      <c r="U870"/>
    </row>
    <row r="871" spans="21:21" x14ac:dyDescent="0.2">
      <c r="U871"/>
    </row>
    <row r="872" spans="21:21" x14ac:dyDescent="0.2">
      <c r="U872"/>
    </row>
    <row r="873" spans="21:21" x14ac:dyDescent="0.2">
      <c r="U873"/>
    </row>
    <row r="874" spans="21:21" x14ac:dyDescent="0.2">
      <c r="U874"/>
    </row>
    <row r="875" spans="21:21" x14ac:dyDescent="0.2">
      <c r="U875"/>
    </row>
    <row r="876" spans="21:21" x14ac:dyDescent="0.2">
      <c r="U876"/>
    </row>
    <row r="877" spans="21:21" x14ac:dyDescent="0.2">
      <c r="U877"/>
    </row>
    <row r="878" spans="21:21" x14ac:dyDescent="0.2">
      <c r="U878"/>
    </row>
    <row r="879" spans="21:21" x14ac:dyDescent="0.2">
      <c r="U879"/>
    </row>
    <row r="880" spans="21:21" x14ac:dyDescent="0.2">
      <c r="U880"/>
    </row>
    <row r="881" spans="21:21" x14ac:dyDescent="0.2">
      <c r="U881"/>
    </row>
    <row r="882" spans="21:21" x14ac:dyDescent="0.2">
      <c r="U882"/>
    </row>
    <row r="883" spans="21:21" x14ac:dyDescent="0.2">
      <c r="U883"/>
    </row>
    <row r="884" spans="21:21" x14ac:dyDescent="0.2">
      <c r="U884"/>
    </row>
    <row r="885" spans="21:21" x14ac:dyDescent="0.2">
      <c r="U885"/>
    </row>
    <row r="886" spans="21:21" x14ac:dyDescent="0.2">
      <c r="U886"/>
    </row>
    <row r="887" spans="21:21" x14ac:dyDescent="0.2">
      <c r="U887"/>
    </row>
    <row r="888" spans="21:21" x14ac:dyDescent="0.2">
      <c r="U888"/>
    </row>
    <row r="889" spans="21:21" x14ac:dyDescent="0.2">
      <c r="U889"/>
    </row>
    <row r="890" spans="21:21" x14ac:dyDescent="0.2">
      <c r="U890"/>
    </row>
    <row r="891" spans="21:21" x14ac:dyDescent="0.2">
      <c r="U891"/>
    </row>
    <row r="892" spans="21:21" x14ac:dyDescent="0.2">
      <c r="U892"/>
    </row>
    <row r="893" spans="21:21" x14ac:dyDescent="0.2">
      <c r="U893"/>
    </row>
    <row r="894" spans="21:21" x14ac:dyDescent="0.2">
      <c r="U894"/>
    </row>
    <row r="895" spans="21:21" x14ac:dyDescent="0.2">
      <c r="U895"/>
    </row>
    <row r="896" spans="21:21" x14ac:dyDescent="0.2">
      <c r="U896"/>
    </row>
    <row r="897" spans="21:21" x14ac:dyDescent="0.2">
      <c r="U897"/>
    </row>
    <row r="898" spans="21:21" x14ac:dyDescent="0.2">
      <c r="U898"/>
    </row>
    <row r="899" spans="21:21" x14ac:dyDescent="0.2">
      <c r="U899"/>
    </row>
    <row r="900" spans="21:21" x14ac:dyDescent="0.2">
      <c r="U900"/>
    </row>
    <row r="901" spans="21:21" x14ac:dyDescent="0.2">
      <c r="U901"/>
    </row>
    <row r="902" spans="21:21" x14ac:dyDescent="0.2">
      <c r="U902"/>
    </row>
    <row r="903" spans="21:21" x14ac:dyDescent="0.2">
      <c r="U903"/>
    </row>
    <row r="904" spans="21:21" x14ac:dyDescent="0.2">
      <c r="U904"/>
    </row>
    <row r="905" spans="21:21" x14ac:dyDescent="0.2">
      <c r="U905"/>
    </row>
    <row r="906" spans="21:21" x14ac:dyDescent="0.2">
      <c r="U906"/>
    </row>
    <row r="907" spans="21:21" x14ac:dyDescent="0.2">
      <c r="U907"/>
    </row>
    <row r="908" spans="21:21" x14ac:dyDescent="0.2">
      <c r="U908"/>
    </row>
    <row r="909" spans="21:21" x14ac:dyDescent="0.2">
      <c r="U909"/>
    </row>
    <row r="910" spans="21:21" x14ac:dyDescent="0.2">
      <c r="U910"/>
    </row>
    <row r="911" spans="21:21" x14ac:dyDescent="0.2">
      <c r="U911"/>
    </row>
    <row r="912" spans="21:21" x14ac:dyDescent="0.2">
      <c r="U912"/>
    </row>
    <row r="913" spans="21:21" x14ac:dyDescent="0.2">
      <c r="U913"/>
    </row>
    <row r="914" spans="21:21" x14ac:dyDescent="0.2">
      <c r="U914"/>
    </row>
    <row r="915" spans="21:21" x14ac:dyDescent="0.2">
      <c r="U915"/>
    </row>
    <row r="916" spans="21:21" x14ac:dyDescent="0.2">
      <c r="U916"/>
    </row>
    <row r="917" spans="21:21" x14ac:dyDescent="0.2">
      <c r="U917"/>
    </row>
    <row r="918" spans="21:21" x14ac:dyDescent="0.2">
      <c r="U918"/>
    </row>
    <row r="919" spans="21:21" x14ac:dyDescent="0.2">
      <c r="U919"/>
    </row>
    <row r="920" spans="21:21" x14ac:dyDescent="0.2">
      <c r="U920"/>
    </row>
    <row r="921" spans="21:21" x14ac:dyDescent="0.2">
      <c r="U921"/>
    </row>
    <row r="922" spans="21:21" x14ac:dyDescent="0.2">
      <c r="U922"/>
    </row>
    <row r="923" spans="21:21" x14ac:dyDescent="0.2">
      <c r="U923"/>
    </row>
    <row r="924" spans="21:21" x14ac:dyDescent="0.2">
      <c r="U924"/>
    </row>
    <row r="925" spans="21:21" x14ac:dyDescent="0.2">
      <c r="U925"/>
    </row>
    <row r="926" spans="21:21" x14ac:dyDescent="0.2">
      <c r="U926"/>
    </row>
    <row r="927" spans="21:21" x14ac:dyDescent="0.2">
      <c r="U927"/>
    </row>
    <row r="928" spans="21:21" x14ac:dyDescent="0.2">
      <c r="U928"/>
    </row>
    <row r="929" spans="21:21" x14ac:dyDescent="0.2">
      <c r="U929"/>
    </row>
    <row r="930" spans="21:21" x14ac:dyDescent="0.2">
      <c r="U930"/>
    </row>
    <row r="931" spans="21:21" x14ac:dyDescent="0.2">
      <c r="U931"/>
    </row>
    <row r="932" spans="21:21" x14ac:dyDescent="0.2">
      <c r="U932"/>
    </row>
    <row r="933" spans="21:21" x14ac:dyDescent="0.2">
      <c r="U933"/>
    </row>
    <row r="934" spans="21:21" x14ac:dyDescent="0.2">
      <c r="U934"/>
    </row>
    <row r="935" spans="21:21" x14ac:dyDescent="0.2">
      <c r="U935"/>
    </row>
    <row r="936" spans="21:21" x14ac:dyDescent="0.2">
      <c r="U936"/>
    </row>
    <row r="937" spans="21:21" x14ac:dyDescent="0.2">
      <c r="U937"/>
    </row>
    <row r="938" spans="21:21" x14ac:dyDescent="0.2">
      <c r="U938"/>
    </row>
    <row r="939" spans="21:21" x14ac:dyDescent="0.2">
      <c r="U939"/>
    </row>
    <row r="940" spans="21:21" x14ac:dyDescent="0.2">
      <c r="U940"/>
    </row>
    <row r="941" spans="21:21" x14ac:dyDescent="0.2">
      <c r="U941"/>
    </row>
    <row r="942" spans="21:21" x14ac:dyDescent="0.2">
      <c r="U942"/>
    </row>
    <row r="943" spans="21:21" x14ac:dyDescent="0.2">
      <c r="U943"/>
    </row>
    <row r="944" spans="21:21" x14ac:dyDescent="0.2">
      <c r="U944"/>
    </row>
    <row r="945" spans="21:21" x14ac:dyDescent="0.2">
      <c r="U945"/>
    </row>
    <row r="946" spans="21:21" x14ac:dyDescent="0.2">
      <c r="U946"/>
    </row>
    <row r="947" spans="21:21" x14ac:dyDescent="0.2">
      <c r="U947"/>
    </row>
    <row r="948" spans="21:21" x14ac:dyDescent="0.2">
      <c r="U948"/>
    </row>
    <row r="949" spans="21:21" x14ac:dyDescent="0.2">
      <c r="U949"/>
    </row>
    <row r="950" spans="21:21" x14ac:dyDescent="0.2">
      <c r="U950"/>
    </row>
    <row r="951" spans="21:21" x14ac:dyDescent="0.2">
      <c r="U951"/>
    </row>
    <row r="952" spans="21:21" x14ac:dyDescent="0.2">
      <c r="U952"/>
    </row>
    <row r="953" spans="21:21" x14ac:dyDescent="0.2">
      <c r="U953"/>
    </row>
    <row r="954" spans="21:21" x14ac:dyDescent="0.2">
      <c r="U954"/>
    </row>
    <row r="955" spans="21:21" x14ac:dyDescent="0.2">
      <c r="U955"/>
    </row>
    <row r="956" spans="21:21" x14ac:dyDescent="0.2">
      <c r="U956"/>
    </row>
    <row r="957" spans="21:21" x14ac:dyDescent="0.2">
      <c r="U957"/>
    </row>
    <row r="958" spans="21:21" x14ac:dyDescent="0.2">
      <c r="U958"/>
    </row>
    <row r="959" spans="21:21" x14ac:dyDescent="0.2">
      <c r="U959"/>
    </row>
    <row r="960" spans="21:21" x14ac:dyDescent="0.2">
      <c r="U960"/>
    </row>
    <row r="961" spans="21:21" x14ac:dyDescent="0.2">
      <c r="U961"/>
    </row>
    <row r="962" spans="21:21" x14ac:dyDescent="0.2">
      <c r="U962"/>
    </row>
    <row r="963" spans="21:21" x14ac:dyDescent="0.2">
      <c r="U963"/>
    </row>
    <row r="964" spans="21:21" x14ac:dyDescent="0.2">
      <c r="U964"/>
    </row>
    <row r="965" spans="21:21" x14ac:dyDescent="0.2">
      <c r="U965"/>
    </row>
    <row r="966" spans="21:21" x14ac:dyDescent="0.2">
      <c r="U966"/>
    </row>
    <row r="967" spans="21:21" x14ac:dyDescent="0.2">
      <c r="U967"/>
    </row>
    <row r="968" spans="21:21" x14ac:dyDescent="0.2">
      <c r="U968"/>
    </row>
    <row r="969" spans="21:21" x14ac:dyDescent="0.2">
      <c r="U969"/>
    </row>
    <row r="970" spans="21:21" x14ac:dyDescent="0.2">
      <c r="U970"/>
    </row>
    <row r="971" spans="21:21" x14ac:dyDescent="0.2">
      <c r="U971"/>
    </row>
    <row r="972" spans="21:21" x14ac:dyDescent="0.2">
      <c r="U972"/>
    </row>
    <row r="973" spans="21:21" x14ac:dyDescent="0.2">
      <c r="U973"/>
    </row>
    <row r="974" spans="21:21" x14ac:dyDescent="0.2">
      <c r="U974"/>
    </row>
    <row r="975" spans="21:21" x14ac:dyDescent="0.2">
      <c r="U975"/>
    </row>
    <row r="976" spans="21:21" x14ac:dyDescent="0.2">
      <c r="U976"/>
    </row>
    <row r="977" spans="21:21" x14ac:dyDescent="0.2">
      <c r="U977"/>
    </row>
    <row r="978" spans="21:21" x14ac:dyDescent="0.2">
      <c r="U978"/>
    </row>
    <row r="979" spans="21:21" x14ac:dyDescent="0.2">
      <c r="U979"/>
    </row>
    <row r="980" spans="21:21" x14ac:dyDescent="0.2">
      <c r="U980"/>
    </row>
    <row r="981" spans="21:21" x14ac:dyDescent="0.2">
      <c r="U981"/>
    </row>
    <row r="982" spans="21:21" x14ac:dyDescent="0.2">
      <c r="U982"/>
    </row>
    <row r="983" spans="21:21" x14ac:dyDescent="0.2">
      <c r="U983"/>
    </row>
    <row r="984" spans="21:21" x14ac:dyDescent="0.2">
      <c r="U984"/>
    </row>
    <row r="985" spans="21:21" x14ac:dyDescent="0.2">
      <c r="U985"/>
    </row>
    <row r="986" spans="21:21" x14ac:dyDescent="0.2">
      <c r="U986"/>
    </row>
    <row r="987" spans="21:21" x14ac:dyDescent="0.2">
      <c r="U987"/>
    </row>
    <row r="988" spans="21:21" x14ac:dyDescent="0.2">
      <c r="U988"/>
    </row>
    <row r="989" spans="21:21" x14ac:dyDescent="0.2">
      <c r="U989"/>
    </row>
    <row r="990" spans="21:21" x14ac:dyDescent="0.2">
      <c r="U990"/>
    </row>
    <row r="991" spans="21:21" x14ac:dyDescent="0.2">
      <c r="U991"/>
    </row>
    <row r="992" spans="21:21" x14ac:dyDescent="0.2">
      <c r="U992"/>
    </row>
    <row r="993" spans="21:21" x14ac:dyDescent="0.2">
      <c r="U993"/>
    </row>
    <row r="994" spans="21:21" x14ac:dyDescent="0.2">
      <c r="U994"/>
    </row>
    <row r="995" spans="21:21" x14ac:dyDescent="0.2">
      <c r="U995"/>
    </row>
    <row r="996" spans="21:21" x14ac:dyDescent="0.2">
      <c r="U996"/>
    </row>
    <row r="997" spans="21:21" x14ac:dyDescent="0.2">
      <c r="U997"/>
    </row>
    <row r="998" spans="21:21" x14ac:dyDescent="0.2">
      <c r="U998"/>
    </row>
    <row r="999" spans="21:21" x14ac:dyDescent="0.2">
      <c r="U999"/>
    </row>
    <row r="1000" spans="21:21" x14ac:dyDescent="0.2">
      <c r="U1000"/>
    </row>
    <row r="1001" spans="21:21" x14ac:dyDescent="0.2">
      <c r="U1001"/>
    </row>
    <row r="1002" spans="21:21" x14ac:dyDescent="0.2">
      <c r="U1002"/>
    </row>
    <row r="1003" spans="21:21" x14ac:dyDescent="0.2">
      <c r="U1003"/>
    </row>
    <row r="1004" spans="21:21" x14ac:dyDescent="0.2">
      <c r="U1004"/>
    </row>
    <row r="1005" spans="21:21" x14ac:dyDescent="0.2">
      <c r="U1005"/>
    </row>
    <row r="1006" spans="21:21" x14ac:dyDescent="0.2">
      <c r="U1006"/>
    </row>
    <row r="1007" spans="21:21" x14ac:dyDescent="0.2">
      <c r="U1007"/>
    </row>
    <row r="1008" spans="21:21" x14ac:dyDescent="0.2">
      <c r="U1008"/>
    </row>
    <row r="1009" spans="21:21" x14ac:dyDescent="0.2">
      <c r="U1009"/>
    </row>
    <row r="1010" spans="21:21" x14ac:dyDescent="0.2">
      <c r="U1010"/>
    </row>
    <row r="1011" spans="21:21" x14ac:dyDescent="0.2">
      <c r="U1011"/>
    </row>
    <row r="1012" spans="21:21" x14ac:dyDescent="0.2">
      <c r="U1012"/>
    </row>
    <row r="1013" spans="21:21" x14ac:dyDescent="0.2">
      <c r="U1013"/>
    </row>
    <row r="1014" spans="21:21" x14ac:dyDescent="0.2">
      <c r="U1014"/>
    </row>
    <row r="1015" spans="21:21" x14ac:dyDescent="0.2">
      <c r="U1015"/>
    </row>
    <row r="1016" spans="21:21" x14ac:dyDescent="0.2">
      <c r="U1016"/>
    </row>
    <row r="1017" spans="21:21" x14ac:dyDescent="0.2">
      <c r="U1017"/>
    </row>
    <row r="1018" spans="21:21" x14ac:dyDescent="0.2">
      <c r="U1018"/>
    </row>
    <row r="1019" spans="21:21" x14ac:dyDescent="0.2">
      <c r="U1019"/>
    </row>
    <row r="1020" spans="21:21" x14ac:dyDescent="0.2">
      <c r="U1020"/>
    </row>
    <row r="1021" spans="21:21" x14ac:dyDescent="0.2">
      <c r="U1021"/>
    </row>
    <row r="1022" spans="21:21" x14ac:dyDescent="0.2">
      <c r="U1022"/>
    </row>
    <row r="1023" spans="21:21" x14ac:dyDescent="0.2">
      <c r="U1023"/>
    </row>
    <row r="1024" spans="21:21" x14ac:dyDescent="0.2">
      <c r="U1024"/>
    </row>
    <row r="1025" spans="21:21" x14ac:dyDescent="0.2">
      <c r="U1025"/>
    </row>
    <row r="1026" spans="21:21" x14ac:dyDescent="0.2">
      <c r="U1026"/>
    </row>
    <row r="1027" spans="21:21" x14ac:dyDescent="0.2">
      <c r="U1027"/>
    </row>
    <row r="1028" spans="21:21" x14ac:dyDescent="0.2">
      <c r="U1028"/>
    </row>
    <row r="1029" spans="21:21" x14ac:dyDescent="0.2">
      <c r="U1029"/>
    </row>
    <row r="1030" spans="21:21" x14ac:dyDescent="0.2">
      <c r="U1030"/>
    </row>
    <row r="1031" spans="21:21" x14ac:dyDescent="0.2">
      <c r="U1031"/>
    </row>
    <row r="1032" spans="21:21" x14ac:dyDescent="0.2">
      <c r="U1032"/>
    </row>
    <row r="1033" spans="21:21" x14ac:dyDescent="0.2">
      <c r="U1033"/>
    </row>
    <row r="1034" spans="21:21" x14ac:dyDescent="0.2">
      <c r="U1034"/>
    </row>
    <row r="1035" spans="21:21" x14ac:dyDescent="0.2">
      <c r="U1035"/>
    </row>
    <row r="1036" spans="21:21" x14ac:dyDescent="0.2">
      <c r="U1036"/>
    </row>
    <row r="1037" spans="21:21" x14ac:dyDescent="0.2">
      <c r="U1037"/>
    </row>
    <row r="1038" spans="21:21" x14ac:dyDescent="0.2">
      <c r="U1038"/>
    </row>
    <row r="1039" spans="21:21" x14ac:dyDescent="0.2">
      <c r="U1039"/>
    </row>
    <row r="1040" spans="21:21" x14ac:dyDescent="0.2">
      <c r="U1040"/>
    </row>
    <row r="1041" spans="21:21" x14ac:dyDescent="0.2">
      <c r="U1041"/>
    </row>
    <row r="1042" spans="21:21" x14ac:dyDescent="0.2">
      <c r="U1042"/>
    </row>
    <row r="1043" spans="21:21" x14ac:dyDescent="0.2">
      <c r="U1043"/>
    </row>
    <row r="1044" spans="21:21" x14ac:dyDescent="0.2">
      <c r="U1044"/>
    </row>
    <row r="1045" spans="21:21" x14ac:dyDescent="0.2">
      <c r="U1045"/>
    </row>
    <row r="1046" spans="21:21" x14ac:dyDescent="0.2">
      <c r="U1046"/>
    </row>
    <row r="1047" spans="21:21" x14ac:dyDescent="0.2">
      <c r="U1047"/>
    </row>
    <row r="1048" spans="21:21" x14ac:dyDescent="0.2">
      <c r="U1048"/>
    </row>
    <row r="1049" spans="21:21" x14ac:dyDescent="0.2">
      <c r="U1049"/>
    </row>
    <row r="1050" spans="21:21" x14ac:dyDescent="0.2">
      <c r="U1050"/>
    </row>
    <row r="1051" spans="21:21" x14ac:dyDescent="0.2">
      <c r="U1051"/>
    </row>
    <row r="1052" spans="21:21" x14ac:dyDescent="0.2">
      <c r="U1052"/>
    </row>
    <row r="1053" spans="21:21" x14ac:dyDescent="0.2">
      <c r="U1053"/>
    </row>
    <row r="1054" spans="21:21" x14ac:dyDescent="0.2">
      <c r="U1054"/>
    </row>
    <row r="1055" spans="21:21" x14ac:dyDescent="0.2">
      <c r="U1055"/>
    </row>
    <row r="1056" spans="21:21" x14ac:dyDescent="0.2">
      <c r="U1056"/>
    </row>
    <row r="1057" spans="21:21" x14ac:dyDescent="0.2">
      <c r="U1057"/>
    </row>
    <row r="1058" spans="21:21" x14ac:dyDescent="0.2">
      <c r="U1058"/>
    </row>
    <row r="1059" spans="21:21" x14ac:dyDescent="0.2">
      <c r="U1059"/>
    </row>
    <row r="1060" spans="21:21" x14ac:dyDescent="0.2">
      <c r="U1060"/>
    </row>
    <row r="1061" spans="21:21" x14ac:dyDescent="0.2">
      <c r="U1061"/>
    </row>
    <row r="1062" spans="21:21" x14ac:dyDescent="0.2">
      <c r="U1062"/>
    </row>
    <row r="1063" spans="21:21" x14ac:dyDescent="0.2">
      <c r="U1063"/>
    </row>
    <row r="1064" spans="21:21" x14ac:dyDescent="0.2">
      <c r="U1064"/>
    </row>
    <row r="1065" spans="21:21" x14ac:dyDescent="0.2">
      <c r="U1065"/>
    </row>
    <row r="1066" spans="21:21" x14ac:dyDescent="0.2">
      <c r="U1066"/>
    </row>
    <row r="1067" spans="21:21" x14ac:dyDescent="0.2">
      <c r="U1067"/>
    </row>
    <row r="1068" spans="21:21" x14ac:dyDescent="0.2">
      <c r="U1068"/>
    </row>
    <row r="1069" spans="21:21" x14ac:dyDescent="0.2">
      <c r="U1069"/>
    </row>
    <row r="1070" spans="21:21" x14ac:dyDescent="0.2">
      <c r="U1070"/>
    </row>
    <row r="1071" spans="21:21" x14ac:dyDescent="0.2">
      <c r="U1071"/>
    </row>
    <row r="1072" spans="21:21" x14ac:dyDescent="0.2">
      <c r="U1072"/>
    </row>
    <row r="1073" spans="21:21" x14ac:dyDescent="0.2">
      <c r="U1073"/>
    </row>
    <row r="1074" spans="21:21" x14ac:dyDescent="0.2">
      <c r="U1074"/>
    </row>
    <row r="1075" spans="21:21" x14ac:dyDescent="0.2">
      <c r="U1075"/>
    </row>
    <row r="1076" spans="21:21" x14ac:dyDescent="0.2">
      <c r="U1076"/>
    </row>
    <row r="1077" spans="21:21" x14ac:dyDescent="0.2">
      <c r="U1077"/>
    </row>
    <row r="1078" spans="21:21" x14ac:dyDescent="0.2">
      <c r="U1078"/>
    </row>
    <row r="1079" spans="21:21" x14ac:dyDescent="0.2">
      <c r="U1079"/>
    </row>
    <row r="1080" spans="21:21" x14ac:dyDescent="0.2">
      <c r="U1080"/>
    </row>
    <row r="1081" spans="21:21" x14ac:dyDescent="0.2">
      <c r="U1081"/>
    </row>
    <row r="1082" spans="21:21" x14ac:dyDescent="0.2">
      <c r="U1082"/>
    </row>
    <row r="1083" spans="21:21" x14ac:dyDescent="0.2">
      <c r="U1083"/>
    </row>
    <row r="1084" spans="21:21" x14ac:dyDescent="0.2">
      <c r="U1084"/>
    </row>
    <row r="1085" spans="21:21" x14ac:dyDescent="0.2">
      <c r="U1085"/>
    </row>
    <row r="1086" spans="21:21" x14ac:dyDescent="0.2">
      <c r="U1086"/>
    </row>
    <row r="1087" spans="21:21" x14ac:dyDescent="0.2">
      <c r="U1087"/>
    </row>
    <row r="1088" spans="21:21" x14ac:dyDescent="0.2">
      <c r="U1088"/>
    </row>
    <row r="1089" spans="21:21" x14ac:dyDescent="0.2">
      <c r="U1089"/>
    </row>
    <row r="1090" spans="21:21" x14ac:dyDescent="0.2">
      <c r="U1090"/>
    </row>
    <row r="1091" spans="21:21" x14ac:dyDescent="0.2">
      <c r="U1091"/>
    </row>
    <row r="1092" spans="21:21" x14ac:dyDescent="0.2">
      <c r="U1092"/>
    </row>
    <row r="1093" spans="21:21" x14ac:dyDescent="0.2">
      <c r="U1093"/>
    </row>
    <row r="1094" spans="21:21" x14ac:dyDescent="0.2">
      <c r="U1094"/>
    </row>
    <row r="1095" spans="21:21" x14ac:dyDescent="0.2">
      <c r="U1095"/>
    </row>
  </sheetData>
  <sortState xmlns:xlrd2="http://schemas.microsoft.com/office/spreadsheetml/2017/richdata2" ref="Y64:Y74">
    <sortCondition ref="Y64:Y74"/>
  </sortState>
  <pageMargins left="0.7" right="0.7" top="0.75" bottom="0.75" header="0.3" footer="0.3"/>
  <pageSetup paperSize="9" orientation="portrait" horizontalDpi="90" verticalDpi="9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B89AE-8144-49A3-AD48-2C732786E02B}">
  <sheetPr codeName="Sheet4">
    <tabColor rgb="FFFFFFCC"/>
  </sheetPr>
  <dimension ref="A1:CM165"/>
  <sheetViews>
    <sheetView showGridLines="0" zoomScale="80" zoomScaleNormal="80" workbookViewId="0">
      <pane xSplit="2" ySplit="7" topLeftCell="C8" activePane="bottomRight" state="frozen"/>
      <selection activeCell="N2" sqref="N2"/>
      <selection pane="topRight" activeCell="N2" sqref="N2"/>
      <selection pane="bottomLeft" activeCell="N2" sqref="N2"/>
      <selection pane="bottomRight" activeCell="J28" sqref="J28"/>
    </sheetView>
  </sheetViews>
  <sheetFormatPr defaultColWidth="8" defaultRowHeight="12.75" x14ac:dyDescent="0.2"/>
  <cols>
    <col min="1" max="1" width="27.625" style="1" customWidth="1"/>
    <col min="2" max="2" width="8.75" style="1" customWidth="1"/>
    <col min="3" max="3" width="10.125" style="1" customWidth="1"/>
    <col min="4" max="4" width="1.75" style="1" customWidth="1"/>
    <col min="5" max="8" width="9.25" style="1" customWidth="1"/>
    <col min="9" max="9" width="1.75" style="1" customWidth="1"/>
    <col min="10" max="13" width="9.25" style="1" customWidth="1"/>
    <col min="14" max="14" width="1.75" style="1" customWidth="1"/>
    <col min="15" max="15" width="18.375" style="1" customWidth="1"/>
    <col min="16" max="16" width="1.75" style="1" customWidth="1"/>
    <col min="17" max="20" width="14.125" style="1" customWidth="1"/>
    <col min="21" max="21" width="1.75" style="1" customWidth="1"/>
    <col min="22" max="22" width="18.125" style="1" customWidth="1"/>
    <col min="23" max="16384" width="8" style="1"/>
  </cols>
  <sheetData>
    <row r="1" spans="1:91" ht="18.75" x14ac:dyDescent="0.3">
      <c r="A1" s="10" t="str">
        <f>bus</f>
        <v>Powercor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</row>
    <row r="2" spans="1:91" ht="15.75" x14ac:dyDescent="0.25">
      <c r="A2" s="97" t="str">
        <f>proj</f>
        <v>Quick connect points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7"/>
      <c r="CL2" s="97"/>
      <c r="CM2" s="97"/>
    </row>
    <row r="3" spans="1:91" ht="15.75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</row>
    <row r="4" spans="1:91" x14ac:dyDescent="0.2">
      <c r="A4" s="71"/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</row>
    <row r="5" spans="1:91" x14ac:dyDescent="0.2">
      <c r="A5" s="72"/>
      <c r="B5" s="71"/>
      <c r="C5" s="72"/>
      <c r="D5" s="72"/>
      <c r="E5" s="72" t="s">
        <v>384</v>
      </c>
      <c r="F5" s="71"/>
      <c r="G5" s="71"/>
      <c r="H5" s="71"/>
      <c r="I5" s="72"/>
      <c r="J5" s="72" t="s">
        <v>393</v>
      </c>
      <c r="N5" s="72"/>
      <c r="O5" s="71"/>
      <c r="P5" s="72"/>
      <c r="Q5" s="72" t="s">
        <v>462</v>
      </c>
      <c r="U5" s="72"/>
      <c r="V5" s="71"/>
    </row>
    <row r="6" spans="1:91" x14ac:dyDescent="0.2">
      <c r="A6" s="72"/>
      <c r="B6" s="71"/>
      <c r="C6" s="72"/>
      <c r="D6" s="72"/>
      <c r="E6" s="72"/>
      <c r="F6" s="71"/>
      <c r="G6" s="71"/>
      <c r="H6" s="71"/>
      <c r="I6" s="72"/>
      <c r="J6" s="1" t="s">
        <v>385</v>
      </c>
      <c r="K6" s="1" t="s">
        <v>385</v>
      </c>
      <c r="L6" s="1" t="s">
        <v>385</v>
      </c>
      <c r="M6" s="1" t="s">
        <v>385</v>
      </c>
      <c r="N6" s="72"/>
      <c r="O6" s="74" t="s">
        <v>391</v>
      </c>
      <c r="P6" s="72"/>
      <c r="Q6" s="1" t="s">
        <v>385</v>
      </c>
      <c r="R6" s="1" t="s">
        <v>385</v>
      </c>
      <c r="S6" s="1" t="s">
        <v>385</v>
      </c>
      <c r="T6" s="1" t="s">
        <v>385</v>
      </c>
      <c r="U6" s="72"/>
      <c r="V6" s="74" t="s">
        <v>464</v>
      </c>
    </row>
    <row r="7" spans="1:91" x14ac:dyDescent="0.2">
      <c r="A7" s="74" t="s">
        <v>142</v>
      </c>
      <c r="B7" s="74" t="s">
        <v>72</v>
      </c>
      <c r="C7" s="74" t="s">
        <v>382</v>
      </c>
      <c r="D7" s="72"/>
      <c r="E7" s="74" t="s">
        <v>386</v>
      </c>
      <c r="F7" s="74" t="s">
        <v>387</v>
      </c>
      <c r="G7" s="74" t="s">
        <v>388</v>
      </c>
      <c r="H7" s="74" t="s">
        <v>389</v>
      </c>
      <c r="I7" s="72"/>
      <c r="J7" s="74" t="str">
        <f>E7</f>
        <v>Residential</v>
      </c>
      <c r="K7" s="74" t="str">
        <f t="shared" ref="K7:M7" si="0">F7</f>
        <v>Commercial</v>
      </c>
      <c r="L7" s="74" t="str">
        <f t="shared" si="0"/>
        <v>Industrial</v>
      </c>
      <c r="M7" s="74" t="str">
        <f t="shared" si="0"/>
        <v>Agricultural</v>
      </c>
      <c r="N7" s="72"/>
      <c r="O7" s="74" t="s">
        <v>392</v>
      </c>
      <c r="P7" s="72"/>
      <c r="Q7" s="74" t="str">
        <f>J7</f>
        <v>Residential</v>
      </c>
      <c r="R7" s="74" t="str">
        <f>K7</f>
        <v>Commercial</v>
      </c>
      <c r="S7" s="74" t="str">
        <f>L7</f>
        <v>Industrial</v>
      </c>
      <c r="T7" s="74" t="str">
        <f>M7</f>
        <v>Agricultural</v>
      </c>
      <c r="U7" s="72"/>
      <c r="V7" s="74" t="s">
        <v>392</v>
      </c>
      <c r="Y7" s="1" t="s">
        <v>381</v>
      </c>
    </row>
    <row r="8" spans="1:91" x14ac:dyDescent="0.2">
      <c r="A8" s="75" t="s">
        <v>143</v>
      </c>
      <c r="B8" s="75" t="s">
        <v>222</v>
      </c>
      <c r="C8" s="179">
        <v>0</v>
      </c>
      <c r="E8" s="180">
        <v>0</v>
      </c>
      <c r="F8" s="180">
        <v>1</v>
      </c>
      <c r="G8" s="180">
        <v>0</v>
      </c>
      <c r="H8" s="180">
        <v>0</v>
      </c>
      <c r="J8" s="181">
        <f>IF(C8=0,0,INDEX('Residential VCR by postcode'!$E$6:$E$323, MATCH($C8, 'Residential VCR by postcode'!$A$6:$A$323,0)))*10^3</f>
        <v>0</v>
      </c>
      <c r="K8" s="181">
        <f>Assumptions!G$48</f>
        <v>34390</v>
      </c>
      <c r="L8" s="181">
        <f>Assumptions!H$48</f>
        <v>33490</v>
      </c>
      <c r="M8" s="181">
        <f>Assumptions!I$48</f>
        <v>22250</v>
      </c>
      <c r="O8" s="182" cm="1">
        <f t="array" ref="O8">SUMPRODUCT(($E8:$H8)*(J8:M8))</f>
        <v>34390</v>
      </c>
      <c r="Q8" s="182">
        <f>E8*(_xlfn.XLOOKUP(C8,'Residential VCR by postcode'!A:A,'Residential VCR by postcode'!F:F,0)*1000)</f>
        <v>0</v>
      </c>
      <c r="R8" s="182">
        <f>F8*Assumptions!G$49</f>
        <v>10120.346334172</v>
      </c>
      <c r="S8" s="182">
        <f>G8*Assumptions!H$49</f>
        <v>0</v>
      </c>
      <c r="T8" s="182">
        <f>H8*Assumptions!I$49</f>
        <v>0</v>
      </c>
      <c r="V8" s="182">
        <f>SUM(Q8:T8)</f>
        <v>10120.346334172</v>
      </c>
    </row>
    <row r="9" spans="1:91" x14ac:dyDescent="0.2">
      <c r="A9" s="75" t="s">
        <v>144</v>
      </c>
      <c r="B9" s="75" t="s">
        <v>223</v>
      </c>
      <c r="C9" s="179">
        <v>3030</v>
      </c>
      <c r="D9" s="71"/>
      <c r="E9" s="180">
        <v>0.51785390481362437</v>
      </c>
      <c r="F9" s="180">
        <v>0.36837101120164023</v>
      </c>
      <c r="G9" s="180">
        <v>0.10195246421317541</v>
      </c>
      <c r="H9" s="180">
        <v>1.1822619771559932E-2</v>
      </c>
      <c r="I9" s="71"/>
      <c r="J9" s="181">
        <f>IF(C9=0,0,INDEX('Residential VCR by postcode'!$E$6:$E$323, MATCH($C9, 'Residential VCR by postcode'!$A$6:$A$323,0)))*10^3</f>
        <v>55101.713065448253</v>
      </c>
      <c r="K9" s="181">
        <f>Assumptions!G$48</f>
        <v>34390</v>
      </c>
      <c r="L9" s="181">
        <f>Assumptions!H$48</f>
        <v>33490</v>
      </c>
      <c r="M9" s="181">
        <f>Assumptions!I$48</f>
        <v>22250</v>
      </c>
      <c r="N9" s="71"/>
      <c r="O9" s="182" cm="1">
        <f t="array" ref="O9">SUMPRODUCT(($E9:$H9)*(J9:M9))</f>
        <v>44880.357664503143</v>
      </c>
      <c r="P9" s="71"/>
      <c r="Q9" s="182">
        <f>E9*(_xlfn.XLOOKUP(C9,'Residential VCR by postcode'!A:A,'Residential VCR by postcode'!F:F,0)*1000)</f>
        <v>15750.525268368014</v>
      </c>
      <c r="R9" s="182">
        <f>F9*Assumptions!G$49</f>
        <v>3728.0422128297523</v>
      </c>
      <c r="S9" s="182">
        <f>G9*Assumptions!H$49</f>
        <v>845.7982484461246</v>
      </c>
      <c r="T9" s="182">
        <f>H9*Assumptions!I$49</f>
        <v>100.877697327574</v>
      </c>
      <c r="U9" s="71"/>
      <c r="V9" s="182">
        <f t="shared" ref="V9:V72" si="1">SUM(Q9:T9)</f>
        <v>20425.243426971465</v>
      </c>
    </row>
    <row r="10" spans="1:91" x14ac:dyDescent="0.2">
      <c r="A10" s="75" t="s">
        <v>145</v>
      </c>
      <c r="B10" s="75" t="s">
        <v>224</v>
      </c>
      <c r="C10" s="179">
        <v>3028</v>
      </c>
      <c r="D10" s="71"/>
      <c r="E10" s="180">
        <v>0.55261244335125181</v>
      </c>
      <c r="F10" s="180">
        <v>0.32234389504163202</v>
      </c>
      <c r="G10" s="180">
        <v>0.12496184182314328</v>
      </c>
      <c r="H10" s="180">
        <v>8.1819783972865857E-5</v>
      </c>
      <c r="I10" s="71"/>
      <c r="J10" s="181">
        <f>IF(C10=0,0,INDEX('Residential VCR by postcode'!$E$6:$E$323, MATCH($C10, 'Residential VCR by postcode'!$A$6:$A$323,0)))*10^3</f>
        <v>55101.713065448253</v>
      </c>
      <c r="K10" s="181">
        <f>Assumptions!G$48</f>
        <v>34390</v>
      </c>
      <c r="L10" s="181">
        <f>Assumptions!H$48</f>
        <v>33490</v>
      </c>
      <c r="M10" s="181">
        <f>Assumptions!I$48</f>
        <v>22250</v>
      </c>
      <c r="N10" s="71"/>
      <c r="O10" s="182" cm="1">
        <f t="array" ref="O10">SUMPRODUCT(($E10:$H10)*(J10:M10))</f>
        <v>45722.09141326914</v>
      </c>
      <c r="P10" s="71"/>
      <c r="Q10" s="182">
        <f>E10*(_xlfn.XLOOKUP(C10,'Residential VCR by postcode'!A:A,'Residential VCR by postcode'!F:F,0)*1000)</f>
        <v>16807.706134321852</v>
      </c>
      <c r="R10" s="182">
        <f>F10*Assumptions!G$49</f>
        <v>3262.2318565273044</v>
      </c>
      <c r="S10" s="182">
        <f>G10*Assumptions!H$49</f>
        <v>1036.684181714536</v>
      </c>
      <c r="T10" s="182">
        <f>H10*Assumptions!I$49</f>
        <v>0.69813557083830735</v>
      </c>
      <c r="U10" s="71"/>
      <c r="V10" s="182">
        <f t="shared" si="1"/>
        <v>21107.320308134531</v>
      </c>
    </row>
    <row r="11" spans="1:91" x14ac:dyDescent="0.2">
      <c r="A11" s="75" t="s">
        <v>146</v>
      </c>
      <c r="B11" s="75" t="s">
        <v>225</v>
      </c>
      <c r="C11" s="179">
        <v>0</v>
      </c>
      <c r="D11" s="71"/>
      <c r="E11" s="180">
        <v>0</v>
      </c>
      <c r="F11" s="180">
        <v>1</v>
      </c>
      <c r="G11" s="180">
        <v>0</v>
      </c>
      <c r="H11" s="180">
        <v>0</v>
      </c>
      <c r="I11" s="71"/>
      <c r="J11" s="181">
        <f>IF(C11=0,0,INDEX('Residential VCR by postcode'!$E$6:$E$323, MATCH($C11, 'Residential VCR by postcode'!$A$6:$A$323,0)))*10^3</f>
        <v>0</v>
      </c>
      <c r="K11" s="181">
        <f>Assumptions!G$48</f>
        <v>34390</v>
      </c>
      <c r="L11" s="181">
        <f>Assumptions!H$48</f>
        <v>33490</v>
      </c>
      <c r="M11" s="181">
        <f>Assumptions!I$48</f>
        <v>22250</v>
      </c>
      <c r="N11" s="71"/>
      <c r="O11" s="182" cm="1">
        <f t="array" ref="O11">SUMPRODUCT(($E11:$H11)*(J11:M11))</f>
        <v>34390</v>
      </c>
      <c r="P11" s="71"/>
      <c r="Q11" s="182">
        <f>E11*(_xlfn.XLOOKUP(C11,'Residential VCR by postcode'!A:A,'Residential VCR by postcode'!F:F,0)*1000)</f>
        <v>0</v>
      </c>
      <c r="R11" s="182">
        <f>F11*Assumptions!G$49</f>
        <v>10120.346334172</v>
      </c>
      <c r="S11" s="182">
        <f>G11*Assumptions!H$49</f>
        <v>0</v>
      </c>
      <c r="T11" s="182">
        <f>H11*Assumptions!I$49</f>
        <v>0</v>
      </c>
      <c r="U11" s="71"/>
      <c r="V11" s="182">
        <f t="shared" si="1"/>
        <v>10120.346334172</v>
      </c>
    </row>
    <row r="12" spans="1:91" x14ac:dyDescent="0.2">
      <c r="A12" s="75" t="s">
        <v>147</v>
      </c>
      <c r="B12" s="75" t="s">
        <v>226</v>
      </c>
      <c r="C12" s="179">
        <v>0</v>
      </c>
      <c r="D12" s="71"/>
      <c r="E12" s="180">
        <v>0</v>
      </c>
      <c r="F12" s="180">
        <v>0.35836298043330433</v>
      </c>
      <c r="G12" s="180">
        <v>0.64163701956669561</v>
      </c>
      <c r="H12" s="180">
        <v>0</v>
      </c>
      <c r="I12" s="71"/>
      <c r="J12" s="181">
        <f>IF(C12=0,0,INDEX('Residential VCR by postcode'!$E$6:$E$323, MATCH($C12, 'Residential VCR by postcode'!$A$6:$A$323,0)))*10^3</f>
        <v>0</v>
      </c>
      <c r="K12" s="181">
        <f>Assumptions!G$48</f>
        <v>34390</v>
      </c>
      <c r="L12" s="181">
        <f>Assumptions!H$48</f>
        <v>33490</v>
      </c>
      <c r="M12" s="181">
        <f>Assumptions!I$48</f>
        <v>22250</v>
      </c>
      <c r="N12" s="71"/>
      <c r="O12" s="182" cm="1">
        <f t="array" ref="O12">SUMPRODUCT(($E12:$H12)*(J12:M12))</f>
        <v>33812.526682389973</v>
      </c>
      <c r="P12" s="71"/>
      <c r="Q12" s="182">
        <f>E12*(_xlfn.XLOOKUP(C12,'Residential VCR by postcode'!A:A,'Residential VCR by postcode'!F:F,0)*1000)</f>
        <v>0</v>
      </c>
      <c r="R12" s="182">
        <f>F12*Assumptions!G$49</f>
        <v>3626.7574753311437</v>
      </c>
      <c r="S12" s="182">
        <f>G12*Assumptions!H$49</f>
        <v>5323.0245239876203</v>
      </c>
      <c r="T12" s="182">
        <f>H12*Assumptions!I$49</f>
        <v>0</v>
      </c>
      <c r="U12" s="71"/>
      <c r="V12" s="182">
        <f t="shared" si="1"/>
        <v>8949.7819993187641</v>
      </c>
    </row>
    <row r="13" spans="1:91" x14ac:dyDescent="0.2">
      <c r="A13" s="75" t="s">
        <v>148</v>
      </c>
      <c r="B13" s="75" t="s">
        <v>227</v>
      </c>
      <c r="C13" s="179">
        <v>0</v>
      </c>
      <c r="D13" s="71"/>
      <c r="E13" s="180">
        <v>0</v>
      </c>
      <c r="F13" s="180">
        <v>1</v>
      </c>
      <c r="G13" s="180">
        <v>0</v>
      </c>
      <c r="H13" s="180">
        <v>0</v>
      </c>
      <c r="I13" s="71"/>
      <c r="J13" s="181">
        <f>IF(C13=0,0,INDEX('Residential VCR by postcode'!$E$6:$E$323, MATCH($C13, 'Residential VCR by postcode'!$A$6:$A$323,0)))*10^3</f>
        <v>0</v>
      </c>
      <c r="K13" s="181">
        <f>Assumptions!G$48</f>
        <v>34390</v>
      </c>
      <c r="L13" s="181">
        <f>Assumptions!H$48</f>
        <v>33490</v>
      </c>
      <c r="M13" s="181">
        <f>Assumptions!I$48</f>
        <v>22250</v>
      </c>
      <c r="N13" s="71"/>
      <c r="O13" s="182" cm="1">
        <f t="array" ref="O13">SUMPRODUCT(($E13:$H13)*(J13:M13))</f>
        <v>34390</v>
      </c>
      <c r="P13" s="71"/>
      <c r="Q13" s="182">
        <f>E13*(_xlfn.XLOOKUP(C13,'Residential VCR by postcode'!A:A,'Residential VCR by postcode'!F:F,0)*1000)</f>
        <v>0</v>
      </c>
      <c r="R13" s="182">
        <f>F13*Assumptions!G$49</f>
        <v>10120.346334172</v>
      </c>
      <c r="S13" s="182">
        <f>G13*Assumptions!H$49</f>
        <v>0</v>
      </c>
      <c r="T13" s="182">
        <f>H13*Assumptions!I$49</f>
        <v>0</v>
      </c>
      <c r="U13" s="71"/>
      <c r="V13" s="182">
        <f t="shared" si="1"/>
        <v>10120.346334172</v>
      </c>
    </row>
    <row r="14" spans="1:91" x14ac:dyDescent="0.2">
      <c r="A14" s="75" t="s">
        <v>149</v>
      </c>
      <c r="B14" s="75" t="s">
        <v>228</v>
      </c>
      <c r="C14" s="179">
        <v>3026</v>
      </c>
      <c r="D14" s="71"/>
      <c r="E14" s="180">
        <v>4.2971991918649984E-2</v>
      </c>
      <c r="F14" s="180">
        <v>0.78105721286822904</v>
      </c>
      <c r="G14" s="180">
        <v>0.17597079521312106</v>
      </c>
      <c r="H14" s="180">
        <v>0</v>
      </c>
      <c r="I14" s="71"/>
      <c r="J14" s="181">
        <f>IF(C14=0,0,INDEX('Residential VCR by postcode'!$E$6:$E$323, MATCH($C14, 'Residential VCR by postcode'!$A$6:$A$323,0)))*10^3</f>
        <v>55101.713065448253</v>
      </c>
      <c r="K14" s="181">
        <f>Assumptions!G$48</f>
        <v>34390</v>
      </c>
      <c r="L14" s="181">
        <f>Assumptions!H$48</f>
        <v>33490</v>
      </c>
      <c r="M14" s="181">
        <f>Assumptions!I$48</f>
        <v>22250</v>
      </c>
      <c r="N14" s="71"/>
      <c r="O14" s="182" cm="1">
        <f t="array" ref="O14">SUMPRODUCT(($E14:$H14)*(J14:M14))</f>
        <v>35121.649850778034</v>
      </c>
      <c r="P14" s="71"/>
      <c r="Q14" s="182">
        <f>E14*(_xlfn.XLOOKUP(C14,'Residential VCR by postcode'!A:A,'Residential VCR by postcode'!F:F,0)*1000)</f>
        <v>1306.9930307668421</v>
      </c>
      <c r="R14" s="182">
        <f>F14*Assumptions!G$49</f>
        <v>7904.5695010295813</v>
      </c>
      <c r="S14" s="182">
        <f>G14*Assumptions!H$49</f>
        <v>1459.8547618988819</v>
      </c>
      <c r="T14" s="182">
        <f>H14*Assumptions!I$49</f>
        <v>0</v>
      </c>
      <c r="U14" s="71"/>
      <c r="V14" s="182">
        <f t="shared" si="1"/>
        <v>10671.417293695305</v>
      </c>
    </row>
    <row r="15" spans="1:91" x14ac:dyDescent="0.2">
      <c r="A15" s="75" t="s">
        <v>150</v>
      </c>
      <c r="B15" s="75" t="s">
        <v>229</v>
      </c>
      <c r="C15" s="179">
        <v>3350</v>
      </c>
      <c r="D15" s="71"/>
      <c r="E15" s="180">
        <v>0.3780492459697567</v>
      </c>
      <c r="F15" s="180">
        <v>0.3858464941441615</v>
      </c>
      <c r="G15" s="180">
        <v>0.22143372832267069</v>
      </c>
      <c r="H15" s="180">
        <v>1.4670531563411152E-2</v>
      </c>
      <c r="I15" s="71"/>
      <c r="J15" s="181">
        <f>IF(C15=0,0,INDEX('Residential VCR by postcode'!$E$6:$E$323, MATCH($C15, 'Residential VCR by postcode'!$A$6:$A$323,0)))*10^3</f>
        <v>35689.437134949148</v>
      </c>
      <c r="K15" s="181">
        <f>Assumptions!G$48</f>
        <v>34390</v>
      </c>
      <c r="L15" s="181">
        <f>Assumptions!H$48</f>
        <v>33490</v>
      </c>
      <c r="M15" s="181">
        <f>Assumptions!I$48</f>
        <v>22250</v>
      </c>
      <c r="N15" s="71"/>
      <c r="O15" s="182" cm="1">
        <f t="array" ref="O15">SUMPRODUCT(($E15:$H15)*(J15:M15))</f>
        <v>34503.860620382417</v>
      </c>
      <c r="P15" s="71"/>
      <c r="Q15" s="182">
        <f>E15*(_xlfn.XLOOKUP(C15,'Residential VCR by postcode'!A:A,'Residential VCR by postcode'!F:F,0)*1000)</f>
        <v>9555.6865581253587</v>
      </c>
      <c r="R15" s="182">
        <f>F15*Assumptions!G$49</f>
        <v>3904.9001525649828</v>
      </c>
      <c r="S15" s="182">
        <f>G15*Assumptions!H$49</f>
        <v>1837.0155249077975</v>
      </c>
      <c r="T15" s="182">
        <f>H15*Assumptions!I$49</f>
        <v>125.17779234078695</v>
      </c>
      <c r="U15" s="71"/>
      <c r="V15" s="182">
        <f t="shared" si="1"/>
        <v>15422.780027938927</v>
      </c>
    </row>
    <row r="16" spans="1:91" x14ac:dyDescent="0.2">
      <c r="A16" s="75" t="s">
        <v>151</v>
      </c>
      <c r="B16" s="75" t="s">
        <v>230</v>
      </c>
      <c r="C16" s="179">
        <v>0</v>
      </c>
      <c r="D16" s="71"/>
      <c r="E16" s="180">
        <v>0</v>
      </c>
      <c r="F16" s="180">
        <v>0.88497020525270365</v>
      </c>
      <c r="G16" s="180">
        <v>0.1150297947472964</v>
      </c>
      <c r="H16" s="180">
        <v>0</v>
      </c>
      <c r="I16" s="71"/>
      <c r="J16" s="181">
        <f>IF(C16=0,0,INDEX('Residential VCR by postcode'!$E$6:$E$323, MATCH($C16, 'Residential VCR by postcode'!$A$6:$A$323,0)))*10^3</f>
        <v>0</v>
      </c>
      <c r="K16" s="181">
        <f>Assumptions!G$48</f>
        <v>34390</v>
      </c>
      <c r="L16" s="181">
        <f>Assumptions!H$48</f>
        <v>33490</v>
      </c>
      <c r="M16" s="181">
        <f>Assumptions!I$48</f>
        <v>22250</v>
      </c>
      <c r="N16" s="71"/>
      <c r="O16" s="182" cm="1">
        <f t="array" ref="O16">SUMPRODUCT(($E16:$H16)*(J16:M16))</f>
        <v>34286.473184727438</v>
      </c>
      <c r="P16" s="71"/>
      <c r="Q16" s="182">
        <f>E16*(_xlfn.XLOOKUP(C16,'Residential VCR by postcode'!A:A,'Residential VCR by postcode'!F:F,0)*1000)</f>
        <v>0</v>
      </c>
      <c r="R16" s="182">
        <f>F16*Assumptions!G$49</f>
        <v>8956.204972580641</v>
      </c>
      <c r="S16" s="182">
        <f>G16*Assumptions!H$49</f>
        <v>954.28786020267057</v>
      </c>
      <c r="T16" s="182">
        <f>H16*Assumptions!I$49</f>
        <v>0</v>
      </c>
      <c r="U16" s="71"/>
      <c r="V16" s="182">
        <f t="shared" si="1"/>
        <v>9910.4928327833113</v>
      </c>
    </row>
    <row r="17" spans="1:22" x14ac:dyDescent="0.2">
      <c r="A17" s="75" t="s">
        <v>152</v>
      </c>
      <c r="B17" s="75" t="s">
        <v>231</v>
      </c>
      <c r="C17" s="179">
        <v>3350</v>
      </c>
      <c r="D17" s="71"/>
      <c r="E17" s="180">
        <v>0.54054745449746489</v>
      </c>
      <c r="F17" s="180">
        <v>0.33072871596725972</v>
      </c>
      <c r="G17" s="180">
        <v>0.11529177508079767</v>
      </c>
      <c r="H17" s="180">
        <v>1.3432054454477826E-2</v>
      </c>
      <c r="I17" s="71"/>
      <c r="J17" s="181">
        <f>IF(C17=0,0,INDEX('Residential VCR by postcode'!$E$6:$E$323, MATCH($C17, 'Residential VCR by postcode'!$A$6:$A$323,0)))*10^3</f>
        <v>35689.437134949148</v>
      </c>
      <c r="K17" s="181">
        <f>Assumptions!G$48</f>
        <v>34390</v>
      </c>
      <c r="L17" s="181">
        <f>Assumptions!H$48</f>
        <v>33490</v>
      </c>
      <c r="M17" s="181">
        <f>Assumptions!I$48</f>
        <v>22250</v>
      </c>
      <c r="N17" s="71"/>
      <c r="O17" s="182" cm="1">
        <f t="array" ref="O17">SUMPRODUCT(($E17:$H17)*(J17:M17))</f>
        <v>34825.579696926165</v>
      </c>
      <c r="P17" s="71"/>
      <c r="Q17" s="182">
        <f>E17*(_xlfn.XLOOKUP(C17,'Residential VCR by postcode'!A:A,'Residential VCR by postcode'!F:F,0)*1000)</f>
        <v>13663.040199221876</v>
      </c>
      <c r="R17" s="182">
        <f>F17*Assumptions!G$49</f>
        <v>3347.0891482446696</v>
      </c>
      <c r="S17" s="182">
        <f>G17*Assumptions!H$49</f>
        <v>956.46125060488191</v>
      </c>
      <c r="T17" s="182">
        <f>H17*Assumptions!I$49</f>
        <v>114.61036131821076</v>
      </c>
      <c r="U17" s="71"/>
      <c r="V17" s="182">
        <f t="shared" si="1"/>
        <v>18081.200959389636</v>
      </c>
    </row>
    <row r="18" spans="1:22" x14ac:dyDescent="0.2">
      <c r="A18" s="75" t="s">
        <v>153</v>
      </c>
      <c r="B18" s="75" t="s">
        <v>232</v>
      </c>
      <c r="C18" s="179">
        <v>0</v>
      </c>
      <c r="D18" s="71"/>
      <c r="E18" s="180">
        <v>0</v>
      </c>
      <c r="F18" s="180">
        <v>1</v>
      </c>
      <c r="G18" s="180">
        <v>0</v>
      </c>
      <c r="H18" s="180">
        <v>0</v>
      </c>
      <c r="I18" s="71"/>
      <c r="J18" s="181">
        <f>IF(C18=0,0,INDEX('Residential VCR by postcode'!$E$6:$E$323, MATCH($C18, 'Residential VCR by postcode'!$A$6:$A$323,0)))*10^3</f>
        <v>0</v>
      </c>
      <c r="K18" s="181">
        <f>Assumptions!G$48</f>
        <v>34390</v>
      </c>
      <c r="L18" s="181">
        <f>Assumptions!H$48</f>
        <v>33490</v>
      </c>
      <c r="M18" s="181">
        <f>Assumptions!I$48</f>
        <v>22250</v>
      </c>
      <c r="N18" s="71"/>
      <c r="O18" s="182" cm="1">
        <f t="array" ref="O18">SUMPRODUCT(($E18:$H18)*(J18:M18))</f>
        <v>34390</v>
      </c>
      <c r="P18" s="71"/>
      <c r="Q18" s="182">
        <f>E18*(_xlfn.XLOOKUP(C18,'Residential VCR by postcode'!A:A,'Residential VCR by postcode'!F:F,0)*1000)</f>
        <v>0</v>
      </c>
      <c r="R18" s="182">
        <f>F18*Assumptions!G$49</f>
        <v>10120.346334172</v>
      </c>
      <c r="S18" s="182">
        <f>G18*Assumptions!H$49</f>
        <v>0</v>
      </c>
      <c r="T18" s="182">
        <f>H18*Assumptions!I$49</f>
        <v>0</v>
      </c>
      <c r="U18" s="71"/>
      <c r="V18" s="182">
        <f t="shared" si="1"/>
        <v>10120.346334172</v>
      </c>
    </row>
    <row r="19" spans="1:22" x14ac:dyDescent="0.2">
      <c r="A19" s="75" t="s">
        <v>154</v>
      </c>
      <c r="B19" s="75" t="s">
        <v>233</v>
      </c>
      <c r="C19" s="179">
        <v>0</v>
      </c>
      <c r="D19" s="71"/>
      <c r="E19" s="180">
        <v>0</v>
      </c>
      <c r="F19" s="180">
        <v>1</v>
      </c>
      <c r="G19" s="180">
        <v>0</v>
      </c>
      <c r="H19" s="180">
        <v>0</v>
      </c>
      <c r="I19" s="71"/>
      <c r="J19" s="181">
        <f>IF(C19=0,0,INDEX('Residential VCR by postcode'!$E$6:$E$323, MATCH($C19, 'Residential VCR by postcode'!$A$6:$A$323,0)))*10^3</f>
        <v>0</v>
      </c>
      <c r="K19" s="181">
        <f>Assumptions!G$48</f>
        <v>34390</v>
      </c>
      <c r="L19" s="181">
        <f>Assumptions!H$48</f>
        <v>33490</v>
      </c>
      <c r="M19" s="181">
        <f>Assumptions!I$48</f>
        <v>22250</v>
      </c>
      <c r="N19" s="71"/>
      <c r="O19" s="182" cm="1">
        <f t="array" ref="O19">SUMPRODUCT(($E19:$H19)*(J19:M19))</f>
        <v>34390</v>
      </c>
      <c r="P19" s="71"/>
      <c r="Q19" s="182">
        <f>E19*(_xlfn.XLOOKUP(C19,'Residential VCR by postcode'!A:A,'Residential VCR by postcode'!F:F,0)*1000)</f>
        <v>0</v>
      </c>
      <c r="R19" s="182">
        <f>F19*Assumptions!G$49</f>
        <v>10120.346334172</v>
      </c>
      <c r="S19" s="182">
        <f>G19*Assumptions!H$49</f>
        <v>0</v>
      </c>
      <c r="T19" s="182">
        <f>H19*Assumptions!I$49</f>
        <v>0</v>
      </c>
      <c r="U19" s="71"/>
      <c r="V19" s="182">
        <f t="shared" si="1"/>
        <v>10120.346334172</v>
      </c>
    </row>
    <row r="20" spans="1:22" x14ac:dyDescent="0.2">
      <c r="A20" s="75" t="s">
        <v>155</v>
      </c>
      <c r="B20" s="75" t="s">
        <v>234</v>
      </c>
      <c r="C20" s="179">
        <v>3555</v>
      </c>
      <c r="D20" s="71"/>
      <c r="E20" s="180">
        <v>0.53834174754866682</v>
      </c>
      <c r="F20" s="180">
        <v>0.37897276925504964</v>
      </c>
      <c r="G20" s="180">
        <v>7.7261033378843866E-2</v>
      </c>
      <c r="H20" s="180">
        <v>5.4244498174396884E-3</v>
      </c>
      <c r="I20" s="71"/>
      <c r="J20" s="181">
        <f>IF(C20=0,0,INDEX('Residential VCR by postcode'!$E$6:$E$323, MATCH($C20, 'Residential VCR by postcode'!$A$6:$A$323,0)))*10^3</f>
        <v>38897.618107964721</v>
      </c>
      <c r="K20" s="181">
        <f>Assumptions!G$48</f>
        <v>34390</v>
      </c>
      <c r="L20" s="181">
        <f>Assumptions!H$48</f>
        <v>33490</v>
      </c>
      <c r="M20" s="181">
        <f>Assumptions!I$48</f>
        <v>22250</v>
      </c>
      <c r="N20" s="71"/>
      <c r="O20" s="182" cm="1">
        <f t="array" ref="O20">SUMPRODUCT(($E20:$H20)*(J20:M20))</f>
        <v>36681.251258699071</v>
      </c>
      <c r="P20" s="71"/>
      <c r="Q20" s="182">
        <f>E20*(_xlfn.XLOOKUP(C20,'Residential VCR by postcode'!A:A,'Residential VCR by postcode'!F:F,0)*1000)</f>
        <v>13183.24985238949</v>
      </c>
      <c r="R20" s="182">
        <f>F20*Assumptions!G$49</f>
        <v>3835.3356760813526</v>
      </c>
      <c r="S20" s="182">
        <f>G20*Assumptions!H$49</f>
        <v>640.95799164135178</v>
      </c>
      <c r="T20" s="182">
        <f>H20*Assumptions!I$49</f>
        <v>46.284665956071258</v>
      </c>
      <c r="U20" s="71"/>
      <c r="V20" s="182">
        <f t="shared" si="1"/>
        <v>17705.828186068265</v>
      </c>
    </row>
    <row r="21" spans="1:22" x14ac:dyDescent="0.2">
      <c r="A21" s="75" t="s">
        <v>155</v>
      </c>
      <c r="B21" s="75" t="s">
        <v>235</v>
      </c>
      <c r="C21" s="179">
        <v>3550</v>
      </c>
      <c r="D21" s="71"/>
      <c r="E21" s="180">
        <v>0.40109172309781271</v>
      </c>
      <c r="F21" s="180">
        <v>0.51143967076600227</v>
      </c>
      <c r="G21" s="180">
        <v>8.100236696940874E-2</v>
      </c>
      <c r="H21" s="180">
        <v>6.4662391667761254E-3</v>
      </c>
      <c r="I21" s="71"/>
      <c r="J21" s="181">
        <f>IF(C21=0,0,INDEX('Residential VCR by postcode'!$E$6:$E$323, MATCH($C21, 'Residential VCR by postcode'!$A$6:$A$323,0)))*10^3</f>
        <v>38897.618107964721</v>
      </c>
      <c r="K21" s="181">
        <f>Assumptions!G$48</f>
        <v>34390</v>
      </c>
      <c r="L21" s="181">
        <f>Assumptions!H$48</f>
        <v>33490</v>
      </c>
      <c r="M21" s="181">
        <f>Assumptions!I$48</f>
        <v>22250</v>
      </c>
      <c r="N21" s="71"/>
      <c r="O21" s="182" cm="1">
        <f t="array" ref="O21">SUMPRODUCT(($E21:$H21)*(J21:M21))</f>
        <v>36046.566040233331</v>
      </c>
      <c r="P21" s="71"/>
      <c r="Q21" s="182">
        <f>E21*(_xlfn.XLOOKUP(C21,'Residential VCR by postcode'!A:A,'Residential VCR by postcode'!F:F,0)*1000)</f>
        <v>9822.1853003251836</v>
      </c>
      <c r="R21" s="182">
        <f>F21*Assumptions!G$49</f>
        <v>5175.9465971868458</v>
      </c>
      <c r="S21" s="182">
        <f>G21*Assumptions!H$49</f>
        <v>671.99611732251105</v>
      </c>
      <c r="T21" s="182">
        <f>H21*Assumptions!I$49</f>
        <v>55.17383880372217</v>
      </c>
      <c r="U21" s="71"/>
      <c r="V21" s="182">
        <f t="shared" si="1"/>
        <v>15725.301853638264</v>
      </c>
    </row>
    <row r="22" spans="1:22" x14ac:dyDescent="0.2">
      <c r="A22" s="75" t="s">
        <v>156</v>
      </c>
      <c r="B22" s="75" t="s">
        <v>236</v>
      </c>
      <c r="C22" s="179">
        <v>3556</v>
      </c>
      <c r="D22" s="71"/>
      <c r="E22" s="180">
        <v>0.34862191075862059</v>
      </c>
      <c r="F22" s="180">
        <v>0.49723275862511984</v>
      </c>
      <c r="G22" s="180">
        <v>0.14310439609339756</v>
      </c>
      <c r="H22" s="180">
        <v>1.1040934522862091E-2</v>
      </c>
      <c r="I22" s="71"/>
      <c r="J22" s="181">
        <f>IF(C22=0,0,INDEX('Residential VCR by postcode'!$E$6:$E$323, MATCH($C22, 'Residential VCR by postcode'!$A$6:$A$323,0)))*10^3</f>
        <v>38897.618107964721</v>
      </c>
      <c r="K22" s="181">
        <f>Assumptions!G$48</f>
        <v>34390</v>
      </c>
      <c r="L22" s="181">
        <f>Assumptions!H$48</f>
        <v>33490</v>
      </c>
      <c r="M22" s="181">
        <f>Assumptions!I$48</f>
        <v>22250</v>
      </c>
      <c r="N22" s="71"/>
      <c r="O22" s="182" cm="1">
        <f t="array" ref="O22">SUMPRODUCT(($E22:$H22)*(J22:M22))</f>
        <v>35698.62353617722</v>
      </c>
      <c r="P22" s="71"/>
      <c r="Q22" s="182">
        <f>E22*(_xlfn.XLOOKUP(C22,'Residential VCR by postcode'!A:A,'Residential VCR by postcode'!F:F,0)*1000)</f>
        <v>8537.2716763580465</v>
      </c>
      <c r="R22" s="182">
        <f>F22*Assumptions!G$49</f>
        <v>5032.1677259819626</v>
      </c>
      <c r="S22" s="182">
        <f>G22*Assumptions!H$49</f>
        <v>1187.1949196603559</v>
      </c>
      <c r="T22" s="182">
        <f>H22*Assumptions!I$49</f>
        <v>94.207888990063225</v>
      </c>
      <c r="U22" s="71"/>
      <c r="V22" s="182">
        <f t="shared" si="1"/>
        <v>14850.84221099043</v>
      </c>
    </row>
    <row r="23" spans="1:22" x14ac:dyDescent="0.2">
      <c r="A23" s="75" t="s">
        <v>157</v>
      </c>
      <c r="B23" s="75" t="s">
        <v>237</v>
      </c>
      <c r="C23" s="179">
        <v>3450</v>
      </c>
      <c r="D23" s="71"/>
      <c r="E23" s="180">
        <v>0.44382898693987649</v>
      </c>
      <c r="F23" s="180">
        <v>0.47640951319834796</v>
      </c>
      <c r="G23" s="180">
        <v>7.13120439637768E-2</v>
      </c>
      <c r="H23" s="180">
        <v>8.449455897998677E-3</v>
      </c>
      <c r="I23" s="71"/>
      <c r="J23" s="181">
        <f>IF(C23=0,0,INDEX('Residential VCR by postcode'!$E$6:$E$323, MATCH($C23, 'Residential VCR by postcode'!$A$6:$A$323,0)))*10^3</f>
        <v>35689.437134949148</v>
      </c>
      <c r="K23" s="181">
        <f>Assumptions!G$48</f>
        <v>34390</v>
      </c>
      <c r="L23" s="181">
        <f>Assumptions!H$48</f>
        <v>33490</v>
      </c>
      <c r="M23" s="181">
        <f>Assumptions!I$48</f>
        <v>22250</v>
      </c>
      <c r="N23" s="71"/>
      <c r="O23" s="182" cm="1">
        <f t="array" ref="O23">SUMPRODUCT(($E23:$H23)*(J23:M23))</f>
        <v>34799.970633027428</v>
      </c>
      <c r="P23" s="71"/>
      <c r="Q23" s="182">
        <f>E23*(_xlfn.XLOOKUP(C23,'Residential VCR by postcode'!A:A,'Residential VCR by postcode'!F:F,0)*1000)</f>
        <v>11218.355094793797</v>
      </c>
      <c r="R23" s="182">
        <f>F23*Assumptions!G$49</f>
        <v>4821.4292704615673</v>
      </c>
      <c r="S23" s="182">
        <f>G23*Assumptions!H$49</f>
        <v>591.60514013236389</v>
      </c>
      <c r="T23" s="182">
        <f>H23*Assumptions!I$49</f>
        <v>72.095835874837661</v>
      </c>
      <c r="U23" s="71"/>
      <c r="V23" s="182">
        <f t="shared" si="1"/>
        <v>16703.485341262567</v>
      </c>
    </row>
    <row r="24" spans="1:22" x14ac:dyDescent="0.2">
      <c r="A24" s="75" t="s">
        <v>158</v>
      </c>
      <c r="B24" s="75" t="s">
        <v>238</v>
      </c>
      <c r="C24" s="179">
        <v>3465</v>
      </c>
      <c r="D24" s="71"/>
      <c r="E24" s="180">
        <v>0.4575882839718608</v>
      </c>
      <c r="F24" s="180">
        <v>0.45045043702519094</v>
      </c>
      <c r="G24" s="180">
        <v>7.3716140706877029E-2</v>
      </c>
      <c r="H24" s="180">
        <v>1.8245138296071172E-2</v>
      </c>
      <c r="I24" s="71"/>
      <c r="J24" s="181">
        <f>IF(C24=0,0,INDEX('Residential VCR by postcode'!$E$6:$E$323, MATCH($C24, 'Residential VCR by postcode'!$A$6:$A$323,0)))*10^3</f>
        <v>38897.618107964721</v>
      </c>
      <c r="K24" s="181">
        <f>Assumptions!G$48</f>
        <v>34390</v>
      </c>
      <c r="L24" s="181">
        <f>Assumptions!H$48</f>
        <v>33490</v>
      </c>
      <c r="M24" s="181">
        <f>Assumptions!I$48</f>
        <v>22250</v>
      </c>
      <c r="N24" s="71"/>
      <c r="O24" s="182" cm="1">
        <f t="array" ref="O24">SUMPRODUCT(($E24:$H24)*(J24:M24))</f>
        <v>36164.792729273562</v>
      </c>
      <c r="P24" s="71"/>
      <c r="Q24" s="182">
        <f>E24*(_xlfn.XLOOKUP(C24,'Residential VCR by postcode'!A:A,'Residential VCR by postcode'!F:F,0)*1000)</f>
        <v>11205.708464179343</v>
      </c>
      <c r="R24" s="182">
        <f>F24*Assumptions!G$49</f>
        <v>4558.7144290740662</v>
      </c>
      <c r="S24" s="182">
        <f>G24*Assumptions!H$49</f>
        <v>611.54954098723238</v>
      </c>
      <c r="T24" s="182">
        <f>H24*Assumptions!I$49</f>
        <v>155.67848533523033</v>
      </c>
      <c r="U24" s="71"/>
      <c r="V24" s="182">
        <f t="shared" si="1"/>
        <v>16531.650919575874</v>
      </c>
    </row>
    <row r="25" spans="1:22" x14ac:dyDescent="0.2">
      <c r="A25" s="75" t="s">
        <v>159</v>
      </c>
      <c r="B25" s="75" t="s">
        <v>239</v>
      </c>
      <c r="C25" s="179">
        <v>3525</v>
      </c>
      <c r="D25" s="71"/>
      <c r="E25" s="180">
        <v>0.48310084788809443</v>
      </c>
      <c r="F25" s="180">
        <v>0.31808618451450477</v>
      </c>
      <c r="G25" s="180">
        <v>0.14986369470017344</v>
      </c>
      <c r="H25" s="180">
        <v>4.8949272897227419E-2</v>
      </c>
      <c r="I25" s="71"/>
      <c r="J25" s="181">
        <f>IF(C25=0,0,INDEX('Residential VCR by postcode'!$E$6:$E$323, MATCH($C25, 'Residential VCR by postcode'!$A$6:$A$323,0)))*10^3</f>
        <v>24862.362551913284</v>
      </c>
      <c r="K25" s="181">
        <f>Assumptions!G$48</f>
        <v>34390</v>
      </c>
      <c r="L25" s="181">
        <f>Assumptions!H$48</f>
        <v>33490</v>
      </c>
      <c r="M25" s="181">
        <f>Assumptions!I$48</f>
        <v>22250</v>
      </c>
      <c r="N25" s="71"/>
      <c r="O25" s="182" cm="1">
        <f t="array" ref="O25">SUMPRODUCT(($E25:$H25)*(J25:M25))</f>
        <v>29058.068772256451</v>
      </c>
      <c r="P25" s="71"/>
      <c r="Q25" s="182">
        <f>E25*(_xlfn.XLOOKUP(C25,'Residential VCR by postcode'!A:A,'Residential VCR by postcode'!F:F,0)*1000)</f>
        <v>6758.1535030967952</v>
      </c>
      <c r="R25" s="182">
        <f>F25*Assumptions!G$49</f>
        <v>3219.1423514021267</v>
      </c>
      <c r="S25" s="182">
        <f>G25*Assumptions!H$49</f>
        <v>1243.2701010348983</v>
      </c>
      <c r="T25" s="182">
        <f>H25*Assumptions!I$49</f>
        <v>417.66461504663619</v>
      </c>
      <c r="U25" s="71"/>
      <c r="V25" s="182">
        <f t="shared" si="1"/>
        <v>11638.230570580457</v>
      </c>
    </row>
    <row r="26" spans="1:22" x14ac:dyDescent="0.2">
      <c r="A26" s="75" t="s">
        <v>160</v>
      </c>
      <c r="B26" s="75" t="s">
        <v>240</v>
      </c>
      <c r="C26" s="179">
        <v>3025</v>
      </c>
      <c r="D26" s="71"/>
      <c r="E26" s="180">
        <v>0.13827710724160636</v>
      </c>
      <c r="F26" s="180">
        <v>0.63494090872014031</v>
      </c>
      <c r="G26" s="180">
        <v>0.22678198403825334</v>
      </c>
      <c r="H26" s="180">
        <v>0</v>
      </c>
      <c r="I26" s="71"/>
      <c r="J26" s="181">
        <f>IF(C26=0,0,INDEX('Residential VCR by postcode'!$E$6:$E$323, MATCH($C26, 'Residential VCR by postcode'!$A$6:$A$323,0)))*10^3</f>
        <v>55101.713065448253</v>
      </c>
      <c r="K26" s="181">
        <f>Assumptions!G$48</f>
        <v>34390</v>
      </c>
      <c r="L26" s="181">
        <f>Assumptions!H$48</f>
        <v>33490</v>
      </c>
      <c r="M26" s="181">
        <f>Assumptions!I$48</f>
        <v>22250</v>
      </c>
      <c r="N26" s="71"/>
      <c r="O26" s="182" cm="1">
        <f t="array" ref="O26">SUMPRODUCT(($E26:$H26)*(J26:M26))</f>
        <v>37049.851983073939</v>
      </c>
      <c r="P26" s="71"/>
      <c r="Q26" s="182">
        <f>E26*(_xlfn.XLOOKUP(C26,'Residential VCR by postcode'!A:A,'Residential VCR by postcode'!F:F,0)*1000)</f>
        <v>4205.6978839033654</v>
      </c>
      <c r="R26" s="182">
        <f>F26*Assumptions!G$49</f>
        <v>6425.8218979817102</v>
      </c>
      <c r="S26" s="182">
        <f>G26*Assumptions!H$49</f>
        <v>1881.3846860790602</v>
      </c>
      <c r="T26" s="182">
        <f>H26*Assumptions!I$49</f>
        <v>0</v>
      </c>
      <c r="U26" s="71"/>
      <c r="V26" s="182">
        <f t="shared" si="1"/>
        <v>12512.904467964136</v>
      </c>
    </row>
    <row r="27" spans="1:22" x14ac:dyDescent="0.2">
      <c r="A27" s="75" t="s">
        <v>161</v>
      </c>
      <c r="B27" s="75" t="s">
        <v>241</v>
      </c>
      <c r="C27" s="179">
        <v>3018</v>
      </c>
      <c r="D27" s="71"/>
      <c r="E27" s="180">
        <v>0.35253635213944551</v>
      </c>
      <c r="F27" s="180">
        <v>0.53860280948085804</v>
      </c>
      <c r="G27" s="180">
        <v>0.10886083837969635</v>
      </c>
      <c r="H27" s="180">
        <v>0</v>
      </c>
      <c r="I27" s="71"/>
      <c r="J27" s="181">
        <f>IF(C27=0,0,INDEX('Residential VCR by postcode'!$E$6:$E$323, MATCH($C27, 'Residential VCR by postcode'!$A$6:$A$323,0)))*10^3</f>
        <v>55101.713065448253</v>
      </c>
      <c r="K27" s="181">
        <f>Assumptions!G$48</f>
        <v>34390</v>
      </c>
      <c r="L27" s="181">
        <f>Assumptions!H$48</f>
        <v>33490</v>
      </c>
      <c r="M27" s="181">
        <f>Assumptions!I$48</f>
        <v>22250</v>
      </c>
      <c r="N27" s="71"/>
      <c r="O27" s="182" cm="1">
        <f t="array" ref="O27">SUMPRODUCT(($E27:$H27)*(J27:M27))</f>
        <v>41593.657016110294</v>
      </c>
      <c r="P27" s="71"/>
      <c r="Q27" s="182">
        <f>E27*(_xlfn.XLOOKUP(C27,'Residential VCR by postcode'!A:A,'Residential VCR by postcode'!F:F,0)*1000)</f>
        <v>10722.392301722652</v>
      </c>
      <c r="R27" s="182">
        <f>F27*Assumptions!G$49</f>
        <v>5450.8469685043419</v>
      </c>
      <c r="S27" s="182">
        <f>G27*Assumptions!H$49</f>
        <v>903.11016154943491</v>
      </c>
      <c r="T27" s="182">
        <f>H27*Assumptions!I$49</f>
        <v>0</v>
      </c>
      <c r="U27" s="71"/>
      <c r="V27" s="182">
        <f t="shared" si="1"/>
        <v>17076.349431776427</v>
      </c>
    </row>
    <row r="28" spans="1:22" x14ac:dyDescent="0.2">
      <c r="A28" s="75" t="s">
        <v>162</v>
      </c>
      <c r="B28" s="75" t="s">
        <v>242</v>
      </c>
      <c r="C28" s="179">
        <v>3340</v>
      </c>
      <c r="D28" s="71"/>
      <c r="E28" s="180">
        <v>0.57914072601516531</v>
      </c>
      <c r="F28" s="180">
        <v>0.26961907197254809</v>
      </c>
      <c r="G28" s="180">
        <v>0.14546977755139495</v>
      </c>
      <c r="H28" s="180">
        <v>5.7704244608915668E-3</v>
      </c>
      <c r="I28" s="71"/>
      <c r="J28" s="181">
        <f>IF(C28=0,0,INDEX('Residential VCR by postcode'!$E$6:$E$323, MATCH($C28, 'Residential VCR by postcode'!$A$6:$A$323,0)))*10^3</f>
        <v>55101.713065448253</v>
      </c>
      <c r="K28" s="181">
        <f>Assumptions!G$48</f>
        <v>34390</v>
      </c>
      <c r="L28" s="181">
        <f>Assumptions!H$48</f>
        <v>33490</v>
      </c>
      <c r="M28" s="181">
        <f>Assumptions!I$48</f>
        <v>22250</v>
      </c>
      <c r="N28" s="71"/>
      <c r="O28" s="182" cm="1">
        <f t="array" ref="O28">SUMPRODUCT(($E28:$H28)*(J28:M28))</f>
        <v>46184.020788989998</v>
      </c>
      <c r="P28" s="71"/>
      <c r="Q28" s="182">
        <f>E28*(_xlfn.XLOOKUP(C28,'Residential VCR by postcode'!A:A,'Residential VCR by postcode'!F:F,0)*1000)</f>
        <v>17614.563787687926</v>
      </c>
      <c r="R28" s="182">
        <f>F28*Assumptions!G$49</f>
        <v>2728.6383866602337</v>
      </c>
      <c r="S28" s="182">
        <f>G28*Assumptions!H$49</f>
        <v>1206.8181382801426</v>
      </c>
      <c r="T28" s="182">
        <f>H28*Assumptions!I$49</f>
        <v>49.236729545996631</v>
      </c>
      <c r="U28" s="71"/>
      <c r="V28" s="182">
        <f>SUM(Q28:T28)</f>
        <v>21599.257042174297</v>
      </c>
    </row>
    <row r="29" spans="1:22" x14ac:dyDescent="0.2">
      <c r="A29" s="75" t="s">
        <v>163</v>
      </c>
      <c r="B29" s="75" t="s">
        <v>243</v>
      </c>
      <c r="C29" s="179">
        <v>0</v>
      </c>
      <c r="D29" s="71"/>
      <c r="E29" s="180">
        <v>0</v>
      </c>
      <c r="F29" s="180">
        <v>1</v>
      </c>
      <c r="G29" s="180">
        <v>0</v>
      </c>
      <c r="H29" s="180">
        <v>0</v>
      </c>
      <c r="I29" s="71"/>
      <c r="J29" s="181">
        <f>IF(C29=0,0,INDEX('Residential VCR by postcode'!$E$6:$E$323, MATCH($C29, 'Residential VCR by postcode'!$A$6:$A$323,0)))*10^3</f>
        <v>0</v>
      </c>
      <c r="K29" s="181">
        <f>Assumptions!G$48</f>
        <v>34390</v>
      </c>
      <c r="L29" s="181">
        <f>Assumptions!H$48</f>
        <v>33490</v>
      </c>
      <c r="M29" s="181">
        <f>Assumptions!I$48</f>
        <v>22250</v>
      </c>
      <c r="N29" s="71"/>
      <c r="O29" s="182" cm="1">
        <f t="array" ref="O29">SUMPRODUCT(($E29:$H29)*(J29:M29))</f>
        <v>34390</v>
      </c>
      <c r="P29" s="71"/>
      <c r="Q29" s="182">
        <f>E29*(_xlfn.XLOOKUP(C29,'Residential VCR by postcode'!A:A,'Residential VCR by postcode'!F:F,0)*1000)</f>
        <v>0</v>
      </c>
      <c r="R29" s="182">
        <f>F29*Assumptions!G$49</f>
        <v>10120.346334172</v>
      </c>
      <c r="S29" s="182">
        <f>G29*Assumptions!H$49</f>
        <v>0</v>
      </c>
      <c r="T29" s="182">
        <f>H29*Assumptions!I$49</f>
        <v>0</v>
      </c>
      <c r="U29" s="71"/>
      <c r="V29" s="182">
        <f t="shared" si="1"/>
        <v>10120.346334172</v>
      </c>
    </row>
    <row r="30" spans="1:22" x14ac:dyDescent="0.2">
      <c r="A30" s="75" t="s">
        <v>164</v>
      </c>
      <c r="B30" s="75" t="s">
        <v>244</v>
      </c>
      <c r="C30" s="179">
        <v>3216</v>
      </c>
      <c r="D30" s="71"/>
      <c r="E30" s="180">
        <v>0.48953138177723665</v>
      </c>
      <c r="F30" s="180">
        <v>0.42980296745766289</v>
      </c>
      <c r="G30" s="180">
        <v>7.8161099715382626E-2</v>
      </c>
      <c r="H30" s="180">
        <v>2.5045510497179041E-3</v>
      </c>
      <c r="I30" s="71"/>
      <c r="J30" s="181">
        <f>IF(C30=0,0,INDEX('Residential VCR by postcode'!$E$6:$E$323, MATCH($C30, 'Residential VCR by postcode'!$A$6:$A$323,0)))*10^3</f>
        <v>55101.713065448253</v>
      </c>
      <c r="K30" s="181">
        <f>Assumptions!G$48</f>
        <v>34390</v>
      </c>
      <c r="L30" s="181">
        <f>Assumptions!H$48</f>
        <v>33490</v>
      </c>
      <c r="M30" s="181">
        <f>Assumptions!I$48</f>
        <v>22250</v>
      </c>
      <c r="N30" s="71"/>
      <c r="O30" s="182" cm="1">
        <f t="array" ref="O30">SUMPRODUCT(($E30:$H30)*(J30:M30))</f>
        <v>44428.283276415117</v>
      </c>
      <c r="P30" s="71"/>
      <c r="Q30" s="182">
        <f>E30*(_xlfn.XLOOKUP(C30,'Residential VCR by postcode'!A:A,'Residential VCR by postcode'!F:F,0)*1000)</f>
        <v>14889.095798392096</v>
      </c>
      <c r="R30" s="182">
        <f>F30*Assumptions!G$49</f>
        <v>4349.7548861264058</v>
      </c>
      <c r="S30" s="182">
        <f>G30*Assumptions!H$49</f>
        <v>648.42494731334057</v>
      </c>
      <c r="T30" s="182">
        <f>H30*Assumptions!I$49</f>
        <v>21.37033480030156</v>
      </c>
      <c r="U30" s="71"/>
      <c r="V30" s="182">
        <f t="shared" si="1"/>
        <v>19908.645966632146</v>
      </c>
    </row>
    <row r="31" spans="1:22" x14ac:dyDescent="0.2">
      <c r="A31" s="75" t="s">
        <v>165</v>
      </c>
      <c r="B31" s="75" t="s">
        <v>245</v>
      </c>
      <c r="C31" s="179">
        <v>3214</v>
      </c>
      <c r="D31" s="71"/>
      <c r="E31" s="180">
        <v>0.14715608052057408</v>
      </c>
      <c r="F31" s="180">
        <v>0.4496251391268461</v>
      </c>
      <c r="G31" s="180">
        <v>0.40321878035257969</v>
      </c>
      <c r="H31" s="180">
        <v>0</v>
      </c>
      <c r="I31" s="71"/>
      <c r="J31" s="181">
        <f>IF(C31=0,0,INDEX('Residential VCR by postcode'!$E$6:$E$323, MATCH($C31, 'Residential VCR by postcode'!$A$6:$A$323,0)))*10^3</f>
        <v>55101.713065448253</v>
      </c>
      <c r="K31" s="181">
        <f>Assumptions!G$48</f>
        <v>34390</v>
      </c>
      <c r="L31" s="181">
        <f>Assumptions!H$48</f>
        <v>33490</v>
      </c>
      <c r="M31" s="181">
        <f>Assumptions!I$48</f>
        <v>22250</v>
      </c>
      <c r="N31" s="71"/>
      <c r="O31" s="182" cm="1">
        <f t="array" ref="O31">SUMPRODUCT(($E31:$H31)*(J31:M31))</f>
        <v>37074.957613260805</v>
      </c>
      <c r="P31" s="71"/>
      <c r="Q31" s="182">
        <f>E31*(_xlfn.XLOOKUP(C31,'Residential VCR by postcode'!A:A,'Residential VCR by postcode'!F:F,0)*1000)</f>
        <v>4475.7518348103822</v>
      </c>
      <c r="R31" s="182">
        <f>F31*Assumptions!G$49</f>
        <v>4550.3621285139525</v>
      </c>
      <c r="S31" s="182">
        <f>G31*Assumptions!H$49</f>
        <v>3345.1053958803809</v>
      </c>
      <c r="T31" s="182">
        <f>H31*Assumptions!I$49</f>
        <v>0</v>
      </c>
      <c r="U31" s="71"/>
      <c r="V31" s="182">
        <f t="shared" si="1"/>
        <v>12371.219359204715</v>
      </c>
    </row>
    <row r="32" spans="1:22" x14ac:dyDescent="0.2">
      <c r="A32" s="75" t="s">
        <v>166</v>
      </c>
      <c r="B32" s="75" t="s">
        <v>246</v>
      </c>
      <c r="C32" s="179">
        <v>0</v>
      </c>
      <c r="D32" s="71"/>
      <c r="E32" s="180">
        <v>0</v>
      </c>
      <c r="F32" s="180">
        <v>1</v>
      </c>
      <c r="G32" s="180">
        <v>0</v>
      </c>
      <c r="H32" s="180">
        <v>0</v>
      </c>
      <c r="I32" s="71"/>
      <c r="J32" s="181">
        <f>IF(C32=0,0,INDEX('Residential VCR by postcode'!$E$6:$E$323, MATCH($C32, 'Residential VCR by postcode'!$A$6:$A$323,0)))*10^3</f>
        <v>0</v>
      </c>
      <c r="K32" s="181">
        <f>Assumptions!G$48</f>
        <v>34390</v>
      </c>
      <c r="L32" s="181">
        <f>Assumptions!H$48</f>
        <v>33490</v>
      </c>
      <c r="M32" s="181">
        <f>Assumptions!I$48</f>
        <v>22250</v>
      </c>
      <c r="N32" s="71"/>
      <c r="O32" s="182" cm="1">
        <f t="array" ref="O32">SUMPRODUCT(($E32:$H32)*(J32:M32))</f>
        <v>34390</v>
      </c>
      <c r="P32" s="71"/>
      <c r="Q32" s="182">
        <f>E32*(_xlfn.XLOOKUP(C32,'Residential VCR by postcode'!A:A,'Residential VCR by postcode'!F:F,0)*1000)</f>
        <v>0</v>
      </c>
      <c r="R32" s="182">
        <f>F32*Assumptions!G$49</f>
        <v>10120.346334172</v>
      </c>
      <c r="S32" s="182">
        <f>G32*Assumptions!H$49</f>
        <v>0</v>
      </c>
      <c r="T32" s="182">
        <f>H32*Assumptions!I$49</f>
        <v>0</v>
      </c>
      <c r="U32" s="71"/>
      <c r="V32" s="182">
        <f t="shared" si="1"/>
        <v>10120.346334172</v>
      </c>
    </row>
    <row r="33" spans="1:22" x14ac:dyDescent="0.2">
      <c r="A33" s="75" t="s">
        <v>167</v>
      </c>
      <c r="B33" s="75" t="s">
        <v>247</v>
      </c>
      <c r="C33" s="179">
        <v>3214</v>
      </c>
      <c r="D33" s="71"/>
      <c r="E33" s="180">
        <v>0.3407486095227209</v>
      </c>
      <c r="F33" s="180">
        <v>0.43663243519708123</v>
      </c>
      <c r="G33" s="180">
        <v>0.22188319932536263</v>
      </c>
      <c r="H33" s="180">
        <v>7.3575595483522168E-4</v>
      </c>
      <c r="I33" s="71"/>
      <c r="J33" s="181">
        <f>IF(C33=0,0,INDEX('Residential VCR by postcode'!$E$6:$E$323, MATCH($C33, 'Residential VCR by postcode'!$A$6:$A$323,0)))*10^3</f>
        <v>55101.713065448253</v>
      </c>
      <c r="K33" s="181">
        <f>Assumptions!G$48</f>
        <v>34390</v>
      </c>
      <c r="L33" s="181">
        <f>Assumptions!H$48</f>
        <v>33490</v>
      </c>
      <c r="M33" s="181">
        <f>Assumptions!I$48</f>
        <v>22250</v>
      </c>
      <c r="N33" s="71"/>
      <c r="O33" s="182" cm="1">
        <f t="array" ref="O33">SUMPRODUCT(($E33:$H33)*(J33:M33))</f>
        <v>41238.860471200533</v>
      </c>
      <c r="P33" s="71"/>
      <c r="Q33" s="182">
        <f>E33*(_xlfn.XLOOKUP(C33,'Residential VCR by postcode'!A:A,'Residential VCR by postcode'!F:F,0)*1000)</f>
        <v>10363.868138409527</v>
      </c>
      <c r="R33" s="182">
        <f>F33*Assumptions!G$49</f>
        <v>4418.8714649273743</v>
      </c>
      <c r="S33" s="182">
        <f>G33*Assumptions!H$49</f>
        <v>1840.7443390148237</v>
      </c>
      <c r="T33" s="182">
        <f>H33*Assumptions!I$49</f>
        <v>6.2779119986055836</v>
      </c>
      <c r="U33" s="71"/>
      <c r="V33" s="182">
        <f t="shared" si="1"/>
        <v>16629.76185435033</v>
      </c>
    </row>
    <row r="34" spans="1:22" x14ac:dyDescent="0.2">
      <c r="A34" s="75" t="s">
        <v>168</v>
      </c>
      <c r="B34" s="75" t="s">
        <v>248</v>
      </c>
      <c r="C34" s="179">
        <v>0</v>
      </c>
      <c r="D34" s="71"/>
      <c r="E34" s="180">
        <v>0</v>
      </c>
      <c r="F34" s="180">
        <v>1</v>
      </c>
      <c r="G34" s="180">
        <v>0</v>
      </c>
      <c r="H34" s="180">
        <v>0</v>
      </c>
      <c r="I34" s="71"/>
      <c r="J34" s="181">
        <f>IF(C34=0,0,INDEX('Residential VCR by postcode'!$E$6:$E$323, MATCH($C34, 'Residential VCR by postcode'!$A$6:$A$323,0)))*10^3</f>
        <v>0</v>
      </c>
      <c r="K34" s="181">
        <f>Assumptions!G$48</f>
        <v>34390</v>
      </c>
      <c r="L34" s="181">
        <f>Assumptions!H$48</f>
        <v>33490</v>
      </c>
      <c r="M34" s="181">
        <f>Assumptions!I$48</f>
        <v>22250</v>
      </c>
      <c r="N34" s="71"/>
      <c r="O34" s="182" cm="1">
        <f t="array" ref="O34">SUMPRODUCT(($E34:$H34)*(J34:M34))</f>
        <v>34390</v>
      </c>
      <c r="P34" s="71"/>
      <c r="Q34" s="182">
        <f>E34*(_xlfn.XLOOKUP(C34,'Residential VCR by postcode'!A:A,'Residential VCR by postcode'!F:F,0)*1000)</f>
        <v>0</v>
      </c>
      <c r="R34" s="182">
        <f>F34*Assumptions!G$49</f>
        <v>10120.346334172</v>
      </c>
      <c r="S34" s="182">
        <f>G34*Assumptions!H$49</f>
        <v>0</v>
      </c>
      <c r="T34" s="182">
        <f>H34*Assumptions!I$49</f>
        <v>0</v>
      </c>
      <c r="U34" s="71"/>
      <c r="V34" s="182">
        <f t="shared" si="1"/>
        <v>10120.346334172</v>
      </c>
    </row>
    <row r="35" spans="1:22" x14ac:dyDescent="0.2">
      <c r="A35" s="75" t="s">
        <v>169</v>
      </c>
      <c r="B35" s="75" t="s">
        <v>249</v>
      </c>
      <c r="C35" s="179">
        <v>3220</v>
      </c>
      <c r="D35" s="71"/>
      <c r="E35" s="180">
        <v>4.3652192522431459E-2</v>
      </c>
      <c r="F35" s="180">
        <v>0.89397806581342321</v>
      </c>
      <c r="G35" s="180">
        <v>6.2369741664145467E-2</v>
      </c>
      <c r="H35" s="180">
        <v>0</v>
      </c>
      <c r="I35" s="71"/>
      <c r="J35" s="181">
        <f>IF(C35=0,0,INDEX('Residential VCR by postcode'!$E$6:$E$323, MATCH($C35, 'Residential VCR by postcode'!$A$6:$A$323,0)))*10^3</f>
        <v>55101.713065448253</v>
      </c>
      <c r="K35" s="181">
        <f>Assumptions!G$48</f>
        <v>34390</v>
      </c>
      <c r="L35" s="181">
        <f>Assumptions!H$48</f>
        <v>33490</v>
      </c>
      <c r="M35" s="181">
        <f>Assumptions!I$48</f>
        <v>22250</v>
      </c>
      <c r="N35" s="71"/>
      <c r="O35" s="182" cm="1">
        <f t="array" ref="O35">SUMPRODUCT(($E35:$H35)*(J35:M35))</f>
        <v>35237.978918704583</v>
      </c>
      <c r="P35" s="71"/>
      <c r="Q35" s="182">
        <f>E35*(_xlfn.XLOOKUP(C35,'Residential VCR by postcode'!A:A,'Residential VCR by postcode'!F:F,0)*1000)</f>
        <v>1327.6813304935288</v>
      </c>
      <c r="R35" s="182">
        <f>F35*Assumptions!G$49</f>
        <v>9047.367641185052</v>
      </c>
      <c r="S35" s="182">
        <f>G35*Assumptions!H$49</f>
        <v>517.41974716050356</v>
      </c>
      <c r="T35" s="182">
        <f>H35*Assumptions!I$49</f>
        <v>0</v>
      </c>
      <c r="U35" s="71"/>
      <c r="V35" s="182">
        <f t="shared" si="1"/>
        <v>10892.468718839085</v>
      </c>
    </row>
    <row r="36" spans="1:22" x14ac:dyDescent="0.2">
      <c r="A36" s="75" t="s">
        <v>170</v>
      </c>
      <c r="B36" s="75" t="s">
        <v>250</v>
      </c>
      <c r="C36" s="179">
        <v>3220</v>
      </c>
      <c r="D36" s="71"/>
      <c r="E36" s="180">
        <v>0.2914104243113988</v>
      </c>
      <c r="F36" s="180">
        <v>0.64587658167129214</v>
      </c>
      <c r="G36" s="180">
        <v>6.2712994017309107E-2</v>
      </c>
      <c r="H36" s="180">
        <v>0</v>
      </c>
      <c r="I36" s="71"/>
      <c r="J36" s="181">
        <f>IF(C36=0,0,INDEX('Residential VCR by postcode'!$E$6:$E$323, MATCH($C36, 'Residential VCR by postcode'!$A$6:$A$323,0)))*10^3</f>
        <v>55101.713065448253</v>
      </c>
      <c r="K36" s="181">
        <f>Assumptions!G$48</f>
        <v>34390</v>
      </c>
      <c r="L36" s="181">
        <f>Assumptions!H$48</f>
        <v>33490</v>
      </c>
      <c r="M36" s="181">
        <f>Assumptions!I$48</f>
        <v>22250</v>
      </c>
      <c r="N36" s="71"/>
      <c r="O36" s="182" cm="1">
        <f t="array" ref="O36">SUMPRODUCT(($E36:$H36)*(J36:M36))</f>
        <v>40369.167398002639</v>
      </c>
      <c r="P36" s="71"/>
      <c r="Q36" s="182">
        <f>E36*(_xlfn.XLOOKUP(C36,'Residential VCR by postcode'!A:A,'Residential VCR by postcode'!F:F,0)*1000)</f>
        <v>8863.2473539702769</v>
      </c>
      <c r="R36" s="182">
        <f>F36*Assumptions!G$49</f>
        <v>6536.4946956446038</v>
      </c>
      <c r="S36" s="182">
        <f>G36*Assumptions!H$49</f>
        <v>520.26737072037929</v>
      </c>
      <c r="T36" s="182">
        <f>H36*Assumptions!I$49</f>
        <v>0</v>
      </c>
      <c r="U36" s="71"/>
      <c r="V36" s="182">
        <f t="shared" si="1"/>
        <v>15920.00942033526</v>
      </c>
    </row>
    <row r="37" spans="1:22" x14ac:dyDescent="0.2">
      <c r="A37" s="75" t="s">
        <v>171</v>
      </c>
      <c r="B37" s="75" t="s">
        <v>251</v>
      </c>
      <c r="C37" s="179">
        <v>3220</v>
      </c>
      <c r="D37" s="71"/>
      <c r="E37" s="180">
        <v>0.59286025099675765</v>
      </c>
      <c r="F37" s="180">
        <v>0.32080870504569281</v>
      </c>
      <c r="G37" s="180">
        <v>8.633104395754955E-2</v>
      </c>
      <c r="H37" s="180">
        <v>0</v>
      </c>
      <c r="I37" s="71"/>
      <c r="J37" s="181">
        <f>IF(C37=0,0,INDEX('Residential VCR by postcode'!$E$6:$E$323, MATCH($C37, 'Residential VCR by postcode'!$A$6:$A$323,0)))*10^3</f>
        <v>55101.713065448253</v>
      </c>
      <c r="K37" s="181">
        <f>Assumptions!G$48</f>
        <v>34390</v>
      </c>
      <c r="L37" s="181">
        <f>Assumptions!H$48</f>
        <v>33490</v>
      </c>
      <c r="M37" s="181">
        <f>Assumptions!I$48</f>
        <v>22250</v>
      </c>
      <c r="N37" s="71"/>
      <c r="O37" s="182" cm="1">
        <f t="array" ref="O37">SUMPRODUCT(($E37:$H37)*(J37:M37))</f>
        <v>46591.45346699268</v>
      </c>
      <c r="P37" s="71"/>
      <c r="Q37" s="182">
        <f>E37*(_xlfn.XLOOKUP(C37,'Residential VCR by postcode'!A:A,'Residential VCR by postcode'!F:F,0)*1000)</f>
        <v>18031.843106978464</v>
      </c>
      <c r="R37" s="182">
        <f>F37*Assumptions!G$49</f>
        <v>3246.6952020796434</v>
      </c>
      <c r="S37" s="182">
        <f>G37*Assumptions!H$49</f>
        <v>716.20285325466932</v>
      </c>
      <c r="T37" s="182">
        <f>H37*Assumptions!I$49</f>
        <v>0</v>
      </c>
      <c r="U37" s="71"/>
      <c r="V37" s="182">
        <f t="shared" si="1"/>
        <v>21994.741162312777</v>
      </c>
    </row>
    <row r="38" spans="1:22" x14ac:dyDescent="0.2">
      <c r="A38" s="75" t="s">
        <v>172</v>
      </c>
      <c r="B38" s="75" t="s">
        <v>252</v>
      </c>
      <c r="C38" s="179">
        <v>3219</v>
      </c>
      <c r="D38" s="71"/>
      <c r="E38" s="180">
        <v>0.43771353352823633</v>
      </c>
      <c r="F38" s="180">
        <v>0.41551922052252899</v>
      </c>
      <c r="G38" s="180">
        <v>0.14587253467351918</v>
      </c>
      <c r="H38" s="180">
        <v>8.9471127571542799E-4</v>
      </c>
      <c r="I38" s="71"/>
      <c r="J38" s="181">
        <f>IF(C38=0,0,INDEX('Residential VCR by postcode'!$E$6:$E$323, MATCH($C38, 'Residential VCR by postcode'!$A$6:$A$323,0)))*10^3</f>
        <v>55101.713065448253</v>
      </c>
      <c r="K38" s="181">
        <f>Assumptions!G$48</f>
        <v>34390</v>
      </c>
      <c r="L38" s="181">
        <f>Assumptions!H$48</f>
        <v>33490</v>
      </c>
      <c r="M38" s="181">
        <f>Assumptions!I$48</f>
        <v>22250</v>
      </c>
      <c r="N38" s="71"/>
      <c r="O38" s="182" cm="1">
        <f t="array" ref="O38">SUMPRODUCT(($E38:$H38)*(J38:M38))</f>
        <v>43313.650035206942</v>
      </c>
      <c r="P38" s="71"/>
      <c r="Q38" s="182">
        <f>E38*(_xlfn.XLOOKUP(C38,'Residential VCR by postcode'!A:A,'Residential VCR by postcode'!F:F,0)*1000)</f>
        <v>13313.056068630718</v>
      </c>
      <c r="R38" s="182">
        <f>F38*Assumptions!G$49</f>
        <v>4205.1984201931828</v>
      </c>
      <c r="S38" s="182">
        <f>G38*Assumptions!H$49</f>
        <v>1210.1594137566196</v>
      </c>
      <c r="T38" s="182">
        <f>H38*Assumptions!I$49</f>
        <v>7.6342143290699527</v>
      </c>
      <c r="U38" s="71"/>
      <c r="V38" s="182">
        <f t="shared" si="1"/>
        <v>18736.048116909591</v>
      </c>
    </row>
    <row r="39" spans="1:22" x14ac:dyDescent="0.2">
      <c r="A39" s="75" t="s">
        <v>173</v>
      </c>
      <c r="B39" s="75" t="s">
        <v>253</v>
      </c>
      <c r="C39" s="179">
        <v>3222</v>
      </c>
      <c r="D39" s="71"/>
      <c r="E39" s="180">
        <v>0.64905208137268522</v>
      </c>
      <c r="F39" s="180">
        <v>0.25976345272573281</v>
      </c>
      <c r="G39" s="180">
        <v>8.9236517616787581E-2</v>
      </c>
      <c r="H39" s="180">
        <v>1.9479482847944143E-3</v>
      </c>
      <c r="I39" s="71"/>
      <c r="J39" s="181">
        <f>IF(C39=0,0,INDEX('Residential VCR by postcode'!$E$6:$E$323, MATCH($C39, 'Residential VCR by postcode'!$A$6:$A$323,0)))*10^3</f>
        <v>38897.618107964721</v>
      </c>
      <c r="K39" s="181">
        <f>Assumptions!G$48</f>
        <v>34390</v>
      </c>
      <c r="L39" s="181">
        <f>Assumptions!H$48</f>
        <v>33490</v>
      </c>
      <c r="M39" s="181">
        <f>Assumptions!I$48</f>
        <v>22250</v>
      </c>
      <c r="N39" s="71"/>
      <c r="O39" s="182" cm="1">
        <f t="array" ref="O39">SUMPRODUCT(($E39:$H39)*(J39:M39))</f>
        <v>37211.717956975197</v>
      </c>
      <c r="P39" s="71"/>
      <c r="Q39" s="182">
        <f>E39*(_xlfn.XLOOKUP(C39,'Residential VCR by postcode'!A:A,'Residential VCR by postcode'!F:F,0)*1000)</f>
        <v>15894.393839809005</v>
      </c>
      <c r="R39" s="182">
        <f>F39*Assumptions!G$49</f>
        <v>2628.8961065447315</v>
      </c>
      <c r="S39" s="182">
        <f>G39*Assumptions!H$49</f>
        <v>740.30667998269757</v>
      </c>
      <c r="T39" s="182">
        <f>H39*Assumptions!I$49</f>
        <v>16.621065489728604</v>
      </c>
      <c r="U39" s="71"/>
      <c r="V39" s="182">
        <f t="shared" si="1"/>
        <v>19280.217691826165</v>
      </c>
    </row>
    <row r="40" spans="1:22" x14ac:dyDescent="0.2">
      <c r="A40" s="75" t="s">
        <v>174</v>
      </c>
      <c r="B40" s="75" t="s">
        <v>254</v>
      </c>
      <c r="C40" s="179">
        <v>3241</v>
      </c>
      <c r="D40" s="71"/>
      <c r="E40" s="180">
        <v>0.68383132284679082</v>
      </c>
      <c r="F40" s="180">
        <v>0.181295636104361</v>
      </c>
      <c r="G40" s="180">
        <v>7.8181103851694481E-2</v>
      </c>
      <c r="H40" s="180">
        <v>5.6691937197153791E-2</v>
      </c>
      <c r="I40" s="71"/>
      <c r="J40" s="181">
        <f>IF(C40=0,0,INDEX('Residential VCR by postcode'!$E$6:$E$323, MATCH($C40, 'Residential VCR by postcode'!$A$6:$A$323,0)))*10^3</f>
        <v>38897.618107964721</v>
      </c>
      <c r="K40" s="181">
        <f>Assumptions!G$48</f>
        <v>34390</v>
      </c>
      <c r="L40" s="181">
        <f>Assumptions!H$48</f>
        <v>33490</v>
      </c>
      <c r="M40" s="181">
        <f>Assumptions!I$48</f>
        <v>22250</v>
      </c>
      <c r="N40" s="71"/>
      <c r="O40" s="182" cm="1">
        <f t="array" ref="O40">SUMPRODUCT(($E40:$H40)*(J40:M40))</f>
        <v>36713.847342617701</v>
      </c>
      <c r="P40" s="71"/>
      <c r="Q40" s="182">
        <f>E40*(_xlfn.XLOOKUP(C40,'Residential VCR by postcode'!A:A,'Residential VCR by postcode'!F:F,0)*1000)</f>
        <v>16746.089685649516</v>
      </c>
      <c r="R40" s="182">
        <f>F40*Assumptions!G$49</f>
        <v>1834.7746262501507</v>
      </c>
      <c r="S40" s="182">
        <f>G40*Assumptions!H$49</f>
        <v>648.59090174695655</v>
      </c>
      <c r="T40" s="182">
        <f>H40*Assumptions!I$49</f>
        <v>483.72968022245112</v>
      </c>
      <c r="U40" s="71"/>
      <c r="V40" s="182">
        <f t="shared" si="1"/>
        <v>19713.184893869075</v>
      </c>
    </row>
    <row r="41" spans="1:22" x14ac:dyDescent="0.2">
      <c r="A41" s="75" t="s">
        <v>175</v>
      </c>
      <c r="B41" s="75" t="s">
        <v>255</v>
      </c>
      <c r="C41" s="179">
        <v>3228</v>
      </c>
      <c r="D41" s="71"/>
      <c r="E41" s="180">
        <v>0.64336486550164251</v>
      </c>
      <c r="F41" s="180">
        <v>0.2850021372987237</v>
      </c>
      <c r="G41" s="180">
        <v>6.9800473908126465E-2</v>
      </c>
      <c r="H41" s="180">
        <v>1.8325232915073512E-3</v>
      </c>
      <c r="I41" s="71"/>
      <c r="J41" s="181">
        <f>IF(C41=0,0,INDEX('Residential VCR by postcode'!$E$6:$E$323, MATCH($C41, 'Residential VCR by postcode'!$A$6:$A$323,0)))*10^3</f>
        <v>38897.618107964721</v>
      </c>
      <c r="K41" s="181">
        <f>Assumptions!G$48</f>
        <v>34390</v>
      </c>
      <c r="L41" s="181">
        <f>Assumptions!H$48</f>
        <v>33490</v>
      </c>
      <c r="M41" s="181">
        <f>Assumptions!I$48</f>
        <v>22250</v>
      </c>
      <c r="N41" s="71"/>
      <c r="O41" s="182" cm="1">
        <f t="array" ref="O41">SUMPRODUCT(($E41:$H41)*(J41:M41))</f>
        <v>37204.975858487283</v>
      </c>
      <c r="P41" s="71"/>
      <c r="Q41" s="182">
        <f>E41*(_xlfn.XLOOKUP(C41,'Residential VCR by postcode'!A:A,'Residential VCR by postcode'!F:F,0)*1000)</f>
        <v>15755.121735919916</v>
      </c>
      <c r="R41" s="182">
        <f>F41*Assumptions!G$49</f>
        <v>2884.3203354423235</v>
      </c>
      <c r="S41" s="182">
        <f>G41*Assumptions!H$49</f>
        <v>579.06514597587693</v>
      </c>
      <c r="T41" s="182">
        <f>H41*Assumptions!I$49</f>
        <v>15.636190076170982</v>
      </c>
      <c r="U41" s="71"/>
      <c r="V41" s="182">
        <f t="shared" si="1"/>
        <v>19234.143407414285</v>
      </c>
    </row>
    <row r="42" spans="1:22" x14ac:dyDescent="0.2">
      <c r="A42" s="75" t="s">
        <v>176</v>
      </c>
      <c r="B42" s="75" t="s">
        <v>256</v>
      </c>
      <c r="C42" s="179">
        <v>3318</v>
      </c>
      <c r="D42" s="71"/>
      <c r="E42" s="180">
        <v>0.56820676031606665</v>
      </c>
      <c r="F42" s="180">
        <v>0.20848518230158861</v>
      </c>
      <c r="G42" s="180">
        <v>0.14736217635463081</v>
      </c>
      <c r="H42" s="180">
        <v>7.594588102771381E-2</v>
      </c>
      <c r="I42" s="71"/>
      <c r="J42" s="181">
        <f>IF(C42=0,0,INDEX('Residential VCR by postcode'!$E$6:$E$323, MATCH($C42, 'Residential VCR by postcode'!$A$6:$A$323,0)))*10^3</f>
        <v>38897.618107964721</v>
      </c>
      <c r="K42" s="181">
        <f>Assumptions!G$48</f>
        <v>34390</v>
      </c>
      <c r="L42" s="181">
        <f>Assumptions!H$48</f>
        <v>33490</v>
      </c>
      <c r="M42" s="181">
        <f>Assumptions!I$48</f>
        <v>22250</v>
      </c>
      <c r="N42" s="71"/>
      <c r="O42" s="182" cm="1">
        <f t="array" ref="O42">SUMPRODUCT(($E42:$H42)*(J42:M42))</f>
        <v>35896.650127473062</v>
      </c>
      <c r="P42" s="71"/>
      <c r="Q42" s="182">
        <f>E42*(_xlfn.XLOOKUP(C42,'Residential VCR by postcode'!A:A,'Residential VCR by postcode'!F:F,0)*1000)</f>
        <v>13914.602988107135</v>
      </c>
      <c r="R42" s="182">
        <f>F42*Assumptions!G$49</f>
        <v>2109.9422504350632</v>
      </c>
      <c r="S42" s="182">
        <f>G42*Assumptions!H$49</f>
        <v>1222.5174899877356</v>
      </c>
      <c r="T42" s="182">
        <f>H42*Assumptions!I$49</f>
        <v>648.01590067366249</v>
      </c>
      <c r="U42" s="71"/>
      <c r="V42" s="182">
        <f t="shared" si="1"/>
        <v>17895.078629203595</v>
      </c>
    </row>
    <row r="43" spans="1:22" x14ac:dyDescent="0.2">
      <c r="A43" s="75" t="s">
        <v>177</v>
      </c>
      <c r="B43" s="75" t="s">
        <v>257</v>
      </c>
      <c r="C43" s="179">
        <v>3400</v>
      </c>
      <c r="D43" s="71"/>
      <c r="E43" s="180">
        <v>0.53661543928004918</v>
      </c>
      <c r="F43" s="180">
        <v>0.32509666732801773</v>
      </c>
      <c r="G43" s="180">
        <v>0.1215909671371555</v>
      </c>
      <c r="H43" s="180">
        <v>1.6696926254777596E-2</v>
      </c>
      <c r="I43" s="71"/>
      <c r="J43" s="181">
        <f>IF(C43=0,0,INDEX('Residential VCR by postcode'!$E$6:$E$323, MATCH($C43, 'Residential VCR by postcode'!$A$6:$A$323,0)))*10^3</f>
        <v>38897.618107964721</v>
      </c>
      <c r="K43" s="181">
        <f>Assumptions!G$48</f>
        <v>34390</v>
      </c>
      <c r="L43" s="181">
        <f>Assumptions!H$48</f>
        <v>33490</v>
      </c>
      <c r="M43" s="181">
        <f>Assumptions!I$48</f>
        <v>22250</v>
      </c>
      <c r="N43" s="71"/>
      <c r="O43" s="182" cm="1">
        <f t="array" ref="O43">SUMPRODUCT(($E43:$H43)*(J43:M43))</f>
        <v>36496.724915955754</v>
      </c>
      <c r="P43" s="71"/>
      <c r="Q43" s="182">
        <f>E43*(_xlfn.XLOOKUP(C43,'Residential VCR by postcode'!A:A,'Residential VCR by postcode'!F:F,0)*1000)</f>
        <v>13140.974934400941</v>
      </c>
      <c r="R43" s="182">
        <f>F43*Assumptions!G$49</f>
        <v>3290.0908654446384</v>
      </c>
      <c r="S43" s="182">
        <f>G43*Assumptions!H$49</f>
        <v>1008.719385305315</v>
      </c>
      <c r="T43" s="182">
        <f>H43*Assumptions!I$49</f>
        <v>142.46820971795808</v>
      </c>
      <c r="U43" s="71"/>
      <c r="V43" s="182">
        <f t="shared" si="1"/>
        <v>17582.253394868851</v>
      </c>
    </row>
    <row r="44" spans="1:22" x14ac:dyDescent="0.2">
      <c r="A44" s="75" t="s">
        <v>178</v>
      </c>
      <c r="B44" s="75" t="s">
        <v>258</v>
      </c>
      <c r="C44" s="179">
        <v>3418</v>
      </c>
      <c r="D44" s="71"/>
      <c r="E44" s="180">
        <v>0.47327661251243547</v>
      </c>
      <c r="F44" s="180">
        <v>0.35359236520201698</v>
      </c>
      <c r="G44" s="180">
        <v>8.4119638573004987E-2</v>
      </c>
      <c r="H44" s="180">
        <v>8.9011383712542691E-2</v>
      </c>
      <c r="I44" s="71"/>
      <c r="J44" s="181">
        <f>IF(C44=0,0,INDEX('Residential VCR by postcode'!$E$6:$E$323, MATCH($C44, 'Residential VCR by postcode'!$A$6:$A$323,0)))*10^3</f>
        <v>24862.362551913284</v>
      </c>
      <c r="K44" s="181">
        <f>Assumptions!G$48</f>
        <v>34390</v>
      </c>
      <c r="L44" s="181">
        <f>Assumptions!H$48</f>
        <v>33490</v>
      </c>
      <c r="M44" s="181">
        <f>Assumptions!I$48</f>
        <v>22250</v>
      </c>
      <c r="N44" s="71"/>
      <c r="O44" s="182" cm="1">
        <f t="array" ref="O44">SUMPRODUCT(($E44:$H44)*(J44:M44))</f>
        <v>28724.486150336925</v>
      </c>
      <c r="P44" s="71"/>
      <c r="Q44" s="182">
        <f>E44*(_xlfn.XLOOKUP(C44,'Residential VCR by postcode'!A:A,'Residential VCR by postcode'!F:F,0)*1000)</f>
        <v>6620.7211408695275</v>
      </c>
      <c r="R44" s="182">
        <f>F44*Assumptions!G$49</f>
        <v>3578.4771969634394</v>
      </c>
      <c r="S44" s="182">
        <f>G44*Assumptions!H$49</f>
        <v>697.85702105446626</v>
      </c>
      <c r="T44" s="182">
        <f>H44*Assumptions!I$49</f>
        <v>759.49862199430834</v>
      </c>
      <c r="U44" s="71"/>
      <c r="V44" s="182">
        <f t="shared" si="1"/>
        <v>11656.553980881741</v>
      </c>
    </row>
    <row r="45" spans="1:22" x14ac:dyDescent="0.2">
      <c r="A45" s="75" t="s">
        <v>179</v>
      </c>
      <c r="B45" s="75" t="s">
        <v>259</v>
      </c>
      <c r="C45" s="179">
        <v>3380</v>
      </c>
      <c r="D45" s="71"/>
      <c r="E45" s="180">
        <v>0.26382517045170634</v>
      </c>
      <c r="F45" s="180">
        <v>0.64668642033989177</v>
      </c>
      <c r="G45" s="180">
        <v>8.0855992926234119E-2</v>
      </c>
      <c r="H45" s="180">
        <v>8.6324162821677687E-3</v>
      </c>
      <c r="I45" s="71"/>
      <c r="J45" s="181">
        <f>IF(C45=0,0,INDEX('Residential VCR by postcode'!$E$6:$E$323, MATCH($C45, 'Residential VCR by postcode'!$A$6:$A$323,0)))*10^3</f>
        <v>38897.618107964721</v>
      </c>
      <c r="K45" s="181">
        <f>Assumptions!G$48</f>
        <v>34390</v>
      </c>
      <c r="L45" s="181">
        <f>Assumptions!H$48</f>
        <v>33490</v>
      </c>
      <c r="M45" s="181">
        <f>Assumptions!I$48</f>
        <v>22250</v>
      </c>
      <c r="N45" s="71"/>
      <c r="O45" s="182" cm="1">
        <f t="array" ref="O45">SUMPRODUCT(($E45:$H45)*(J45:M45))</f>
        <v>35401.655188365861</v>
      </c>
      <c r="P45" s="71"/>
      <c r="Q45" s="182">
        <f>E45*(_xlfn.XLOOKUP(C45,'Residential VCR by postcode'!A:A,'Residential VCR by postcode'!F:F,0)*1000)</f>
        <v>6460.7159954646977</v>
      </c>
      <c r="R45" s="182">
        <f>F45*Assumptions!G$49</f>
        <v>6544.6905434456366</v>
      </c>
      <c r="S45" s="182">
        <f>G45*Assumptions!H$49</f>
        <v>670.78179739125153</v>
      </c>
      <c r="T45" s="182">
        <f>H45*Assumptions!I$49</f>
        <v>73.656963832411407</v>
      </c>
      <c r="U45" s="71"/>
      <c r="V45" s="182">
        <f t="shared" si="1"/>
        <v>13749.845300133997</v>
      </c>
    </row>
    <row r="46" spans="1:22" x14ac:dyDescent="0.2">
      <c r="A46" s="75" t="s">
        <v>180</v>
      </c>
      <c r="B46" s="75" t="s">
        <v>260</v>
      </c>
      <c r="C46" s="179">
        <v>3377</v>
      </c>
      <c r="D46" s="71"/>
      <c r="E46" s="180">
        <v>0.43484573123291065</v>
      </c>
      <c r="F46" s="180">
        <v>0.45465688433986462</v>
      </c>
      <c r="G46" s="180">
        <v>9.0241516748476427E-2</v>
      </c>
      <c r="H46" s="180">
        <v>2.0255867678748228E-2</v>
      </c>
      <c r="I46" s="71"/>
      <c r="J46" s="181">
        <f>IF(C46=0,0,INDEX('Residential VCR by postcode'!$E$6:$E$323, MATCH($C46, 'Residential VCR by postcode'!$A$6:$A$323,0)))*10^3</f>
        <v>35689.437134949148</v>
      </c>
      <c r="K46" s="181">
        <f>Assumptions!G$48</f>
        <v>34390</v>
      </c>
      <c r="L46" s="181">
        <f>Assumptions!H$48</f>
        <v>33490</v>
      </c>
      <c r="M46" s="181">
        <f>Assumptions!I$48</f>
        <v>22250</v>
      </c>
      <c r="N46" s="71"/>
      <c r="O46" s="182" cm="1">
        <f t="array" ref="O46">SUMPRODUCT(($E46:$H46)*(J46:M46))</f>
        <v>34627.931092444524</v>
      </c>
      <c r="P46" s="71"/>
      <c r="Q46" s="182">
        <f>E46*(_xlfn.XLOOKUP(C46,'Residential VCR by postcode'!A:A,'Residential VCR by postcode'!F:F,0)*1000)</f>
        <v>10991.291619010211</v>
      </c>
      <c r="R46" s="182">
        <f>F46*Assumptions!G$49</f>
        <v>4601.2851327350118</v>
      </c>
      <c r="S46" s="182">
        <f>G46*Assumptions!H$49</f>
        <v>748.64415874628048</v>
      </c>
      <c r="T46" s="182">
        <f>H46*Assumptions!I$49</f>
        <v>172.83523688375723</v>
      </c>
      <c r="U46" s="71"/>
      <c r="V46" s="182">
        <f t="shared" si="1"/>
        <v>16514.05614737526</v>
      </c>
    </row>
    <row r="47" spans="1:22" x14ac:dyDescent="0.2">
      <c r="A47" s="75" t="s">
        <v>181</v>
      </c>
      <c r="B47" s="75" t="s">
        <v>261</v>
      </c>
      <c r="C47" s="179">
        <v>3304</v>
      </c>
      <c r="D47" s="71"/>
      <c r="E47" s="180">
        <v>0.24042198536804038</v>
      </c>
      <c r="F47" s="180">
        <v>2.3801959342127595E-2</v>
      </c>
      <c r="G47" s="180">
        <v>0.50826692663565021</v>
      </c>
      <c r="H47" s="180">
        <v>0.22750912865418177</v>
      </c>
      <c r="I47" s="71"/>
      <c r="J47" s="181">
        <f>IF(C47=0,0,INDEX('Residential VCR by postcode'!$E$6:$E$323, MATCH($C47, 'Residential VCR by postcode'!$A$6:$A$323,0)))*10^3</f>
        <v>38897.618107964721</v>
      </c>
      <c r="K47" s="181">
        <f>Assumptions!G$48</f>
        <v>34390</v>
      </c>
      <c r="L47" s="181">
        <f>Assumptions!H$48</f>
        <v>33490</v>
      </c>
      <c r="M47" s="181">
        <f>Assumptions!I$48</f>
        <v>22250</v>
      </c>
      <c r="N47" s="71"/>
      <c r="O47" s="182" cm="1">
        <f t="array" ref="O47">SUMPRODUCT(($E47:$H47)*(J47:M47))</f>
        <v>32254.329438963956</v>
      </c>
      <c r="P47" s="71"/>
      <c r="Q47" s="182">
        <f>E47*(_xlfn.XLOOKUP(C47,'Residential VCR by postcode'!A:A,'Residential VCR by postcode'!F:F,0)*1000)</f>
        <v>5887.604142808701</v>
      </c>
      <c r="R47" s="182">
        <f>F47*Assumptions!G$49</f>
        <v>240.88407197421199</v>
      </c>
      <c r="S47" s="182">
        <f>G47*Assumptions!H$49</f>
        <v>4216.5854411586906</v>
      </c>
      <c r="T47" s="182">
        <f>H47*Assumptions!I$49</f>
        <v>1941.2446194747608</v>
      </c>
      <c r="U47" s="71"/>
      <c r="V47" s="182">
        <f t="shared" si="1"/>
        <v>12286.318275416364</v>
      </c>
    </row>
    <row r="48" spans="1:22" x14ac:dyDescent="0.2">
      <c r="A48" s="75" t="s">
        <v>182</v>
      </c>
      <c r="B48" s="75" t="s">
        <v>262</v>
      </c>
      <c r="C48" s="179">
        <v>3579</v>
      </c>
      <c r="D48" s="71"/>
      <c r="E48" s="180">
        <v>0.53209746951262871</v>
      </c>
      <c r="F48" s="180">
        <v>0.22402509153717665</v>
      </c>
      <c r="G48" s="180">
        <v>0.14036497140500281</v>
      </c>
      <c r="H48" s="180">
        <v>0.10351246754519178</v>
      </c>
      <c r="I48" s="71"/>
      <c r="J48" s="181">
        <f>IF(C48=0,0,INDEX('Residential VCR by postcode'!$E$6:$E$323, MATCH($C48, 'Residential VCR by postcode'!$A$6:$A$323,0)))*10^3</f>
        <v>24862.362551913284</v>
      </c>
      <c r="K48" s="181">
        <f>Assumptions!G$48</f>
        <v>34390</v>
      </c>
      <c r="L48" s="181">
        <f>Assumptions!H$48</f>
        <v>33490</v>
      </c>
      <c r="M48" s="181">
        <f>Assumptions!I$48</f>
        <v>22250</v>
      </c>
      <c r="N48" s="71"/>
      <c r="O48" s="182" cm="1">
        <f t="array" ref="O48">SUMPRODUCT(($E48:$H48)*(J48:M48))</f>
        <v>27937.398393176165</v>
      </c>
      <c r="P48" s="71"/>
      <c r="Q48" s="182">
        <f>E48*(_xlfn.XLOOKUP(C48,'Residential VCR by postcode'!A:A,'Residential VCR by postcode'!F:F,0)*1000)</f>
        <v>7443.5728964166283</v>
      </c>
      <c r="R48" s="182">
        <f>F48*Assumptions!G$49</f>
        <v>2267.2115139008124</v>
      </c>
      <c r="S48" s="182">
        <f>G48*Assumptions!H$49</f>
        <v>1164.4686361803444</v>
      </c>
      <c r="T48" s="182">
        <f>H48*Assumptions!I$49</f>
        <v>883.23058445754316</v>
      </c>
      <c r="U48" s="71"/>
      <c r="V48" s="182">
        <f t="shared" si="1"/>
        <v>11758.48363095533</v>
      </c>
    </row>
    <row r="49" spans="1:22" x14ac:dyDescent="0.2">
      <c r="A49" s="75" t="s">
        <v>183</v>
      </c>
      <c r="B49" s="75" t="s">
        <v>263</v>
      </c>
      <c r="C49" s="179">
        <v>3568</v>
      </c>
      <c r="D49" s="71"/>
      <c r="E49" s="180">
        <v>0.33032992383144805</v>
      </c>
      <c r="F49" s="180">
        <v>0.26596780707360984</v>
      </c>
      <c r="G49" s="180">
        <v>0.17449708872525174</v>
      </c>
      <c r="H49" s="180">
        <v>0.22920518036969026</v>
      </c>
      <c r="I49" s="71"/>
      <c r="J49" s="181">
        <f>IF(C49=0,0,INDEX('Residential VCR by postcode'!$E$6:$E$323, MATCH($C49, 'Residential VCR by postcode'!$A$6:$A$323,0)))*10^3</f>
        <v>24862.362551913284</v>
      </c>
      <c r="K49" s="181">
        <f>Assumptions!G$48</f>
        <v>34390</v>
      </c>
      <c r="L49" s="181">
        <f>Assumptions!H$48</f>
        <v>33490</v>
      </c>
      <c r="M49" s="181">
        <f>Assumptions!I$48</f>
        <v>22250</v>
      </c>
      <c r="N49" s="71"/>
      <c r="O49" s="182" cm="1">
        <f t="array" ref="O49">SUMPRODUCT(($E49:$H49)*(J49:M49))</f>
        <v>28303.137977939092</v>
      </c>
      <c r="P49" s="71"/>
      <c r="Q49" s="182">
        <f>E49*(_xlfn.XLOOKUP(C49,'Residential VCR by postcode'!A:A,'Residential VCR by postcode'!F:F,0)*1000)</f>
        <v>4621.0234191853797</v>
      </c>
      <c r="R49" s="182">
        <f>F49*Assumptions!G$49</f>
        <v>2691.6863213251731</v>
      </c>
      <c r="S49" s="182">
        <f>G49*Assumptions!H$49</f>
        <v>1447.628884125518</v>
      </c>
      <c r="T49" s="182">
        <f>H49*Assumptions!I$49</f>
        <v>1955.7163520446059</v>
      </c>
      <c r="U49" s="71"/>
      <c r="V49" s="182">
        <f t="shared" si="1"/>
        <v>10716.054976680676</v>
      </c>
    </row>
    <row r="50" spans="1:22" x14ac:dyDescent="0.2">
      <c r="A50" s="75" t="s">
        <v>184</v>
      </c>
      <c r="B50" s="75" t="s">
        <v>264</v>
      </c>
      <c r="C50" s="179">
        <v>3585</v>
      </c>
      <c r="D50" s="71"/>
      <c r="E50" s="180">
        <v>0.42273325732107253</v>
      </c>
      <c r="F50" s="180">
        <v>0.43210394259811258</v>
      </c>
      <c r="G50" s="180">
        <v>9.287376817678257E-2</v>
      </c>
      <c r="H50" s="180">
        <v>5.2289031904032245E-2</v>
      </c>
      <c r="I50" s="71"/>
      <c r="J50" s="181">
        <f>IF(C50=0,0,INDEX('Residential VCR by postcode'!$E$6:$E$323, MATCH($C50, 'Residential VCR by postcode'!$A$6:$A$323,0)))*10^3</f>
        <v>24862.362551913284</v>
      </c>
      <c r="K50" s="181">
        <f>Assumptions!G$48</f>
        <v>34390</v>
      </c>
      <c r="L50" s="181">
        <f>Assumptions!H$48</f>
        <v>33490</v>
      </c>
      <c r="M50" s="181">
        <f>Assumptions!I$48</f>
        <v>22250</v>
      </c>
      <c r="N50" s="71"/>
      <c r="O50" s="182" cm="1">
        <f t="array" ref="O50">SUMPRODUCT(($E50:$H50)*(J50:M50))</f>
        <v>29643.975548322014</v>
      </c>
      <c r="P50" s="71"/>
      <c r="Q50" s="182">
        <f>E50*(_xlfn.XLOOKUP(C50,'Residential VCR by postcode'!A:A,'Residential VCR by postcode'!F:F,0)*1000)</f>
        <v>5913.6643132154004</v>
      </c>
      <c r="R50" s="182">
        <f>F50*Assumptions!G$49</f>
        <v>4373.0415514540773</v>
      </c>
      <c r="S50" s="182">
        <f>G50*Assumptions!H$49</f>
        <v>770.48133222426532</v>
      </c>
      <c r="T50" s="182">
        <f>H50*Assumptions!I$49</f>
        <v>446.16144609976271</v>
      </c>
      <c r="U50" s="71"/>
      <c r="V50" s="182">
        <f t="shared" si="1"/>
        <v>11503.348642993507</v>
      </c>
    </row>
    <row r="51" spans="1:22" x14ac:dyDescent="0.2">
      <c r="A51" s="75" t="s">
        <v>185</v>
      </c>
      <c r="B51" s="75" t="s">
        <v>265</v>
      </c>
      <c r="C51" s="179">
        <v>3442</v>
      </c>
      <c r="D51" s="71"/>
      <c r="E51" s="180">
        <v>0.5891033671315361</v>
      </c>
      <c r="F51" s="180">
        <v>0.22155543828079041</v>
      </c>
      <c r="G51" s="180">
        <v>0.17786508980170951</v>
      </c>
      <c r="H51" s="180">
        <v>1.1476104785963941E-2</v>
      </c>
      <c r="I51" s="71"/>
      <c r="J51" s="181">
        <f>IF(C51=0,0,INDEX('Residential VCR by postcode'!$E$6:$E$323, MATCH($C51, 'Residential VCR by postcode'!$A$6:$A$323,0)))*10^3</f>
        <v>35689.437134949148</v>
      </c>
      <c r="K51" s="181">
        <f>Assumptions!G$48</f>
        <v>34390</v>
      </c>
      <c r="L51" s="181">
        <f>Assumptions!H$48</f>
        <v>33490</v>
      </c>
      <c r="M51" s="181">
        <f>Assumptions!I$48</f>
        <v>22250</v>
      </c>
      <c r="N51" s="71"/>
      <c r="O51" s="182" cm="1">
        <f t="array" ref="O51">SUMPRODUCT(($E51:$H51)*(J51:M51))</f>
        <v>34856.104298651153</v>
      </c>
      <c r="P51" s="71"/>
      <c r="Q51" s="182">
        <f>E51*(_xlfn.XLOOKUP(C51,'Residential VCR by postcode'!A:A,'Residential VCR by postcode'!F:F,0)*1000)</f>
        <v>14890.354065394808</v>
      </c>
      <c r="R51" s="182">
        <f>F51*Assumptions!G$49</f>
        <v>2242.217767620868</v>
      </c>
      <c r="S51" s="182">
        <f>G51*Assumptions!H$49</f>
        <v>1475.569841053016</v>
      </c>
      <c r="T51" s="182">
        <f>H51*Assumptions!I$49</f>
        <v>97.921023213727509</v>
      </c>
      <c r="U51" s="71"/>
      <c r="V51" s="182">
        <f t="shared" si="1"/>
        <v>18706.062697282418</v>
      </c>
    </row>
    <row r="52" spans="1:22" x14ac:dyDescent="0.2">
      <c r="A52" s="75" t="s">
        <v>186</v>
      </c>
      <c r="B52" s="75" t="s">
        <v>266</v>
      </c>
      <c r="C52" s="179">
        <v>3437</v>
      </c>
      <c r="D52" s="71"/>
      <c r="E52" s="180">
        <v>0.71214005190410046</v>
      </c>
      <c r="F52" s="180">
        <v>0.22752882333002092</v>
      </c>
      <c r="G52" s="180">
        <v>5.6539302122592033E-2</v>
      </c>
      <c r="H52" s="180">
        <v>3.7918226432866178E-3</v>
      </c>
      <c r="I52" s="71"/>
      <c r="J52" s="181">
        <f>IF(C52=0,0,INDEX('Residential VCR by postcode'!$E$6:$E$323, MATCH($C52, 'Residential VCR by postcode'!$A$6:$A$323,0)))*10^3</f>
        <v>35689.437134949148</v>
      </c>
      <c r="K52" s="181">
        <f>Assumptions!G$48</f>
        <v>34390</v>
      </c>
      <c r="L52" s="181">
        <f>Assumptions!H$48</f>
        <v>33490</v>
      </c>
      <c r="M52" s="181">
        <f>Assumptions!I$48</f>
        <v>22250</v>
      </c>
      <c r="N52" s="71"/>
      <c r="O52" s="182" cm="1">
        <f t="array" ref="O52">SUMPRODUCT(($E52:$H52)*(J52:M52))</f>
        <v>35218.463129928976</v>
      </c>
      <c r="P52" s="71"/>
      <c r="Q52" s="182">
        <f>E52*(_xlfn.XLOOKUP(C52,'Residential VCR by postcode'!A:A,'Residential VCR by postcode'!F:F,0)*1000)</f>
        <v>18000.266351614668</v>
      </c>
      <c r="R52" s="182">
        <f>F52*Assumptions!G$49</f>
        <v>2302.670493106446</v>
      </c>
      <c r="S52" s="182">
        <f>G52*Assumptions!H$49</f>
        <v>469.05038610606397</v>
      </c>
      <c r="T52" s="182">
        <f>H52*Assumptions!I$49</f>
        <v>32.354109691446062</v>
      </c>
      <c r="U52" s="71"/>
      <c r="V52" s="182">
        <f t="shared" si="1"/>
        <v>20804.341340518622</v>
      </c>
    </row>
    <row r="53" spans="1:22" x14ac:dyDescent="0.2">
      <c r="A53" s="75" t="s">
        <v>187</v>
      </c>
      <c r="B53" s="75" t="s">
        <v>267</v>
      </c>
      <c r="C53" s="179">
        <v>3021</v>
      </c>
      <c r="D53" s="71"/>
      <c r="E53" s="180">
        <v>0.64511520309093184</v>
      </c>
      <c r="F53" s="180">
        <v>0.28804505111783163</v>
      </c>
      <c r="G53" s="180">
        <v>6.6749925577537214E-2</v>
      </c>
      <c r="H53" s="180">
        <v>8.9820213699171874E-5</v>
      </c>
      <c r="I53" s="71"/>
      <c r="J53" s="181">
        <f>IF(C53=0,0,INDEX('Residential VCR by postcode'!$E$6:$E$323, MATCH($C53, 'Residential VCR by postcode'!$A$6:$A$323,0)))*10^3</f>
        <v>55101.713065448253</v>
      </c>
      <c r="K53" s="181">
        <f>Assumptions!G$48</f>
        <v>34390</v>
      </c>
      <c r="L53" s="181">
        <f>Assumptions!H$48</f>
        <v>33490</v>
      </c>
      <c r="M53" s="181">
        <f>Assumptions!I$48</f>
        <v>22250</v>
      </c>
      <c r="N53" s="71"/>
      <c r="O53" s="182" cm="1">
        <f t="array" ref="O53">SUMPRODUCT(($E53:$H53)*(J53:M53))</f>
        <v>47690.275630163662</v>
      </c>
      <c r="P53" s="71"/>
      <c r="Q53" s="182">
        <f>E53*(_xlfn.XLOOKUP(C53,'Residential VCR by postcode'!A:A,'Residential VCR by postcode'!F:F,0)*1000)</f>
        <v>19621.177349138645</v>
      </c>
      <c r="R53" s="182">
        <f>F53*Assumptions!G$49</f>
        <v>2915.1156771567335</v>
      </c>
      <c r="S53" s="182">
        <f>G53*Assumptions!H$49</f>
        <v>553.75777891295104</v>
      </c>
      <c r="T53" s="182">
        <f>H53*Assumptions!I$49</f>
        <v>0.76640004554993357</v>
      </c>
      <c r="U53" s="71"/>
      <c r="V53" s="182">
        <f t="shared" si="1"/>
        <v>23090.817205253879</v>
      </c>
    </row>
    <row r="54" spans="1:22" x14ac:dyDescent="0.2">
      <c r="A54" s="75" t="s">
        <v>188</v>
      </c>
      <c r="B54" s="75" t="s">
        <v>268</v>
      </c>
      <c r="C54" s="179">
        <v>3020</v>
      </c>
      <c r="D54" s="71"/>
      <c r="E54" s="180">
        <v>0.33136120751982601</v>
      </c>
      <c r="F54" s="180">
        <v>0.45925918367967972</v>
      </c>
      <c r="G54" s="180">
        <v>0.20937960880049419</v>
      </c>
      <c r="H54" s="180">
        <v>0</v>
      </c>
      <c r="I54" s="71"/>
      <c r="J54" s="181">
        <f>IF(C54=0,0,INDEX('Residential VCR by postcode'!$E$6:$E$323, MATCH($C54, 'Residential VCR by postcode'!$A$6:$A$323,0)))*10^3</f>
        <v>55101.713065448253</v>
      </c>
      <c r="K54" s="181">
        <f>Assumptions!G$48</f>
        <v>34390</v>
      </c>
      <c r="L54" s="181">
        <f>Assumptions!H$48</f>
        <v>33490</v>
      </c>
      <c r="M54" s="181">
        <f>Assumptions!I$48</f>
        <v>22250</v>
      </c>
      <c r="N54" s="71"/>
      <c r="O54" s="182" cm="1">
        <f t="array" ref="O54">SUMPRODUCT(($E54:$H54)*(J54:M54))</f>
        <v>41064.616603250644</v>
      </c>
      <c r="P54" s="71"/>
      <c r="Q54" s="182">
        <f>E54*(_xlfn.XLOOKUP(C54,'Residential VCR by postcode'!A:A,'Residential VCR by postcode'!F:F,0)*1000)</f>
        <v>10078.350329088116</v>
      </c>
      <c r="R54" s="182">
        <f>F54*Assumptions!G$49</f>
        <v>4647.8619959874713</v>
      </c>
      <c r="S54" s="182">
        <f>G54*Assumptions!H$49</f>
        <v>1737.0144777815667</v>
      </c>
      <c r="T54" s="182">
        <f>H54*Assumptions!I$49</f>
        <v>0</v>
      </c>
      <c r="U54" s="71"/>
      <c r="V54" s="182">
        <f t="shared" si="1"/>
        <v>16463.226802857153</v>
      </c>
    </row>
    <row r="55" spans="1:22" x14ac:dyDescent="0.2">
      <c r="A55" s="75" t="s">
        <v>189</v>
      </c>
      <c r="B55" s="75" t="s">
        <v>269</v>
      </c>
      <c r="C55" s="179">
        <v>3496</v>
      </c>
      <c r="D55" s="71"/>
      <c r="E55" s="180">
        <v>0.19619900940703219</v>
      </c>
      <c r="F55" s="180">
        <v>0.39896570542952209</v>
      </c>
      <c r="G55" s="180">
        <v>0.27051613690418547</v>
      </c>
      <c r="H55" s="180">
        <v>0.13431914825926028</v>
      </c>
      <c r="I55" s="71"/>
      <c r="J55" s="181">
        <f>IF(C55=0,0,INDEX('Residential VCR by postcode'!$E$6:$E$323, MATCH($C55, 'Residential VCR by postcode'!$A$6:$A$323,0)))*10^3</f>
        <v>24862.362551913284</v>
      </c>
      <c r="K55" s="181">
        <f>Assumptions!G$48</f>
        <v>34390</v>
      </c>
      <c r="L55" s="181">
        <f>Assumptions!H$48</f>
        <v>33490</v>
      </c>
      <c r="M55" s="181">
        <f>Assumptions!I$48</f>
        <v>22250</v>
      </c>
      <c r="N55" s="71"/>
      <c r="O55" s="182" cm="1">
        <f t="array" ref="O55">SUMPRODUCT(($E55:$H55)*(J55:M55))</f>
        <v>30646.587987614854</v>
      </c>
      <c r="P55" s="71"/>
      <c r="Q55" s="182">
        <f>E55*(_xlfn.XLOOKUP(C55,'Residential VCR by postcode'!A:A,'Residential VCR by postcode'!F:F,0)*1000)</f>
        <v>2744.6505807735562</v>
      </c>
      <c r="R55" s="182">
        <f>F55*Assumptions!G$49</f>
        <v>4037.6711144040096</v>
      </c>
      <c r="S55" s="182">
        <f>G55*Assumptions!H$49</f>
        <v>2244.2034779224473</v>
      </c>
      <c r="T55" s="182">
        <f>H55*Assumptions!I$49</f>
        <v>1146.0916992348957</v>
      </c>
      <c r="U55" s="71"/>
      <c r="V55" s="182">
        <f t="shared" si="1"/>
        <v>10172.616872334909</v>
      </c>
    </row>
    <row r="56" spans="1:22" x14ac:dyDescent="0.2">
      <c r="A56" s="75" t="s">
        <v>190</v>
      </c>
      <c r="B56" s="75" t="s">
        <v>270</v>
      </c>
      <c r="C56" s="179">
        <v>3505</v>
      </c>
      <c r="D56" s="71"/>
      <c r="E56" s="180">
        <v>0.53407727819639095</v>
      </c>
      <c r="F56" s="180">
        <v>0.30610258124290729</v>
      </c>
      <c r="G56" s="180">
        <v>8.8437599791852964E-2</v>
      </c>
      <c r="H56" s="180">
        <v>7.1382540768848854E-2</v>
      </c>
      <c r="I56" s="71"/>
      <c r="J56" s="181">
        <f>IF(C56=0,0,INDEX('Residential VCR by postcode'!$E$6:$E$323, MATCH($C56, 'Residential VCR by postcode'!$A$6:$A$323,0)))*10^3</f>
        <v>24862.362551913284</v>
      </c>
      <c r="K56" s="181">
        <f>Assumptions!G$48</f>
        <v>34390</v>
      </c>
      <c r="L56" s="181">
        <f>Assumptions!H$48</f>
        <v>33490</v>
      </c>
      <c r="M56" s="181">
        <f>Assumptions!I$48</f>
        <v>22250</v>
      </c>
      <c r="N56" s="71"/>
      <c r="O56" s="182" cm="1">
        <f t="array" ref="O56">SUMPRODUCT(($E56:$H56)*(J56:M56))</f>
        <v>28355.32743933735</v>
      </c>
      <c r="P56" s="71"/>
      <c r="Q56" s="182">
        <f>E56*(_xlfn.XLOOKUP(C56,'Residential VCR by postcode'!A:A,'Residential VCR by postcode'!F:F,0)*1000)</f>
        <v>7471.2686685315402</v>
      </c>
      <c r="R56" s="182">
        <f>F56*Assumptions!G$49</f>
        <v>3097.8641359622434</v>
      </c>
      <c r="S56" s="182">
        <f>G56*Assumptions!H$49</f>
        <v>733.678852963537</v>
      </c>
      <c r="T56" s="182">
        <f>H56*Assumptions!I$49</f>
        <v>609.07873900126492</v>
      </c>
      <c r="U56" s="71"/>
      <c r="V56" s="182">
        <f t="shared" si="1"/>
        <v>11911.890396458586</v>
      </c>
    </row>
    <row r="57" spans="1:22" x14ac:dyDescent="0.2">
      <c r="A57" s="75" t="s">
        <v>191</v>
      </c>
      <c r="B57" s="75" t="s">
        <v>271</v>
      </c>
      <c r="C57" s="179">
        <v>0</v>
      </c>
      <c r="D57" s="71"/>
      <c r="E57" s="180">
        <v>0</v>
      </c>
      <c r="F57" s="180">
        <v>0</v>
      </c>
      <c r="G57" s="180">
        <v>0</v>
      </c>
      <c r="H57" s="180">
        <v>0</v>
      </c>
      <c r="I57" s="71"/>
      <c r="J57" s="181">
        <f>IF(C57=0,0,INDEX('Residential VCR by postcode'!$E$6:$E$323, MATCH($C57, 'Residential VCR by postcode'!$A$6:$A$323,0)))*10^3</f>
        <v>0</v>
      </c>
      <c r="K57" s="181">
        <f>Assumptions!G$48</f>
        <v>34390</v>
      </c>
      <c r="L57" s="181">
        <f>Assumptions!H$48</f>
        <v>33490</v>
      </c>
      <c r="M57" s="181">
        <f>Assumptions!I$48</f>
        <v>22250</v>
      </c>
      <c r="N57" s="71"/>
      <c r="O57" s="182" cm="1">
        <f t="array" ref="O57">SUMPRODUCT(($E57:$H57)*(J57:M57))</f>
        <v>0</v>
      </c>
      <c r="P57" s="71"/>
      <c r="Q57" s="182">
        <f>E57*(_xlfn.XLOOKUP(C57,'Residential VCR by postcode'!A:A,'Residential VCR by postcode'!F:F,0)*1000)</f>
        <v>0</v>
      </c>
      <c r="R57" s="182">
        <f>F57*Assumptions!G$49</f>
        <v>0</v>
      </c>
      <c r="S57" s="182">
        <f>G57*Assumptions!H$49</f>
        <v>0</v>
      </c>
      <c r="T57" s="182">
        <f>H57*Assumptions!I$49</f>
        <v>0</v>
      </c>
      <c r="U57" s="71"/>
      <c r="V57" s="182">
        <f t="shared" si="1"/>
        <v>0</v>
      </c>
    </row>
    <row r="58" spans="1:22" x14ac:dyDescent="0.2">
      <c r="A58" s="75" t="s">
        <v>192</v>
      </c>
      <c r="B58" s="75" t="s">
        <v>272</v>
      </c>
      <c r="C58" s="179">
        <v>0</v>
      </c>
      <c r="D58" s="71"/>
      <c r="E58" s="180">
        <v>0</v>
      </c>
      <c r="F58" s="180">
        <v>0</v>
      </c>
      <c r="G58" s="180">
        <v>0</v>
      </c>
      <c r="H58" s="180">
        <v>0</v>
      </c>
      <c r="I58" s="71"/>
      <c r="J58" s="181">
        <f>IF(C58=0,0,INDEX('Residential VCR by postcode'!$E$6:$E$323, MATCH($C58, 'Residential VCR by postcode'!$A$6:$A$323,0)))*10^3</f>
        <v>0</v>
      </c>
      <c r="K58" s="181">
        <f>Assumptions!G$48</f>
        <v>34390</v>
      </c>
      <c r="L58" s="181">
        <f>Assumptions!H$48</f>
        <v>33490</v>
      </c>
      <c r="M58" s="181">
        <f>Assumptions!I$48</f>
        <v>22250</v>
      </c>
      <c r="N58" s="71"/>
      <c r="O58" s="182" cm="1">
        <f t="array" ref="O58">SUMPRODUCT(($E58:$H58)*(J58:M58))</f>
        <v>0</v>
      </c>
      <c r="P58" s="71"/>
      <c r="Q58" s="182">
        <f>E58*(_xlfn.XLOOKUP(C58,'Residential VCR by postcode'!A:A,'Residential VCR by postcode'!F:F,0)*1000)</f>
        <v>0</v>
      </c>
      <c r="R58" s="182">
        <f>F58*Assumptions!G$49</f>
        <v>0</v>
      </c>
      <c r="S58" s="182">
        <f>G58*Assumptions!H$49</f>
        <v>0</v>
      </c>
      <c r="T58" s="182">
        <f>H58*Assumptions!I$49</f>
        <v>0</v>
      </c>
      <c r="U58" s="71"/>
      <c r="V58" s="182">
        <f t="shared" si="1"/>
        <v>0</v>
      </c>
    </row>
    <row r="59" spans="1:22" x14ac:dyDescent="0.2">
      <c r="A59" s="75" t="s">
        <v>193</v>
      </c>
      <c r="B59" s="75" t="s">
        <v>273</v>
      </c>
      <c r="C59" s="179">
        <v>3500</v>
      </c>
      <c r="D59" s="71"/>
      <c r="E59" s="180">
        <v>0.44639460975109885</v>
      </c>
      <c r="F59" s="180">
        <v>0.42721981061272229</v>
      </c>
      <c r="G59" s="180">
        <v>0.10984205565093359</v>
      </c>
      <c r="H59" s="180">
        <v>1.6543523985245109E-2</v>
      </c>
      <c r="I59" s="71"/>
      <c r="J59" s="181">
        <f>IF(C59=0,0,INDEX('Residential VCR by postcode'!$E$6:$E$323, MATCH($C59, 'Residential VCR by postcode'!$A$6:$A$323,0)))*10^3</f>
        <v>24862.362551913284</v>
      </c>
      <c r="K59" s="181">
        <f>Assumptions!G$48</f>
        <v>34390</v>
      </c>
      <c r="L59" s="181">
        <f>Assumptions!H$48</f>
        <v>33490</v>
      </c>
      <c r="M59" s="181">
        <f>Assumptions!I$48</f>
        <v>22250</v>
      </c>
      <c r="N59" s="71"/>
      <c r="O59" s="182" cm="1">
        <f t="array" ref="O59">SUMPRODUCT(($E59:$H59)*(J59:M59))</f>
        <v>29837.217768244653</v>
      </c>
      <c r="P59" s="71"/>
      <c r="Q59" s="182">
        <f>E59*(_xlfn.XLOOKUP(C59,'Residential VCR by postcode'!A:A,'Residential VCR by postcode'!F:F,0)*1000)</f>
        <v>6244.6657024947481</v>
      </c>
      <c r="R59" s="182">
        <f>F59*Assumptions!G$49</f>
        <v>4323.6124442201199</v>
      </c>
      <c r="S59" s="182">
        <f>G59*Assumptions!H$49</f>
        <v>911.25034585750871</v>
      </c>
      <c r="T59" s="182">
        <f>H59*Assumptions!I$49</f>
        <v>141.15928935899612</v>
      </c>
      <c r="U59" s="71"/>
      <c r="V59" s="182">
        <f t="shared" si="1"/>
        <v>11620.687781931372</v>
      </c>
    </row>
    <row r="60" spans="1:22" x14ac:dyDescent="0.2">
      <c r="A60" s="75" t="s">
        <v>194</v>
      </c>
      <c r="B60" s="75" t="s">
        <v>274</v>
      </c>
      <c r="C60" s="179">
        <v>3620</v>
      </c>
      <c r="D60" s="71"/>
      <c r="E60" s="180">
        <v>0.27966831401096226</v>
      </c>
      <c r="F60" s="180">
        <v>0.51370484386024118</v>
      </c>
      <c r="G60" s="180">
        <v>0.11230101273874028</v>
      </c>
      <c r="H60" s="180">
        <v>9.4325829390056432E-2</v>
      </c>
      <c r="I60" s="71"/>
      <c r="J60" s="181">
        <f>IF(C60=0,0,INDEX('Residential VCR by postcode'!$E$6:$E$323, MATCH($C60, 'Residential VCR by postcode'!$A$6:$A$323,0)))*10^3</f>
        <v>24862.362551913284</v>
      </c>
      <c r="K60" s="181">
        <f>Assumptions!G$48</f>
        <v>34390</v>
      </c>
      <c r="L60" s="181">
        <f>Assumptions!H$48</f>
        <v>33490</v>
      </c>
      <c r="M60" s="181">
        <f>Assumptions!I$48</f>
        <v>22250</v>
      </c>
      <c r="N60" s="71"/>
      <c r="O60" s="182" cm="1">
        <f t="array" ref="O60">SUMPRODUCT(($E60:$H60)*(J60:M60))</f>
        <v>30479.235218125734</v>
      </c>
      <c r="P60" s="71"/>
      <c r="Q60" s="182">
        <f>E60*(_xlfn.XLOOKUP(C60,'Residential VCR by postcode'!A:A,'Residential VCR by postcode'!F:F,0)*1000)</f>
        <v>3912.3123138797901</v>
      </c>
      <c r="R60" s="182">
        <f>F60*Assumptions!G$49</f>
        <v>5198.870933407391</v>
      </c>
      <c r="S60" s="182">
        <f>G60*Assumptions!H$49</f>
        <v>931.64986845779038</v>
      </c>
      <c r="T60" s="182">
        <f>H60*Assumptions!I$49</f>
        <v>804.84466651565117</v>
      </c>
      <c r="U60" s="71"/>
      <c r="V60" s="182">
        <f t="shared" si="1"/>
        <v>10847.677782260624</v>
      </c>
    </row>
    <row r="61" spans="1:22" x14ac:dyDescent="0.2">
      <c r="A61" s="75" t="s">
        <v>195</v>
      </c>
      <c r="B61" s="75" t="s">
        <v>275</v>
      </c>
      <c r="C61" s="179">
        <v>3623</v>
      </c>
      <c r="D61" s="71"/>
      <c r="E61" s="180">
        <v>0.26901920970486237</v>
      </c>
      <c r="F61" s="180">
        <v>0.47311901666014849</v>
      </c>
      <c r="G61" s="180">
        <v>0.15932286187224989</v>
      </c>
      <c r="H61" s="180">
        <v>9.853891176273924E-2</v>
      </c>
      <c r="I61" s="71"/>
      <c r="J61" s="181">
        <f>IF(C61=0,0,INDEX('Residential VCR by postcode'!$E$6:$E$323, MATCH($C61, 'Residential VCR by postcode'!$A$6:$A$323,0)))*10^3</f>
        <v>24862.362551913284</v>
      </c>
      <c r="K61" s="181">
        <f>Assumptions!G$48</f>
        <v>34390</v>
      </c>
      <c r="L61" s="181">
        <f>Assumptions!H$48</f>
        <v>33490</v>
      </c>
      <c r="M61" s="181">
        <f>Assumptions!I$48</f>
        <v>22250</v>
      </c>
      <c r="N61" s="71"/>
      <c r="O61" s="182" cm="1">
        <f t="array" ref="O61">SUMPRODUCT(($E61:$H61)*(J61:M61))</f>
        <v>30487.229538876582</v>
      </c>
      <c r="P61" s="71"/>
      <c r="Q61" s="182">
        <f>E61*(_xlfn.XLOOKUP(C61,'Residential VCR by postcode'!A:A,'Residential VCR by postcode'!F:F,0)*1000)</f>
        <v>3763.3407650081085</v>
      </c>
      <c r="R61" s="182">
        <f>F61*Assumptions!G$49</f>
        <v>4788.1283058835952</v>
      </c>
      <c r="S61" s="182">
        <f>G61*Assumptions!H$49</f>
        <v>1321.7434080574021</v>
      </c>
      <c r="T61" s="182">
        <f>H61*Assumptions!I$49</f>
        <v>840.79321739690442</v>
      </c>
      <c r="U61" s="71"/>
      <c r="V61" s="182">
        <f t="shared" si="1"/>
        <v>10714.00569634601</v>
      </c>
    </row>
    <row r="62" spans="1:22" x14ac:dyDescent="0.2">
      <c r="A62" s="75" t="s">
        <v>196</v>
      </c>
      <c r="B62" s="75" t="s">
        <v>276</v>
      </c>
      <c r="C62" s="179">
        <v>3564</v>
      </c>
      <c r="D62" s="71"/>
      <c r="E62" s="180">
        <v>0.39493042192831562</v>
      </c>
      <c r="F62" s="180">
        <v>0.3979863694170992</v>
      </c>
      <c r="G62" s="180">
        <v>0.16851499856404034</v>
      </c>
      <c r="H62" s="180">
        <v>3.8568210090544938E-2</v>
      </c>
      <c r="I62" s="71"/>
      <c r="J62" s="181">
        <f>IF(C62=0,0,INDEX('Residential VCR by postcode'!$E$6:$E$323, MATCH($C62, 'Residential VCR by postcode'!$A$6:$A$323,0)))*10^3</f>
        <v>24862.362551913284</v>
      </c>
      <c r="K62" s="181">
        <f>Assumptions!G$48</f>
        <v>34390</v>
      </c>
      <c r="L62" s="181">
        <f>Assumptions!H$48</f>
        <v>33490</v>
      </c>
      <c r="M62" s="181">
        <f>Assumptions!I$48</f>
        <v>22250</v>
      </c>
      <c r="N62" s="71"/>
      <c r="O62" s="182" cm="1">
        <f t="array" ref="O62">SUMPRODUCT(($E62:$H62)*(J62:M62))</f>
        <v>30007.364553440242</v>
      </c>
      <c r="P62" s="71"/>
      <c r="Q62" s="182">
        <f>E62*(_xlfn.XLOOKUP(C62,'Residential VCR by postcode'!A:A,'Residential VCR by postcode'!F:F,0)*1000)</f>
        <v>5524.7272409105553</v>
      </c>
      <c r="R62" s="182">
        <f>F62*Assumptions!G$49</f>
        <v>4027.7598947807633</v>
      </c>
      <c r="S62" s="182">
        <f>G62*Assumptions!H$49</f>
        <v>1398.0014286299838</v>
      </c>
      <c r="T62" s="182">
        <f>H62*Assumptions!I$49</f>
        <v>329.08714812427098</v>
      </c>
      <c r="U62" s="71"/>
      <c r="V62" s="182">
        <f t="shared" si="1"/>
        <v>11279.575712445572</v>
      </c>
    </row>
    <row r="63" spans="1:22" x14ac:dyDescent="0.2">
      <c r="A63" s="75" t="s">
        <v>197</v>
      </c>
      <c r="B63" s="75" t="s">
        <v>277</v>
      </c>
      <c r="C63" s="179">
        <v>3629</v>
      </c>
      <c r="D63" s="71"/>
      <c r="E63" s="180">
        <v>0.32184945545956389</v>
      </c>
      <c r="F63" s="180">
        <v>0.48494630477084871</v>
      </c>
      <c r="G63" s="180">
        <v>0.14482757155392759</v>
      </c>
      <c r="H63" s="180">
        <v>4.8376668215659925E-2</v>
      </c>
      <c r="I63" s="71"/>
      <c r="J63" s="181">
        <f>IF(C63=0,0,INDEX('Residential VCR by postcode'!$E$6:$E$323, MATCH($C63, 'Residential VCR by postcode'!$A$6:$A$323,0)))*10^3</f>
        <v>24862.362551913284</v>
      </c>
      <c r="K63" s="181">
        <f>Assumptions!G$48</f>
        <v>34390</v>
      </c>
      <c r="L63" s="181">
        <f>Assumptions!H$48</f>
        <v>33490</v>
      </c>
      <c r="M63" s="181">
        <f>Assumptions!I$48</f>
        <v>22250</v>
      </c>
      <c r="N63" s="71"/>
      <c r="O63" s="182" cm="1">
        <f t="array" ref="O63">SUMPRODUCT(($E63:$H63)*(J63:M63))</f>
        <v>30605.897508980499</v>
      </c>
      <c r="P63" s="71"/>
      <c r="Q63" s="182">
        <f>E63*(_xlfn.XLOOKUP(C63,'Residential VCR by postcode'!A:A,'Residential VCR by postcode'!F:F,0)*1000)</f>
        <v>4502.3891686228008</v>
      </c>
      <c r="R63" s="182">
        <f>F63*Assumptions!G$49</f>
        <v>4907.8245577579164</v>
      </c>
      <c r="S63" s="182">
        <f>G63*Assumptions!H$49</f>
        <v>1201.4903935121129</v>
      </c>
      <c r="T63" s="182">
        <f>H63*Assumptions!I$49</f>
        <v>412.77880776604769</v>
      </c>
      <c r="U63" s="71"/>
      <c r="V63" s="182">
        <f t="shared" si="1"/>
        <v>11024.482927658877</v>
      </c>
    </row>
    <row r="64" spans="1:22" x14ac:dyDescent="0.2">
      <c r="A64" s="75" t="s">
        <v>198</v>
      </c>
      <c r="B64" s="75" t="s">
        <v>278</v>
      </c>
      <c r="C64" s="179">
        <v>3630</v>
      </c>
      <c r="D64" s="71"/>
      <c r="E64" s="180">
        <v>0.31763926011583771</v>
      </c>
      <c r="F64" s="180">
        <v>0.48657629054128765</v>
      </c>
      <c r="G64" s="180">
        <v>0.17327229000971486</v>
      </c>
      <c r="H64" s="180">
        <v>2.251215933315982E-2</v>
      </c>
      <c r="I64" s="71"/>
      <c r="J64" s="181">
        <f>IF(C64=0,0,INDEX('Residential VCR by postcode'!$E$6:$E$323, MATCH($C64, 'Residential VCR by postcode'!$A$6:$A$323,0)))*10^3</f>
        <v>24862.362551913284</v>
      </c>
      <c r="K64" s="181">
        <f>Assumptions!G$48</f>
        <v>34390</v>
      </c>
      <c r="L64" s="181">
        <f>Assumptions!H$48</f>
        <v>33490</v>
      </c>
      <c r="M64" s="181">
        <f>Assumptions!I$48</f>
        <v>22250</v>
      </c>
      <c r="N64" s="71"/>
      <c r="O64" s="182" cm="1">
        <f t="array" ref="O64">SUMPRODUCT(($E64:$H64)*(J64:M64))</f>
        <v>30934.405615024487</v>
      </c>
      <c r="P64" s="71"/>
      <c r="Q64" s="182">
        <f>E64*(_xlfn.XLOOKUP(C64,'Residential VCR by postcode'!A:A,'Residential VCR by postcode'!F:F,0)*1000)</f>
        <v>4443.4922601712642</v>
      </c>
      <c r="R64" s="182">
        <f>F64*Assumptions!G$49</f>
        <v>4924.3205782745308</v>
      </c>
      <c r="S64" s="182">
        <f>G64*Assumptions!H$49</f>
        <v>1437.4679467092913</v>
      </c>
      <c r="T64" s="182">
        <f>H64*Assumptions!I$49</f>
        <v>192.08727331852384</v>
      </c>
      <c r="U64" s="71"/>
      <c r="V64" s="182">
        <f t="shared" si="1"/>
        <v>10997.368058473612</v>
      </c>
    </row>
    <row r="65" spans="1:22" x14ac:dyDescent="0.2">
      <c r="A65" s="75" t="s">
        <v>199</v>
      </c>
      <c r="B65" s="75" t="s">
        <v>279</v>
      </c>
      <c r="C65" s="179">
        <v>3636</v>
      </c>
      <c r="D65" s="71"/>
      <c r="E65" s="180">
        <v>0.35478364695016651</v>
      </c>
      <c r="F65" s="180">
        <v>0.26725651003300355</v>
      </c>
      <c r="G65" s="180">
        <v>0.27123328914589356</v>
      </c>
      <c r="H65" s="180">
        <v>0.10672655387093644</v>
      </c>
      <c r="I65" s="71"/>
      <c r="J65" s="181">
        <f>IF(C65=0,0,INDEX('Residential VCR by postcode'!$E$6:$E$323, MATCH($C65, 'Residential VCR by postcode'!$A$6:$A$323,0)))*10^3</f>
        <v>24862.362551913284</v>
      </c>
      <c r="K65" s="181">
        <f>Assumptions!G$48</f>
        <v>34390</v>
      </c>
      <c r="L65" s="181">
        <f>Assumptions!H$48</f>
        <v>33490</v>
      </c>
      <c r="M65" s="181">
        <f>Assumptions!I$48</f>
        <v>22250</v>
      </c>
      <c r="N65" s="71"/>
      <c r="O65" s="182" cm="1">
        <f t="array" ref="O65">SUMPRODUCT(($E65:$H65)*(J65:M65))</f>
        <v>29469.979715124351</v>
      </c>
      <c r="P65" s="71"/>
      <c r="Q65" s="182">
        <f>E65*(_xlfn.XLOOKUP(C65,'Residential VCR by postcode'!A:A,'Residential VCR by postcode'!F:F,0)*1000)</f>
        <v>4963.1093734555479</v>
      </c>
      <c r="R65" s="182">
        <f>F65*Assumptions!G$49</f>
        <v>2704.7284415961099</v>
      </c>
      <c r="S65" s="182">
        <f>G65*Assumptions!H$49</f>
        <v>2250.152977177685</v>
      </c>
      <c r="T65" s="182">
        <f>H65*Assumptions!I$49</f>
        <v>910.65510066613501</v>
      </c>
      <c r="U65" s="71"/>
      <c r="V65" s="182">
        <f t="shared" si="1"/>
        <v>10828.645892895478</v>
      </c>
    </row>
    <row r="66" spans="1:22" x14ac:dyDescent="0.2">
      <c r="A66" s="75" t="s">
        <v>200</v>
      </c>
      <c r="B66" s="75" t="s">
        <v>280</v>
      </c>
      <c r="C66" s="179">
        <v>3644</v>
      </c>
      <c r="D66" s="71"/>
      <c r="E66" s="180">
        <v>0.31983424111314956</v>
      </c>
      <c r="F66" s="180">
        <v>0.55705249459382822</v>
      </c>
      <c r="G66" s="180">
        <v>8.0012050663113884E-2</v>
      </c>
      <c r="H66" s="180">
        <v>4.3101213629908555E-2</v>
      </c>
      <c r="I66" s="71"/>
      <c r="J66" s="181">
        <f>IF(C66=0,0,INDEX('Residential VCR by postcode'!$E$6:$E$323, MATCH($C66, 'Residential VCR by postcode'!$A$6:$A$323,0)))*10^3</f>
        <v>24862.362551913284</v>
      </c>
      <c r="K66" s="181">
        <f>Assumptions!G$48</f>
        <v>34390</v>
      </c>
      <c r="L66" s="181">
        <f>Assumptions!H$48</f>
        <v>33490</v>
      </c>
      <c r="M66" s="181">
        <f>Assumptions!I$48</f>
        <v>22250</v>
      </c>
      <c r="N66" s="71"/>
      <c r="O66" s="182" cm="1">
        <f t="array" ref="O66">SUMPRODUCT(($E66:$H66)*(J66:M66))</f>
        <v>30747.475728126075</v>
      </c>
      <c r="P66" s="71"/>
      <c r="Q66" s="182">
        <f>E66*(_xlfn.XLOOKUP(C66,'Residential VCR by postcode'!A:A,'Residential VCR by postcode'!F:F,0)*1000)</f>
        <v>4474.1981026078111</v>
      </c>
      <c r="R66" s="182">
        <f>F66*Assumptions!G$49</f>
        <v>5637.5641716040172</v>
      </c>
      <c r="S66" s="182">
        <f>G66*Assumptions!H$49</f>
        <v>663.78044736557456</v>
      </c>
      <c r="T66" s="182">
        <f>H66*Assumptions!I$49</f>
        <v>367.7654586734065</v>
      </c>
      <c r="U66" s="71"/>
      <c r="V66" s="182">
        <f t="shared" si="1"/>
        <v>11143.30818025081</v>
      </c>
    </row>
    <row r="67" spans="1:22" x14ac:dyDescent="0.2">
      <c r="A67" s="75" t="s">
        <v>201</v>
      </c>
      <c r="B67" s="75" t="s">
        <v>281</v>
      </c>
      <c r="C67" s="179">
        <v>3631</v>
      </c>
      <c r="D67" s="71"/>
      <c r="E67" s="180">
        <v>0.41957464067909001</v>
      </c>
      <c r="F67" s="180">
        <v>0.34857627219383858</v>
      </c>
      <c r="G67" s="180">
        <v>0.19350126850396224</v>
      </c>
      <c r="H67" s="180">
        <v>3.8347818623109139E-2</v>
      </c>
      <c r="I67" s="71"/>
      <c r="J67" s="181">
        <f>IF(C67=0,0,INDEX('Residential VCR by postcode'!$E$6:$E$323, MATCH($C67, 'Residential VCR by postcode'!$A$6:$A$323,0)))*10^3</f>
        <v>24862.362551913284</v>
      </c>
      <c r="K67" s="181">
        <f>Assumptions!G$48</f>
        <v>34390</v>
      </c>
      <c r="L67" s="181">
        <f>Assumptions!H$48</f>
        <v>33490</v>
      </c>
      <c r="M67" s="181">
        <f>Assumptions!I$48</f>
        <v>22250</v>
      </c>
      <c r="N67" s="71"/>
      <c r="O67" s="182" cm="1">
        <f t="array" ref="O67">SUMPRODUCT(($E67:$H67)*(J67:M67))</f>
        <v>29752.75128146026</v>
      </c>
      <c r="P67" s="71"/>
      <c r="Q67" s="182">
        <f>E67*(_xlfn.XLOOKUP(C67,'Residential VCR by postcode'!A:A,'Residential VCR by postcode'!F:F,0)*1000)</f>
        <v>5869.4780605576552</v>
      </c>
      <c r="R67" s="182">
        <f>F67*Assumptions!G$49</f>
        <v>3527.7125984762556</v>
      </c>
      <c r="S67" s="182">
        <f>G67*Assumptions!H$49</f>
        <v>1605.2876724053149</v>
      </c>
      <c r="T67" s="182">
        <f>H67*Assumptions!I$49</f>
        <v>327.20663566805121</v>
      </c>
      <c r="U67" s="71"/>
      <c r="V67" s="182">
        <f t="shared" si="1"/>
        <v>11329.684967107278</v>
      </c>
    </row>
    <row r="68" spans="1:22" x14ac:dyDescent="0.2">
      <c r="A68" s="75" t="s">
        <v>202</v>
      </c>
      <c r="B68" s="75" t="s">
        <v>282</v>
      </c>
      <c r="C68" s="179">
        <v>3260</v>
      </c>
      <c r="D68" s="71"/>
      <c r="E68" s="180">
        <v>0.46961840812566769</v>
      </c>
      <c r="F68" s="180">
        <v>0.20006425769904562</v>
      </c>
      <c r="G68" s="180">
        <v>0.17688378131078045</v>
      </c>
      <c r="H68" s="180">
        <v>0.15343355286450633</v>
      </c>
      <c r="I68" s="71"/>
      <c r="J68" s="181">
        <f>IF(C68=0,0,INDEX('Residential VCR by postcode'!$E$6:$E$323, MATCH($C68, 'Residential VCR by postcode'!$A$6:$A$323,0)))*10^3</f>
        <v>38897.618107964721</v>
      </c>
      <c r="K68" s="181">
        <f>Assumptions!G$48</f>
        <v>34390</v>
      </c>
      <c r="L68" s="181">
        <f>Assumptions!H$48</f>
        <v>33490</v>
      </c>
      <c r="M68" s="181">
        <f>Assumptions!I$48</f>
        <v>22250</v>
      </c>
      <c r="N68" s="71"/>
      <c r="O68" s="182" cm="1">
        <f t="array" ref="O68">SUMPRODUCT(($E68:$H68)*(J68:M68))</f>
        <v>34484.981705346021</v>
      </c>
      <c r="P68" s="71"/>
      <c r="Q68" s="182">
        <f>E68*(_xlfn.XLOOKUP(C68,'Residential VCR by postcode'!A:A,'Residential VCR by postcode'!F:F,0)*1000)</f>
        <v>11500.309678365438</v>
      </c>
      <c r="R68" s="182">
        <f>F68*Assumptions!G$49</f>
        <v>2024.7195770033786</v>
      </c>
      <c r="S68" s="182">
        <f>G68*Assumptions!H$49</f>
        <v>1467.4288999858375</v>
      </c>
      <c r="T68" s="182">
        <f>H68*Assumptions!I$49</f>
        <v>1309.1872871521564</v>
      </c>
      <c r="U68" s="71"/>
      <c r="V68" s="182">
        <f t="shared" si="1"/>
        <v>16301.645442506811</v>
      </c>
    </row>
    <row r="69" spans="1:22" x14ac:dyDescent="0.2">
      <c r="A69" s="75" t="s">
        <v>203</v>
      </c>
      <c r="B69" s="75" t="s">
        <v>283</v>
      </c>
      <c r="C69" s="179">
        <v>3266</v>
      </c>
      <c r="D69" s="71"/>
      <c r="E69" s="180">
        <v>3.7242553205510683E-2</v>
      </c>
      <c r="F69" s="180">
        <v>0.85457151259422015</v>
      </c>
      <c r="G69" s="180">
        <v>6.0712645073175329E-2</v>
      </c>
      <c r="H69" s="180">
        <v>4.7473289127093803E-2</v>
      </c>
      <c r="I69" s="71"/>
      <c r="J69" s="181">
        <f>IF(C69=0,0,INDEX('Residential VCR by postcode'!$E$6:$E$323, MATCH($C69, 'Residential VCR by postcode'!$A$6:$A$323,0)))*10^3</f>
        <v>38897.618107964721</v>
      </c>
      <c r="K69" s="181">
        <f>Assumptions!G$48</f>
        <v>34390</v>
      </c>
      <c r="L69" s="181">
        <f>Assumptions!H$48</f>
        <v>33490</v>
      </c>
      <c r="M69" s="181">
        <f>Assumptions!I$48</f>
        <v>22250</v>
      </c>
      <c r="N69" s="71"/>
      <c r="O69" s="182" cm="1">
        <f t="array" ref="O69">SUMPRODUCT(($E69:$H69)*(J69:M69))</f>
        <v>33926.908096647217</v>
      </c>
      <c r="P69" s="71"/>
      <c r="Q69" s="182">
        <f>E69*(_xlfn.XLOOKUP(C69,'Residential VCR by postcode'!A:A,'Residential VCR by postcode'!F:F,0)*1000)</f>
        <v>912.01896617681768</v>
      </c>
      <c r="R69" s="182">
        <f>F69*Assumptions!G$49</f>
        <v>8648.5596747707368</v>
      </c>
      <c r="S69" s="182">
        <f>G69*Assumptions!H$49</f>
        <v>503.67246400295284</v>
      </c>
      <c r="T69" s="182">
        <f>H69*Assumptions!I$49</f>
        <v>405.07063444834915</v>
      </c>
      <c r="U69" s="71"/>
      <c r="V69" s="182">
        <f t="shared" si="1"/>
        <v>10469.321739398858</v>
      </c>
    </row>
    <row r="70" spans="1:22" x14ac:dyDescent="0.2">
      <c r="A70" s="75" t="s">
        <v>204</v>
      </c>
      <c r="B70" s="75" t="s">
        <v>284</v>
      </c>
      <c r="C70" s="179">
        <v>3250</v>
      </c>
      <c r="D70" s="71"/>
      <c r="E70" s="180">
        <v>0.32594612471288037</v>
      </c>
      <c r="F70" s="180">
        <v>0.5582269735321006</v>
      </c>
      <c r="G70" s="180">
        <v>7.1118857394814258E-2</v>
      </c>
      <c r="H70" s="180">
        <v>4.4708044360204667E-2</v>
      </c>
      <c r="I70" s="71"/>
      <c r="J70" s="181">
        <f>IF(C70=0,0,INDEX('Residential VCR by postcode'!$E$6:$E$323, MATCH($C70, 'Residential VCR by postcode'!$A$6:$A$323,0)))*10^3</f>
        <v>38897.618107964721</v>
      </c>
      <c r="K70" s="181">
        <f>Assumptions!G$48</f>
        <v>34390</v>
      </c>
      <c r="L70" s="181">
        <f>Assumptions!H$48</f>
        <v>33490</v>
      </c>
      <c r="M70" s="181">
        <f>Assumptions!I$48</f>
        <v>22250</v>
      </c>
      <c r="N70" s="71"/>
      <c r="O70" s="182" cm="1">
        <f t="array" ref="O70">SUMPRODUCT(($E70:$H70)*(J70:M70))</f>
        <v>35252.478023788492</v>
      </c>
      <c r="P70" s="71"/>
      <c r="Q70" s="182">
        <f>E70*(_xlfn.XLOOKUP(C70,'Residential VCR by postcode'!A:A,'Residential VCR by postcode'!F:F,0)*1000)</f>
        <v>7981.9728268789886</v>
      </c>
      <c r="R70" s="182">
        <f>F70*Assumptions!G$49</f>
        <v>5649.4503052215241</v>
      </c>
      <c r="S70" s="182">
        <f>G70*Assumptions!H$49</f>
        <v>590.00246320922258</v>
      </c>
      <c r="T70" s="182">
        <f>H70*Assumptions!I$49</f>
        <v>381.47590417528937</v>
      </c>
      <c r="U70" s="71"/>
      <c r="V70" s="182">
        <f t="shared" si="1"/>
        <v>14602.901499485026</v>
      </c>
    </row>
    <row r="71" spans="1:22" x14ac:dyDescent="0.2">
      <c r="A71" s="75" t="s">
        <v>205</v>
      </c>
      <c r="B71" s="75" t="s">
        <v>285</v>
      </c>
      <c r="C71" s="179">
        <v>3300</v>
      </c>
      <c r="D71" s="71"/>
      <c r="E71" s="180">
        <v>0.55741074329612017</v>
      </c>
      <c r="F71" s="180">
        <v>0.30256540189673609</v>
      </c>
      <c r="G71" s="180">
        <v>9.7801654265734436E-2</v>
      </c>
      <c r="H71" s="180">
        <v>4.2222200541409322E-2</v>
      </c>
      <c r="I71" s="71"/>
      <c r="J71" s="181">
        <f>IF(C71=0,0,INDEX('Residential VCR by postcode'!$E$6:$E$323, MATCH($C71, 'Residential VCR by postcode'!$A$6:$A$323,0)))*10^3</f>
        <v>35689.437134949148</v>
      </c>
      <c r="K71" s="181">
        <f>Assumptions!G$48</f>
        <v>34390</v>
      </c>
      <c r="L71" s="181">
        <f>Assumptions!H$48</f>
        <v>33490</v>
      </c>
      <c r="M71" s="181">
        <f>Assumptions!I$48</f>
        <v>22250</v>
      </c>
      <c r="N71" s="71"/>
      <c r="O71" s="182" cm="1">
        <f t="array" ref="O71">SUMPRODUCT(($E71:$H71)*(J71:M71))</f>
        <v>34513.721215846715</v>
      </c>
      <c r="P71" s="71"/>
      <c r="Q71" s="182">
        <f>E71*(_xlfn.XLOOKUP(C71,'Residential VCR by postcode'!A:A,'Residential VCR by postcode'!F:F,0)*1000)</f>
        <v>14089.281763824776</v>
      </c>
      <c r="R71" s="182">
        <f>F71*Assumptions!G$49</f>
        <v>3062.0666559329111</v>
      </c>
      <c r="S71" s="182">
        <f>G71*Assumptions!H$49</f>
        <v>811.36310447709207</v>
      </c>
      <c r="T71" s="182">
        <f>H71*Assumptions!I$49</f>
        <v>360.26519071233156</v>
      </c>
      <c r="U71" s="71"/>
      <c r="V71" s="182">
        <f t="shared" si="1"/>
        <v>18322.976714947112</v>
      </c>
    </row>
    <row r="72" spans="1:22" x14ac:dyDescent="0.2">
      <c r="A72" s="75" t="s">
        <v>206</v>
      </c>
      <c r="B72" s="75" t="s">
        <v>286</v>
      </c>
      <c r="C72" s="179">
        <v>0</v>
      </c>
      <c r="D72" s="71"/>
      <c r="E72" s="180">
        <v>0</v>
      </c>
      <c r="F72" s="180">
        <v>1</v>
      </c>
      <c r="G72" s="180">
        <v>0</v>
      </c>
      <c r="H72" s="180">
        <v>0</v>
      </c>
      <c r="I72" s="71"/>
      <c r="J72" s="181">
        <f>IF(C72=0,0,INDEX('Residential VCR by postcode'!$E$6:$E$323, MATCH($C72, 'Residential VCR by postcode'!$A$6:$A$323,0)))*10^3</f>
        <v>0</v>
      </c>
      <c r="K72" s="181">
        <f>Assumptions!G$48</f>
        <v>34390</v>
      </c>
      <c r="L72" s="181">
        <f>Assumptions!H$48</f>
        <v>33490</v>
      </c>
      <c r="M72" s="181">
        <f>Assumptions!I$48</f>
        <v>22250</v>
      </c>
      <c r="N72" s="71"/>
      <c r="O72" s="182" cm="1">
        <f t="array" ref="O72">SUMPRODUCT(($E72:$H72)*(J72:M72))</f>
        <v>34390</v>
      </c>
      <c r="P72" s="71"/>
      <c r="Q72" s="182">
        <f>E72*(_xlfn.XLOOKUP(C72,'Residential VCR by postcode'!A:A,'Residential VCR by postcode'!F:F,0)*1000)</f>
        <v>0</v>
      </c>
      <c r="R72" s="182">
        <f>F72*Assumptions!G$49</f>
        <v>10120.346334172</v>
      </c>
      <c r="S72" s="182">
        <f>G72*Assumptions!H$49</f>
        <v>0</v>
      </c>
      <c r="T72" s="182">
        <f>H72*Assumptions!I$49</f>
        <v>0</v>
      </c>
      <c r="U72" s="71"/>
      <c r="V72" s="182">
        <f t="shared" si="1"/>
        <v>10120.346334172</v>
      </c>
    </row>
    <row r="73" spans="1:22" x14ac:dyDescent="0.2">
      <c r="A73" s="75" t="s">
        <v>207</v>
      </c>
      <c r="B73" s="75" t="s">
        <v>287</v>
      </c>
      <c r="C73" s="179">
        <v>3282</v>
      </c>
      <c r="D73" s="71"/>
      <c r="E73" s="180">
        <v>0.25896467294684145</v>
      </c>
      <c r="F73" s="180">
        <v>0.59528211344347093</v>
      </c>
      <c r="G73" s="180">
        <v>7.1169276336661619E-2</v>
      </c>
      <c r="H73" s="180">
        <v>7.4583937273026119E-2</v>
      </c>
      <c r="I73" s="71"/>
      <c r="J73" s="181">
        <f>IF(C73=0,0,INDEX('Residential VCR by postcode'!$E$6:$E$323, MATCH($C73, 'Residential VCR by postcode'!$A$6:$A$323,0)))*10^3</f>
        <v>38897.618107964721</v>
      </c>
      <c r="K73" s="181">
        <f>Assumptions!G$48</f>
        <v>34390</v>
      </c>
      <c r="L73" s="181">
        <f>Assumptions!H$48</f>
        <v>33490</v>
      </c>
      <c r="M73" s="181">
        <f>Assumptions!I$48</f>
        <v>22250</v>
      </c>
      <c r="N73" s="71"/>
      <c r="O73" s="182" cm="1">
        <f t="array" ref="O73">SUMPRODUCT(($E73:$H73)*(J73:M73))</f>
        <v>34587.812501900815</v>
      </c>
      <c r="P73" s="71"/>
      <c r="Q73" s="182">
        <f>E73*(_xlfn.XLOOKUP(C73,'Residential VCR by postcode'!A:A,'Residential VCR by postcode'!F:F,0)*1000)</f>
        <v>6341.6890886618639</v>
      </c>
      <c r="R73" s="182">
        <f>F73*Assumptions!G$49</f>
        <v>6024.4611545857915</v>
      </c>
      <c r="S73" s="182">
        <f>G73*Assumptions!H$49</f>
        <v>590.42073905014627</v>
      </c>
      <c r="T73" s="182">
        <f>H73*Assumptions!I$49</f>
        <v>636.39497802561584</v>
      </c>
      <c r="U73" s="71"/>
      <c r="V73" s="182">
        <f t="shared" ref="V73:V85" si="2">SUM(Q73:T73)</f>
        <v>13592.965960323418</v>
      </c>
    </row>
    <row r="74" spans="1:22" x14ac:dyDescent="0.2">
      <c r="A74" s="75" t="s">
        <v>208</v>
      </c>
      <c r="B74" s="75" t="s">
        <v>288</v>
      </c>
      <c r="C74" s="179">
        <v>3264</v>
      </c>
      <c r="D74" s="71"/>
      <c r="E74" s="180">
        <v>0.39141681672382567</v>
      </c>
      <c r="F74" s="180">
        <v>0.19159561661883187</v>
      </c>
      <c r="G74" s="180">
        <v>0.18925579655439445</v>
      </c>
      <c r="H74" s="180">
        <v>0.22773177010294787</v>
      </c>
      <c r="I74" s="71"/>
      <c r="J74" s="181">
        <f>IF(C74=0,0,INDEX('Residential VCR by postcode'!$E$6:$E$323, MATCH($C74, 'Residential VCR by postcode'!$A$6:$A$323,0)))*10^3</f>
        <v>38897.618107964721</v>
      </c>
      <c r="K74" s="181">
        <f>Assumptions!G$48</f>
        <v>34390</v>
      </c>
      <c r="L74" s="181">
        <f>Assumptions!H$48</f>
        <v>33490</v>
      </c>
      <c r="M74" s="181">
        <f>Assumptions!I$48</f>
        <v>22250</v>
      </c>
      <c r="N74" s="71"/>
      <c r="O74" s="182" cm="1">
        <f t="array" ref="O74">SUMPRODUCT(($E74:$H74)*(J74:M74))</f>
        <v>33219.363624877478</v>
      </c>
      <c r="P74" s="71"/>
      <c r="Q74" s="182">
        <f>E74*(_xlfn.XLOOKUP(C74,'Residential VCR by postcode'!A:A,'Residential VCR by postcode'!F:F,0)*1000)</f>
        <v>9585.2601340947549</v>
      </c>
      <c r="R74" s="182">
        <f>F74*Assumptions!G$49</f>
        <v>1939.013996291819</v>
      </c>
      <c r="S74" s="182">
        <f>G74*Assumptions!H$49</f>
        <v>1570.0672119045912</v>
      </c>
      <c r="T74" s="182">
        <f>H74*Assumptions!I$49</f>
        <v>1943.1443301239374</v>
      </c>
      <c r="U74" s="71"/>
      <c r="V74" s="182">
        <f t="shared" si="2"/>
        <v>15037.485672415103</v>
      </c>
    </row>
    <row r="75" spans="1:22" x14ac:dyDescent="0.2">
      <c r="A75" s="75" t="s">
        <v>209</v>
      </c>
      <c r="B75" s="75" t="s">
        <v>289</v>
      </c>
      <c r="C75" s="179">
        <v>3280</v>
      </c>
      <c r="D75" s="71"/>
      <c r="E75" s="180">
        <v>0.29564134695529448</v>
      </c>
      <c r="F75" s="180">
        <v>0.5554358098902531</v>
      </c>
      <c r="G75" s="180">
        <v>9.9179686990775714E-2</v>
      </c>
      <c r="H75" s="180">
        <v>4.9743156163676694E-2</v>
      </c>
      <c r="I75" s="71"/>
      <c r="J75" s="181">
        <f>IF(C75=0,0,INDEX('Residential VCR by postcode'!$E$6:$E$323, MATCH($C75, 'Residential VCR by postcode'!$A$6:$A$323,0)))*10^3</f>
        <v>38897.618107964721</v>
      </c>
      <c r="K75" s="181">
        <f>Assumptions!G$48</f>
        <v>34390</v>
      </c>
      <c r="L75" s="181">
        <f>Assumptions!H$48</f>
        <v>33490</v>
      </c>
      <c r="M75" s="181">
        <f>Assumptions!I$48</f>
        <v>22250</v>
      </c>
      <c r="N75" s="71"/>
      <c r="O75" s="182" cm="1">
        <f t="array" ref="O75">SUMPRODUCT(($E75:$H75)*(J75:M75))</f>
        <v>35029.494654880029</v>
      </c>
      <c r="P75" s="71"/>
      <c r="Q75" s="182">
        <f>E75*(_xlfn.XLOOKUP(C75,'Residential VCR by postcode'!A:A,'Residential VCR by postcode'!F:F,0)*1000)</f>
        <v>7239.8504506772915</v>
      </c>
      <c r="R75" s="182">
        <f>F75*Assumptions!G$49</f>
        <v>5621.2027624906787</v>
      </c>
      <c r="S75" s="182">
        <f>G75*Assumptions!H$49</f>
        <v>822.79527214598033</v>
      </c>
      <c r="T75" s="182">
        <f>H75*Assumptions!I$49</f>
        <v>424.43850420265437</v>
      </c>
      <c r="U75" s="71"/>
      <c r="V75" s="182">
        <f t="shared" si="2"/>
        <v>14108.286989516606</v>
      </c>
    </row>
    <row r="76" spans="1:22" x14ac:dyDescent="0.2">
      <c r="A76" s="75" t="s">
        <v>210</v>
      </c>
      <c r="B76" s="75" t="s">
        <v>290</v>
      </c>
      <c r="C76" s="179">
        <v>3305</v>
      </c>
      <c r="D76" s="71"/>
      <c r="E76" s="180">
        <v>0.46139197032975154</v>
      </c>
      <c r="F76" s="180">
        <v>0.43786643010112092</v>
      </c>
      <c r="G76" s="180">
        <v>7.4854406977500079E-2</v>
      </c>
      <c r="H76" s="180">
        <v>2.5887192591627601E-2</v>
      </c>
      <c r="I76" s="71"/>
      <c r="J76" s="181">
        <f>IF(C76=0,0,INDEX('Residential VCR by postcode'!$E$6:$E$323, MATCH($C76, 'Residential VCR by postcode'!$A$6:$A$323,0)))*10^3</f>
        <v>38897.618107964721</v>
      </c>
      <c r="K76" s="181">
        <f>Assumptions!G$48</f>
        <v>34390</v>
      </c>
      <c r="L76" s="181">
        <f>Assumptions!H$48</f>
        <v>33490</v>
      </c>
      <c r="M76" s="181">
        <f>Assumptions!I$48</f>
        <v>22250</v>
      </c>
      <c r="N76" s="71"/>
      <c r="O76" s="182" cm="1">
        <f t="array" ref="O76">SUMPRODUCT(($E76:$H76)*(J76:M76))</f>
        <v>36088.139315985805</v>
      </c>
      <c r="P76" s="71"/>
      <c r="Q76" s="182">
        <f>E76*(_xlfn.XLOOKUP(C76,'Residential VCR by postcode'!A:A,'Residential VCR by postcode'!F:F,0)*1000)</f>
        <v>11298.855517783366</v>
      </c>
      <c r="R76" s="182">
        <f>F76*Assumptions!G$49</f>
        <v>4431.3599207308589</v>
      </c>
      <c r="S76" s="182">
        <f>G76*Assumptions!H$49</f>
        <v>620.99260472667515</v>
      </c>
      <c r="T76" s="182">
        <f>H76*Assumptions!I$49</f>
        <v>220.88508548678965</v>
      </c>
      <c r="U76" s="71"/>
      <c r="V76" s="182">
        <f t="shared" si="2"/>
        <v>16572.093128727687</v>
      </c>
    </row>
    <row r="77" spans="1:22" x14ac:dyDescent="0.2">
      <c r="A77" s="75" t="s">
        <v>211</v>
      </c>
      <c r="B77" s="75" t="s">
        <v>291</v>
      </c>
      <c r="C77" s="179">
        <v>0</v>
      </c>
      <c r="D77" s="71"/>
      <c r="E77" s="180">
        <v>0</v>
      </c>
      <c r="F77" s="180">
        <v>1</v>
      </c>
      <c r="G77" s="180">
        <v>0</v>
      </c>
      <c r="H77" s="180">
        <v>0</v>
      </c>
      <c r="I77" s="71"/>
      <c r="J77" s="181">
        <f>IF(C77=0,0,INDEX('Residential VCR by postcode'!$E$6:$E$323, MATCH($C77, 'Residential VCR by postcode'!$A$6:$A$323,0)))*10^3</f>
        <v>0</v>
      </c>
      <c r="K77" s="181">
        <f>Assumptions!G$48</f>
        <v>34390</v>
      </c>
      <c r="L77" s="181">
        <f>Assumptions!H$48</f>
        <v>33490</v>
      </c>
      <c r="M77" s="181">
        <f>Assumptions!I$48</f>
        <v>22250</v>
      </c>
      <c r="N77" s="71"/>
      <c r="O77" s="182" cm="1">
        <f t="array" ref="O77">SUMPRODUCT(($E77:$H77)*(J77:M77))</f>
        <v>34390</v>
      </c>
      <c r="P77" s="71"/>
      <c r="Q77" s="182">
        <f>E77*(_xlfn.XLOOKUP(C77,'Residential VCR by postcode'!A:A,'Residential VCR by postcode'!F:F,0)*1000)</f>
        <v>0</v>
      </c>
      <c r="R77" s="182">
        <f>F77*Assumptions!G$49</f>
        <v>10120.346334172</v>
      </c>
      <c r="S77" s="182">
        <f>G77*Assumptions!H$49</f>
        <v>0</v>
      </c>
      <c r="T77" s="182">
        <f>H77*Assumptions!I$49</f>
        <v>0</v>
      </c>
      <c r="U77" s="71"/>
      <c r="V77" s="182">
        <f t="shared" si="2"/>
        <v>10120.346334172</v>
      </c>
    </row>
    <row r="78" spans="1:22" x14ac:dyDescent="0.2">
      <c r="A78" s="75" t="s">
        <v>212</v>
      </c>
      <c r="B78" s="75" t="s">
        <v>292</v>
      </c>
      <c r="C78" s="179">
        <v>0</v>
      </c>
      <c r="D78" s="71"/>
      <c r="E78" s="180">
        <v>0</v>
      </c>
      <c r="F78" s="180">
        <v>1</v>
      </c>
      <c r="G78" s="180">
        <v>0</v>
      </c>
      <c r="H78" s="180">
        <v>0</v>
      </c>
      <c r="I78" s="71"/>
      <c r="J78" s="181">
        <f>IF(C78=0,0,INDEX('Residential VCR by postcode'!$E$6:$E$323, MATCH($C78, 'Residential VCR by postcode'!$A$6:$A$323,0)))*10^3</f>
        <v>0</v>
      </c>
      <c r="K78" s="181">
        <f>Assumptions!G$48</f>
        <v>34390</v>
      </c>
      <c r="L78" s="181">
        <f>Assumptions!H$48</f>
        <v>33490</v>
      </c>
      <c r="M78" s="181">
        <f>Assumptions!I$48</f>
        <v>22250</v>
      </c>
      <c r="N78" s="71"/>
      <c r="O78" s="182" cm="1">
        <f t="array" ref="O78">SUMPRODUCT(($E78:$H78)*(J78:M78))</f>
        <v>34390</v>
      </c>
      <c r="P78" s="71"/>
      <c r="Q78" s="182">
        <f>E78*(_xlfn.XLOOKUP(C78,'Residential VCR by postcode'!A:A,'Residential VCR by postcode'!F:F,0)*1000)</f>
        <v>0</v>
      </c>
      <c r="R78" s="182">
        <f>F78*Assumptions!G$49</f>
        <v>10120.346334172</v>
      </c>
      <c r="S78" s="182">
        <f>G78*Assumptions!H$49</f>
        <v>0</v>
      </c>
      <c r="T78" s="182">
        <f>H78*Assumptions!I$49</f>
        <v>0</v>
      </c>
      <c r="U78" s="71"/>
      <c r="V78" s="182">
        <f t="shared" si="2"/>
        <v>10120.346334172</v>
      </c>
    </row>
    <row r="79" spans="1:22" x14ac:dyDescent="0.2">
      <c r="A79" s="75" t="s">
        <v>213</v>
      </c>
      <c r="B79" s="75" t="s">
        <v>293</v>
      </c>
      <c r="C79" s="179">
        <v>3549</v>
      </c>
      <c r="D79" s="71"/>
      <c r="E79" s="180">
        <v>3.598846406142904E-2</v>
      </c>
      <c r="F79" s="180">
        <v>0.4270546550260344</v>
      </c>
      <c r="G79" s="180">
        <v>0.42027426481293362</v>
      </c>
      <c r="H79" s="180">
        <v>0.116682616099603</v>
      </c>
      <c r="I79" s="71"/>
      <c r="J79" s="181">
        <f>IF(C79=0,0,INDEX('Residential VCR by postcode'!$E$6:$E$323, MATCH($C79, 'Residential VCR by postcode'!$A$6:$A$323,0)))*10^3</f>
        <v>24862.362551913284</v>
      </c>
      <c r="K79" s="181">
        <f>Assumptions!G$48</f>
        <v>34390</v>
      </c>
      <c r="L79" s="181">
        <f>Assumptions!H$48</f>
        <v>33490</v>
      </c>
      <c r="M79" s="181">
        <f>Assumptions!I$48</f>
        <v>22250</v>
      </c>
      <c r="N79" s="71"/>
      <c r="O79" s="182" cm="1">
        <f t="array" ref="O79">SUMPRODUCT(($E79:$H79)*(J79:M79))</f>
        <v>32252.341164328391</v>
      </c>
      <c r="P79" s="71"/>
      <c r="Q79" s="182">
        <f>E79*(_xlfn.XLOOKUP(C79,'Residential VCR by postcode'!A:A,'Residential VCR by postcode'!F:F,0)*1000)</f>
        <v>503.44677623947848</v>
      </c>
      <c r="R79" s="182">
        <f>F79*Assumptions!G$49</f>
        <v>4321.941012483815</v>
      </c>
      <c r="S79" s="182">
        <f>G79*Assumptions!H$49</f>
        <v>3486.597796228888</v>
      </c>
      <c r="T79" s="182">
        <f>H79*Assumptions!I$49</f>
        <v>995.60620723000602</v>
      </c>
      <c r="U79" s="71"/>
      <c r="V79" s="182">
        <f t="shared" si="2"/>
        <v>9307.5917921821874</v>
      </c>
    </row>
    <row r="80" spans="1:22" x14ac:dyDescent="0.2">
      <c r="A80" s="75" t="s">
        <v>214</v>
      </c>
      <c r="B80" s="75" t="s">
        <v>294</v>
      </c>
      <c r="C80" s="179">
        <v>3549</v>
      </c>
      <c r="D80" s="71"/>
      <c r="E80" s="180">
        <v>0.27652258764780524</v>
      </c>
      <c r="F80" s="180">
        <v>0.40292187379380617</v>
      </c>
      <c r="G80" s="180">
        <v>0.23578456570335951</v>
      </c>
      <c r="H80" s="180">
        <v>8.4770972855028992E-2</v>
      </c>
      <c r="I80" s="71"/>
      <c r="J80" s="181">
        <f>IF(C80=0,0,INDEX('Residential VCR by postcode'!$E$6:$E$323, MATCH($C80, 'Residential VCR by postcode'!$A$6:$A$323,0)))*10^3</f>
        <v>24862.362551913284</v>
      </c>
      <c r="K80" s="181">
        <f>Assumptions!G$48</f>
        <v>34390</v>
      </c>
      <c r="L80" s="181">
        <f>Assumptions!H$48</f>
        <v>33490</v>
      </c>
      <c r="M80" s="181">
        <f>Assumptions!I$48</f>
        <v>22250</v>
      </c>
      <c r="N80" s="71"/>
      <c r="O80" s="182" cm="1">
        <f t="array" ref="O80">SUMPRODUCT(($E80:$H80)*(J80:M80))</f>
        <v>30514.06731909185</v>
      </c>
      <c r="P80" s="71"/>
      <c r="Q80" s="182">
        <f>E80*(_xlfn.XLOOKUP(C80,'Residential VCR by postcode'!A:A,'Residential VCR by postcode'!F:F,0)*1000)</f>
        <v>3868.306384819864</v>
      </c>
      <c r="R80" s="182">
        <f>F80*Assumptions!G$49</f>
        <v>4077.7089084068593</v>
      </c>
      <c r="S80" s="182">
        <f>G80*Assumptions!H$49</f>
        <v>1956.0701570248032</v>
      </c>
      <c r="T80" s="182">
        <f>H80*Assumptions!I$49</f>
        <v>723.31688805596104</v>
      </c>
      <c r="U80" s="71"/>
      <c r="V80" s="182">
        <f t="shared" si="2"/>
        <v>10625.402338307487</v>
      </c>
    </row>
    <row r="81" spans="1:22" x14ac:dyDescent="0.2">
      <c r="A81" s="75" t="s">
        <v>215</v>
      </c>
      <c r="B81" s="75" t="s">
        <v>295</v>
      </c>
      <c r="C81" s="179">
        <v>3599</v>
      </c>
      <c r="D81" s="71"/>
      <c r="E81" s="180">
        <v>2.4661388304337433E-2</v>
      </c>
      <c r="F81" s="180">
        <v>0.40845475889794641</v>
      </c>
      <c r="G81" s="180">
        <v>0.17663461457823951</v>
      </c>
      <c r="H81" s="180">
        <v>0.39024923821947666</v>
      </c>
      <c r="I81" s="71"/>
      <c r="J81" s="181">
        <f>IF(C81=0,0,INDEX('Residential VCR by postcode'!$E$6:$E$323, MATCH($C81, 'Residential VCR by postcode'!$A$6:$A$323,0)))*10^3</f>
        <v>24862.362551913284</v>
      </c>
      <c r="K81" s="181">
        <f>Assumptions!G$48</f>
        <v>34390</v>
      </c>
      <c r="L81" s="181">
        <f>Assumptions!H$48</f>
        <v>33490</v>
      </c>
      <c r="M81" s="181">
        <f>Assumptions!I$48</f>
        <v>22250</v>
      </c>
      <c r="N81" s="71"/>
      <c r="O81" s="182" cm="1">
        <f t="array" ref="O81">SUMPRODUCT(($E81:$H81)*(J81:M81))</f>
        <v>29258.438328164928</v>
      </c>
      <c r="P81" s="71"/>
      <c r="Q81" s="182">
        <f>E81*(_xlfn.XLOOKUP(C81,'Residential VCR by postcode'!A:A,'Residential VCR by postcode'!F:F,0)*1000)</f>
        <v>344.9910065129813</v>
      </c>
      <c r="R81" s="182">
        <f>F81*Assumptions!G$49</f>
        <v>4133.7036218879402</v>
      </c>
      <c r="S81" s="182">
        <f>G81*Assumptions!H$49</f>
        <v>1465.3618112932727</v>
      </c>
      <c r="T81" s="182">
        <f>H81*Assumptions!I$49</f>
        <v>3329.8410416717957</v>
      </c>
      <c r="U81" s="71"/>
      <c r="V81" s="182">
        <f t="shared" si="2"/>
        <v>9273.8974813659897</v>
      </c>
    </row>
    <row r="82" spans="1:22" x14ac:dyDescent="0.2">
      <c r="A82" s="75" t="s">
        <v>216</v>
      </c>
      <c r="B82" s="75" t="s">
        <v>296</v>
      </c>
      <c r="C82" s="179">
        <v>3490</v>
      </c>
      <c r="D82" s="71"/>
      <c r="E82" s="180">
        <v>0.56444530916295999</v>
      </c>
      <c r="F82" s="180">
        <v>0.30097526830501009</v>
      </c>
      <c r="G82" s="180">
        <v>9.6328598999461057E-2</v>
      </c>
      <c r="H82" s="180">
        <v>3.8250823532568957E-2</v>
      </c>
      <c r="I82" s="71"/>
      <c r="J82" s="181">
        <f>IF(C82=0,0,INDEX('Residential VCR by postcode'!$E$6:$E$323, MATCH($C82, 'Residential VCR by postcode'!$A$6:$A$323,0)))*10^3</f>
        <v>24862.362551913284</v>
      </c>
      <c r="K82" s="181">
        <f>Assumptions!G$48</f>
        <v>34390</v>
      </c>
      <c r="L82" s="181">
        <f>Assumptions!H$48</f>
        <v>33490</v>
      </c>
      <c r="M82" s="181">
        <f>Assumptions!I$48</f>
        <v>22250</v>
      </c>
      <c r="N82" s="71"/>
      <c r="O82" s="182" cm="1">
        <f t="array" ref="O82">SUMPRODUCT(($E82:$H82)*(J82:M82))</f>
        <v>28461.108998237196</v>
      </c>
      <c r="P82" s="71"/>
      <c r="Q82" s="182">
        <f>E82*(_xlfn.XLOOKUP(C82,'Residential VCR by postcode'!A:A,'Residential VCR by postcode'!F:F,0)*1000)</f>
        <v>7896.0905577003423</v>
      </c>
      <c r="R82" s="182">
        <f>F82*Assumptions!G$49</f>
        <v>3045.9739532670428</v>
      </c>
      <c r="S82" s="182">
        <f>G82*Assumptions!H$49</f>
        <v>799.14262924195452</v>
      </c>
      <c r="T82" s="182">
        <f>H82*Assumptions!I$49</f>
        <v>326.37901526116724</v>
      </c>
      <c r="U82" s="71"/>
      <c r="V82" s="182">
        <f t="shared" si="2"/>
        <v>12067.586155470508</v>
      </c>
    </row>
    <row r="83" spans="1:22" x14ac:dyDescent="0.2">
      <c r="A83" s="75" t="s">
        <v>217</v>
      </c>
      <c r="B83" s="75" t="s">
        <v>297</v>
      </c>
      <c r="C83" s="179">
        <v>3337</v>
      </c>
      <c r="D83" s="71"/>
      <c r="E83" s="180">
        <v>0.57720099233426547</v>
      </c>
      <c r="F83" s="180">
        <v>0.28363162637827344</v>
      </c>
      <c r="G83" s="180">
        <v>0.12513108348384475</v>
      </c>
      <c r="H83" s="180">
        <v>1.403629780361644E-2</v>
      </c>
      <c r="I83" s="71"/>
      <c r="J83" s="181">
        <f>IF(C83=0,0,INDEX('Residential VCR by postcode'!$E$6:$E$323, MATCH($C83, 'Residential VCR by postcode'!$A$6:$A$323,0)))*10^3</f>
        <v>55101.713065448253</v>
      </c>
      <c r="K83" s="181">
        <f>Assumptions!G$48</f>
        <v>34390</v>
      </c>
      <c r="L83" s="181">
        <f>Assumptions!H$48</f>
        <v>33490</v>
      </c>
      <c r="M83" s="181">
        <f>Assumptions!I$48</f>
        <v>22250</v>
      </c>
      <c r="N83" s="71"/>
      <c r="O83" s="182" cm="1">
        <f t="array" ref="O83">SUMPRODUCT(($E83:$H83)*(J83:M83))</f>
        <v>46061.802703847941</v>
      </c>
      <c r="P83" s="71"/>
      <c r="Q83" s="182">
        <f>E83*(_xlfn.XLOOKUP(C83,'Residential VCR by postcode'!A:A,'Residential VCR by postcode'!F:F,0)*1000)</f>
        <v>17555.566792452537</v>
      </c>
      <c r="R83" s="182">
        <f>F83*Assumptions!G$49</f>
        <v>2870.4502902726017</v>
      </c>
      <c r="S83" s="182">
        <f>G83*Assumptions!H$49</f>
        <v>1038.0882115365725</v>
      </c>
      <c r="T83" s="182">
        <f>H83*Assumptions!I$49</f>
        <v>119.76612872546811</v>
      </c>
      <c r="U83" s="71"/>
      <c r="V83" s="182">
        <f t="shared" si="2"/>
        <v>21583.871422987177</v>
      </c>
    </row>
    <row r="84" spans="1:22" x14ac:dyDescent="0.2">
      <c r="A84" s="75" t="s">
        <v>218</v>
      </c>
      <c r="B84" s="75" t="s">
        <v>298</v>
      </c>
      <c r="C84" s="179">
        <v>3020</v>
      </c>
      <c r="D84" s="71"/>
      <c r="E84" s="180">
        <v>0.31279679517136744</v>
      </c>
      <c r="F84" s="180">
        <v>0.61262225131077364</v>
      </c>
      <c r="G84" s="180">
        <v>7.4580953517859011E-2</v>
      </c>
      <c r="H84" s="180">
        <v>0</v>
      </c>
      <c r="I84" s="71"/>
      <c r="J84" s="181">
        <f>IF(C84=0,0,INDEX('Residential VCR by postcode'!$E$6:$E$323, MATCH($C84, 'Residential VCR by postcode'!$A$6:$A$323,0)))*10^3</f>
        <v>55101.713065448253</v>
      </c>
      <c r="K84" s="181">
        <f>Assumptions!G$48</f>
        <v>34390</v>
      </c>
      <c r="L84" s="181">
        <f>Assumptions!H$48</f>
        <v>33490</v>
      </c>
      <c r="M84" s="181">
        <f>Assumptions!I$48</f>
        <v>22250</v>
      </c>
      <c r="N84" s="71"/>
      <c r="O84" s="182" cm="1">
        <f t="array" ref="O84">SUMPRODUCT(($E84:$H84)*(J84:M84))</f>
        <v>40801.434611215082</v>
      </c>
      <c r="P84" s="71"/>
      <c r="Q84" s="182">
        <f>E84*(_xlfn.XLOOKUP(C84,'Residential VCR by postcode'!A:A,'Residential VCR by postcode'!F:F,0)*1000)</f>
        <v>9513.7137721965846</v>
      </c>
      <c r="R84" s="182">
        <f>F84*Assumptions!G$49</f>
        <v>6199.9493552851854</v>
      </c>
      <c r="S84" s="182">
        <f>G84*Assumptions!H$49</f>
        <v>618.72403320188744</v>
      </c>
      <c r="T84" s="182">
        <f>H84*Assumptions!I$49</f>
        <v>0</v>
      </c>
      <c r="U84" s="71"/>
      <c r="V84" s="182">
        <f t="shared" si="2"/>
        <v>16332.387160683658</v>
      </c>
    </row>
    <row r="85" spans="1:22" x14ac:dyDescent="0.2">
      <c r="A85" s="75" t="s">
        <v>219</v>
      </c>
      <c r="B85" s="75" t="s">
        <v>299</v>
      </c>
      <c r="C85" s="179">
        <v>3029</v>
      </c>
      <c r="D85" s="71"/>
      <c r="E85" s="180">
        <v>0.32715314232581599</v>
      </c>
      <c r="F85" s="180">
        <v>0.39858624740904247</v>
      </c>
      <c r="G85" s="180">
        <v>0.27092855683211786</v>
      </c>
      <c r="H85" s="180">
        <v>3.3320534330237525E-3</v>
      </c>
      <c r="I85" s="71"/>
      <c r="J85" s="181">
        <f>IF(C85=0,0,INDEX('Residential VCR by postcode'!$E$6:$E$323, MATCH($C85, 'Residential VCR by postcode'!$A$6:$A$323,0)))*10^3</f>
        <v>55101.713065448253</v>
      </c>
      <c r="K85" s="181">
        <f>Assumptions!G$48</f>
        <v>34390</v>
      </c>
      <c r="L85" s="181">
        <f>Assumptions!H$48</f>
        <v>33490</v>
      </c>
      <c r="M85" s="181">
        <f>Assumptions!I$48</f>
        <v>22250</v>
      </c>
      <c r="N85" s="71"/>
      <c r="O85" s="182" cm="1">
        <f t="array" ref="O85">SUMPRODUCT(($E85:$H85)*(J85:M85))</f>
        <v>40881.615182486239</v>
      </c>
      <c r="P85" s="71"/>
      <c r="Q85" s="182">
        <f>E85*(_xlfn.XLOOKUP(C85,'Residential VCR by postcode'!A:A,'Residential VCR by postcode'!F:F,0)*1000)</f>
        <v>9950.3620363416339</v>
      </c>
      <c r="R85" s="182">
        <f>F85*Assumptions!G$49</f>
        <v>4033.8308678174767</v>
      </c>
      <c r="S85" s="182">
        <f>G85*Assumptions!H$49</f>
        <v>2247.6249160932807</v>
      </c>
      <c r="T85" s="182">
        <f>H85*Assumptions!I$49</f>
        <v>28.431082466549071</v>
      </c>
      <c r="U85" s="71"/>
      <c r="V85" s="182">
        <f t="shared" si="2"/>
        <v>16260.24890271894</v>
      </c>
    </row>
    <row r="86" spans="1:22" x14ac:dyDescent="0.2">
      <c r="A86" s="75" t="s">
        <v>300</v>
      </c>
      <c r="B86" s="75" t="s">
        <v>301</v>
      </c>
      <c r="C86" s="179">
        <v>3331</v>
      </c>
      <c r="D86" s="71"/>
      <c r="E86" s="180">
        <v>0.64992718036119201</v>
      </c>
      <c r="F86" s="180">
        <v>0.19776997039598451</v>
      </c>
      <c r="G86" s="180">
        <v>0.12063225836112303</v>
      </c>
      <c r="H86" s="180">
        <v>3.1670590881700517E-2</v>
      </c>
      <c r="I86" s="71"/>
      <c r="J86" s="181">
        <f>IF(C86=0,0,INDEX('Residential VCR by postcode'!$E$6:$E$323, MATCH($C86, 'Residential VCR by postcode'!$A$6:$A$323,0)))*10^3</f>
        <v>38897.618107964721</v>
      </c>
      <c r="K86" s="181">
        <f>Assumptions!G$48</f>
        <v>34390</v>
      </c>
      <c r="L86" s="181">
        <f>Assumptions!H$48</f>
        <v>33490</v>
      </c>
      <c r="M86" s="181">
        <f>Assumptions!I$48</f>
        <v>22250</v>
      </c>
      <c r="N86" s="71"/>
      <c r="O86" s="182" cm="1">
        <f t="array" ref="O86">SUMPRODUCT(($E86:$H86)*(J86:M86))</f>
        <v>36826.573521225706</v>
      </c>
      <c r="P86" s="71"/>
      <c r="Q86" s="182">
        <f>E86*(_xlfn.XLOOKUP(C86,'Residential VCR by postcode'!A:A,'Residential VCR by postcode'!F:F,0)*1000)</f>
        <v>15915.823811873386</v>
      </c>
      <c r="R86" s="182">
        <f>F86*Assumptions!G$49</f>
        <v>2001.5005949063068</v>
      </c>
      <c r="S86" s="182">
        <f>G86*Assumptions!H$49</f>
        <v>1000.7659316071021</v>
      </c>
      <c r="T86" s="182">
        <f>H86*Assumptions!I$49</f>
        <v>270.23251554067917</v>
      </c>
      <c r="U86" s="71"/>
      <c r="V86" s="182">
        <v>10684.432791277</v>
      </c>
    </row>
    <row r="87" spans="1:22" x14ac:dyDescent="0.2">
      <c r="H87" s="184"/>
      <c r="Q87" s="71"/>
      <c r="R87" s="71"/>
      <c r="S87" s="71"/>
      <c r="T87" s="71"/>
    </row>
    <row r="88" spans="1:22" x14ac:dyDescent="0.2">
      <c r="Q88" s="71"/>
      <c r="R88" s="71"/>
      <c r="S88" s="71"/>
      <c r="T88" s="71"/>
    </row>
    <row r="89" spans="1:22" x14ac:dyDescent="0.2">
      <c r="Q89" s="71"/>
      <c r="R89" s="71"/>
      <c r="S89" s="71"/>
      <c r="T89" s="71"/>
    </row>
    <row r="90" spans="1:22" x14ac:dyDescent="0.2">
      <c r="Q90" s="71"/>
      <c r="R90" s="71"/>
      <c r="S90" s="71"/>
      <c r="T90" s="71"/>
    </row>
    <row r="91" spans="1:22" x14ac:dyDescent="0.2">
      <c r="J91" s="183"/>
      <c r="Q91" s="71"/>
      <c r="R91" s="71"/>
      <c r="S91" s="71"/>
      <c r="T91" s="71"/>
    </row>
    <row r="92" spans="1:22" x14ac:dyDescent="0.2">
      <c r="Q92" s="71"/>
      <c r="R92" s="71"/>
      <c r="S92" s="71"/>
      <c r="T92" s="71"/>
    </row>
    <row r="93" spans="1:22" x14ac:dyDescent="0.2">
      <c r="Q93" s="71"/>
      <c r="R93" s="71"/>
      <c r="S93" s="71"/>
      <c r="T93" s="71"/>
    </row>
    <row r="94" spans="1:22" x14ac:dyDescent="0.2">
      <c r="Q94" s="71"/>
      <c r="R94" s="71"/>
      <c r="S94" s="71"/>
      <c r="T94" s="71"/>
    </row>
    <row r="95" spans="1:22" x14ac:dyDescent="0.2">
      <c r="Q95" s="71"/>
      <c r="R95" s="71"/>
      <c r="S95" s="71"/>
      <c r="T95" s="71"/>
    </row>
    <row r="96" spans="1:22" x14ac:dyDescent="0.2">
      <c r="Q96" s="71"/>
      <c r="R96" s="71"/>
      <c r="S96" s="71"/>
      <c r="T96" s="71"/>
    </row>
    <row r="97" spans="17:20" x14ac:dyDescent="0.2">
      <c r="Q97" s="71"/>
      <c r="R97" s="71"/>
      <c r="S97" s="71"/>
      <c r="T97" s="71"/>
    </row>
    <row r="98" spans="17:20" x14ac:dyDescent="0.2">
      <c r="Q98" s="71"/>
      <c r="R98" s="71"/>
      <c r="S98" s="71"/>
      <c r="T98" s="71"/>
    </row>
    <row r="99" spans="17:20" x14ac:dyDescent="0.2">
      <c r="Q99" s="71"/>
      <c r="R99" s="71"/>
      <c r="S99" s="71"/>
      <c r="T99" s="71"/>
    </row>
    <row r="100" spans="17:20" x14ac:dyDescent="0.2">
      <c r="Q100" s="71"/>
      <c r="R100" s="71"/>
      <c r="S100" s="71"/>
      <c r="T100" s="71"/>
    </row>
    <row r="101" spans="17:20" x14ac:dyDescent="0.2">
      <c r="Q101" s="71"/>
      <c r="R101" s="71"/>
      <c r="S101" s="71"/>
      <c r="T101" s="71"/>
    </row>
    <row r="102" spans="17:20" x14ac:dyDescent="0.2">
      <c r="Q102" s="71"/>
      <c r="R102" s="71"/>
      <c r="S102" s="71"/>
      <c r="T102" s="71"/>
    </row>
    <row r="103" spans="17:20" x14ac:dyDescent="0.2">
      <c r="Q103" s="71"/>
      <c r="R103" s="71"/>
      <c r="S103" s="71"/>
      <c r="T103" s="71"/>
    </row>
    <row r="104" spans="17:20" x14ac:dyDescent="0.2">
      <c r="Q104" s="71"/>
      <c r="R104" s="71"/>
      <c r="S104" s="71"/>
      <c r="T104" s="71"/>
    </row>
    <row r="105" spans="17:20" x14ac:dyDescent="0.2">
      <c r="Q105" s="71"/>
      <c r="R105" s="71"/>
      <c r="S105" s="71"/>
      <c r="T105" s="71"/>
    </row>
    <row r="106" spans="17:20" x14ac:dyDescent="0.2">
      <c r="Q106" s="71"/>
      <c r="R106" s="71"/>
      <c r="S106" s="71"/>
      <c r="T106" s="71"/>
    </row>
    <row r="107" spans="17:20" x14ac:dyDescent="0.2">
      <c r="Q107" s="71"/>
      <c r="R107" s="71"/>
      <c r="S107" s="71"/>
      <c r="T107" s="71"/>
    </row>
    <row r="108" spans="17:20" x14ac:dyDescent="0.2">
      <c r="Q108" s="71"/>
      <c r="R108" s="71"/>
      <c r="S108" s="71"/>
      <c r="T108" s="71"/>
    </row>
    <row r="109" spans="17:20" x14ac:dyDescent="0.2">
      <c r="Q109" s="71"/>
      <c r="R109" s="71"/>
      <c r="S109" s="71"/>
      <c r="T109" s="71"/>
    </row>
    <row r="110" spans="17:20" x14ac:dyDescent="0.2">
      <c r="Q110" s="71"/>
      <c r="R110" s="71"/>
      <c r="S110" s="71"/>
      <c r="T110" s="71"/>
    </row>
    <row r="111" spans="17:20" x14ac:dyDescent="0.2">
      <c r="Q111" s="71"/>
      <c r="R111" s="71"/>
      <c r="S111" s="71"/>
      <c r="T111" s="71"/>
    </row>
    <row r="112" spans="17:20" x14ac:dyDescent="0.2">
      <c r="Q112" s="71"/>
      <c r="R112" s="71"/>
      <c r="S112" s="71"/>
      <c r="T112" s="71"/>
    </row>
    <row r="113" spans="17:20" x14ac:dyDescent="0.2">
      <c r="Q113" s="71"/>
      <c r="R113" s="71"/>
      <c r="S113" s="71"/>
      <c r="T113" s="71"/>
    </row>
    <row r="114" spans="17:20" x14ac:dyDescent="0.2">
      <c r="Q114" s="71"/>
      <c r="R114" s="71"/>
      <c r="S114" s="71"/>
      <c r="T114" s="71"/>
    </row>
    <row r="115" spans="17:20" x14ac:dyDescent="0.2">
      <c r="Q115" s="71"/>
      <c r="R115" s="71"/>
      <c r="S115" s="71"/>
      <c r="T115" s="71"/>
    </row>
    <row r="116" spans="17:20" x14ac:dyDescent="0.2">
      <c r="Q116" s="71"/>
      <c r="R116" s="71"/>
      <c r="S116" s="71"/>
      <c r="T116" s="71"/>
    </row>
    <row r="117" spans="17:20" x14ac:dyDescent="0.2">
      <c r="Q117" s="71"/>
      <c r="R117" s="71"/>
      <c r="S117" s="71"/>
      <c r="T117" s="71"/>
    </row>
    <row r="118" spans="17:20" x14ac:dyDescent="0.2">
      <c r="Q118" s="71"/>
      <c r="R118" s="71"/>
      <c r="S118" s="71"/>
      <c r="T118" s="71"/>
    </row>
    <row r="119" spans="17:20" x14ac:dyDescent="0.2">
      <c r="Q119" s="71"/>
      <c r="R119" s="71"/>
      <c r="S119" s="71"/>
      <c r="T119" s="71"/>
    </row>
    <row r="120" spans="17:20" x14ac:dyDescent="0.2">
      <c r="Q120" s="71"/>
      <c r="R120" s="71"/>
      <c r="S120" s="71"/>
      <c r="T120" s="71"/>
    </row>
    <row r="121" spans="17:20" x14ac:dyDescent="0.2">
      <c r="Q121" s="71"/>
      <c r="R121" s="71"/>
      <c r="S121" s="71"/>
      <c r="T121" s="71"/>
    </row>
    <row r="122" spans="17:20" x14ac:dyDescent="0.2">
      <c r="Q122" s="71"/>
      <c r="R122" s="71"/>
      <c r="S122" s="71"/>
      <c r="T122" s="71"/>
    </row>
    <row r="123" spans="17:20" x14ac:dyDescent="0.2">
      <c r="Q123" s="71"/>
      <c r="R123" s="71"/>
      <c r="S123" s="71"/>
      <c r="T123" s="71"/>
    </row>
    <row r="124" spans="17:20" x14ac:dyDescent="0.2">
      <c r="Q124" s="71"/>
      <c r="R124" s="71"/>
      <c r="S124" s="71"/>
      <c r="T124" s="71"/>
    </row>
    <row r="125" spans="17:20" x14ac:dyDescent="0.2">
      <c r="Q125" s="71"/>
      <c r="R125" s="71"/>
      <c r="S125" s="71"/>
      <c r="T125" s="71"/>
    </row>
    <row r="126" spans="17:20" x14ac:dyDescent="0.2">
      <c r="Q126" s="71"/>
      <c r="R126" s="71"/>
      <c r="S126" s="71"/>
      <c r="T126" s="71"/>
    </row>
    <row r="127" spans="17:20" x14ac:dyDescent="0.2">
      <c r="Q127" s="71"/>
      <c r="R127" s="71"/>
      <c r="S127" s="71"/>
      <c r="T127" s="71"/>
    </row>
    <row r="128" spans="17:20" x14ac:dyDescent="0.2">
      <c r="Q128" s="71"/>
      <c r="R128" s="71"/>
      <c r="S128" s="71"/>
      <c r="T128" s="71"/>
    </row>
    <row r="129" spans="17:20" x14ac:dyDescent="0.2">
      <c r="Q129" s="71"/>
      <c r="R129" s="71"/>
      <c r="S129" s="71"/>
      <c r="T129" s="71"/>
    </row>
    <row r="130" spans="17:20" x14ac:dyDescent="0.2">
      <c r="Q130" s="71"/>
      <c r="R130" s="71"/>
      <c r="S130" s="71"/>
      <c r="T130" s="71"/>
    </row>
    <row r="131" spans="17:20" x14ac:dyDescent="0.2">
      <c r="Q131" s="71"/>
      <c r="R131" s="71"/>
      <c r="S131" s="71"/>
      <c r="T131" s="71"/>
    </row>
    <row r="132" spans="17:20" x14ac:dyDescent="0.2">
      <c r="Q132" s="71"/>
      <c r="R132" s="71"/>
      <c r="S132" s="71"/>
      <c r="T132" s="71"/>
    </row>
    <row r="133" spans="17:20" x14ac:dyDescent="0.2">
      <c r="Q133" s="71"/>
      <c r="R133" s="71"/>
      <c r="S133" s="71"/>
      <c r="T133" s="71"/>
    </row>
    <row r="134" spans="17:20" x14ac:dyDescent="0.2">
      <c r="Q134" s="71"/>
      <c r="R134" s="71"/>
      <c r="S134" s="71"/>
      <c r="T134" s="71"/>
    </row>
    <row r="135" spans="17:20" x14ac:dyDescent="0.2">
      <c r="Q135" s="71"/>
      <c r="R135" s="71"/>
      <c r="S135" s="71"/>
      <c r="T135" s="71"/>
    </row>
    <row r="136" spans="17:20" x14ac:dyDescent="0.2">
      <c r="Q136" s="71"/>
      <c r="R136" s="71"/>
      <c r="S136" s="71"/>
      <c r="T136" s="71"/>
    </row>
    <row r="137" spans="17:20" x14ac:dyDescent="0.2">
      <c r="Q137" s="71"/>
      <c r="R137" s="71"/>
      <c r="S137" s="71"/>
      <c r="T137" s="71"/>
    </row>
    <row r="138" spans="17:20" x14ac:dyDescent="0.2">
      <c r="Q138" s="71"/>
      <c r="R138" s="71"/>
      <c r="S138" s="71"/>
      <c r="T138" s="71"/>
    </row>
    <row r="139" spans="17:20" x14ac:dyDescent="0.2">
      <c r="Q139" s="71"/>
      <c r="R139" s="71"/>
      <c r="S139" s="71"/>
      <c r="T139" s="71"/>
    </row>
    <row r="140" spans="17:20" x14ac:dyDescent="0.2">
      <c r="Q140" s="71"/>
      <c r="R140" s="71"/>
      <c r="S140" s="71"/>
      <c r="T140" s="71"/>
    </row>
    <row r="141" spans="17:20" x14ac:dyDescent="0.2">
      <c r="Q141" s="71"/>
      <c r="R141" s="71"/>
      <c r="S141" s="71"/>
      <c r="T141" s="71"/>
    </row>
    <row r="142" spans="17:20" x14ac:dyDescent="0.2">
      <c r="Q142" s="71"/>
      <c r="R142" s="71"/>
      <c r="S142" s="71"/>
      <c r="T142" s="71"/>
    </row>
    <row r="143" spans="17:20" x14ac:dyDescent="0.2">
      <c r="Q143" s="71"/>
      <c r="R143" s="71"/>
      <c r="S143" s="71"/>
      <c r="T143" s="71"/>
    </row>
    <row r="144" spans="17:20" x14ac:dyDescent="0.2">
      <c r="Q144" s="71"/>
      <c r="R144" s="71"/>
      <c r="S144" s="71"/>
      <c r="T144" s="71"/>
    </row>
    <row r="145" spans="17:20" x14ac:dyDescent="0.2">
      <c r="Q145" s="71"/>
      <c r="R145" s="71"/>
      <c r="S145" s="71"/>
      <c r="T145" s="71"/>
    </row>
    <row r="146" spans="17:20" x14ac:dyDescent="0.2">
      <c r="Q146" s="71"/>
      <c r="R146" s="71"/>
      <c r="S146" s="71"/>
      <c r="T146" s="71"/>
    </row>
    <row r="147" spans="17:20" x14ac:dyDescent="0.2">
      <c r="Q147" s="71"/>
      <c r="R147" s="71"/>
      <c r="S147" s="71"/>
      <c r="T147" s="71"/>
    </row>
    <row r="148" spans="17:20" x14ac:dyDescent="0.2">
      <c r="Q148" s="71"/>
      <c r="R148" s="71"/>
      <c r="S148" s="71"/>
      <c r="T148" s="71"/>
    </row>
    <row r="149" spans="17:20" x14ac:dyDescent="0.2">
      <c r="Q149" s="71"/>
      <c r="R149" s="71"/>
      <c r="S149" s="71"/>
      <c r="T149" s="71"/>
    </row>
    <row r="150" spans="17:20" x14ac:dyDescent="0.2">
      <c r="Q150" s="71"/>
      <c r="R150" s="71"/>
      <c r="S150" s="71"/>
      <c r="T150" s="71"/>
    </row>
    <row r="151" spans="17:20" x14ac:dyDescent="0.2">
      <c r="Q151" s="71"/>
      <c r="R151" s="71"/>
      <c r="S151" s="71"/>
      <c r="T151" s="71"/>
    </row>
    <row r="152" spans="17:20" x14ac:dyDescent="0.2">
      <c r="Q152" s="71"/>
      <c r="R152" s="71"/>
      <c r="S152" s="71"/>
      <c r="T152" s="71"/>
    </row>
    <row r="153" spans="17:20" x14ac:dyDescent="0.2">
      <c r="Q153" s="71"/>
      <c r="R153" s="71"/>
      <c r="S153" s="71"/>
      <c r="T153" s="71"/>
    </row>
    <row r="154" spans="17:20" x14ac:dyDescent="0.2">
      <c r="Q154" s="71"/>
      <c r="R154" s="71"/>
      <c r="S154" s="71"/>
      <c r="T154" s="71"/>
    </row>
    <row r="155" spans="17:20" x14ac:dyDescent="0.2">
      <c r="Q155" s="71"/>
      <c r="R155" s="71"/>
      <c r="S155" s="71"/>
      <c r="T155" s="71"/>
    </row>
    <row r="156" spans="17:20" x14ac:dyDescent="0.2">
      <c r="Q156" s="71"/>
      <c r="R156" s="71"/>
      <c r="S156" s="71"/>
      <c r="T156" s="71"/>
    </row>
    <row r="157" spans="17:20" x14ac:dyDescent="0.2">
      <c r="Q157" s="71"/>
      <c r="R157" s="71"/>
      <c r="S157" s="71"/>
      <c r="T157" s="71"/>
    </row>
    <row r="158" spans="17:20" x14ac:dyDescent="0.2">
      <c r="Q158" s="71"/>
      <c r="R158" s="71"/>
      <c r="S158" s="71"/>
      <c r="T158" s="71"/>
    </row>
    <row r="159" spans="17:20" x14ac:dyDescent="0.2">
      <c r="Q159" s="71"/>
      <c r="R159" s="71"/>
      <c r="S159" s="71"/>
      <c r="T159" s="71"/>
    </row>
    <row r="160" spans="17:20" x14ac:dyDescent="0.2">
      <c r="Q160" s="71"/>
      <c r="R160" s="71"/>
      <c r="S160" s="71"/>
      <c r="T160" s="71"/>
    </row>
    <row r="161" spans="17:20" x14ac:dyDescent="0.2">
      <c r="Q161" s="71"/>
      <c r="R161" s="71"/>
      <c r="S161" s="71"/>
      <c r="T161" s="71"/>
    </row>
    <row r="162" spans="17:20" x14ac:dyDescent="0.2">
      <c r="Q162" s="71"/>
      <c r="R162" s="71"/>
      <c r="S162" s="71"/>
      <c r="T162" s="71"/>
    </row>
    <row r="163" spans="17:20" x14ac:dyDescent="0.2">
      <c r="Q163" s="71"/>
      <c r="R163" s="71"/>
      <c r="S163" s="71"/>
      <c r="T163" s="71"/>
    </row>
    <row r="164" spans="17:20" x14ac:dyDescent="0.2">
      <c r="Q164" s="71"/>
      <c r="R164" s="71"/>
      <c r="S164" s="71"/>
      <c r="T164" s="71"/>
    </row>
    <row r="165" spans="17:20" x14ac:dyDescent="0.2">
      <c r="Q165" s="71"/>
      <c r="R165" s="71"/>
      <c r="S165" s="71"/>
      <c r="T165" s="71"/>
    </row>
  </sheetData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23</vt:i4>
      </vt:variant>
    </vt:vector>
  </HeadingPairs>
  <TitlesOfParts>
    <vt:vector size="33" baseType="lpstr">
      <vt:lpstr>Cover</vt:lpstr>
      <vt:lpstr>Summary</vt:lpstr>
      <vt:lpstr>Assumptions</vt:lpstr>
      <vt:lpstr>Climate esc</vt:lpstr>
      <vt:lpstr>Calcs</vt:lpstr>
      <vt:lpstr>Sensitivities</vt:lpstr>
      <vt:lpstr>Misc_calcs</vt:lpstr>
      <vt:lpstr>Data</vt:lpstr>
      <vt:lpstr>VCR_data</vt:lpstr>
      <vt:lpstr>Residential VCR by postcode</vt:lpstr>
      <vt:lpstr>Calcs!_FilterDatabase</vt:lpstr>
      <vt:lpstr>'Climate esc'!_FilterDatabase</vt:lpstr>
      <vt:lpstr>'Residential VCR by postcode'!_FilterDatabase</vt:lpstr>
      <vt:lpstr>bus</vt:lpstr>
      <vt:lpstr>conv_2026</vt:lpstr>
      <vt:lpstr>custval_date</vt:lpstr>
      <vt:lpstr>CY_years</vt:lpstr>
      <vt:lpstr>hy_dates</vt:lpstr>
      <vt:lpstr>hy_escalation</vt:lpstr>
      <vt:lpstr>input_dollars</vt:lpstr>
      <vt:lpstr>mill_conv</vt:lpstr>
      <vt:lpstr>output_dollars</vt:lpstr>
      <vt:lpstr>proj</vt:lpstr>
      <vt:lpstr>real_disc</vt:lpstr>
      <vt:lpstr>sheets</vt:lpstr>
      <vt:lpstr>start</vt:lpstr>
      <vt:lpstr>SubT</vt:lpstr>
      <vt:lpstr>thous_conv</vt:lpstr>
      <vt:lpstr>update</vt:lpstr>
      <vt:lpstr>value_otherben</vt:lpstr>
      <vt:lpstr>vcr_date</vt:lpstr>
      <vt:lpstr>vcr_esc</vt:lpstr>
      <vt:lpstr>years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2025-11-28T00:11:26Z</dcterms:created>
  <dcterms:modified xsi:type="dcterms:W3CDTF">2025-11-28T00:17:25Z</dcterms:modified>
  <cp:category/>
  <cp:contentStatus/>
</cp:coreProperties>
</file>