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B:\13 Revised regulatory proposal\3 United Energy\4 Final models\"/>
    </mc:Choice>
  </mc:AlternateContent>
  <xr:revisionPtr revIDLastSave="0" documentId="13_ncr:1_{8D6E3422-A146-454E-B69B-8F21F3993624}" xr6:coauthVersionLast="47" xr6:coauthVersionMax="47" xr10:uidLastSave="{00000000-0000-0000-0000-000000000000}"/>
  <bookViews>
    <workbookView xWindow="28680" yWindow="-1755" windowWidth="29040" windowHeight="15720" activeTab="1" xr2:uid="{6ABC48C8-AB61-47FF-BA61-09E12DD003AB}"/>
  </bookViews>
  <sheets>
    <sheet name="Business &amp; other details" sheetId="4" r:id="rId1"/>
    <sheet name="7.5 EBSS" sheetId="1" r:id="rId2"/>
    <sheet name="AER lookups" sheetId="5" state="hidden" r:id="rId3"/>
    <sheet name="AER ETL" sheetId="6" state="hidden" r:id="rId4"/>
  </sheets>
  <definedNames>
    <definedName name="abba" localSheetId="3" hidden="1">{"Ownership",#N/A,FALSE,"Ownership";"Contents",#N/A,FALSE,"Contents"}</definedName>
    <definedName name="abba" localSheetId="2" hidden="1">{"Ownership",#N/A,FALSE,"Ownership";"Contents",#N/A,FALSE,"Contents"}</definedName>
    <definedName name="abba" localSheetId="0" hidden="1">{"Ownership",#N/A,FALSE,"Ownership";"Contents",#N/A,FALSE,"Contents"}</definedName>
    <definedName name="abba" hidden="1">{"Ownership",#N/A,FALSE,"Ownership";"Contents",#N/A,FALSE,"Contents"}</definedName>
    <definedName name="anscount" hidden="1">1</definedName>
    <definedName name="ARR">'AER lookups'!$C$20</definedName>
    <definedName name="ARR_Fmt2">'AER lookups'!$D$20</definedName>
    <definedName name="CA">'AER lookups'!$C$21</definedName>
    <definedName name="CA_Fmt2">'AER lookups'!$D$21</definedName>
    <definedName name="Calendar">'AER lookups'!$C$37:$C$97</definedName>
    <definedName name="CESS">'AER lookups'!$C$22</definedName>
    <definedName name="CESS_Fmt2">'AER lookups'!$D$22</definedName>
    <definedName name="CPI">'AER lookups'!$C$23</definedName>
    <definedName name="CPI_Fmt2">'AER lookups'!$D$23</definedName>
    <definedName name="CRCP_start_year">'AER ETL'!$C$45</definedName>
    <definedName name="CRCP_y1" localSheetId="3">'AER lookups'!$G$74</definedName>
    <definedName name="CRCP_y1">'AER lookups'!$G$37</definedName>
    <definedName name="CRCP_y10" localSheetId="3">'AER lookups'!$G$83</definedName>
    <definedName name="CRCP_y10">'AER lookups'!$G$46</definedName>
    <definedName name="CRCP_y11" localSheetId="3">'AER lookups'!$G$84</definedName>
    <definedName name="CRCP_y11">'AER lookups'!$G$47</definedName>
    <definedName name="CRCP_y12" localSheetId="3">'AER lookups'!$G$85</definedName>
    <definedName name="CRCP_y12">'AER lookups'!$G$48</definedName>
    <definedName name="CRCP_y13" localSheetId="3">'AER lookups'!$G$86</definedName>
    <definedName name="CRCP_y13">'AER lookups'!$G$49</definedName>
    <definedName name="CRCP_y14" localSheetId="3">'AER lookups'!$G$87</definedName>
    <definedName name="CRCP_y14">'AER lookups'!$G$50</definedName>
    <definedName name="CRCP_y15" localSheetId="3">'AER lookups'!$G$88</definedName>
    <definedName name="CRCP_y15">'AER lookups'!$G$51</definedName>
    <definedName name="CRCP_y16">'AER lookups'!$G$52</definedName>
    <definedName name="CRCP_y17">'AER lookups'!$G$53</definedName>
    <definedName name="CRCP_y18">'AER lookups'!$G$54</definedName>
    <definedName name="CRCP_y19">'AER lookups'!$G$55</definedName>
    <definedName name="CRCP_y2" localSheetId="3">'AER lookups'!$G$75</definedName>
    <definedName name="CRCP_y2">'AER lookups'!$G$38</definedName>
    <definedName name="CRCP_y20">'AER lookups'!$G$56</definedName>
    <definedName name="CRCP_y21">'AER lookups'!$G$57</definedName>
    <definedName name="CRCP_y22">'AER lookups'!$G$58</definedName>
    <definedName name="CRCP_y23">'AER lookups'!$G$59</definedName>
    <definedName name="CRCP_y24">'AER lookups'!$G$60</definedName>
    <definedName name="CRCP_y25">'AER lookups'!$G$61</definedName>
    <definedName name="CRCP_y3" localSheetId="3">'AER lookups'!$G$76</definedName>
    <definedName name="CRCP_y3">'AER lookups'!$G$39</definedName>
    <definedName name="CRCP_y4" localSheetId="3">'AER lookups'!$G$77</definedName>
    <definedName name="CRCP_y4">'AER lookups'!$G$40</definedName>
    <definedName name="CRCP_y5" localSheetId="3">'AER lookups'!$G$78</definedName>
    <definedName name="CRCP_y5">'AER lookups'!$G$41</definedName>
    <definedName name="CRCP_y6" localSheetId="3">'AER lookups'!$G$79</definedName>
    <definedName name="CRCP_y6">'AER lookups'!$G$42</definedName>
    <definedName name="CRCP_y7" localSheetId="3">'AER lookups'!$G$80</definedName>
    <definedName name="CRCP_y7">'AER lookups'!$G$43</definedName>
    <definedName name="CRCP_y8" localSheetId="3">'AER lookups'!$G$81</definedName>
    <definedName name="CRCP_y8">'AER lookups'!$G$44</definedName>
    <definedName name="CRCP_y9" localSheetId="3">'AER lookups'!$G$82</definedName>
    <definedName name="CRCP_y9">'AER lookups'!$G$45</definedName>
    <definedName name="CRY" localSheetId="3">'Business &amp; other details'!$AL$57</definedName>
    <definedName name="CRY">'Business &amp; other details'!$AL$57</definedName>
    <definedName name="dms_0306_Year">'AER ETL'!$C$87</definedName>
    <definedName name="dms_0502_Inst_Year">'AER ETL'!$C$66</definedName>
    <definedName name="dms_060101_StartDateVal">'AER ETL'!$C$108</definedName>
    <definedName name="dms_060301_MaxRows">'AER ETL'!$C$94</definedName>
    <definedName name="dms_060701_MaxCols">'AER ETL'!$C$104</definedName>
    <definedName name="dms_060701_MaxRows">'AER ETL'!$C$102</definedName>
    <definedName name="dms_060701_OffsetRows">'AER ETL'!$C$105</definedName>
    <definedName name="dms_060701_StartDateVal">'AER ETL'!$C$108</definedName>
    <definedName name="dms_060801_MaxRows">'AER ETL'!$C$115</definedName>
    <definedName name="dms_070904_Start_Year">'AER ETL'!$C$118</definedName>
    <definedName name="dms_663">'AER ETL'!$C$95</definedName>
    <definedName name="dms_663_List" localSheetId="3">'AER lookups'!$O$10:$O$52</definedName>
    <definedName name="dms_663_List">'AER lookups'!$O$10:$O$15</definedName>
    <definedName name="dms_ABN">'Business &amp; other details'!$AL$20</definedName>
    <definedName name="dms_ABN_List" localSheetId="3">'AER lookups'!$D$10:$D$52</definedName>
    <definedName name="dms_ABN_List">'AER lookups'!$D$10:$D$15</definedName>
    <definedName name="dms_Addr1">'Business &amp; other details'!$AL$26</definedName>
    <definedName name="dms_Addr1_List" localSheetId="3">'AER lookups'!$P$10:$P$52</definedName>
    <definedName name="dms_Addr1_List">'AER lookups'!$P$10:$P$15</definedName>
    <definedName name="dms_Addr2">'Business &amp; other details'!$AL$27</definedName>
    <definedName name="dms_Addr2_List" localSheetId="3">'AER lookups'!$Q$10:$Q$52</definedName>
    <definedName name="dms_Addr2_List">'AER lookups'!$Q$10:$Q$15</definedName>
    <definedName name="dms_Amendment_Text" localSheetId="3">'Business &amp; other details'!$AL$73</definedName>
    <definedName name="dms_Amendment_Text">'Business &amp; other details'!$AL$73</definedName>
    <definedName name="dms_AmendmentReason">'AER ETL'!$C$16</definedName>
    <definedName name="dms_ARR">'AER ETL'!$C$75</definedName>
    <definedName name="dms_CA">'AER ETL'!$C$74</definedName>
    <definedName name="dms_CBD_flag" localSheetId="3">'AER lookups'!$Z$10:$Z$52</definedName>
    <definedName name="dms_CBD_flag">'AER lookups'!$Z$10:$Z$15</definedName>
    <definedName name="dms_CBD_flag_NSP">'AER ETL'!$C$123</definedName>
    <definedName name="dms_Classification">'AER ETL'!$C$26</definedName>
    <definedName name="dms_ContactEmail">'Business &amp; other details'!$AL$37</definedName>
    <definedName name="dms_ContactEmail2">'Business &amp; other details'!$BQ$37</definedName>
    <definedName name="dms_ContactName1">'Business &amp; other details'!$AL$35</definedName>
    <definedName name="dms_ContactName2">'Business &amp; other details'!$BQ$35</definedName>
    <definedName name="dms_ContactPh1">'Business &amp; other details'!$AL$36</definedName>
    <definedName name="dms_ContactPh2">'Business &amp; other details'!$BQ$36</definedName>
    <definedName name="dms_CRCP_FinalYear_Result">'AER ETL'!$C$48</definedName>
    <definedName name="dms_CRCPlength_List" localSheetId="3">'AER lookups'!$L$10:$L$52</definedName>
    <definedName name="dms_CRCPlength_List">'AER lookups'!$L$10:$L$15</definedName>
    <definedName name="dms_DataQuality">'AER ETL'!$C$20</definedName>
    <definedName name="dms_Defined_Names_Used">'AER ETL'!$C$3</definedName>
    <definedName name="dms_DISCARD">'AER ETL'!$C$130</definedName>
    <definedName name="dms_DQ_1">'AER ETL'!$C$14</definedName>
    <definedName name="dms_DQ_2">'AER ETL'!$C$15</definedName>
    <definedName name="dms_EB">'AER ETL'!$C$73</definedName>
    <definedName name="dms_FeederName_1" localSheetId="3">'AER lookups'!$AE$10:$AE$52</definedName>
    <definedName name="dms_FeederName_1">'AER lookups'!$AE$10:$AE$15</definedName>
    <definedName name="dms_FeederName_2" localSheetId="3">'AER lookups'!$AF$10:$AF$52</definedName>
    <definedName name="dms_FeederName_2">'AER lookups'!$AF$10:$AF$15</definedName>
    <definedName name="dms_FeederName_3" localSheetId="3">'AER lookups'!$AG$10:$AG$52</definedName>
    <definedName name="dms_FeederName_3">'AER lookups'!$AG$10:$AG$15</definedName>
    <definedName name="dms_FeederName_4" localSheetId="3">'AER lookups'!$AH$10:$AH$52</definedName>
    <definedName name="dms_FeederName_4">'AER lookups'!$AH$10:$AH$15</definedName>
    <definedName name="dms_FeederName_5" localSheetId="3">'AER lookups'!$AI$10:$AI$52</definedName>
    <definedName name="dms_FeederName_5">'AER lookups'!$AI$10:$AI$15</definedName>
    <definedName name="dms_FeederType_5_flag" localSheetId="3">'AER lookups'!$AD$10:$AD$52</definedName>
    <definedName name="dms_FeederType_5_flag">'AER lookups'!$AD$10:$AD$15</definedName>
    <definedName name="dms_FormControl">'AER ETL'!$C$35</definedName>
    <definedName name="dms_FormControl_List" localSheetId="3">'AER lookups'!$I$10:$I$52</definedName>
    <definedName name="dms_FormControl_List">'AER lookups'!$I$10:$I$15</definedName>
    <definedName name="dms_FRCP_y1">'AER lookups'!$H$37</definedName>
    <definedName name="dms_FRCPlength_List" localSheetId="3">'AER lookups'!$M$10:$M$52</definedName>
    <definedName name="dms_FRCPlength_List">'AER lookups'!$M$10:$M$15</definedName>
    <definedName name="dms_Jurisdiction">'AER ETL'!$C$27</definedName>
    <definedName name="dms_JurisdictionList" localSheetId="3">'AER lookups'!$F$10:$F$52</definedName>
    <definedName name="dms_JurisdictionList">'AER lookups'!$F$10:$F$15</definedName>
    <definedName name="dms_LongRural_flag" localSheetId="3">'AER lookups'!$AC$10:$AC$52</definedName>
    <definedName name="dms_LongRural_flag">'AER lookups'!$AC$10:$AC$15</definedName>
    <definedName name="dms_LongRural_flag_NSP">'AER ETL'!$C$126</definedName>
    <definedName name="dms_MAIFI_flag_List">'AER lookups'!$AJ$10:$AJ$15</definedName>
    <definedName name="dms_MODEL">'AER ETL'!$C$12</definedName>
    <definedName name="dms_Model_List" localSheetId="3">'AER lookups'!$B$57:$B$69</definedName>
    <definedName name="dms_Model_List">'AER lookups'!$B$20:$B$32</definedName>
    <definedName name="dms_Model_Name_Format1">'AER lookups'!$C$20:$C$32</definedName>
    <definedName name="dms_Model_Span_List" localSheetId="3">'AER lookups'!$E$57:$E$69</definedName>
    <definedName name="dms_Model_Span_List">'AER lookups'!$E$20:$E$32</definedName>
    <definedName name="dms_Multi_RYE_flag">'AER ETL'!$C$137</definedName>
    <definedName name="dms_MultiYear_ABC_RIN">'AER ETL'!$C$83</definedName>
    <definedName name="dms_MultiYear_FinalYear_Result">'AER ETL'!$C$81</definedName>
    <definedName name="dms_PAddr1">'Business &amp; other details'!$BQ$26</definedName>
    <definedName name="dms_PAddr1_List" localSheetId="3">'AER lookups'!$U$10:$U$52</definedName>
    <definedName name="dms_PAddr1_List">'AER lookups'!$U$10:$U$15</definedName>
    <definedName name="dms_PAddr2">'Business &amp; other details'!$BQ$27</definedName>
    <definedName name="dms_PAddr2_List" localSheetId="3">'AER lookups'!$V$10:$V$52</definedName>
    <definedName name="dms_PAddr2_List">'AER lookups'!$V$10:$V$15</definedName>
    <definedName name="dms_Partial">'AER ETL'!$C$133</definedName>
    <definedName name="dms_PostCode">'Business &amp; other details'!$AX$29</definedName>
    <definedName name="dms_PostCode_List">'AER lookups'!$T$10:$T$15</definedName>
    <definedName name="dms_PPostCode">'Business &amp; other details'!$CC$29</definedName>
    <definedName name="dms_PPostCode_List">'AER lookups'!$Y$10:$Y$15</definedName>
    <definedName name="dms_PRCP_BaseYear">'7.5 EBSS'!$C$23</definedName>
    <definedName name="dms_PRCPlength_List" localSheetId="3">'AER lookups'!$N$10:$N$52</definedName>
    <definedName name="dms_PRCPlength_List">'AER lookups'!$N$10:$N$15</definedName>
    <definedName name="dms_PState">'Business &amp; other details'!$BQ$29</definedName>
    <definedName name="dms_PState_List" localSheetId="3">'AER lookups'!$X$10:$X$52</definedName>
    <definedName name="dms_PState_List">'AER lookups'!$X$10:$X$15</definedName>
    <definedName name="dms_PSuburb">'Business &amp; other details'!$BQ$28</definedName>
    <definedName name="dms_PSuburb_List" localSheetId="3">'AER lookups'!$W$10:$W$52</definedName>
    <definedName name="dms_PSuburb_List">'AER lookups'!$W$10:$W$15</definedName>
    <definedName name="dms_Public_Lighting">'AER ETL'!$C$122</definedName>
    <definedName name="dms_Public_Lighting_List" localSheetId="3">'AER lookups'!$AK$10:$AK$52</definedName>
    <definedName name="dms_Public_Lighting_List">'AER lookups'!$AK$10:$AK$15</definedName>
    <definedName name="dms_Reset_Span">'AER ETL'!$C$59</definedName>
    <definedName name="dms_RPT_List" localSheetId="3">'AER lookups'!$J$10:$J$52</definedName>
    <definedName name="dms_RPT_List">'AER lookups'!$J$10:$J$15</definedName>
    <definedName name="dms_RPTMonth_List" localSheetId="3">'AER lookups'!$K$10:$K$52</definedName>
    <definedName name="dms_RPTMonth_List">'AER lookups'!$K$10:$K$15</definedName>
    <definedName name="dms_RYE">'AER ETL'!$C$23</definedName>
    <definedName name="dms_RYE_01">'AER ETL'!$C$139</definedName>
    <definedName name="dms_RYE_02">'AER ETL'!$C$140</definedName>
    <definedName name="dms_RYE_03">'AER ETL'!$C$141</definedName>
    <definedName name="dms_RYE_04">'AER ETL'!$C$142</definedName>
    <definedName name="dms_RYE_05">'AER ETL'!$C$143</definedName>
    <definedName name="dms_RYE_06">'AER ETL'!$C$144</definedName>
    <definedName name="dms_RYE_07">'AER ETL'!$C$145</definedName>
    <definedName name="dms_RYE_08">'AER ETL'!$C$146</definedName>
    <definedName name="dms_RYE_09">'AER ETL'!$C$147</definedName>
    <definedName name="dms_Sector_List" localSheetId="3">'AER lookups'!$G$10:$G$52</definedName>
    <definedName name="dms_Sector_List">'AER lookups'!$G$10:$G$15</definedName>
    <definedName name="dms_Segment_List" localSheetId="3">'AER lookups'!$H$10:$H$52</definedName>
    <definedName name="dms_Segment_List">'AER lookups'!$H$10:$H$15</definedName>
    <definedName name="dms_Selected_Quality">'Business &amp; other details'!$AL$69</definedName>
    <definedName name="dms_Selected_Source">'Business &amp; other details'!$AL$67</definedName>
    <definedName name="dms_Selected_Status">'Business &amp; other details'!$AL$71</definedName>
    <definedName name="dms_ShortRural_flag" localSheetId="3">'AER lookups'!$AB$10:$AB$52</definedName>
    <definedName name="dms_ShortRural_flag">'AER lookups'!$AB$10:$AB$15</definedName>
    <definedName name="dms_ShortRural_flag_NSP">'AER ETL'!$C$125</definedName>
    <definedName name="dms_SingleYear_FinalYear_Result">'AER ETL'!$C$77</definedName>
    <definedName name="dms_Source">'AER ETL'!$C$13</definedName>
    <definedName name="dms_SpecifiedYear_final_year">'AER ETL'!$C$51</definedName>
    <definedName name="dms_State">'Business &amp; other details'!$AL$29</definedName>
    <definedName name="dms_State_List" localSheetId="3">'AER lookups'!$S$10:$S$52</definedName>
    <definedName name="dms_State_List">'AER lookups'!$S$10:$S$15</definedName>
    <definedName name="dms_SubmissionDate">'AER ETL'!$C$17</definedName>
    <definedName name="dms_Suburb">'Business &amp; other details'!$AL$28</definedName>
    <definedName name="dms_Suburb_List" localSheetId="3">'AER lookups'!$R$10:$R$52</definedName>
    <definedName name="dms_Suburb_List">'AER lookups'!$R$10:$R$15</definedName>
    <definedName name="dms_TemplateNumber">'AER lookups'!$C$3</definedName>
    <definedName name="dms_TradingName" localSheetId="3">'Business &amp; other details'!$AL$19</definedName>
    <definedName name="dms_TradingName">'Business &amp; other details'!$AL$19</definedName>
    <definedName name="dms_TradingName_List" localSheetId="3">'AER lookups'!$B$10:$B$52</definedName>
    <definedName name="dms_TradingName_List">'AER lookups'!$B$10:$B$15</definedName>
    <definedName name="dms_TradingNameFull_List" localSheetId="3">'AER lookups'!$C$10:$C$52</definedName>
    <definedName name="dms_TradingNameFull_List">'AER lookups'!$C$10:$C$15</definedName>
    <definedName name="dms_Typed_Submission_Date" localSheetId="3">'Business &amp; other details'!$AL$77</definedName>
    <definedName name="dms_Typed_Submission_Date">'Business &amp; other details'!$AL$77</definedName>
    <definedName name="dms_UID_List" localSheetId="3">'AER lookups'!$E$10:$E$52</definedName>
    <definedName name="dms_UID_List">'AER lookups'!$E$10:$E$15</definedName>
    <definedName name="dms_Urban_flag" localSheetId="3">'AER lookups'!$AA$10:$AA$52</definedName>
    <definedName name="dms_Urban_flag">'AER lookups'!$AA$10:$AA$15</definedName>
    <definedName name="dms_Urban_flag_NSP">'AER ETL'!$C$124</definedName>
    <definedName name="dms_Worksheet_List" localSheetId="3">'AER lookups'!$D$57:$D$69</definedName>
    <definedName name="dms_Worksheet_List">'AER lookups'!$D$20:$D$32</definedName>
    <definedName name="dms_y1" localSheetId="3">'AER lookups'!$E$109</definedName>
    <definedName name="dms_y1">'AER lookups'!$E$72</definedName>
    <definedName name="dms_y10">'AER lookups'!$E$81</definedName>
    <definedName name="dms_y11">'AER lookups'!$E$82</definedName>
    <definedName name="dms_y12">'AER lookups'!$E$83</definedName>
    <definedName name="dms_y13">'AER lookups'!$E$84</definedName>
    <definedName name="dms_y14">'AER lookups'!$E$85</definedName>
    <definedName name="dms_y15">'AER lookups'!$E$86</definedName>
    <definedName name="dms_y16">'AER lookups'!$E$87</definedName>
    <definedName name="dms_y17">'AER lookups'!$E$88</definedName>
    <definedName name="dms_y18">'AER lookups'!$E$89</definedName>
    <definedName name="dms_y19">'AER lookups'!$E$90</definedName>
    <definedName name="dms_y2" localSheetId="3">'AER lookups'!$E$110</definedName>
    <definedName name="dms_y2">'AER lookups'!$E$73</definedName>
    <definedName name="dms_y20">'AER lookups'!$E$91</definedName>
    <definedName name="dms_y21">'AER lookups'!$E$92</definedName>
    <definedName name="dms_y22">'AER lookups'!$E$93</definedName>
    <definedName name="dms_y23">'AER lookups'!$E$94</definedName>
    <definedName name="dms_y24">'AER lookups'!$E$95</definedName>
    <definedName name="dms_y25">'AER lookups'!$E$96</definedName>
    <definedName name="dms_y26">'AER lookups'!$E$97</definedName>
    <definedName name="dms_y3" localSheetId="3">'AER lookups'!$E$111</definedName>
    <definedName name="dms_y3">'AER lookups'!$E$74</definedName>
    <definedName name="dms_y4" localSheetId="3">'AER lookups'!$E$112</definedName>
    <definedName name="dms_y4">'AER lookups'!$E$75</definedName>
    <definedName name="dms_y5" localSheetId="3">'AER lookups'!$E$113</definedName>
    <definedName name="dms_y5">'AER lookups'!$E$76</definedName>
    <definedName name="dms_y6" localSheetId="3">'AER lookups'!$E$114</definedName>
    <definedName name="dms_y6">'AER lookups'!$E$77</definedName>
    <definedName name="dms_y7" localSheetId="3">'AER lookups'!$E$115</definedName>
    <definedName name="dms_y7">'AER lookups'!$E$78</definedName>
    <definedName name="dms_y8">'AER lookups'!$E$79</definedName>
    <definedName name="dms_y9">'AER lookups'!$E$80</definedName>
    <definedName name="EB">'AER lookups'!$C$24</definedName>
    <definedName name="EB_Fmt2">'AER lookups'!$D$24</definedName>
    <definedName name="Financial">'AER lookups'!$B$37:$B$102</definedName>
    <definedName name="FRCP_start_year">'AER ETL'!$C$44</definedName>
    <definedName name="FRCP_y1" localSheetId="3">'Business &amp; other details'!$AL$45</definedName>
    <definedName name="FRCP_y1">'Business &amp; other details'!$AL$45</definedName>
    <definedName name="FRCP_y10" localSheetId="3">'AER lookups'!$I$83</definedName>
    <definedName name="FRCP_y10">'AER lookups'!$I$46</definedName>
    <definedName name="FRCP_y11" localSheetId="3">'AER lookups'!$I$84</definedName>
    <definedName name="FRCP_y11">'AER lookups'!$I$47</definedName>
    <definedName name="FRCP_y12" localSheetId="3">'AER lookups'!$I$85</definedName>
    <definedName name="FRCP_y12">'AER lookups'!$I$48</definedName>
    <definedName name="FRCP_y13" localSheetId="3">'AER lookups'!$I$86</definedName>
    <definedName name="FRCP_y13">'AER lookups'!$I$49</definedName>
    <definedName name="FRCP_y14" localSheetId="3">'AER lookups'!$I$87</definedName>
    <definedName name="FRCP_y14">'AER lookups'!$I$50</definedName>
    <definedName name="FRCP_y15" localSheetId="3">'AER lookups'!$I$88</definedName>
    <definedName name="FRCP_y15">'AER lookups'!$I$51</definedName>
    <definedName name="FRCP_y16">'AER lookups'!$I$52</definedName>
    <definedName name="FRCP_y17">'AER lookups'!$I$53</definedName>
    <definedName name="FRCP_y18">'AER lookups'!$I$54</definedName>
    <definedName name="FRCP_y19">'AER lookups'!$I$55</definedName>
    <definedName name="FRCP_y2" localSheetId="3">'AER lookups'!$I$75</definedName>
    <definedName name="FRCP_y2">'AER lookups'!$I$38</definedName>
    <definedName name="FRCP_y20">'AER lookups'!$I$56</definedName>
    <definedName name="FRCP_y21">'AER lookups'!$I$57</definedName>
    <definedName name="FRCP_y22">'AER lookups'!$I$58</definedName>
    <definedName name="FRCP_y23">'AER lookups'!$I$59</definedName>
    <definedName name="FRCP_y24">'AER lookups'!$I$60</definedName>
    <definedName name="FRCP_y25">'AER lookups'!$I$61</definedName>
    <definedName name="FRCP_y3" localSheetId="3">'AER lookups'!$I$76</definedName>
    <definedName name="FRCP_y3">'AER lookups'!$I$39</definedName>
    <definedName name="FRCP_y4" localSheetId="3">'AER lookups'!$I$77</definedName>
    <definedName name="FRCP_y4">'AER lookups'!$I$40</definedName>
    <definedName name="FRCP_y5" localSheetId="3">'AER lookups'!$I$78</definedName>
    <definedName name="FRCP_y5">'AER lookups'!$I$41</definedName>
    <definedName name="FRCP_y6" localSheetId="3">'AER lookups'!$I$79</definedName>
    <definedName name="FRCP_y6">'AER lookups'!$I$42</definedName>
    <definedName name="FRCP_y7" localSheetId="3">'AER lookups'!$I$80</definedName>
    <definedName name="FRCP_y7">'AER lookups'!$I$43</definedName>
    <definedName name="FRCP_y8" localSheetId="3">'AER lookups'!$I$81</definedName>
    <definedName name="FRCP_y8">'AER lookups'!$I$44</definedName>
    <definedName name="FRCP_y9" localSheetId="3">'AER lookups'!$I$82</definedName>
    <definedName name="FRCP_y9">'AER lookups'!$I$45</definedName>
    <definedName name="FRY" localSheetId="3">'Business &amp; other details'!$AL$59</definedName>
    <definedName name="FRY">'Business &amp; other details'!$AL$59</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LAN" localSheetId="3" hidden="1">{"Ownership",#N/A,FALSE,"Ownership";"Contents",#N/A,FALSE,"Contents"}</definedName>
    <definedName name="LAN" localSheetId="2" hidden="1">{"Ownership",#N/A,FALSE,"Ownership";"Contents",#N/A,FALSE,"Contents"}</definedName>
    <definedName name="LAN" localSheetId="0" hidden="1">{"Ownership",#N/A,FALSE,"Ownership";"Contents",#N/A,FALSE,"Contents"}</definedName>
    <definedName name="LAN" hidden="1">{"Ownership",#N/A,FALSE,"Ownership";"Contents",#N/A,FALSE,"Contents"}</definedName>
    <definedName name="PRCP_start_year">'AER ETL'!$C$46</definedName>
    <definedName name="PRCP_y1" localSheetId="3">'AER lookups'!$E$74</definedName>
    <definedName name="PRCP_y1">'AER lookups'!$E$37</definedName>
    <definedName name="PRCP_y10" localSheetId="3">'AER lookups'!$E$83</definedName>
    <definedName name="PRCP_y10">'AER lookups'!$E$46</definedName>
    <definedName name="PRCP_y11" localSheetId="3">'AER lookups'!$E$84</definedName>
    <definedName name="PRCP_y11">'AER lookups'!$E$47</definedName>
    <definedName name="PRCP_y12" localSheetId="3">'AER lookups'!$E$85</definedName>
    <definedName name="PRCP_y12">'AER lookups'!$E$48</definedName>
    <definedName name="PRCP_y13" localSheetId="3">'AER lookups'!$E$86</definedName>
    <definedName name="PRCP_y13">'AER lookups'!$E$49</definedName>
    <definedName name="PRCP_y14" localSheetId="3">'AER lookups'!$E$87</definedName>
    <definedName name="PRCP_y14">'AER lookups'!$E$50</definedName>
    <definedName name="PRCP_y15" localSheetId="3">'AER lookups'!$E$88</definedName>
    <definedName name="PRCP_y15">'AER lookups'!$E$51</definedName>
    <definedName name="PRCP_y16">'AER lookups'!$E$52</definedName>
    <definedName name="PRCP_y17">'AER lookups'!$E$53</definedName>
    <definedName name="PRCP_y18">'AER lookups'!$E$54</definedName>
    <definedName name="PRCP_y19">'AER lookups'!$E$55</definedName>
    <definedName name="PRCP_y2" localSheetId="3">'AER lookups'!$E$75</definedName>
    <definedName name="PRCP_y2">'AER lookups'!$E$38</definedName>
    <definedName name="PRCP_y20">'AER lookups'!$E$56</definedName>
    <definedName name="PRCP_y21">'AER lookups'!$E$57</definedName>
    <definedName name="PRCP_y22">'AER lookups'!$E$58</definedName>
    <definedName name="PRCP_y23">'AER lookups'!$E$59</definedName>
    <definedName name="PRCP_y24">'AER lookups'!$E$60</definedName>
    <definedName name="PRCP_y25">'AER lookups'!$E$61</definedName>
    <definedName name="PRCP_y3" localSheetId="3">'AER lookups'!$E$76</definedName>
    <definedName name="PRCP_y3">'AER lookups'!$E$39</definedName>
    <definedName name="PRCP_y4" localSheetId="3">'AER lookups'!$E$77</definedName>
    <definedName name="PRCP_y4">'AER lookups'!$E$40</definedName>
    <definedName name="PRCP_y5" localSheetId="3">'AER lookups'!$E$78</definedName>
    <definedName name="PRCP_y5">'AER lookups'!$E$41</definedName>
    <definedName name="PRCP_y6" localSheetId="3">'AER lookups'!$E$79</definedName>
    <definedName name="PRCP_y6">'AER lookups'!$E$42</definedName>
    <definedName name="PRCP_y7" localSheetId="3">'AER lookups'!$E$80</definedName>
    <definedName name="PRCP_y7">'AER lookups'!$E$43</definedName>
    <definedName name="PRCP_y8" localSheetId="3">'AER lookups'!$E$81</definedName>
    <definedName name="PRCP_y8">'AER lookups'!$E$44</definedName>
    <definedName name="PRCP_y9" localSheetId="3">'AER lookups'!$E$82</definedName>
    <definedName name="PRCP_y9">'AER lookups'!$E$45</definedName>
    <definedName name="Pricing">'AER lookups'!$C$26</definedName>
    <definedName name="Pricing_Fmt2">'AER lookups'!$D$26</definedName>
    <definedName name="PTRM">'AER lookups'!$C$28</definedName>
    <definedName name="PTRM_Fmt2">'AER lookups'!$D$28</definedName>
    <definedName name="Reset">'AER lookups'!$C$29</definedName>
    <definedName name="Reset_Fmt2">'AER lookups'!$D$29</definedName>
    <definedName name="Reset_outputs">'AER lookups'!$C$30</definedName>
    <definedName name="RFM">'AER lookups'!$C$31</definedName>
    <definedName name="RFM_Fmt2">'AER lookups'!$D$31</definedName>
    <definedName name="teest" localSheetId="3" hidden="1">{"Ownership",#N/A,FALSE,"Ownership";"Contents",#N/A,FALSE,"Contents"}</definedName>
    <definedName name="teest" localSheetId="2" hidden="1">{"Ownership",#N/A,FALSE,"Ownership";"Contents",#N/A,FALSE,"Contents"}</definedName>
    <definedName name="teest" localSheetId="0" hidden="1">{"Ownership",#N/A,FALSE,"Ownership";"Contents",#N/A,FALSE,"Contents"}</definedName>
    <definedName name="teest" hidden="1">{"Ownership",#N/A,FALSE,"Ownership";"Contents",#N/A,FALSE,"Contents"}</definedName>
    <definedName name="test" localSheetId="3" hidden="1">{"Ownership",#N/A,FALSE,"Ownership";"Contents",#N/A,FALSE,"Contents"}</definedName>
    <definedName name="test" localSheetId="2" hidden="1">{"Ownership",#N/A,FALSE,"Ownership";"Contents",#N/A,FALSE,"Contents"}</definedName>
    <definedName name="test" localSheetId="0" hidden="1">{"Ownership",#N/A,FALSE,"Ownership";"Contents",#N/A,FALSE,"Contents"}</definedName>
    <definedName name="test" hidden="1">{"Ownership",#N/A,FALSE,"Ownership";"Contents",#N/A,FALSE,"Contents"}</definedName>
    <definedName name="WACC">'AER lookups'!$C$32</definedName>
    <definedName name="WACC_Fmt2">'AER lookups'!$D$32</definedName>
    <definedName name="wrn.App._.Custodians." localSheetId="3" hidden="1">{"Ownership",#N/A,FALSE,"Ownership";"Contents",#N/A,FALSE,"Contents"}</definedName>
    <definedName name="wrn.App._.Custodians." localSheetId="2" hidden="1">{"Ownership",#N/A,FALSE,"Ownership";"Contents",#N/A,FALSE,"Contents"}</definedName>
    <definedName name="wrn.App._.Custodians." localSheetId="0" hidden="1">{"Ownership",#N/A,FALSE,"Ownership";"Contents",#N/A,FALSE,"Contents"}</definedName>
    <definedName name="wrn.App._.Custodians." hidden="1">{"Ownership",#N/A,FALSE,"Ownership";"Contents",#N/A,FALSE,"Contents"}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1" l="1"/>
  <c r="B24" i="1" l="1"/>
  <c r="U51" i="1"/>
  <c r="C127" i="6" l="1"/>
  <c r="C104" i="6" s="1"/>
  <c r="C126" i="6"/>
  <c r="C125" i="6"/>
  <c r="C124" i="6"/>
  <c r="C123" i="6"/>
  <c r="C122" i="6"/>
  <c r="C121" i="6"/>
  <c r="C115" i="6"/>
  <c r="C114" i="6"/>
  <c r="C112" i="6"/>
  <c r="C105" i="6"/>
  <c r="C102" i="6"/>
  <c r="C100" i="6"/>
  <c r="C99" i="6"/>
  <c r="C101" i="6" s="1"/>
  <c r="C98" i="6"/>
  <c r="C95" i="6"/>
  <c r="C94" i="6"/>
  <c r="C93" i="6"/>
  <c r="C91" i="6"/>
  <c r="C92" i="6" s="1"/>
  <c r="C90" i="6"/>
  <c r="C84" i="6"/>
  <c r="C83" i="6"/>
  <c r="C75" i="6"/>
  <c r="C74" i="6"/>
  <c r="C76" i="6" s="1"/>
  <c r="C73" i="6"/>
  <c r="C71" i="6"/>
  <c r="C70" i="6"/>
  <c r="C69" i="6"/>
  <c r="C66" i="6"/>
  <c r="C65" i="6"/>
  <c r="C64" i="6"/>
  <c r="C57" i="6"/>
  <c r="C56" i="6"/>
  <c r="C60" i="6" s="1"/>
  <c r="C54" i="6"/>
  <c r="C51" i="6"/>
  <c r="C38" i="6"/>
  <c r="C37" i="6"/>
  <c r="C31" i="6"/>
  <c r="C29" i="6"/>
  <c r="C27" i="6"/>
  <c r="J25" i="6" a="1"/>
  <c r="J25" i="6" s="1"/>
  <c r="C24" i="6"/>
  <c r="C30" i="6" s="1"/>
  <c r="C87" i="6" s="1"/>
  <c r="C22" i="6"/>
  <c r="C17" i="6"/>
  <c r="C16" i="6"/>
  <c r="E13" i="6"/>
  <c r="C10" i="6"/>
  <c r="C9" i="6"/>
  <c r="AL10" i="5"/>
  <c r="AL11" i="5"/>
  <c r="AL12" i="5"/>
  <c r="AL13" i="5"/>
  <c r="AL14" i="5"/>
  <c r="U50" i="1"/>
  <c r="H37" i="5"/>
  <c r="D24" i="5"/>
  <c r="D21" i="5"/>
  <c r="D20" i="5"/>
  <c r="AL15" i="5"/>
  <c r="BQ29" i="4"/>
  <c r="AL29" i="4"/>
  <c r="AL21" i="4"/>
  <c r="AL20" i="4"/>
  <c r="V2" i="4"/>
  <c r="V1" i="4"/>
  <c r="B1" i="1" a="1"/>
  <c r="B1" i="1" s="1"/>
  <c r="AL65" i="4"/>
  <c r="C40" i="6"/>
  <c r="C39" i="6"/>
  <c r="C77" i="6" l="1"/>
  <c r="E25" i="6"/>
  <c r="C80" i="6"/>
  <c r="C103" i="6"/>
  <c r="E50" i="1"/>
  <c r="M41" i="1" l="1"/>
  <c r="N41" i="1"/>
  <c r="N28" i="1"/>
  <c r="M28" i="1"/>
  <c r="E36" i="1"/>
  <c r="T58" i="1" l="1"/>
  <c r="D50" i="1"/>
  <c r="C50" i="1"/>
  <c r="B46" i="1"/>
  <c r="B45" i="1"/>
  <c r="B44" i="1"/>
  <c r="L41" i="1"/>
  <c r="C41" i="1"/>
  <c r="D36" i="1"/>
  <c r="C36" i="1"/>
  <c r="L28" i="1"/>
  <c r="C28" i="1"/>
  <c r="B7" i="1"/>
  <c r="B2" i="1"/>
  <c r="C42" i="6" l="1"/>
  <c r="C41" i="6"/>
  <c r="C43" i="6"/>
  <c r="I39" i="5"/>
  <c r="I40" i="5"/>
  <c r="C49" i="6"/>
  <c r="C46" i="6"/>
  <c r="I46" i="5"/>
  <c r="I44" i="5"/>
  <c r="I60" i="5"/>
  <c r="E92" i="5"/>
  <c r="C50" i="6"/>
  <c r="E86" i="5"/>
  <c r="I51" i="5"/>
  <c r="I52" i="5"/>
  <c r="E74" i="5"/>
  <c r="E97" i="5"/>
  <c r="I41" i="5"/>
  <c r="I38" i="5"/>
  <c r="E96" i="5"/>
  <c r="C48" i="6"/>
  <c r="C47" i="6"/>
  <c r="I37" i="5"/>
  <c r="I42" i="5"/>
  <c r="E78" i="5"/>
  <c r="E77" i="5"/>
  <c r="E82" i="5"/>
  <c r="E84" i="5"/>
  <c r="E73" i="5"/>
  <c r="E75" i="5"/>
  <c r="E85" i="5"/>
  <c r="I55" i="5"/>
  <c r="E91" i="5"/>
  <c r="I43" i="5"/>
  <c r="I56" i="5"/>
  <c r="I47" i="5"/>
  <c r="I53" i="5"/>
  <c r="E89" i="5"/>
  <c r="E81" i="5"/>
  <c r="I48" i="5"/>
  <c r="E76" i="5"/>
  <c r="I59" i="5"/>
  <c r="E95" i="5"/>
  <c r="E87" i="5"/>
  <c r="E93" i="5"/>
  <c r="E94" i="5"/>
  <c r="I50" i="5"/>
  <c r="E83" i="5"/>
  <c r="E72" i="5"/>
  <c r="E90" i="5"/>
  <c r="C45" i="6"/>
  <c r="E80" i="5"/>
  <c r="I45" i="5"/>
  <c r="C44" i="6"/>
  <c r="I54" i="5"/>
  <c r="I57" i="5"/>
  <c r="I49" i="5"/>
  <c r="I61" i="5"/>
  <c r="I58" i="5"/>
  <c r="E79" i="5"/>
  <c r="E88" i="5"/>
  <c r="C35" i="6" l="1"/>
  <c r="C55" i="6"/>
  <c r="C81" i="6"/>
  <c r="C61" i="6"/>
  <c r="E56" i="5"/>
  <c r="G53" i="5"/>
  <c r="E42" i="5"/>
  <c r="E61" i="5"/>
  <c r="G46" i="5"/>
  <c r="G48" i="5"/>
  <c r="G44" i="5"/>
  <c r="G42" i="5"/>
  <c r="E52" i="5"/>
  <c r="E54" i="5"/>
  <c r="G56" i="5"/>
  <c r="E40" i="5"/>
  <c r="E53" i="5"/>
  <c r="G61" i="5"/>
  <c r="E60" i="5"/>
  <c r="G39" i="5"/>
  <c r="E47" i="5"/>
  <c r="G45" i="5"/>
  <c r="G54" i="5"/>
  <c r="G55" i="5"/>
  <c r="G50" i="5"/>
  <c r="E45" i="5"/>
  <c r="E58" i="5"/>
  <c r="E50" i="5"/>
  <c r="E38" i="5"/>
  <c r="E49" i="5"/>
  <c r="E59" i="5"/>
  <c r="G58" i="5"/>
  <c r="E48" i="5"/>
  <c r="G40" i="5"/>
  <c r="G37" i="5"/>
  <c r="E41" i="5"/>
  <c r="G49" i="5"/>
  <c r="G43" i="5"/>
  <c r="G59" i="5"/>
  <c r="E44" i="5"/>
  <c r="G47" i="5"/>
  <c r="E37" i="5"/>
  <c r="E39" i="5"/>
  <c r="E51" i="5"/>
  <c r="E55" i="5"/>
  <c r="E57" i="5"/>
  <c r="G38" i="5"/>
  <c r="E46" i="5"/>
  <c r="G60" i="5"/>
  <c r="G41" i="5"/>
  <c r="E43" i="5"/>
  <c r="G51" i="5"/>
  <c r="G57" i="5"/>
  <c r="G52" i="5"/>
  <c r="C21" i="6" l="1"/>
  <c r="C11" i="6"/>
  <c r="C53" i="6"/>
  <c r="C52" i="6"/>
  <c r="C107" i="6"/>
  <c r="C118" i="6"/>
  <c r="BD55" i="4"/>
  <c r="AU55" i="4"/>
  <c r="AL55" i="4"/>
  <c r="BV55" i="4"/>
  <c r="BM55" i="4"/>
  <c r="C108" i="6" l="1"/>
  <c r="C33" i="6"/>
  <c r="C59" i="6"/>
  <c r="C58" i="6"/>
  <c r="C23" i="6" s="1"/>
  <c r="C32" i="6"/>
  <c r="F36" i="1" l="1"/>
  <c r="J36" i="1"/>
  <c r="H36" i="1"/>
  <c r="I36" i="1"/>
  <c r="G36" i="1"/>
  <c r="R47" i="1" l="1"/>
  <c r="R49" i="1"/>
  <c r="Q47" i="1" l="1"/>
  <c r="Q49" i="1"/>
  <c r="P49" i="1" l="1"/>
  <c r="P47" i="1"/>
  <c r="O47" i="1" l="1"/>
  <c r="O49" i="1"/>
  <c r="N42" i="1" l="1"/>
  <c r="N48" i="1"/>
  <c r="O33" i="1"/>
  <c r="O29" i="1"/>
  <c r="S34" i="1"/>
  <c r="R35" i="1"/>
  <c r="S32" i="1"/>
  <c r="Q34" i="1"/>
  <c r="P35" i="1"/>
  <c r="S35" i="1"/>
  <c r="O32" i="1"/>
  <c r="Q33" i="1"/>
  <c r="S31" i="1"/>
  <c r="P34" i="1"/>
  <c r="R33" i="1"/>
  <c r="N47" i="1"/>
  <c r="Q32" i="1"/>
  <c r="P31" i="1"/>
  <c r="R31" i="1"/>
  <c r="P33" i="1"/>
  <c r="S29" i="1"/>
  <c r="P32" i="1"/>
  <c r="O31" i="1"/>
  <c r="R29" i="1"/>
  <c r="N46" i="1"/>
  <c r="S33" i="1"/>
  <c r="R32" i="1"/>
  <c r="Q31" i="1"/>
  <c r="P29" i="1"/>
  <c r="N45" i="1"/>
  <c r="O34" i="1"/>
  <c r="Q29" i="1"/>
  <c r="R34" i="1"/>
  <c r="N44" i="1"/>
  <c r="O35" i="1"/>
  <c r="Q35" i="1"/>
  <c r="N49" i="1"/>
  <c r="P36" i="1" l="1"/>
  <c r="S36" i="1"/>
  <c r="O36" i="1"/>
  <c r="N50" i="1"/>
  <c r="M49" i="1"/>
  <c r="M47" i="1"/>
  <c r="N33" i="1"/>
  <c r="N29" i="1"/>
  <c r="N31" i="1"/>
  <c r="N34" i="1"/>
  <c r="N35" i="1"/>
  <c r="M46" i="1"/>
  <c r="M44" i="1"/>
  <c r="N32" i="1"/>
  <c r="M42" i="1"/>
  <c r="M48" i="1"/>
  <c r="M45" i="1"/>
  <c r="Q36" i="1"/>
  <c r="R36" i="1"/>
  <c r="M50" i="1" l="1"/>
  <c r="N36" i="1"/>
  <c r="L45" i="1"/>
  <c r="L49" i="1"/>
  <c r="L46" i="1"/>
  <c r="L42" i="1"/>
  <c r="L47" i="1"/>
  <c r="L48" i="1"/>
  <c r="L44" i="1"/>
  <c r="L50" i="1" l="1"/>
  <c r="M31" i="1" l="1"/>
  <c r="M33" i="1"/>
  <c r="L34" i="1"/>
  <c r="L31" i="1"/>
  <c r="M35" i="1"/>
  <c r="M29" i="1"/>
  <c r="L33" i="1"/>
  <c r="L35" i="1"/>
  <c r="M34" i="1"/>
  <c r="L32" i="1"/>
  <c r="M32" i="1"/>
  <c r="L29" i="1"/>
  <c r="M36" i="1" l="1"/>
  <c r="L36" i="1"/>
  <c r="M53" i="1" l="1"/>
  <c r="S59" i="1" s="1"/>
  <c r="S66" i="1" s="1"/>
  <c r="N53" i="1"/>
  <c r="T60" i="1" s="1"/>
  <c r="R44" i="1" l="1"/>
  <c r="R46" i="1"/>
  <c r="R42" i="1" l="1"/>
  <c r="P42" i="1"/>
  <c r="Q42" i="1"/>
  <c r="Q46" i="1" l="1"/>
  <c r="P46" i="1"/>
  <c r="O42" i="1"/>
  <c r="O46" i="1" l="1"/>
  <c r="P45" i="1" l="1"/>
  <c r="R45" i="1" l="1"/>
  <c r="O45" i="1"/>
  <c r="Q45" i="1"/>
  <c r="P48" i="1" l="1"/>
  <c r="Q48" i="1" l="1"/>
  <c r="O48" i="1"/>
  <c r="R48" i="1" l="1"/>
  <c r="R50" i="1" s="1"/>
  <c r="I50" i="1"/>
  <c r="S50" i="1" l="1"/>
  <c r="S53" i="1" s="1"/>
  <c r="U65" i="1" l="1"/>
  <c r="V65" i="1"/>
  <c r="W65" i="1"/>
  <c r="X65" i="1"/>
  <c r="X66" i="1" s="1"/>
  <c r="X70" i="1" s="1"/>
  <c r="T65" i="1"/>
  <c r="O44" i="1" l="1"/>
  <c r="O50" i="1" s="1"/>
  <c r="O53" i="1" s="1"/>
  <c r="F50" i="1"/>
  <c r="T61" i="1" l="1"/>
  <c r="Q61" i="1"/>
  <c r="R61" i="1"/>
  <c r="S61" i="1"/>
  <c r="P61" i="1"/>
  <c r="P44" i="1" l="1"/>
  <c r="P50" i="1" s="1"/>
  <c r="G50" i="1"/>
  <c r="Q44" i="1" l="1"/>
  <c r="Q50" i="1" s="1"/>
  <c r="R53" i="1" s="1"/>
  <c r="H50" i="1"/>
  <c r="P53" i="1"/>
  <c r="Q53" i="1" l="1"/>
  <c r="U63" i="1" s="1"/>
  <c r="S64" i="1"/>
  <c r="T64" i="1"/>
  <c r="W64" i="1"/>
  <c r="W66" i="1" s="1"/>
  <c r="W70" i="1" s="1"/>
  <c r="U64" i="1"/>
  <c r="V64" i="1"/>
  <c r="T63" i="1"/>
  <c r="S63" i="1"/>
  <c r="R63" i="1"/>
  <c r="S62" i="1"/>
  <c r="Q62" i="1"/>
  <c r="R62" i="1"/>
  <c r="T62" i="1"/>
  <c r="U62" i="1"/>
  <c r="V63" i="1" l="1"/>
  <c r="T66" i="1"/>
  <c r="V66" i="1"/>
  <c r="V70" i="1" s="1"/>
  <c r="U66" i="1"/>
  <c r="U70" i="1" s="1"/>
  <c r="Y66" i="1" l="1"/>
  <c r="T70" i="1" l="1"/>
  <c r="Y70"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Holder, Toby</author>
    <author>Hogan, Susan</author>
  </authors>
  <commentList>
    <comment ref="I16" authorId="0" shapeId="0" xr:uid="{96FB3B28-3188-4B19-B6E7-CF4AAAD02C49}">
      <text>
        <r>
          <rPr>
            <b/>
            <sz val="9"/>
            <color indexed="81"/>
            <rFont val="Tahoma"/>
            <family val="2"/>
          </rPr>
          <t>AER:</t>
        </r>
        <r>
          <rPr>
            <sz val="9"/>
            <color indexed="81"/>
            <rFont val="Tahoma"/>
            <family val="2"/>
          </rPr>
          <t xml:space="preserve">
This is the inflation for the six months from December 2020 to June 2021.</t>
        </r>
      </text>
    </comment>
    <comment ref="C28" authorId="1" shapeId="0" xr:uid="{DCC723E7-A5B1-49AC-A9EF-B2E74C0BF345}">
      <text>
        <r>
          <rPr>
            <b/>
            <sz val="9"/>
            <color indexed="81"/>
            <rFont val="Tahoma"/>
            <family val="2"/>
          </rPr>
          <t>AER:</t>
        </r>
        <r>
          <rPr>
            <sz val="9"/>
            <color indexed="81"/>
            <rFont val="Tahoma"/>
            <family val="2"/>
          </rPr>
          <t xml:space="preserve">
Note, this is the base year used to forecast the current regulatory control period. It is not necessarily 2019.</t>
        </r>
      </text>
    </comment>
    <comment ref="B30" authorId="1" shapeId="0" xr:uid="{287E3001-C48A-4D81-B111-D7F9E7DF070A}">
      <text>
        <r>
          <rPr>
            <b/>
            <sz val="9"/>
            <color indexed="81"/>
            <rFont val="Tahoma"/>
            <family val="2"/>
          </rPr>
          <t xml:space="preserve">AER:
</t>
        </r>
        <r>
          <rPr>
            <sz val="9"/>
            <color indexed="81"/>
            <rFont val="Tahoma"/>
            <family val="2"/>
          </rPr>
          <t>Enter excluded costs as negative values.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Hogan, Susan</author>
  </authors>
  <commentList>
    <comment ref="H37" authorId="0" shapeId="0" xr:uid="{A1DFE3A0-4816-4429-9644-E7EB91DA1615}">
      <text>
        <r>
          <rPr>
            <b/>
            <sz val="9"/>
            <color rgb="FF000000"/>
            <rFont val="Tahoma"/>
            <family val="2"/>
          </rPr>
          <t>Hogan, Susan:</t>
        </r>
        <r>
          <rPr>
            <sz val="9"/>
            <color rgb="FF000000"/>
            <rFont val="Tahoma"/>
            <family val="2"/>
          </rPr>
          <t xml:space="preserve">
This is populated from FRCP_y1 which is selected by the business on the cover sheet.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<sst xmlns="http://schemas.openxmlformats.org/spreadsheetml/2006/main" count="922" uniqueCount="708">
  <si>
    <t>7.5 EBSS</t>
  </si>
  <si>
    <t>Intstructions</t>
  </si>
  <si>
    <t>Actual and estimated inflation</t>
  </si>
  <si>
    <t>Actual</t>
  </si>
  <si>
    <t>Estimated</t>
  </si>
  <si>
    <t xml:space="preserve">Inflation rate (per cent) </t>
  </si>
  <si>
    <t>7.5.1 -  The carryover amounts that arise from applying the EBSS during the current regulatory control period</t>
  </si>
  <si>
    <t>Base year used to forecast opex for the current period (drop down menu)</t>
  </si>
  <si>
    <t>7.5.1.1 - Opex allowance applicable to EBSS (EBSS target)</t>
  </si>
  <si>
    <t>Previous period</t>
  </si>
  <si>
    <t>Current regulatory control period</t>
  </si>
  <si>
    <t>Total opex allowance</t>
  </si>
  <si>
    <t xml:space="preserve">Approved excludable costs - allowance </t>
  </si>
  <si>
    <t>Approved opex, pass throughs and contingent projects</t>
  </si>
  <si>
    <t xml:space="preserve">Other adjustments or exclusions required by the EBSS </t>
  </si>
  <si>
    <t>Forecast opex for EBSS purposes</t>
  </si>
  <si>
    <t>7.5.1.2 - Actual and estimated opex applicable to EBSS</t>
  </si>
  <si>
    <t xml:space="preserve">Total opex </t>
  </si>
  <si>
    <t>Approved excludable costs</t>
  </si>
  <si>
    <t>Capitalised opex that has been excluded from the regulatory asset base</t>
  </si>
  <si>
    <t>Movements in provisions related to opex</t>
  </si>
  <si>
    <t>Actual opex for EBSS purposes</t>
  </si>
  <si>
    <t>Carryover</t>
  </si>
  <si>
    <t>Forthcoming regulatory control period</t>
  </si>
  <si>
    <t>Total</t>
  </si>
  <si>
    <t>Current period</t>
  </si>
  <si>
    <t>HY2021</t>
  </si>
  <si>
    <t>ABS CPI index - December/June</t>
  </si>
  <si>
    <t>$m, real December 2015</t>
  </si>
  <si>
    <t>$m, real June 2021</t>
  </si>
  <si>
    <t>WACC</t>
  </si>
  <si>
    <t>2020 true-up</t>
  </si>
  <si>
    <t>HY2021 true-up</t>
  </si>
  <si>
    <t>2023-24</t>
  </si>
  <si>
    <t>AER LOOKUP TABLES</t>
  </si>
  <si>
    <t>Template number</t>
  </si>
  <si>
    <t>FOR ELECTRICITY BUSINESSES ONLY</t>
  </si>
  <si>
    <t>Feeder Types</t>
  </si>
  <si>
    <t>TasNetworks (D)</t>
  </si>
  <si>
    <t>Feeder Names</t>
  </si>
  <si>
    <t>CBD</t>
  </si>
  <si>
    <t>Urban</t>
  </si>
  <si>
    <t>Short rural</t>
  </si>
  <si>
    <t>long rural</t>
  </si>
  <si>
    <t>EXTRA</t>
  </si>
  <si>
    <t>dms_TradingName_List</t>
  </si>
  <si>
    <t>dms_TradingNameFull_List</t>
  </si>
  <si>
    <t>dms_ABN_List</t>
  </si>
  <si>
    <t>dms_UID_List</t>
  </si>
  <si>
    <t>dms_JurisdictionList</t>
  </si>
  <si>
    <t>dms_Sector_List</t>
  </si>
  <si>
    <t>dms_Segment_List</t>
  </si>
  <si>
    <t>dms_FormControl_List</t>
  </si>
  <si>
    <t>dms_RPT_List</t>
  </si>
  <si>
    <t>dms_RPTMonth_List</t>
  </si>
  <si>
    <t>dms_CRCPlength_List</t>
  </si>
  <si>
    <t>dms_FRCPlength_List</t>
  </si>
  <si>
    <t>dms_PRCPlength_List</t>
  </si>
  <si>
    <t>dms_663_List</t>
  </si>
  <si>
    <t>dms_Addr1_List</t>
  </si>
  <si>
    <t>dms_Addr2_List</t>
  </si>
  <si>
    <t>dms_Suburb_List</t>
  </si>
  <si>
    <t>dms_State_List</t>
  </si>
  <si>
    <t>dms_PostCode_List</t>
  </si>
  <si>
    <t>dms_PAddr1_List</t>
  </si>
  <si>
    <t>dms_PAddr2_List</t>
  </si>
  <si>
    <t>dms_PSuburb_List</t>
  </si>
  <si>
    <t>dms_PState_List</t>
  </si>
  <si>
    <t>dms_PPostCode_List</t>
  </si>
  <si>
    <t>dms_CBD_flag</t>
  </si>
  <si>
    <t>dms_Urban_flag</t>
  </si>
  <si>
    <t>dms_ShortRural_flag</t>
  </si>
  <si>
    <t>dms_LongRural_flag</t>
  </si>
  <si>
    <t>dms_FeederType_5_flag</t>
  </si>
  <si>
    <t>dms_FeederName_1</t>
  </si>
  <si>
    <t>dms_FeederName_2</t>
  </si>
  <si>
    <t>dms_FeederName_3</t>
  </si>
  <si>
    <t>dms_FeederName_4</t>
  </si>
  <si>
    <t>dms_FeederName_5</t>
  </si>
  <si>
    <t>dms_MAIFI_flag_List</t>
  </si>
  <si>
    <t>dms_Public_Lighting_List</t>
  </si>
  <si>
    <t>Name</t>
  </si>
  <si>
    <t>Vic</t>
  </si>
  <si>
    <t>Electricity</t>
  </si>
  <si>
    <t>Financial</t>
  </si>
  <si>
    <t>MELBOURNE</t>
  </si>
  <si>
    <t>NO</t>
  </si>
  <si>
    <t>Long rural</t>
  </si>
  <si>
    <t>YES</t>
  </si>
  <si>
    <t>Distribution</t>
  </si>
  <si>
    <t>June</t>
  </si>
  <si>
    <t>Calendar</t>
  </si>
  <si>
    <t>Revenue cap</t>
  </si>
  <si>
    <t>AusNet (D)</t>
  </si>
  <si>
    <t>AusNet Electricity Services Pty Ltd</t>
  </si>
  <si>
    <t>EDDVIC100</t>
  </si>
  <si>
    <t>Level 32</t>
  </si>
  <si>
    <t>2 Southbank Boulevard</t>
  </si>
  <si>
    <t>SOUTHBANK</t>
  </si>
  <si>
    <t>Locked Bag 14051</t>
  </si>
  <si>
    <t>MELBOURNE CITY MAIL CENTRE</t>
  </si>
  <si>
    <t>UID_123</t>
  </si>
  <si>
    <t>123 Straight Street</t>
  </si>
  <si>
    <t>PO Box 123</t>
  </si>
  <si>
    <t>Australian Distribution Co. (Vic)</t>
  </si>
  <si>
    <t>Australian Distribution Co. (Victoria)</t>
  </si>
  <si>
    <t>CitiPower</t>
  </si>
  <si>
    <t>EDDVIC200</t>
  </si>
  <si>
    <t>40 Market Street</t>
  </si>
  <si>
    <t>Locked Bag 14090</t>
  </si>
  <si>
    <t>Jemena Electricity</t>
  </si>
  <si>
    <t>EDDVIC300</t>
  </si>
  <si>
    <t>Level 16</t>
  </si>
  <si>
    <t>567 Collins Street</t>
  </si>
  <si>
    <t>PO Box 16182</t>
  </si>
  <si>
    <t>43-45 Centreway</t>
  </si>
  <si>
    <t>Powercor Australia</t>
  </si>
  <si>
    <t>EDDVIC400</t>
  </si>
  <si>
    <t>Locked bag 14090</t>
  </si>
  <si>
    <t>United Energy</t>
  </si>
  <si>
    <t>EDDVIC500</t>
  </si>
  <si>
    <t>MOUNT WAVERLEY</t>
  </si>
  <si>
    <t>PO Box 449</t>
  </si>
  <si>
    <t>The Reg Year Ending (dms_RYE) must be set to the last year of the regulatory period. For forecast data is is usually (FRCP_y5) for actual it is a single year (CRY). For historical actual data the RYE will need to be set manually in the business details sheet by setting the dms_Multiyear_flag to 1 and putting the correct value in 'dms_Specified_FinalYear. See cells C67:C68</t>
  </si>
  <si>
    <t xml:space="preserve">dms_Model_List </t>
  </si>
  <si>
    <t>dms_Model_Name_Format1</t>
  </si>
  <si>
    <t>dms_Worksheet_List</t>
  </si>
  <si>
    <t>dms_Model_Span_List</t>
  </si>
  <si>
    <t>ARR</t>
  </si>
  <si>
    <t>Annual Reporting</t>
  </si>
  <si>
    <t>CA</t>
  </si>
  <si>
    <t>Category Analysis</t>
  </si>
  <si>
    <t>CESS</t>
  </si>
  <si>
    <t>Capitlal Expenditure</t>
  </si>
  <si>
    <t>CAPITLAL EXPENDITURE SHARING SCHEMING</t>
  </si>
  <si>
    <t>CPI</t>
  </si>
  <si>
    <t>EB</t>
  </si>
  <si>
    <t>Economic Benchmarking</t>
  </si>
  <si>
    <t>EBSS</t>
  </si>
  <si>
    <t>Efficiency Benefit Sharing Scheme</t>
  </si>
  <si>
    <t>EFFICIENCY BENEFIT SHARING SCHEME</t>
  </si>
  <si>
    <t>Pricing</t>
  </si>
  <si>
    <t>Pricing Proposal</t>
  </si>
  <si>
    <t>PRICING PROPOSAL</t>
  </si>
  <si>
    <t>Profitability</t>
  </si>
  <si>
    <t>PROFITABILITY</t>
  </si>
  <si>
    <t>PTRM</t>
  </si>
  <si>
    <t>Post Tax Revenue Model</t>
  </si>
  <si>
    <t>POST TAX REVENUE MODEL</t>
  </si>
  <si>
    <t>Reset</t>
  </si>
  <si>
    <t>Regulatory Reporting (Reset)</t>
  </si>
  <si>
    <t>REGULATORY REPORTING STATEMENT</t>
  </si>
  <si>
    <t>Reset_outputs</t>
  </si>
  <si>
    <t>Reset Outputs</t>
  </si>
  <si>
    <t>AER RESET DECISION OUTPUTS</t>
  </si>
  <si>
    <t>RFM</t>
  </si>
  <si>
    <t>Roll Forward Model</t>
  </si>
  <si>
    <t>ROLL FORWARD MODEL</t>
  </si>
  <si>
    <t>Weighted Average Cost of Capital</t>
  </si>
  <si>
    <t>WEIGHTED AVERAGE COST OF CAPITAL</t>
  </si>
  <si>
    <t>PREVIOUS</t>
  </si>
  <si>
    <t>CURRENT</t>
  </si>
  <si>
    <t>FORTHCOMING</t>
  </si>
  <si>
    <t>1987-88</t>
  </si>
  <si>
    <t>1988</t>
  </si>
  <si>
    <t>PRCP_y1</t>
  </si>
  <si>
    <t>CRCP_y1</t>
  </si>
  <si>
    <t>1988-89</t>
  </si>
  <si>
    <t>1989</t>
  </si>
  <si>
    <t>PRCP_y2</t>
  </si>
  <si>
    <t>CRCP_y2</t>
  </si>
  <si>
    <t>FRCP_y2</t>
  </si>
  <si>
    <t>1989-90</t>
  </si>
  <si>
    <t>1990</t>
  </si>
  <si>
    <t>PRCP_y3</t>
  </si>
  <si>
    <t>CRCP_y3</t>
  </si>
  <si>
    <t>FRCP_y3</t>
  </si>
  <si>
    <t>1990-91</t>
  </si>
  <si>
    <t>1991</t>
  </si>
  <si>
    <t>PRCP_y4</t>
  </si>
  <si>
    <t>CRCP_y4</t>
  </si>
  <si>
    <t>FRCP_y4</t>
  </si>
  <si>
    <t>1991-92</t>
  </si>
  <si>
    <t>1992</t>
  </si>
  <si>
    <t>PRCP_y5</t>
  </si>
  <si>
    <t>CRCP_y5</t>
  </si>
  <si>
    <t>FRCP_y5</t>
  </si>
  <si>
    <t>1992-93</t>
  </si>
  <si>
    <t>1993</t>
  </si>
  <si>
    <t>PRCP_y6</t>
  </si>
  <si>
    <t>CRCP_y6</t>
  </si>
  <si>
    <t>FRCP_y6</t>
  </si>
  <si>
    <t>1993-94</t>
  </si>
  <si>
    <t>1994</t>
  </si>
  <si>
    <t>PRCP_y7</t>
  </si>
  <si>
    <t>CRCP_y7</t>
  </si>
  <si>
    <t>FRCP_y7</t>
  </si>
  <si>
    <t>1994-95</t>
  </si>
  <si>
    <t>1995</t>
  </si>
  <si>
    <t>PRCP_y8</t>
  </si>
  <si>
    <t>CRCP_y8</t>
  </si>
  <si>
    <t>FRCP_y8</t>
  </si>
  <si>
    <t>1995-96</t>
  </si>
  <si>
    <t>1996</t>
  </si>
  <si>
    <t>PRCP_y9</t>
  </si>
  <si>
    <t>CRCP_y9</t>
  </si>
  <si>
    <t>FRCP_y9</t>
  </si>
  <si>
    <t>1996-97</t>
  </si>
  <si>
    <t>1997</t>
  </si>
  <si>
    <t>PRCP_y10</t>
  </si>
  <si>
    <t>CRCP_y10</t>
  </si>
  <si>
    <t>FRCP_y10</t>
  </si>
  <si>
    <t>1997-98</t>
  </si>
  <si>
    <t>1998</t>
  </si>
  <si>
    <t>PRCP_y11</t>
  </si>
  <si>
    <t>CRCP_y11</t>
  </si>
  <si>
    <t>FRCP_y11</t>
  </si>
  <si>
    <t>1998-99</t>
  </si>
  <si>
    <t>1999</t>
  </si>
  <si>
    <t>PRCP_y12</t>
  </si>
  <si>
    <t>CRCP_y12</t>
  </si>
  <si>
    <t>FRCP_y12</t>
  </si>
  <si>
    <t>1999-00</t>
  </si>
  <si>
    <t>2000</t>
  </si>
  <si>
    <t>PRCP_y13</t>
  </si>
  <si>
    <t>CRCP_y13</t>
  </si>
  <si>
    <t>FRCP_y13</t>
  </si>
  <si>
    <t>2000-01</t>
  </si>
  <si>
    <t>2001</t>
  </si>
  <si>
    <t>PRCP_y14</t>
  </si>
  <si>
    <t>CRCP_y14</t>
  </si>
  <si>
    <t>FRCP_y14</t>
  </si>
  <si>
    <t>2001-02</t>
  </si>
  <si>
    <t>2002</t>
  </si>
  <si>
    <t>PRCP_y15</t>
  </si>
  <si>
    <t>CRCP_y15</t>
  </si>
  <si>
    <t>FRCP_y15</t>
  </si>
  <si>
    <t>2002-03</t>
  </si>
  <si>
    <t>2003</t>
  </si>
  <si>
    <t>PRCP_y16</t>
  </si>
  <si>
    <t>CRCP_y16</t>
  </si>
  <si>
    <t>FRCP_y16</t>
  </si>
  <si>
    <t>2003-04</t>
  </si>
  <si>
    <t>2004</t>
  </si>
  <si>
    <t>PRCP_y17</t>
  </si>
  <si>
    <t>CRCP_y17</t>
  </si>
  <si>
    <t>FRCP_y17</t>
  </si>
  <si>
    <t>2004-05</t>
  </si>
  <si>
    <t>2005</t>
  </si>
  <si>
    <t>PRCP_y18</t>
  </si>
  <si>
    <t>CRCP_y18</t>
  </si>
  <si>
    <t>FRCP_y18</t>
  </si>
  <si>
    <t>2005-06</t>
  </si>
  <si>
    <t>2006</t>
  </si>
  <si>
    <t>PRCP_y19</t>
  </si>
  <si>
    <t>CRCP_y19</t>
  </si>
  <si>
    <t>FRCP_y19</t>
  </si>
  <si>
    <t>2006-07</t>
  </si>
  <si>
    <t>2007</t>
  </si>
  <si>
    <t>PRCP_y20</t>
  </si>
  <si>
    <t>CRCP_y20</t>
  </si>
  <si>
    <t>FRCP_y20</t>
  </si>
  <si>
    <t>2007-08</t>
  </si>
  <si>
    <t>2008</t>
  </si>
  <si>
    <t>PRCP_y21</t>
  </si>
  <si>
    <t>CRCP_y21</t>
  </si>
  <si>
    <t>FRCP_y21</t>
  </si>
  <si>
    <t>2008-09</t>
  </si>
  <si>
    <t>2009</t>
  </si>
  <si>
    <t>PRCP_y22</t>
  </si>
  <si>
    <t>CRCP_y22</t>
  </si>
  <si>
    <t>FRCP_y22</t>
  </si>
  <si>
    <t>2009-10</t>
  </si>
  <si>
    <t>PRCP_y23</t>
  </si>
  <si>
    <t>CRCP_y23</t>
  </si>
  <si>
    <t>FRCP_y23</t>
  </si>
  <si>
    <t>2010-11</t>
  </si>
  <si>
    <t>PRCP_y24</t>
  </si>
  <si>
    <t>CRCP_y24</t>
  </si>
  <si>
    <t>FRCP_y24</t>
  </si>
  <si>
    <t>2011-12</t>
  </si>
  <si>
    <t>PRCP_y25</t>
  </si>
  <si>
    <t>CRCP_y25</t>
  </si>
  <si>
    <t>FRCP_y25</t>
  </si>
  <si>
    <t>2012-13</t>
  </si>
  <si>
    <t>2013-14</t>
  </si>
  <si>
    <t>2014-15</t>
  </si>
  <si>
    <t>2015-16</t>
  </si>
  <si>
    <t>2016-17</t>
  </si>
  <si>
    <t>2017-18</t>
  </si>
  <si>
    <t>2018-19</t>
  </si>
  <si>
    <t>2019-20</t>
  </si>
  <si>
    <t>2020-21</t>
  </si>
  <si>
    <t>2021-22</t>
  </si>
  <si>
    <t>CRY - FRY</t>
  </si>
  <si>
    <t>2022-23</t>
  </si>
  <si>
    <t>dms_y1</t>
  </si>
  <si>
    <t>dms_y2</t>
  </si>
  <si>
    <t>2024-25</t>
  </si>
  <si>
    <t>dms_y3</t>
  </si>
  <si>
    <t>2025-26</t>
  </si>
  <si>
    <t>dms_y4</t>
  </si>
  <si>
    <t>2026-27</t>
  </si>
  <si>
    <t>dms_y5</t>
  </si>
  <si>
    <t>2027-28</t>
  </si>
  <si>
    <t>dms_y6</t>
  </si>
  <si>
    <t>2028-29</t>
  </si>
  <si>
    <t>dms_y7</t>
  </si>
  <si>
    <t>2029-30</t>
  </si>
  <si>
    <t>dms_y8</t>
  </si>
  <si>
    <t>2030-31</t>
  </si>
  <si>
    <t>dms_y9</t>
  </si>
  <si>
    <t>2031-32</t>
  </si>
  <si>
    <t>dms_y10</t>
  </si>
  <si>
    <t>2032-33</t>
  </si>
  <si>
    <t>dms_y11</t>
  </si>
  <si>
    <t>2033-34</t>
  </si>
  <si>
    <t>dms_y12</t>
  </si>
  <si>
    <t>2034-35</t>
  </si>
  <si>
    <t>dms_y13</t>
  </si>
  <si>
    <t>2035-36</t>
  </si>
  <si>
    <t>dms_y14</t>
  </si>
  <si>
    <t>2036-37</t>
  </si>
  <si>
    <t>dms_y15</t>
  </si>
  <si>
    <t>2037-38</t>
  </si>
  <si>
    <t>dms_y16</t>
  </si>
  <si>
    <t>2038-39</t>
  </si>
  <si>
    <t>dms_y17</t>
  </si>
  <si>
    <t>2039-40</t>
  </si>
  <si>
    <t>dms_y18</t>
  </si>
  <si>
    <t>2040-41</t>
  </si>
  <si>
    <t>dms_y19</t>
  </si>
  <si>
    <t>2041-42</t>
  </si>
  <si>
    <t>dms_y20</t>
  </si>
  <si>
    <t>2042-43</t>
  </si>
  <si>
    <t>dms_y21</t>
  </si>
  <si>
    <t>2043-44</t>
  </si>
  <si>
    <t>dms_y22</t>
  </si>
  <si>
    <t>2044-45</t>
  </si>
  <si>
    <t>dms_y23</t>
  </si>
  <si>
    <t>2045-46</t>
  </si>
  <si>
    <t>dms_y24</t>
  </si>
  <si>
    <t>2046-47</t>
  </si>
  <si>
    <t>dms_y25</t>
  </si>
  <si>
    <t>2047-48</t>
  </si>
  <si>
    <t>dms_y26</t>
  </si>
  <si>
    <t>2048-49</t>
  </si>
  <si>
    <t>2049</t>
  </si>
  <si>
    <t>2049-50</t>
  </si>
  <si>
    <t>2050</t>
  </si>
  <si>
    <t>BUSINESS &amp; OTHER DETAILS</t>
  </si>
  <si>
    <t>INSTRUCTIONS</t>
  </si>
  <si>
    <r>
      <t xml:space="preserve">Complete the following business details regulatory template </t>
    </r>
    <r>
      <rPr>
        <sz val="12"/>
        <color rgb="FFFF0000"/>
        <rFont val="Arial"/>
        <family val="2"/>
      </rPr>
      <t>before</t>
    </r>
    <r>
      <rPr>
        <sz val="12"/>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</si>
  <si>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</si>
  <si>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DRAFT TEMPLATE ONLY</t>
  </si>
  <si>
    <t>DO NOT USE FOR SUBMISSIONS</t>
  </si>
  <si>
    <t>ENTITY DETAILS</t>
  </si>
  <si>
    <t>Business Name</t>
  </si>
  <si>
    <t>Short name</t>
  </si>
  <si>
    <t>ACN/ABN</t>
  </si>
  <si>
    <t>UID</t>
  </si>
  <si>
    <t>Business Address</t>
  </si>
  <si>
    <t>Postal Address</t>
  </si>
  <si>
    <t>Address 1</t>
  </si>
  <si>
    <t>Address 2</t>
  </si>
  <si>
    <t>Suburb</t>
  </si>
  <si>
    <t>State</t>
  </si>
  <si>
    <t>Post code</t>
  </si>
  <si>
    <t>`</t>
  </si>
  <si>
    <t>Contact Names</t>
  </si>
  <si>
    <t>Phone</t>
  </si>
  <si>
    <t>Email</t>
  </si>
  <si>
    <t>REGULATORY CONTROL PERIODS</t>
  </si>
  <si>
    <t>Forthcoming period</t>
  </si>
  <si>
    <t>RESETS</t>
  </si>
  <si>
    <t>Commencing year</t>
  </si>
  <si>
    <t>ANNUAL RINS</t>
  </si>
  <si>
    <t>Final year</t>
  </si>
  <si>
    <t>SUBMISSION DETAILS</t>
  </si>
  <si>
    <t>RIN type</t>
  </si>
  <si>
    <t>Source</t>
  </si>
  <si>
    <t>THIS FILE</t>
  </si>
  <si>
    <t>Data Quality</t>
  </si>
  <si>
    <t>Consolidated</t>
  </si>
  <si>
    <t>Confidentiality Status</t>
  </si>
  <si>
    <t>Public</t>
  </si>
  <si>
    <t>Amended RIN 
Amendment Reason</t>
  </si>
  <si>
    <t>.</t>
  </si>
  <si>
    <t>Submission Date</t>
  </si>
  <si>
    <t>dd/mm/yy</t>
  </si>
  <si>
    <t>Please enter date this file submitted to AER</t>
  </si>
  <si>
    <t>AER ETL INFORMATION</t>
  </si>
  <si>
    <t>USES NAMED RANGES FLAG</t>
  </si>
  <si>
    <t>yes</t>
  </si>
  <si>
    <t>dms_Defined_Names_Used</t>
  </si>
  <si>
    <t>IF THIS IS AN ABC RIN - make sure the the named range CRY is applied and the named range dms_dollar_nom_UOM is applied</t>
  </si>
  <si>
    <t>IF THIS IS A RESET RIN - make sure the named ranges CRY and dms_dollar_nom_UOM are NOT present in the workbook</t>
  </si>
  <si>
    <t>FOR ABC RINS THAT SPAN MULTIPLE YEARS - make sure MultiYear Flag is set and final year entered as required</t>
  </si>
  <si>
    <t>Full trading name</t>
  </si>
  <si>
    <t>dms_TradingNameFull</t>
  </si>
  <si>
    <t>Trading name</t>
  </si>
  <si>
    <t>Unique ID</t>
  </si>
  <si>
    <t>Selected here</t>
  </si>
  <si>
    <t>Model / RIN</t>
  </si>
  <si>
    <t>dms_Model</t>
  </si>
  <si>
    <r>
      <t xml:space="preserve">Read from </t>
    </r>
    <r>
      <rPr>
        <i/>
        <sz val="11"/>
        <color theme="1"/>
        <rFont val="Calibri"/>
        <family val="2"/>
        <scheme val="minor"/>
      </rPr>
      <t>Business &amp; other details</t>
    </r>
  </si>
  <si>
    <t>Final decision</t>
  </si>
  <si>
    <t>dms_Source</t>
  </si>
  <si>
    <t>Data quality</t>
  </si>
  <si>
    <t>For DB purposes this is always Consoldiated</t>
  </si>
  <si>
    <t>Data status</t>
  </si>
  <si>
    <t>For DB purposes this is always Public</t>
  </si>
  <si>
    <t>Amendment reason</t>
  </si>
  <si>
    <t>dms_AmendmentReason</t>
  </si>
  <si>
    <t>Submission date</t>
  </si>
  <si>
    <t>dms_SubmissionDate</t>
  </si>
  <si>
    <t>Redundant</t>
  </si>
  <si>
    <t>EBSS - First application of scheme in forthcoming period?</t>
  </si>
  <si>
    <t>No</t>
  </si>
  <si>
    <t>Pre-populated from lookup table</t>
  </si>
  <si>
    <t>Data ingestion data quality</t>
  </si>
  <si>
    <t>dms_DataQuality</t>
  </si>
  <si>
    <t>Always Consolidated</t>
  </si>
  <si>
    <t>Sector</t>
  </si>
  <si>
    <t>dms_Sector</t>
  </si>
  <si>
    <t>=INDEX(dms_Sector_List,MATCH(dms_TradingName,dms_TradingName_List))</t>
  </si>
  <si>
    <t>Segment</t>
  </si>
  <si>
    <t>dms_Segment</t>
  </si>
  <si>
    <t>=INDEX(dms_Segment_List,MATCH(dms_TradingName,dms_TradingName_List))</t>
  </si>
  <si>
    <t>Regulatory Year Ending</t>
  </si>
  <si>
    <t>dms_RYE</t>
  </si>
  <si>
    <t>=IF(dms_MultiYear_Flag=1,LEFT(dms_Specified_FinalYear,2)&amp;RIGHT(dms_Specified_FinalYear,2),dms_RYE_result)</t>
  </si>
  <si>
    <t>Reporting Period Type</t>
  </si>
  <si>
    <t>dms_RPT</t>
  </si>
  <si>
    <t>=INDEX(dms_RPT_List,MATCH(dms_TradingName,dms_TradingName_List))</t>
  </si>
  <si>
    <t>EB/CA Unit of Measure for Monetary Values</t>
  </si>
  <si>
    <t>$0s</t>
  </si>
  <si>
    <t>dms_dollar_nom_UOM</t>
  </si>
  <si>
    <t>Security Classification</t>
  </si>
  <si>
    <t>dms_Classification</t>
  </si>
  <si>
    <t>Always Public</t>
  </si>
  <si>
    <t>Jurisdiction</t>
  </si>
  <si>
    <t>dms_Jurisdiction</t>
  </si>
  <si>
    <t>=INDEX(dms_JurisdictionList,MATCH(dms_TradingName,dms_TradingName_List))</t>
  </si>
  <si>
    <t>Relevant for PTRM, RFMs and Reset RINS</t>
  </si>
  <si>
    <t>$ REAL REFERENCES</t>
  </si>
  <si>
    <t xml:space="preserve">Does the named range CRY exist in this file? </t>
  </si>
  <si>
    <t>CRY-1  (last full calendar year before CRY)</t>
  </si>
  <si>
    <t>dms_Cal_Year_B4_CRY</t>
  </si>
  <si>
    <t>'=IF(dms_RPT="financial",VALUE(LEFT(dms_SingleYear_FinalYear_Result,4)),VALUE(LEFT(dms_SingleYear_FinalYear_Result,4)-1))</t>
  </si>
  <si>
    <t>Dollar $ real month</t>
  </si>
  <si>
    <t>dms_RPTMonth</t>
  </si>
  <si>
    <t>=INDEX(dms_RPTMonth_List,MATCH(dms_TradingName,dms_TradingName_List))</t>
  </si>
  <si>
    <t>Dollar $ real  (the last month before the FRCP_y1)</t>
  </si>
  <si>
    <t>dms_DollarReal</t>
  </si>
  <si>
    <t>=IF(dms_Model="RFM",dms_DollarReal_Prev, IF(dms_SingleYearModel="yes",CONCATENATE(dms_RPTMonth)&amp;" "&amp;VALUE((LEFT(dms_CRY_start_year,2)&amp;RIGHT(dms_CRY_start_year,2))),CONCATENATE(dms_RPTMonth)&amp;" "&amp;dms_DollarReal_year))</t>
  </si>
  <si>
    <t>Dollar $ real previous year (PRCP_y5)</t>
  </si>
  <si>
    <t>dms_DollarReal_Prev</t>
  </si>
  <si>
    <t>=IF(SUM(dms_SingleYear_Model)&gt;0,CONCATENATE(dms_RPTMonth)&amp;" "&amp;VALUE(((LEFT(CRY,2))&amp;RIGHT(CRY,2))-1),CONCATENATE(dms_RPTMonth)&amp;" "&amp;VALUE(((LEFT(dms_CRCP_FirstYear_Result,2)&amp;RIGHT(dms_CRCP_FirstYear_Result,2))))-1)</t>
  </si>
  <si>
    <t>PTRM/ RFMs</t>
  </si>
  <si>
    <t>Form of control</t>
  </si>
  <si>
    <t>dms_FormControl</t>
  </si>
  <si>
    <t>=INDEX(dms_FormControl_List,MATCH(dms_TradingName,dms_TradingName_List))</t>
  </si>
  <si>
    <t>All potential values for Regulatory Years or RYEs as calculated</t>
  </si>
  <si>
    <t>This block works out the various RYE's for ALL RIN types and MODELS</t>
  </si>
  <si>
    <t>dms_start_year</t>
  </si>
  <si>
    <t>=FRCP_y1</t>
  </si>
  <si>
    <r>
      <rPr>
        <b/>
        <sz val="11"/>
        <color theme="1"/>
        <rFont val="Calibri"/>
        <family val="2"/>
        <scheme val="minor"/>
      </rPr>
      <t>FRCP_y1</t>
    </r>
    <r>
      <rPr>
        <sz val="11"/>
        <color theme="1"/>
        <rFont val="Calibri"/>
        <family val="2"/>
        <scheme val="minor"/>
      </rPr>
      <t xml:space="preserve"> from cover sheet</t>
    </r>
  </si>
  <si>
    <t>dms_CRY_start_year</t>
  </si>
  <si>
    <t>=IFERROR(CRY,CRCP_y4)</t>
  </si>
  <si>
    <t>dms_CRY_start_row</t>
  </si>
  <si>
    <t>=IFERROR(MATCH(dms_CRY_start_year,INDIRECT(dms_RPT),0),0)</t>
  </si>
  <si>
    <t>dms_FRCP_start_row</t>
  </si>
  <si>
    <t>=MATCH(dms_start_year,INDIRECT(dms_RPT),0)</t>
  </si>
  <si>
    <r>
      <t xml:space="preserve">Uses </t>
    </r>
    <r>
      <rPr>
        <b/>
        <sz val="11"/>
        <color theme="1"/>
        <rFont val="Calibri"/>
        <family val="2"/>
        <scheme val="minor"/>
      </rPr>
      <t>FRCP_y1</t>
    </r>
    <r>
      <rPr>
        <sz val="11"/>
        <color theme="1"/>
        <rFont val="Calibri"/>
        <family val="2"/>
        <scheme val="minor"/>
      </rPr>
      <t xml:space="preserve"> as a start reference</t>
    </r>
  </si>
  <si>
    <t>dms_CRCP_start_row</t>
  </si>
  <si>
    <t>=dms_FRCP_start_row-dms_CRCPlength_Num</t>
  </si>
  <si>
    <r>
      <t xml:space="preserve">Uses the value in </t>
    </r>
    <r>
      <rPr>
        <b/>
        <sz val="11"/>
        <color theme="1"/>
        <rFont val="Calibri"/>
        <family val="2"/>
        <scheme val="minor"/>
      </rPr>
      <t>dms_CRCPlength_Num</t>
    </r>
  </si>
  <si>
    <t>dms_PRCP_start_row</t>
  </si>
  <si>
    <t>=dms_FRCP_start_row-dms_CRCPlength_Num-dms_PRCPlength_Num</t>
  </si>
  <si>
    <r>
      <t xml:space="preserve">Uses the value in </t>
    </r>
    <r>
      <rPr>
        <b/>
        <sz val="11"/>
        <color theme="1"/>
        <rFont val="Calibri"/>
        <family val="2"/>
        <scheme val="minor"/>
      </rPr>
      <t>dms_CRCPlength_Num</t>
    </r>
    <r>
      <rPr>
        <sz val="11"/>
        <color theme="1"/>
        <rFont val="Calibri"/>
        <family val="2"/>
        <scheme val="minor"/>
      </rPr>
      <t xml:space="preserve"> and </t>
    </r>
    <r>
      <rPr>
        <b/>
        <sz val="11"/>
        <color theme="1"/>
        <rFont val="Calibri"/>
        <family val="2"/>
        <scheme val="minor"/>
      </rPr>
      <t>dms_PRCPlength_Num</t>
    </r>
  </si>
  <si>
    <t>dms_RYE_start_row</t>
  </si>
  <si>
    <t>=dms_FRCP_start_row+(dms_FRCPlength_Num-1)</t>
  </si>
  <si>
    <r>
      <t xml:space="preserve">Uses the value in </t>
    </r>
    <r>
      <rPr>
        <b/>
        <sz val="11"/>
        <color theme="1"/>
        <rFont val="Calibri"/>
        <family val="2"/>
        <scheme val="minor"/>
      </rPr>
      <t>dms_FRCPlength_Num-1</t>
    </r>
  </si>
  <si>
    <t>FRCP_start_year</t>
  </si>
  <si>
    <t>=INDEX(INDIRECT(dms_RPT),dms_FRCP_start_row)</t>
  </si>
  <si>
    <t>Converts the FRCP start row to display the year</t>
  </si>
  <si>
    <t>CRCP_start_year</t>
  </si>
  <si>
    <t>=INDEX(INDIRECT(dms_RPT),dms_CRCP_start_row)</t>
  </si>
  <si>
    <t>Converts the CRCP start row to display the year</t>
  </si>
  <si>
    <t>PRCP_start_year</t>
  </si>
  <si>
    <t>=INDEX(INDIRECT(dms_RPT),dms_PRCP_start_row)</t>
  </si>
  <si>
    <t>Converts the PRCP start row to display the year</t>
  </si>
  <si>
    <t>FRCP_final_year</t>
  </si>
  <si>
    <t>=INDEX(INDIRECT(dms_RPT),dms_FRCP_start_row+dms_FRCPlength_Num-1)</t>
  </si>
  <si>
    <t>Finds the FRCP final year</t>
  </si>
  <si>
    <t>CRCP_final_year</t>
  </si>
  <si>
    <t>=INDEX(INDIRECT(dms_RPT),dms_CRCP_start_row+dms_CRCPlength_Num-1)</t>
  </si>
  <si>
    <t>Finds the CRCP final year</t>
  </si>
  <si>
    <t>PRCP_final_year</t>
  </si>
  <si>
    <t>=INDEX(INDIRECT(dms_RPT),dms_PRCP_start_row+dms_FRCPlength_Num-1)</t>
  </si>
  <si>
    <t>Finds the PRCP final year</t>
  </si>
  <si>
    <t>dms_Reset_final_year</t>
  </si>
  <si>
    <t>=INDEX(INDIRECT(dms_RPT),dms_RYE_start_row)</t>
  </si>
  <si>
    <t>For Resets and PTRM/RFMs (same as FRCP_final_year)</t>
  </si>
  <si>
    <t>dms_SpecifiedYear_final_year</t>
  </si>
  <si>
    <t>=FRY</t>
  </si>
  <si>
    <r>
      <rPr>
        <b/>
        <sz val="11"/>
        <color theme="1"/>
        <rFont val="Calibri"/>
        <family val="2"/>
        <scheme val="minor"/>
      </rPr>
      <t xml:space="preserve">FRY </t>
    </r>
    <r>
      <rPr>
        <sz val="11"/>
        <color theme="1"/>
        <rFont val="Calibri"/>
        <family val="2"/>
        <scheme val="minor"/>
      </rPr>
      <t>from cover sheet</t>
    </r>
  </si>
  <si>
    <t>dms_DollarReal_year</t>
  </si>
  <si>
    <t>=LEFT(CRCP_final_year,2)&amp;RIGHT(CRCP_final_year,2)</t>
  </si>
  <si>
    <r>
      <t xml:space="preserve">Uses the value in </t>
    </r>
    <r>
      <rPr>
        <b/>
        <sz val="11"/>
        <color theme="1"/>
        <rFont val="Calibri"/>
        <family val="2"/>
        <scheme val="minor"/>
      </rPr>
      <t>CRCP_final_year</t>
    </r>
  </si>
  <si>
    <t>dms_Previous_DollarReal_year</t>
  </si>
  <si>
    <t>=LEFT(PRCP_final_year,2)&amp;RIGHT(PRCP_final_year,2)</t>
  </si>
  <si>
    <r>
      <t>Uses the value in P</t>
    </r>
    <r>
      <rPr>
        <b/>
        <sz val="11"/>
        <color theme="1"/>
        <rFont val="Calibri"/>
        <family val="2"/>
        <scheme val="minor"/>
      </rPr>
      <t>RCP_final_year</t>
    </r>
  </si>
  <si>
    <t>dms_CRY_RYE</t>
  </si>
  <si>
    <t>=IFERROR(LEFT(CRY,2)&amp;RIGHT(CRY,2),0)</t>
  </si>
  <si>
    <t>For ABC single year RINS</t>
  </si>
  <si>
    <t>dms_Reset_RYE</t>
  </si>
  <si>
    <t>=IF(dms_Model_Span&gt;1,IF(dms_Model="RFM",(LEFT(dms_DollarReal_year,2)&amp;RIGHT(dms_DollarReal_year,2)),(LEFT(dms_Reset_final_year,2)&amp;RIGHT(dms_Reset_final_year,2))),0)</t>
  </si>
  <si>
    <r>
      <t xml:space="preserve">If model span &gt; 1 then uses </t>
    </r>
    <r>
      <rPr>
        <b/>
        <sz val="11"/>
        <color theme="1"/>
        <rFont val="Calibri"/>
        <family val="2"/>
        <scheme val="minor"/>
      </rPr>
      <t xml:space="preserve">dms_Reset_RYE </t>
    </r>
    <r>
      <rPr>
        <sz val="11"/>
        <color theme="1"/>
        <rFont val="Calibri"/>
        <family val="2"/>
        <scheme val="minor"/>
      </rPr>
      <t>otherwise it's a multi year ABC and uses</t>
    </r>
    <r>
      <rPr>
        <b/>
        <sz val="11"/>
        <color theme="1"/>
        <rFont val="Calibri"/>
        <family val="2"/>
        <scheme val="minor"/>
      </rPr>
      <t xml:space="preserve"> dms_Specified_RYE</t>
    </r>
  </si>
  <si>
    <t>dms_Specified_RYE</t>
  </si>
  <si>
    <t>=IF(dms_MultiYear_ResponseFlag="Yes",(LEFT(dms_Specified_FinalYear,2)&amp;RIGHT(dms_Specified_FinalYear,2)),0)</t>
  </si>
  <si>
    <r>
      <t xml:space="preserve">If multi year ABC - uses </t>
    </r>
    <r>
      <rPr>
        <b/>
        <sz val="11"/>
        <color theme="1"/>
        <rFont val="Calibri"/>
        <family val="2"/>
        <scheme val="minor"/>
      </rPr>
      <t>dms_Specified_FinalYear</t>
    </r>
  </si>
  <si>
    <t>dms_Model_Span</t>
  </si>
  <si>
    <t>=INDEX(dms_Model_Span_List,MATCH(dms_Model,dms_Model_List))</t>
  </si>
  <si>
    <t>A result of 5 is used to signify that it is more than 1 year span</t>
  </si>
  <si>
    <t>dms_RYE_result</t>
  </si>
  <si>
    <t>=IF(dms_MultiYear_ResponseFlag="yes",dms_Specified_RYE,(IF(dms_Model_Span&gt;1,dms_Reset_RYE,dms_CRY_RYE)))</t>
  </si>
  <si>
    <r>
      <t xml:space="preserve">Nested IF - feeds into </t>
    </r>
    <r>
      <rPr>
        <b/>
        <sz val="11"/>
        <color theme="1"/>
        <rFont val="Calibri"/>
        <family val="2"/>
        <scheme val="minor"/>
      </rPr>
      <t>dms_RYE</t>
    </r>
  </si>
  <si>
    <t>dms_Reset_Span</t>
  </si>
  <si>
    <t>=IF(dms_Reset_RYE&gt;0,CONCATENATE(FRCP_y1," to ",FRCP_final_year),0)</t>
  </si>
  <si>
    <t>Reset span of years as text</t>
  </si>
  <si>
    <t>dms_SpecifiedYear_Span</t>
  </si>
  <si>
    <t>=IF(dms_Specified_RYE&gt;0,CONCATENATE(CRY," to ",dms_Specified_FinalYear),0)</t>
  </si>
  <si>
    <t>Multi year ABC span of years as text</t>
  </si>
  <si>
    <t>dms_Header_Span</t>
  </si>
  <si>
    <t>=IF(dms_MultiYear_Flag=1,dms_SpecifiedYear_Span,IF(dms_Model_Span&gt;1,dms_Reset_Span,CRY))</t>
  </si>
  <si>
    <r>
      <t xml:space="preserve">NESTED IF - for </t>
    </r>
    <r>
      <rPr>
        <b/>
        <sz val="11"/>
        <color theme="1"/>
        <rFont val="Calibri"/>
        <family val="2"/>
        <scheme val="minor"/>
      </rPr>
      <t>Sheet Headers</t>
    </r>
  </si>
  <si>
    <t>ABC RINS THAT SPAN MULTIPLE YEARS</t>
  </si>
  <si>
    <t>This is a multi year ABC RIN?</t>
  </si>
  <si>
    <t>dms_MultiYear_Flag</t>
  </si>
  <si>
    <t>This is set from the answer provided above</t>
  </si>
  <si>
    <t>dms_Specified_FinalYear</t>
  </si>
  <si>
    <t>The result here is returned to dms_CRCP_FinalYear_Result if response to Q in C73 is "yes" and dms_MultiYear_Flag is set to 1</t>
  </si>
  <si>
    <t xml:space="preserve"> Start year for 5.2 in Multi year ABC RINS</t>
  </si>
  <si>
    <t>dms_0502_Inst_Year</t>
  </si>
  <si>
    <t>=IF(dms_MultiYear_Flag=1,FRY,CRY)</t>
  </si>
  <si>
    <t>For single year RINS this is CRY - multi year RINS need to start a the end of the span of years (ie. FRY)</t>
  </si>
  <si>
    <t>WHAT IS THE RYE?</t>
  </si>
  <si>
    <t>Reg Period Lengths</t>
  </si>
  <si>
    <t>PRCP length in years</t>
  </si>
  <si>
    <t>dms_PRCPlength_Num</t>
  </si>
  <si>
    <t>=INDEX(dms_PRCPlength_List,MATCH(dms_TradingName,dms_TradingName_List))</t>
  </si>
  <si>
    <t>CRCP length in years</t>
  </si>
  <si>
    <t>dms_CRCPlength_Num</t>
  </si>
  <si>
    <t>=INDEX(dms_CRCPlength_List,MATCH(dms_TradingName,dms_TradingName_List))</t>
  </si>
  <si>
    <t>FRCP length in years</t>
  </si>
  <si>
    <t>dms_FRCPlength_Num</t>
  </si>
  <si>
    <t>=INDEX(dms_FRCPlength_List,MATCH(dms_TradingName,dms_TradingName_List))</t>
  </si>
  <si>
    <t>Single year RIN?</t>
  </si>
  <si>
    <t>Single Year ABC RIN ?</t>
  </si>
  <si>
    <t>dms_EB</t>
  </si>
  <si>
    <t>dms_CA</t>
  </si>
  <si>
    <t>=dms_SingleYear_Model</t>
  </si>
  <si>
    <t>dms_ARR</t>
  </si>
  <si>
    <t>Is this a single Year ABC RIN?</t>
  </si>
  <si>
    <t>dms_SingleYearModel</t>
  </si>
  <si>
    <t>=IF(SUM(dms_SingleYear_Model)=1,"yes","no")</t>
  </si>
  <si>
    <t>Single Year Final Year Result</t>
  </si>
  <si>
    <t>dms_SingleYear_FinalYear_Result</t>
  </si>
  <si>
    <t>=IFERROR(IF(SUM(dms_SingleYear_Model)&lt;&gt;0,(INDIRECT(dms_SingleYear_FinalYear_Ref)),"not a single year RIN"),"CRY not present")</t>
  </si>
  <si>
    <t>Multi year RIN?</t>
  </si>
  <si>
    <t>Multi Year Reset/Model?</t>
  </si>
  <si>
    <t>Final year result for Reset/Model</t>
  </si>
  <si>
    <t>dms_MultiYear_FinalYear_Result</t>
  </si>
  <si>
    <t>dms_CRCP_FinalYear_Result</t>
  </si>
  <si>
    <t>Multi Year ABC RIN?</t>
  </si>
  <si>
    <t>dms_MultiYear_ABC_RIN</t>
  </si>
  <si>
    <t>Final year result for ABC multi year</t>
  </si>
  <si>
    <t>EB RINS</t>
  </si>
  <si>
    <t>Calendar Year for table 3.6 data</t>
  </si>
  <si>
    <t>dms_0306_Year</t>
  </si>
  <si>
    <t>=IF(dms_Segment="Transmission",dms_Cal_Year_B4_CRY,CRY)</t>
  </si>
  <si>
    <t>CA RINS</t>
  </si>
  <si>
    <t>Find how many rows in tables 6.3 sustained interruptions?</t>
  </si>
  <si>
    <t>dms_060301_MaxRows only returns a valid value when cover sheet is attached to a CA file</t>
  </si>
  <si>
    <t>=IF(dms_Model&lt;&gt;"CA","not a CA","Is a CA")</t>
  </si>
  <si>
    <t>dms_060301_Avg_Duration_Sustained_Int_Values present?</t>
  </si>
  <si>
    <t>dms_060301_checkvalue</t>
  </si>
  <si>
    <t>=IFERROR(IF(INDEX(dms_060301_Avg_Duration_Sustained_Int_Values,1,1)&lt;&gt;"","yes","no"),"no")</t>
  </si>
  <si>
    <t>=IF(AND(dms_Model="CA",(dms_060301_checkvalue="no")),"error - NR not present","no errors")</t>
  </si>
  <si>
    <t>Table 6.3.1 - last row reference</t>
  </si>
  <si>
    <t>dms_060301_LastRow</t>
  </si>
  <si>
    <t>=IFERROR(IF(dms_Model="CA",LOOKUP(2,1/(dms_060301_Avg_Duration_Sustained_Int_Values&lt;&gt;""),(ROW(dms_060301_Avg_Duration_Sustained_Int_Values))),"not a CA"),"6.3 not present")</t>
  </si>
  <si>
    <t>Table 6.3.1 - max number rows</t>
  </si>
  <si>
    <t>dms_060301_MaxRows</t>
  </si>
  <si>
    <t>=IFERROR(IF(dms_Model="CA",(dms_060301_LastRow-15),"not a CA"),"error")</t>
  </si>
  <si>
    <t>Table 6.6.3 - Public lighting repair - no. business days</t>
  </si>
  <si>
    <t>dms_663</t>
  </si>
  <si>
    <t>=INDEX(dms_663_List,MATCH(dms_TradingName,dms_TradingName_List))</t>
  </si>
  <si>
    <t>ARR or RESET RINS</t>
  </si>
  <si>
    <t>How many rows in tables 6.1 or 6.7?  (leap year?)</t>
  </si>
  <si>
    <r>
      <t xml:space="preserve">insert </t>
    </r>
    <r>
      <rPr>
        <i/>
        <u/>
        <sz val="10"/>
        <color theme="0" tint="-0.499984740745262"/>
        <rFont val="Arial"/>
        <family val="2"/>
      </rPr>
      <t>dms_LeapYear</t>
    </r>
    <r>
      <rPr>
        <i/>
        <sz val="10"/>
        <color theme="0" tint="-0.499984740745262"/>
        <rFont val="Arial"/>
        <family val="2"/>
      </rPr>
      <t xml:space="preserve"> NR if required</t>
    </r>
  </si>
  <si>
    <t>'dms_LeapYear is used to determine dms_060701_Max_Rows BUT it is only found on worksheet 6.1 or 6.7 and the date value in the cell is used to determine whether it is a leap year</t>
  </si>
  <si>
    <t>Is dms_LeapYear named range present?</t>
  </si>
  <si>
    <t>Table 6.7.1 - includes a leap year?</t>
  </si>
  <si>
    <t>dms_LeapYear_Result</t>
  </si>
  <si>
    <t>=IFERROR(IF(MONTH(DATE(YEAR(dms_LeapYear),2,29))=2,"is a leap year","not a leap year"),"dms_LeapYear not present")</t>
  </si>
  <si>
    <t>MaxRows if Reset and leap year</t>
  </si>
  <si>
    <t>dms_060701_Reset_MaxRows</t>
  </si>
  <si>
    <t>=IF(dms_LeapYear_Result="is a leap year",1827,1826)</t>
  </si>
  <si>
    <t>number of days present in Reset RIN table</t>
  </si>
  <si>
    <t>MaxRows if ARR and leap year</t>
  </si>
  <si>
    <t>dms_060701_ARR_MaxRows</t>
  </si>
  <si>
    <t>=IF(dms_LeapYear_Result="is a leap year",366,365)</t>
  </si>
  <si>
    <t>number of days present in ARR RIN table</t>
  </si>
  <si>
    <t>Table 6.7.1 - Max Rows (leap year/ non leap year)</t>
  </si>
  <si>
    <t>dms_060701_MaxRows</t>
  </si>
  <si>
    <t>=IF(dms_Model="ARR",dms_060701_ARR_MaxRows,IF(dms_Model="Reset",dms_060701_Reset_MaxRows,"not a relevant RIN type"))</t>
  </si>
  <si>
    <t>How many columns in 6.7?   (4 or 5 feeder categories)</t>
  </si>
  <si>
    <t>Table 6.7.1 - Last column (# of feeder categories &gt; 4)</t>
  </si>
  <si>
    <t>dms_060701_MaxCols</t>
  </si>
  <si>
    <t>=IF(dms_FifthFeeder_flag_NSP="NO",8,10)</t>
  </si>
  <si>
    <t>Table 6.7.1 - Number of offset rows</t>
  </si>
  <si>
    <t>dms_060701_OffsetRows</t>
  </si>
  <si>
    <t>=IF(dms_Model="ARR",15,9)</t>
  </si>
  <si>
    <t>Start date for telephone answering in 6.1 or 6.7?</t>
  </si>
  <si>
    <r>
      <t>Using</t>
    </r>
    <r>
      <rPr>
        <i/>
        <sz val="10"/>
        <color theme="4" tint="-0.499984740745262"/>
        <rFont val="Arial"/>
        <family val="2"/>
      </rPr>
      <t xml:space="preserve"> 060101</t>
    </r>
    <r>
      <rPr>
        <sz val="10"/>
        <color theme="4" tint="-0.499984740745262"/>
        <rFont val="Arial"/>
        <family val="2"/>
      </rPr>
      <t xml:space="preserve"> as naming standard not 060701 for start dates</t>
    </r>
  </si>
  <si>
    <t>Table 6.1.1 and 6.7.1 - Start Date as Text</t>
  </si>
  <si>
    <t>dms_060101_StartDateTxt</t>
  </si>
  <si>
    <t>=IF(SUM(dms_SingleYear_Model)&gt;1,(CONCATENATE(IF(LEN(CRY)=4,"1-Jan-","1-Jul-"),LEFT(CRY,4))),(CONCATENATE(IF(LEN(CRCP_y4)=4,"1-Jan-","1-Jul-"),LEFT(CRCP_y4,4))))</t>
  </si>
  <si>
    <t>Table 6.1.1 and 6.7.1 - Start Date as Date Value</t>
  </si>
  <si>
    <t>dms_060101_StartDateVal</t>
  </si>
  <si>
    <t>=DATEVALUE(dms_060701_StartDateTxt)</t>
  </si>
  <si>
    <t>Does the NSP report MAIFI or MAIFIe</t>
  </si>
  <si>
    <t>dms_MAIFI_Flag</t>
  </si>
  <si>
    <t>ARRs</t>
  </si>
  <si>
    <t>How many rows in table 6.8?</t>
  </si>
  <si>
    <t>insert dms_060801_StartCell NR if required</t>
  </si>
  <si>
    <r>
      <t xml:space="preserve">dms_060801_StartCell </t>
    </r>
    <r>
      <rPr>
        <i/>
        <sz val="10"/>
        <color theme="0" tint="-0.499984740745262"/>
        <rFont val="Arial"/>
        <family val="2"/>
      </rPr>
      <t>is only found on worksheet 6.8 and is used to determine the starting date for the date range</t>
    </r>
  </si>
  <si>
    <t>Is dms_060801_StartCell named range present?</t>
  </si>
  <si>
    <t>Must be present for ARRs</t>
  </si>
  <si>
    <t>=IFERROR(IF((ROW(dms_060801_StartCell)-1)=1,"yes","yes"),"no")</t>
  </si>
  <si>
    <t>Table 6.8 - Number of offset rows</t>
  </si>
  <si>
    <t>dms_0608_OffsetRows</t>
  </si>
  <si>
    <t>=IFERROR(IF(dms_Model="ARR",(ROW(dms_060801_StartCell)-1),"not an ARR"),"6.8 error")</t>
  </si>
  <si>
    <t>Table 6.8 - Last row</t>
  </si>
  <si>
    <t>dms_0608_LastRow</t>
  </si>
  <si>
    <t>=IFERROR(IF(dms_060801_StartCell&lt;&gt;"",IF(dms_Model="ARR",(LOOKUP(2,1/(dms_060801_01_Values&lt;&gt;""),(ROW(dms_060801_01_Values)))),"not an ARR"),0),"0")</t>
  </si>
  <si>
    <t>Table 6.8 - MaxRows</t>
  </si>
  <si>
    <t>dms_060801_MaxRows</t>
  </si>
  <si>
    <t>=IFERROR(IF(dms_Model="ARR",(MAX(0,dms_0608_LastRow-dms_0608_OffsetRows)),"not an ARR"),"0")</t>
  </si>
  <si>
    <t>TNSP RESET RINS</t>
  </si>
  <si>
    <t>Table 7.9.4 only appears in TNSPs Reset RIN</t>
  </si>
  <si>
    <t>Table 7.9.4 - first year</t>
  </si>
  <si>
    <t>dms_070904_Start_Year</t>
  </si>
  <si>
    <t>=LEFT(PRCP_y3,4)</t>
  </si>
  <si>
    <t>MISC</t>
  </si>
  <si>
    <t>Distribution Determination Reference</t>
  </si>
  <si>
    <t>dms_DeterminationRef</t>
  </si>
  <si>
    <t>Public lighting NSP?</t>
  </si>
  <si>
    <t>dms_Public_Lighting</t>
  </si>
  <si>
    <t>=INDEX(dms_Public_Lighting_List,MATCH(dms_TradingName,dms_TradingName_List))</t>
  </si>
  <si>
    <t>CBD Feeder for this business</t>
  </si>
  <si>
    <t>dms_CBD_flag_NSP</t>
  </si>
  <si>
    <t>Urban Feeder for this business</t>
  </si>
  <si>
    <t>dms_Urban_flag_NSP</t>
  </si>
  <si>
    <t>Short rural Feeder for this business</t>
  </si>
  <si>
    <t>dms_ShortRural_flag_NSP</t>
  </si>
  <si>
    <t>Long rural Feeder for this business</t>
  </si>
  <si>
    <t>dms_LongRural_flag_NSP</t>
  </si>
  <si>
    <t>Fifth Feeder Category (eg. TasNetworks (D))</t>
  </si>
  <si>
    <t>dms_FifthFeeder_flag_NSP</t>
  </si>
  <si>
    <t>=INDEX(dms_FeederType_5_flag,MATCH(dms_TradingName,dms_TradingName_List))</t>
  </si>
  <si>
    <t>DISCARD FILES</t>
  </si>
  <si>
    <t>discard this record?</t>
  </si>
  <si>
    <t>dms_DISCARD</t>
  </si>
  <si>
    <t>If record is to be discarded from DB set this flag to YES</t>
  </si>
  <si>
    <t>SUBSET FILES</t>
  </si>
  <si>
    <t>Is this Submission File a Subset File</t>
  </si>
  <si>
    <t>dms_Partial</t>
  </si>
  <si>
    <t>REGULATORY YEARS FOR MULTI RYE SUBMISSIONS</t>
  </si>
  <si>
    <t>Multiple RYE flag</t>
  </si>
  <si>
    <t>dms_Multi_RYE_flag</t>
  </si>
  <si>
    <t>Manually specify RYE</t>
  </si>
  <si>
    <t>Named ranges to apply</t>
  </si>
  <si>
    <t>dms_RYE_01</t>
  </si>
  <si>
    <t>dms_RYE_02</t>
  </si>
  <si>
    <t>dms_RYE_03</t>
  </si>
  <si>
    <t>dms_RYE_04</t>
  </si>
  <si>
    <t>dms_RYE_05</t>
  </si>
  <si>
    <t>dms_RYE_06</t>
  </si>
  <si>
    <t>dms_RYE_07</t>
  </si>
  <si>
    <t>dms_RYE_08</t>
  </si>
  <si>
    <t>dms_RYE_09</t>
  </si>
  <si>
    <t>$m, real June 2026</t>
  </si>
  <si>
    <t>$m, real Dec 2020</t>
  </si>
  <si>
    <t>Reconstructed cumulative index (2025-26=1)</t>
  </si>
  <si>
    <t>Incremental gain $m, real June 2026</t>
  </si>
  <si>
    <t>PTRM inputs ($m, June 2026)</t>
  </si>
  <si>
    <t>Total Carryover Amount ($m, June 2026)</t>
  </si>
  <si>
    <t>REGULATORY PERIOD FROM 2026-27 TO 2030-31</t>
  </si>
  <si>
    <t xml:space="preserve">$m, nominal </t>
  </si>
  <si>
    <r>
      <t xml:space="preserve">
Efficiency gains are calculated using the formulae outlined on page 6 and 7 of version 2 of the AER's </t>
    </r>
    <r>
      <rPr>
        <i/>
        <sz val="12"/>
        <color theme="1"/>
        <rFont val="Arial"/>
        <family val="2"/>
      </rPr>
      <t>Efficiency benefit sharing scheme</t>
    </r>
    <r>
      <rPr>
        <sz val="12"/>
        <color theme="1"/>
        <rFont val="Arial"/>
        <family val="2"/>
      </rPr>
      <t xml:space="preserve">.  All terms and definitions are as set out in the AER's  </t>
    </r>
    <r>
      <rPr>
        <i/>
        <sz val="12"/>
        <color theme="1"/>
        <rFont val="Arial"/>
        <family val="2"/>
      </rPr>
      <t>Efficiency benefit sharing scheme.</t>
    </r>
  </si>
  <si>
    <t>Revised proposal</t>
  </si>
  <si>
    <t>Debt raising costs</t>
  </si>
  <si>
    <t>GSL payments</t>
  </si>
  <si>
    <t>DMIA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</si>
</sst>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0.0"/>
    <numFmt numFmtId="165" formatCode="0.000"/>
    <numFmt numFmtId="166" formatCode="_-* #,##0_-;\-* #,##0_-;_-* &quot;-&quot;??_-;_-@_-"/>
    <numFmt numFmtId="167" formatCode="0.0;\–0.0;&quot;–&quot;"/>
    <numFmt numFmtId="168" formatCode="#,##0;\(#,##0\)"/>
    <numFmt numFmtId="169" formatCode="#,##0.0_ ;\-#,##0.0\ "/>
    <numFmt numFmtId="170" formatCode="##\ ###\ ###\ ###\ ##0"/>
    <numFmt numFmtId="171" formatCode="0000"/>
    <numFmt numFmtId="172" formatCode="0#\ ####\ ####"/>
    <numFmt numFmtId="173" formatCode="0.00;\–0.00;&quot;–&quot;"/>
    <numFmt numFmtId="174" formatCode="#,##0.00_ ;\-#,##0.00\ "/>
  </numFmts>
  <fonts count="78"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0"/>
      <name val="Arial"/>
      <family val="2"/>
    </font>
    <font>
      <sz val="11"/>
      <color theme="1"/>
      <name val="Arial"/>
      <family val="2"/>
    </font>
    <font>
      <b/>
      <sz val="16"/>
      <color indexed="9"/>
      <name val="Arial"/>
      <family val="2"/>
    </font>
    <font>
      <b/>
      <sz val="16"/>
      <color theme="0"/>
      <name val="Arial"/>
      <family val="2"/>
    </font>
    <font>
      <b/>
      <sz val="20"/>
      <color theme="0"/>
      <name val="Arial"/>
      <family val="2"/>
    </font>
    <font>
      <b/>
      <sz val="18"/>
      <color theme="0"/>
      <name val="Arial"/>
      <family val="2"/>
    </font>
    <font>
      <b/>
      <sz val="10"/>
      <name val="Arial"/>
      <family val="2"/>
    </font>
    <font>
      <sz val="11"/>
      <name val="Calibri"/>
      <family val="2"/>
      <scheme val="minor"/>
    </font>
    <font>
      <sz val="12"/>
      <name val="Arial"/>
      <family val="2"/>
    </font>
    <font>
      <b/>
      <sz val="12"/>
      <name val="Arial"/>
      <family val="2"/>
    </font>
    <font>
      <sz val="12"/>
      <color theme="1"/>
      <name val="Arial"/>
      <family val="2"/>
    </font>
    <font>
      <i/>
      <sz val="12"/>
      <color theme="1"/>
      <name val="Arial"/>
      <family val="2"/>
    </font>
    <font>
      <b/>
      <sz val="11"/>
      <color theme="1"/>
      <name val="Arial"/>
      <family val="2"/>
    </font>
    <font>
      <sz val="10"/>
      <color theme="1"/>
      <name val="Arial"/>
      <family val="2"/>
    </font>
    <font>
      <b/>
      <sz val="12"/>
      <color theme="0"/>
      <name val="Calibri"/>
      <family val="2"/>
      <scheme val="minor"/>
    </font>
    <font>
      <b/>
      <sz val="12"/>
      <color theme="0"/>
      <name val="Arial"/>
      <family val="2"/>
    </font>
    <font>
      <b/>
      <sz val="14"/>
      <color theme="0"/>
      <name val="Calibri"/>
      <family val="2"/>
      <scheme val="minor"/>
    </font>
    <font>
      <sz val="14"/>
      <color theme="1"/>
      <name val="Calibri"/>
      <family val="2"/>
      <scheme val="minor"/>
    </font>
    <font>
      <b/>
      <sz val="12"/>
      <color indexed="8"/>
      <name val="Calibri"/>
      <family val="2"/>
    </font>
    <font>
      <sz val="12"/>
      <color theme="1"/>
      <name val="Calibri"/>
      <family val="2"/>
      <scheme val="minor"/>
    </font>
    <font>
      <i/>
      <sz val="10"/>
      <name val="Arial"/>
      <family val="2"/>
    </font>
    <font>
      <i/>
      <sz val="11"/>
      <color theme="1"/>
      <name val="Arial"/>
      <family val="2"/>
    </font>
    <font>
      <b/>
      <sz val="11"/>
      <name val="Arial"/>
      <family val="2"/>
    </font>
    <font>
      <sz val="5"/>
      <name val="Arial"/>
      <family val="2"/>
    </font>
    <font>
      <sz val="11"/>
      <color rgb="FF000000"/>
      <name val="Arial"/>
      <family val="2"/>
    </font>
    <font>
      <b/>
      <sz val="14"/>
      <name val="Arial"/>
      <family val="2"/>
    </font>
    <font>
      <b/>
      <sz val="10"/>
      <color theme="0"/>
      <name val="Arial"/>
      <family val="2"/>
    </font>
    <font>
      <vertAlign val="superscript"/>
      <sz val="5"/>
      <name val="Arial"/>
      <family val="2"/>
    </font>
    <font>
      <b/>
      <sz val="14"/>
      <color theme="0"/>
      <name val="Arial"/>
      <family val="2"/>
    </font>
    <font>
      <sz val="10"/>
      <color rgb="FFFF0000"/>
      <name val="Arial"/>
      <family val="2"/>
    </font>
    <font>
      <b/>
      <sz val="11"/>
      <color theme="0"/>
      <name val="Arial"/>
      <family val="2"/>
    </font>
    <font>
      <b/>
      <sz val="9"/>
      <color indexed="81"/>
      <name val="Tahoma"/>
      <family val="2"/>
    </font>
    <font>
      <sz val="9"/>
      <color indexed="81"/>
      <name val="Tahoma"/>
      <family val="2"/>
    </font>
    <font>
      <b/>
      <sz val="36"/>
      <color theme="0"/>
      <name val="Calibri"/>
      <family val="2"/>
      <scheme val="minor"/>
    </font>
    <font>
      <b/>
      <sz val="12"/>
      <color theme="1"/>
      <name val="Calibri"/>
      <family val="2"/>
      <scheme val="minor"/>
    </font>
    <font>
      <sz val="11"/>
      <color theme="8" tint="-0.249977111117893"/>
      <name val="Arial"/>
      <family val="2"/>
    </font>
    <font>
      <sz val="11"/>
      <color theme="4" tint="-0.249977111117893"/>
      <name val="Calibri"/>
      <family val="2"/>
      <scheme val="minor"/>
    </font>
    <font>
      <b/>
      <sz val="11"/>
      <color rgb="FFFF0000"/>
      <name val="Arial"/>
      <family val="2"/>
    </font>
    <font>
      <b/>
      <sz val="9"/>
      <color rgb="FF000000"/>
      <name val="Tahoma"/>
      <family val="2"/>
    </font>
    <font>
      <sz val="9"/>
      <color rgb="FF000000"/>
      <name val="Tahoma"/>
      <family val="2"/>
    </font>
    <font>
      <sz val="12"/>
      <color rgb="FFFF0000"/>
      <name val="Arial"/>
      <family val="2"/>
    </font>
    <font>
      <b/>
      <sz val="20"/>
      <color theme="0"/>
      <name val="Calibri"/>
      <family val="2"/>
      <scheme val="minor"/>
    </font>
    <font>
      <b/>
      <sz val="24"/>
      <color theme="0"/>
      <name val="Arial"/>
      <family val="2"/>
    </font>
    <font>
      <sz val="14"/>
      <color theme="1"/>
      <name val="Arial"/>
      <family val="2"/>
    </font>
    <font>
      <sz val="12"/>
      <color theme="0"/>
      <name val="Arial"/>
      <family val="2"/>
    </font>
    <font>
      <sz val="11"/>
      <color theme="0"/>
      <name val="Arial"/>
      <family val="2"/>
    </font>
    <font>
      <sz val="11"/>
      <color rgb="FFFF0000"/>
      <name val="Arial"/>
      <family val="2"/>
    </font>
    <font>
      <b/>
      <sz val="11"/>
      <color theme="4" tint="-0.499984740745262"/>
      <name val="Arial"/>
      <family val="2"/>
    </font>
    <font>
      <b/>
      <sz val="12"/>
      <color theme="4" tint="-0.499984740745262"/>
      <name val="Arial"/>
      <family val="2"/>
    </font>
    <font>
      <i/>
      <sz val="11"/>
      <color theme="0"/>
      <name val="Arial"/>
      <family val="2"/>
    </font>
    <font>
      <sz val="16"/>
      <color rgb="FFFF0000"/>
      <name val="Arial"/>
      <family val="2"/>
    </font>
    <font>
      <sz val="14"/>
      <color rgb="FFFF0000"/>
      <name val="Arial"/>
      <family val="2"/>
    </font>
    <font>
      <sz val="10"/>
      <color theme="5" tint="-0.249977111117893"/>
      <name val="Arial"/>
      <family val="2"/>
    </font>
    <font>
      <b/>
      <sz val="10"/>
      <color rgb="FFFF0000"/>
      <name val="Arial"/>
      <family val="2"/>
    </font>
    <font>
      <sz val="10"/>
      <color theme="0" tint="-0.499984740745262"/>
      <name val="Arial"/>
      <family val="2"/>
    </font>
    <font>
      <b/>
      <sz val="10"/>
      <color theme="1" tint="0.14999847407452621"/>
      <name val="Arial"/>
      <family val="2"/>
    </font>
    <font>
      <i/>
      <sz val="11"/>
      <color theme="1"/>
      <name val="Calibri"/>
      <family val="2"/>
      <scheme val="minor"/>
    </font>
    <font>
      <sz val="10"/>
      <color theme="4" tint="0.59999389629810485"/>
      <name val="Arial"/>
      <family val="2"/>
    </font>
    <font>
      <b/>
      <sz val="14"/>
      <color rgb="FFFF0000"/>
      <name val="Arial"/>
      <family val="2"/>
    </font>
    <font>
      <sz val="10"/>
      <color theme="4" tint="-0.499984740745262"/>
      <name val="Arial"/>
      <family val="2"/>
    </font>
    <font>
      <b/>
      <sz val="11"/>
      <color rgb="FF000000"/>
      <name val="Arial"/>
      <family val="2"/>
    </font>
    <font>
      <sz val="11"/>
      <color theme="1"/>
      <name val="Calibri"/>
      <family val="2"/>
    </font>
    <font>
      <sz val="10"/>
      <color theme="1" tint="0.34998626667073579"/>
      <name val="Calibri"/>
      <family val="2"/>
      <scheme val="minor"/>
    </font>
    <font>
      <b/>
      <sz val="10"/>
      <color theme="1"/>
      <name val="Arial"/>
      <family val="2"/>
    </font>
    <font>
      <i/>
      <sz val="10"/>
      <color theme="4" tint="-0.249977111117893"/>
      <name val="Arial"/>
      <family val="2"/>
    </font>
    <font>
      <sz val="10"/>
      <color theme="4" tint="-0.249977111117893"/>
      <name val="Arial"/>
      <family val="2"/>
    </font>
    <font>
      <i/>
      <sz val="10"/>
      <color theme="0" tint="-0.499984740745262"/>
      <name val="Arial"/>
      <family val="2"/>
    </font>
    <font>
      <i/>
      <u/>
      <sz val="10"/>
      <color theme="0" tint="-0.499984740745262"/>
      <name val="Arial"/>
      <family val="2"/>
    </font>
    <font>
      <i/>
      <sz val="10"/>
      <color theme="4" tint="-0.499984740745262"/>
      <name val="Arial"/>
      <family val="2"/>
    </font>
    <font>
      <b/>
      <sz val="10"/>
      <color theme="0" tint="-0.499984740745262"/>
      <name val="Arial"/>
      <family val="2"/>
    </font>
    <font>
      <sz val="11"/>
      <color theme="5" tint="-0.249977111117893"/>
      <name val="Arial"/>
      <family val="2"/>
    </font>
    <font>
      <b/>
      <sz val="10"/>
      <color rgb="FF808080"/>
      <name val="Arial"/>
      <family val="2"/>
    </font>
    <font>
      <sz val="10"/>
      <color rgb="FF808080"/>
      <name val="Arial"/>
      <family val="2"/>
    </font>
    <font>
      <b/>
      <sz val="12"/>
      <color rgb="FFFF0000"/>
      <name val="Arial"/>
      <family val="2"/>
    </font>
  </fonts>
  <fills count="45">
    <fill>
      <patternFill patternType="none"/>
    </fill>
    <fill>
      <patternFill patternType="gray125"/>
    </fill>
    <fill>
      <patternFill patternType="solid">
        <fgColor theme="0"/>
        <bgColor indexed="64"/>
      </patternFill>
    </fill>
    <fill>
      <patternFill patternType="solid">
        <fgColor indexed="8"/>
        <bgColor indexed="64"/>
      </patternFill>
    </fill>
    <fill>
      <patternFill patternType="solid">
        <fgColor theme="1"/>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indexed="22"/>
        <bgColor auto="1"/>
      </patternFill>
    </fill>
    <fill>
      <patternFill patternType="solid">
        <fgColor rgb="FFFFFFCC"/>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rgb="FFFFFFCC"/>
        <bgColor rgb="FFFFFFCC"/>
      </patternFill>
    </fill>
    <fill>
      <patternFill patternType="solid">
        <fgColor theme="0" tint="-0.34998626667073579"/>
        <bgColor indexed="64"/>
      </patternFill>
    </fill>
    <fill>
      <patternFill patternType="solid">
        <fgColor rgb="FFFFC7CE"/>
        <bgColor indexed="64"/>
      </patternFill>
    </fill>
    <fill>
      <patternFill patternType="solid">
        <fgColor rgb="FFFFFFCC"/>
        <bgColor rgb="FF000000"/>
      </patternFill>
    </fill>
    <fill>
      <patternFill patternType="solid">
        <fgColor theme="3" tint="0.59999389629810485"/>
        <bgColor indexed="64"/>
      </patternFill>
    </fill>
    <fill>
      <patternFill patternType="solid">
        <fgColor theme="4" tint="0.39997558519241921"/>
        <bgColor indexed="64"/>
      </patternFill>
    </fill>
    <fill>
      <patternFill patternType="solid">
        <fgColor indexed="22"/>
        <bgColor indexed="64"/>
      </patternFill>
    </fill>
    <fill>
      <patternFill patternType="solid">
        <fgColor theme="1" tint="0.249977111117893"/>
        <bgColor indexed="64"/>
      </patternFill>
    </fill>
    <fill>
      <patternFill patternType="solid">
        <fgColor rgb="FFBFBFBF"/>
        <bgColor rgb="FF000000"/>
      </patternFill>
    </fill>
    <fill>
      <patternFill patternType="solid">
        <fgColor theme="3"/>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4"/>
        <bgColor theme="4"/>
      </patternFill>
    </fill>
    <fill>
      <patternFill patternType="solid">
        <fgColor theme="2" tint="-9.9978637043366805E-2"/>
        <bgColor indexed="64"/>
      </patternFill>
    </fill>
    <fill>
      <patternFill patternType="solid">
        <fgColor theme="2" tint="-0.249977111117893"/>
        <bgColor indexed="64"/>
      </patternFill>
    </fill>
    <fill>
      <patternFill patternType="solid">
        <fgColor theme="2" tint="-0.749992370372631"/>
        <bgColor indexed="64"/>
      </patternFill>
    </fill>
    <fill>
      <patternFill patternType="solid">
        <fgColor theme="2" tint="-0.499984740745262"/>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4" tint="0.79998168889431442"/>
        <bgColor theme="4" tint="0.79998168889431442"/>
      </patternFill>
    </fill>
    <fill>
      <patternFill patternType="solid">
        <fgColor theme="4" tint="0.79998168889431442"/>
        <bgColor indexed="64"/>
      </patternFill>
    </fill>
    <fill>
      <patternFill patternType="solid">
        <fgColor theme="0" tint="-0.14999847407452621"/>
        <bgColor theme="4" tint="0.79998168889431442"/>
      </patternFill>
    </fill>
    <fill>
      <patternFill patternType="solid">
        <fgColor theme="0" tint="-0.14999847407452621"/>
        <bgColor rgb="FF000000"/>
      </patternFill>
    </fill>
    <fill>
      <patternFill patternType="solid">
        <fgColor rgb="FFFABF8F"/>
        <bgColor rgb="FF000000"/>
      </patternFill>
    </fill>
    <fill>
      <patternFill patternType="solid">
        <fgColor rgb="FFFF0000"/>
        <bgColor indexed="64"/>
      </patternFill>
    </fill>
    <fill>
      <patternFill patternType="solid">
        <fgColor theme="4" tint="-0.499984740745262"/>
        <bgColor indexed="64"/>
      </patternFill>
    </fill>
    <fill>
      <patternFill patternType="solid">
        <fgColor theme="0" tint="-0.249977111117893"/>
        <bgColor rgb="FF000000"/>
      </patternFill>
    </fill>
    <fill>
      <patternFill patternType="solid">
        <fgColor rgb="FFFFFF99"/>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9" tint="0.39997558519241921"/>
        <bgColor rgb="FF000000"/>
      </patternFill>
    </fill>
    <fill>
      <patternFill patternType="solid">
        <fgColor rgb="FFB8CCE4"/>
        <bgColor rgb="FF000000"/>
      </patternFill>
    </fill>
  </fills>
  <borders count="22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auto="1"/>
      </bottom>
      <diagonal/>
    </border>
    <border>
      <left/>
      <right style="thin">
        <color auto="1"/>
      </right>
      <top/>
      <bottom style="thin">
        <color auto="1"/>
      </bottom>
      <diagonal/>
    </border>
    <border>
      <left style="medium">
        <color indexed="64"/>
      </left>
      <right/>
      <top style="medium">
        <color auto="1"/>
      </top>
      <bottom style="medium">
        <color auto="1"/>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theme="0" tint="-0.34998626667073579"/>
      </right>
      <top style="thin">
        <color indexed="64"/>
      </top>
      <bottom style="medium">
        <color indexed="64"/>
      </bottom>
      <diagonal/>
    </border>
    <border>
      <left style="thin">
        <color theme="0" tint="-0.34998626667073579"/>
      </left>
      <right style="thin">
        <color theme="0" tint="-0.34998626667073579"/>
      </right>
      <top style="thin">
        <color indexed="64"/>
      </top>
      <bottom style="medium">
        <color indexed="64"/>
      </bottom>
      <diagonal/>
    </border>
    <border>
      <left style="thin">
        <color theme="0" tint="-0.34998626667073579"/>
      </left>
      <right style="medium">
        <color indexed="64"/>
      </right>
      <top style="thin">
        <color indexed="64"/>
      </top>
      <bottom style="medium">
        <color indexed="64"/>
      </bottom>
      <diagonal/>
    </border>
    <border>
      <left style="medium">
        <color indexed="64"/>
      </left>
      <right/>
      <top style="thin">
        <color theme="0" tint="-0.34998626667073579"/>
      </top>
      <bottom style="thin">
        <color theme="0" tint="-0.34998626667073579"/>
      </bottom>
      <diagonal/>
    </border>
    <border>
      <left style="medium">
        <color auto="1"/>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style="medium">
        <color indexed="64"/>
      </left>
      <right style="thin">
        <color theme="0" tint="-0.34998626667073579"/>
      </right>
      <top/>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medium">
        <color indexed="64"/>
      </right>
      <top/>
      <bottom style="thin">
        <color theme="0" tint="-0.34998626667073579"/>
      </bottom>
      <diagonal/>
    </border>
    <border>
      <left style="medium">
        <color indexed="64"/>
      </left>
      <right/>
      <top style="thin">
        <color theme="0" tint="-0.34998626667073579"/>
      </top>
      <bottom style="medium">
        <color auto="1"/>
      </bottom>
      <diagonal/>
    </border>
    <border>
      <left style="medium">
        <color auto="1"/>
      </left>
      <right style="thin">
        <color theme="0" tint="-0.34998626667073579"/>
      </right>
      <top/>
      <bottom style="medium">
        <color indexed="64"/>
      </bottom>
      <diagonal/>
    </border>
    <border>
      <left/>
      <right style="thin">
        <color theme="0" tint="-0.34998626667073579"/>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style="medium">
        <color indexed="64"/>
      </right>
      <top style="thin">
        <color theme="0" tint="-0.34998626667073579"/>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auto="1"/>
      </top>
      <bottom/>
      <diagonal/>
    </border>
    <border>
      <left/>
      <right style="thin">
        <color indexed="64"/>
      </right>
      <top style="medium">
        <color indexed="64"/>
      </top>
      <bottom style="thin">
        <color indexed="64"/>
      </bottom>
      <diagonal/>
    </border>
    <border>
      <left style="medium">
        <color indexed="64"/>
      </left>
      <right style="thin">
        <color theme="0" tint="-0.34998626667073579"/>
      </right>
      <top style="thin">
        <color theme="0" tint="-0.34998626667073579"/>
      </top>
      <bottom style="medium">
        <color auto="1"/>
      </bottom>
      <diagonal/>
    </border>
    <border>
      <left style="thin">
        <color theme="0" tint="-0.34998626667073579"/>
      </left>
      <right style="thin">
        <color indexed="64"/>
      </right>
      <top style="thin">
        <color theme="0" tint="-0.34998626667073579"/>
      </top>
      <bottom style="medium">
        <color indexed="64"/>
      </bottom>
      <diagonal/>
    </border>
    <border>
      <left/>
      <right style="thin">
        <color theme="0" tint="-0.34998626667073579"/>
      </right>
      <top/>
      <bottom style="medium">
        <color auto="1"/>
      </bottom>
      <diagonal/>
    </border>
    <border>
      <left style="thin">
        <color theme="0" tint="-0.34998626667073579"/>
      </left>
      <right style="thin">
        <color theme="0" tint="-0.34998626667073579"/>
      </right>
      <top/>
      <bottom style="medium">
        <color auto="1"/>
      </bottom>
      <diagonal/>
    </border>
    <border>
      <left style="thin">
        <color theme="0" tint="-0.34998626667073579"/>
      </left>
      <right style="medium">
        <color indexed="64"/>
      </right>
      <top/>
      <bottom style="medium">
        <color indexed="64"/>
      </bottom>
      <diagonal/>
    </border>
    <border>
      <left style="medium">
        <color auto="1"/>
      </left>
      <right style="thin">
        <color indexed="64"/>
      </right>
      <top style="medium">
        <color auto="1"/>
      </top>
      <bottom style="thin">
        <color theme="0" tint="-0.34998626667073579"/>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auto="1"/>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medium">
        <color auto="1"/>
      </right>
      <top style="medium">
        <color indexed="64"/>
      </top>
      <bottom style="thin">
        <color theme="0" tint="-0.24994659260841701"/>
      </bottom>
      <diagonal/>
    </border>
    <border>
      <left style="thin">
        <color theme="0" tint="-0.34998626667073579"/>
      </left>
      <right style="thin">
        <color indexed="64"/>
      </right>
      <top style="medium">
        <color auto="1"/>
      </top>
      <bottom style="thin">
        <color theme="0" tint="-0.34998626667073579"/>
      </bottom>
      <diagonal/>
    </border>
    <border>
      <left/>
      <right style="thin">
        <color theme="0" tint="-0.34998626667073579"/>
      </right>
      <top style="medium">
        <color indexed="64"/>
      </top>
      <bottom style="thin">
        <color theme="0" tint="-0.34998626667073579"/>
      </bottom>
      <diagonal/>
    </border>
    <border>
      <left style="medium">
        <color auto="1"/>
      </left>
      <right style="thin">
        <color indexed="64"/>
      </right>
      <top style="thin">
        <color theme="0" tint="-0.34998626667073579"/>
      </top>
      <bottom style="thin">
        <color theme="0" tint="-0.34998626667073579"/>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auto="1"/>
      </right>
      <top style="thin">
        <color theme="0" tint="-0.24994659260841701"/>
      </top>
      <bottom style="thin">
        <color theme="0" tint="-0.24994659260841701"/>
      </bottom>
      <diagonal/>
    </border>
    <border>
      <left style="medium">
        <color auto="1"/>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medium">
        <color indexed="64"/>
      </bottom>
      <diagonal/>
    </border>
    <border>
      <left/>
      <right style="thin">
        <color theme="0" tint="-0.24994659260841701"/>
      </right>
      <top style="thin">
        <color theme="0" tint="-0.24994659260841701"/>
      </top>
      <bottom style="medium">
        <color auto="1"/>
      </bottom>
      <diagonal/>
    </border>
    <border>
      <left style="thin">
        <color theme="0" tint="-0.24994659260841701"/>
      </left>
      <right style="thin">
        <color auto="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auto="1"/>
      </bottom>
      <diagonal/>
    </border>
    <border>
      <left style="thin">
        <color theme="0" tint="-0.24994659260841701"/>
      </left>
      <right style="medium">
        <color auto="1"/>
      </right>
      <top style="thin">
        <color theme="0" tint="-0.24994659260841701"/>
      </top>
      <bottom style="medium">
        <color indexed="64"/>
      </bottom>
      <diagonal/>
    </border>
    <border>
      <left/>
      <right style="medium">
        <color indexed="64"/>
      </right>
      <top style="thin">
        <color theme="0" tint="-0.34998626667073579"/>
      </top>
      <bottom style="medium">
        <color indexed="64"/>
      </bottom>
      <diagonal/>
    </border>
    <border>
      <left style="thin">
        <color theme="0" tint="-0.34998626667073579"/>
      </left>
      <right style="thin">
        <color theme="0" tint="-0.34998626667073579"/>
      </right>
      <top style="medium">
        <color indexed="64"/>
      </top>
      <bottom style="medium">
        <color indexed="64"/>
      </bottom>
      <diagonal/>
    </border>
    <border>
      <left style="thin">
        <color theme="0" tint="-0.34998626667073579"/>
      </left>
      <right style="medium">
        <color indexed="64"/>
      </right>
      <top style="medium">
        <color indexed="64"/>
      </top>
      <bottom style="medium">
        <color indexed="64"/>
      </bottom>
      <diagonal/>
    </border>
    <border>
      <left style="medium">
        <color indexed="64"/>
      </left>
      <right style="thin">
        <color theme="0" tint="-0.34998626667073579"/>
      </right>
      <top style="medium">
        <color indexed="64"/>
      </top>
      <bottom style="medium">
        <color indexed="64"/>
      </bottom>
      <diagonal/>
    </border>
    <border>
      <left/>
      <right/>
      <top/>
      <bottom style="medium">
        <color auto="1"/>
      </bottom>
      <diagonal/>
    </border>
    <border>
      <left/>
      <right style="medium">
        <color indexed="64"/>
      </right>
      <top/>
      <bottom/>
      <diagonal/>
    </border>
    <border>
      <left/>
      <right style="medium">
        <color indexed="64"/>
      </right>
      <top/>
      <bottom style="medium">
        <color indexed="64"/>
      </bottom>
      <diagonal/>
    </border>
    <border>
      <left/>
      <right style="thin">
        <color auto="1"/>
      </right>
      <top style="medium">
        <color indexed="64"/>
      </top>
      <bottom style="thin">
        <color theme="0" tint="-0.34998626667073579"/>
      </bottom>
      <diagonal/>
    </border>
    <border>
      <left style="thin">
        <color auto="1"/>
      </left>
      <right style="medium">
        <color indexed="64"/>
      </right>
      <top style="medium">
        <color indexed="64"/>
      </top>
      <bottom/>
      <diagonal/>
    </border>
    <border>
      <left/>
      <right style="medium">
        <color indexed="64"/>
      </right>
      <top style="medium">
        <color indexed="64"/>
      </top>
      <bottom/>
      <diagonal/>
    </border>
    <border>
      <left/>
      <right style="thin">
        <color indexed="64"/>
      </right>
      <top style="thin">
        <color theme="0" tint="-0.34998626667073579"/>
      </top>
      <bottom style="thin">
        <color theme="0" tint="-0.34998626667073579"/>
      </bottom>
      <diagonal/>
    </border>
    <border>
      <left style="thin">
        <color auto="1"/>
      </left>
      <right style="medium">
        <color indexed="64"/>
      </right>
      <top/>
      <bottom/>
      <diagonal/>
    </border>
    <border>
      <left style="thin">
        <color auto="1"/>
      </left>
      <right/>
      <top/>
      <bottom/>
      <diagonal/>
    </border>
    <border>
      <left/>
      <right style="thin">
        <color indexed="64"/>
      </right>
      <top/>
      <bottom/>
      <diagonal/>
    </border>
    <border>
      <left style="thin">
        <color auto="1"/>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auto="1"/>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style="medium">
        <color auto="1"/>
      </right>
      <top style="medium">
        <color indexed="64"/>
      </top>
      <bottom style="thin">
        <color theme="0" tint="-0.24994659260841701"/>
      </bottom>
      <diagonal/>
    </border>
    <border>
      <left style="medium">
        <color indexed="64"/>
      </left>
      <right style="thin">
        <color theme="0" tint="-0.24994659260841701"/>
      </right>
      <top style="thin">
        <color indexed="64"/>
      </top>
      <bottom style="medium">
        <color indexed="64"/>
      </bottom>
      <diagonal/>
    </border>
    <border>
      <left style="thin">
        <color theme="0" tint="-0.24994659260841701"/>
      </left>
      <right style="thin">
        <color theme="0" tint="-0.24994659260841701"/>
      </right>
      <top style="thin">
        <color auto="1"/>
      </top>
      <bottom style="medium">
        <color indexed="64"/>
      </bottom>
      <diagonal/>
    </border>
    <border>
      <left style="thin">
        <color theme="0" tint="-0.24994659260841701"/>
      </left>
      <right style="medium">
        <color auto="1"/>
      </right>
      <top style="thin">
        <color indexed="64"/>
      </top>
      <bottom style="medium">
        <color indexed="64"/>
      </bottom>
      <diagonal/>
    </border>
    <border>
      <left/>
      <right/>
      <top/>
      <bottom style="thin">
        <color theme="0" tint="-0.34998626667073579"/>
      </bottom>
      <diagonal/>
    </border>
    <border>
      <left/>
      <right/>
      <top style="thin">
        <color theme="0" tint="-0.34998626667073579"/>
      </top>
      <bottom style="thin">
        <color theme="0" tint="-0.34998626667073579"/>
      </bottom>
      <diagonal/>
    </border>
    <border>
      <left/>
      <right/>
      <top style="medium">
        <color indexed="64"/>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top style="medium">
        <color auto="1"/>
      </top>
      <bottom style="thin">
        <color theme="0" tint="-0.34998626667073579"/>
      </bottom>
      <diagonal/>
    </border>
    <border>
      <left style="medium">
        <color indexed="64"/>
      </left>
      <right/>
      <top style="thin">
        <color theme="0" tint="-0.34998626667073579"/>
      </top>
      <bottom/>
      <diagonal/>
    </border>
    <border>
      <left/>
      <right/>
      <top style="thin">
        <color theme="0" tint="-0.34998626667073579"/>
      </top>
      <bottom/>
      <diagonal/>
    </border>
    <border>
      <left style="thin">
        <color theme="0" tint="-0.34998626667073579"/>
      </left>
      <right/>
      <top style="thin">
        <color theme="0" tint="-0.34998626667073579"/>
      </top>
      <bottom/>
      <diagonal/>
    </border>
    <border>
      <left style="thin">
        <color theme="0" tint="-0.34998626667073579"/>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auto="1"/>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style="thin">
        <color indexed="64"/>
      </right>
      <top style="medium">
        <color indexed="64"/>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medium">
        <color indexed="64"/>
      </bottom>
      <diagonal/>
    </border>
    <border>
      <left/>
      <right style="thin">
        <color indexed="64"/>
      </right>
      <top style="thin">
        <color theme="0" tint="-0.34998626667073579"/>
      </top>
      <bottom style="medium">
        <color indexed="64"/>
      </bottom>
      <diagonal/>
    </border>
    <border>
      <left style="medium">
        <color auto="1"/>
      </left>
      <right/>
      <top style="thin">
        <color indexed="64"/>
      </top>
      <bottom style="thin">
        <color theme="0" tint="-0.34998626667073579"/>
      </bottom>
      <diagonal/>
    </border>
    <border>
      <left/>
      <right/>
      <top style="thin">
        <color indexed="64"/>
      </top>
      <bottom style="thin">
        <color theme="0" tint="-0.34998626667073579"/>
      </bottom>
      <diagonal/>
    </border>
    <border>
      <left/>
      <right style="thin">
        <color indexed="64"/>
      </right>
      <top style="thin">
        <color indexed="64"/>
      </top>
      <bottom style="thin">
        <color theme="0" tint="-0.34998626667073579"/>
      </bottom>
      <diagonal/>
    </border>
    <border>
      <left style="medium">
        <color auto="1"/>
      </left>
      <right/>
      <top style="thin">
        <color indexed="64"/>
      </top>
      <bottom/>
      <diagonal/>
    </border>
    <border>
      <left style="medium">
        <color auto="1"/>
      </left>
      <right/>
      <top style="medium">
        <color indexed="64"/>
      </top>
      <bottom style="thin">
        <color theme="0" tint="-0.24994659260841701"/>
      </bottom>
      <diagonal/>
    </border>
    <border>
      <left style="medium">
        <color indexed="64"/>
      </left>
      <right/>
      <top style="thin">
        <color theme="0" tint="-0.24994659260841701"/>
      </top>
      <bottom style="thin">
        <color indexed="64"/>
      </bottom>
      <diagonal/>
    </border>
    <border>
      <left/>
      <right/>
      <top style="thin">
        <color theme="0" tint="-0.24994659260841701"/>
      </top>
      <bottom style="thin">
        <color indexed="64"/>
      </bottom>
      <diagonal/>
    </border>
    <border>
      <left/>
      <right style="medium">
        <color indexed="64"/>
      </right>
      <top style="thin">
        <color theme="0" tint="-0.24994659260841701"/>
      </top>
      <bottom style="thin">
        <color indexed="64"/>
      </bottom>
      <diagonal/>
    </border>
    <border>
      <left style="thin">
        <color auto="1"/>
      </left>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indexed="64"/>
      </left>
      <right/>
      <top style="thin">
        <color indexed="64"/>
      </top>
      <bottom style="thin">
        <color theme="0" tint="-0.34998626667073579"/>
      </bottom>
      <diagonal/>
    </border>
    <border>
      <left/>
      <right style="medium">
        <color indexed="64"/>
      </right>
      <top style="thin">
        <color indexed="64"/>
      </top>
      <bottom style="thin">
        <color theme="0" tint="-0.34998626667073579"/>
      </bottom>
      <diagonal/>
    </border>
    <border>
      <left style="thin">
        <color indexed="64"/>
      </left>
      <right/>
      <top style="medium">
        <color indexed="64"/>
      </top>
      <bottom/>
      <diagonal/>
    </border>
    <border>
      <left style="medium">
        <color indexed="64"/>
      </left>
      <right style="medium">
        <color indexed="64"/>
      </right>
      <top style="medium">
        <color indexed="64"/>
      </top>
      <bottom style="thin">
        <color theme="0" tint="-0.34998626667073579"/>
      </bottom>
      <diagonal/>
    </border>
    <border>
      <left style="thin">
        <color theme="0" tint="-0.34998626667073579"/>
      </left>
      <right/>
      <top/>
      <bottom style="thin">
        <color theme="0" tint="-0.34998626667073579"/>
      </bottom>
      <diagonal/>
    </border>
    <border>
      <left style="thin">
        <color theme="0" tint="-0.34998626667073579"/>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auto="1"/>
      </left>
      <right style="thin">
        <color indexed="64"/>
      </right>
      <top style="thin">
        <color theme="0" tint="-0.34998626667073579"/>
      </top>
      <bottom style="thin">
        <color theme="0" tint="-0.24994659260841701"/>
      </bottom>
      <diagonal/>
    </border>
    <border>
      <left style="medium">
        <color auto="1"/>
      </left>
      <right style="thin">
        <color indexed="64"/>
      </right>
      <top style="thin">
        <color theme="0" tint="-0.24994659260841701"/>
      </top>
      <bottom style="thin">
        <color theme="0" tint="-0.24994659260841701"/>
      </bottom>
      <diagonal/>
    </border>
    <border>
      <left style="medium">
        <color auto="1"/>
      </left>
      <right style="thin">
        <color indexed="64"/>
      </right>
      <top style="thin">
        <color theme="0" tint="-0.24994659260841701"/>
      </top>
      <bottom style="thin">
        <color theme="0" tint="-0.34998626667073579"/>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theme="0" tint="-0.24994659260841701"/>
      </left>
      <right/>
      <top/>
      <bottom/>
      <diagonal/>
    </border>
    <border>
      <left style="medium">
        <color indexed="64"/>
      </left>
      <right/>
      <top style="thin">
        <color theme="0" tint="-0.24994659260841701"/>
      </top>
      <bottom/>
      <diagonal/>
    </border>
    <border>
      <left style="thin">
        <color theme="0" tint="-0.24994659260841701"/>
      </left>
      <right/>
      <top style="thin">
        <color theme="0" tint="-0.24994659260841701"/>
      </top>
      <bottom/>
      <diagonal/>
    </border>
    <border>
      <left/>
      <right/>
      <top style="thin">
        <color theme="0" tint="-0.24994659260841701"/>
      </top>
      <bottom/>
      <diagonal/>
    </border>
    <border>
      <left style="medium">
        <color indexed="64"/>
      </left>
      <right/>
      <top style="thin">
        <color theme="4"/>
      </top>
      <bottom/>
      <diagonal/>
    </border>
    <border>
      <left/>
      <right/>
      <top style="thin">
        <color theme="4" tint="0.39997558519241921"/>
      </top>
      <bottom/>
      <diagonal/>
    </border>
    <border>
      <left style="medium">
        <color indexed="64"/>
      </left>
      <right/>
      <top style="thin">
        <color theme="4" tint="0.39997558519241921"/>
      </top>
      <bottom/>
      <diagonal/>
    </border>
    <border>
      <left style="medium">
        <color auto="1"/>
      </left>
      <right style="medium">
        <color indexed="64"/>
      </right>
      <top style="medium">
        <color auto="1"/>
      </top>
      <bottom style="thin">
        <color theme="0" tint="-0.24994659260841701"/>
      </bottom>
      <diagonal/>
    </border>
    <border>
      <left style="medium">
        <color indexed="64"/>
      </left>
      <right style="medium">
        <color indexed="64"/>
      </right>
      <top style="thin">
        <color theme="0" tint="-0.24994659260841701"/>
      </top>
      <bottom style="thin">
        <color theme="0" tint="-0.24994659260841701"/>
      </bottom>
      <diagonal/>
    </border>
    <border>
      <left/>
      <right style="medium">
        <color auto="1"/>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medium">
        <color indexed="64"/>
      </left>
      <right/>
      <top style="thin">
        <color theme="0" tint="-0.24994659260841701"/>
      </top>
      <bottom style="thin">
        <color theme="0" tint="-0.24994659260841701"/>
      </bottom>
      <diagonal/>
    </border>
    <border>
      <left style="medium">
        <color indexed="64"/>
      </left>
      <right/>
      <top style="thin">
        <color theme="0" tint="-0.24994659260841701"/>
      </top>
      <bottom style="medium">
        <color indexed="64"/>
      </bottom>
      <diagonal/>
    </border>
    <border>
      <left style="medium">
        <color indexed="64"/>
      </left>
      <right style="medium">
        <color indexed="64"/>
      </right>
      <top style="thin">
        <color theme="0" tint="-0.24994659260841701"/>
      </top>
      <bottom style="medium">
        <color indexed="64"/>
      </bottom>
      <diagonal/>
    </border>
    <border>
      <left/>
      <right/>
      <top style="thin">
        <color theme="0" tint="-0.24994659260841701"/>
      </top>
      <bottom style="medium">
        <color indexed="64"/>
      </bottom>
      <diagonal/>
    </border>
    <border>
      <left style="medium">
        <color indexed="64"/>
      </left>
      <right style="thin">
        <color theme="0" tint="-0.24994659260841701"/>
      </right>
      <top style="medium">
        <color indexed="64"/>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thin">
        <color theme="0" tint="-0.24994659260841701"/>
      </left>
      <right/>
      <top style="thin">
        <color theme="0" tint="-0.24994659260841701"/>
      </top>
      <bottom style="medium">
        <color indexed="64"/>
      </bottom>
      <diagonal/>
    </border>
    <border>
      <left/>
      <right/>
      <top style="thin">
        <color indexed="64"/>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theme="0" tint="-0.24994659260841701"/>
      </right>
      <top style="medium">
        <color indexed="64"/>
      </top>
      <bottom style="medium">
        <color indexed="64"/>
      </bottom>
      <diagonal/>
    </border>
    <border>
      <left style="thin">
        <color theme="0" tint="-0.24994659260841701"/>
      </left>
      <right style="thin">
        <color theme="0" tint="-0.24994659260841701"/>
      </right>
      <top style="medium">
        <color indexed="64"/>
      </top>
      <bottom style="medium">
        <color indexed="64"/>
      </bottom>
      <diagonal/>
    </border>
    <border>
      <left style="thin">
        <color theme="0" tint="-0.24994659260841701"/>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bottom style="thin">
        <color theme="0" tint="-0.24994659260841701"/>
      </bottom>
      <diagonal/>
    </border>
    <border>
      <left style="thin">
        <color indexed="64"/>
      </left>
      <right style="thin">
        <color indexed="64"/>
      </right>
      <top/>
      <bottom/>
      <diagonal/>
    </border>
    <border>
      <left style="thin">
        <color theme="0" tint="-0.24994659260841701"/>
      </left>
      <right/>
      <top style="thin">
        <color theme="0" tint="-0.24994659260841701"/>
      </top>
      <bottom style="thin">
        <color theme="0" tint="-0.24994659260841701"/>
      </bottom>
      <diagonal/>
    </border>
    <border>
      <left style="thin">
        <color indexed="64"/>
      </left>
      <right style="thin">
        <color indexed="64"/>
      </right>
      <top/>
      <bottom style="thin">
        <color indexed="64"/>
      </bottom>
      <diagonal/>
    </border>
    <border>
      <left/>
      <right style="medium">
        <color auto="1"/>
      </right>
      <top style="thin">
        <color theme="0" tint="-0.24994659260841701"/>
      </top>
      <bottom style="medium">
        <color auto="1"/>
      </bottom>
      <diagonal/>
    </border>
    <border>
      <left style="thin">
        <color indexed="64"/>
      </left>
      <right style="thin">
        <color rgb="FFBFBFBF"/>
      </right>
      <top style="medium">
        <color indexed="64"/>
      </top>
      <bottom style="medium">
        <color indexed="64"/>
      </bottom>
      <diagonal/>
    </border>
    <border>
      <left style="thin">
        <color rgb="FFBFBFBF"/>
      </left>
      <right style="thin">
        <color rgb="FFBFBFBF"/>
      </right>
      <top style="medium">
        <color indexed="64"/>
      </top>
      <bottom style="medium">
        <color auto="1"/>
      </bottom>
      <diagonal/>
    </border>
    <border>
      <left style="thin">
        <color rgb="FFBFBFBF"/>
      </left>
      <right style="thin">
        <color rgb="FFBFBFBF"/>
      </right>
      <top style="medium">
        <color indexed="64"/>
      </top>
      <bottom/>
      <diagonal/>
    </border>
    <border>
      <left style="thin">
        <color rgb="FFBFBFBF"/>
      </left>
      <right style="medium">
        <color indexed="64"/>
      </right>
      <top style="medium">
        <color indexed="64"/>
      </top>
      <bottom/>
      <diagonal/>
    </border>
    <border>
      <left style="medium">
        <color indexed="64"/>
      </left>
      <right style="thin">
        <color theme="0" tint="-0.24994659260841701"/>
      </right>
      <top/>
      <bottom style="thin">
        <color theme="0" tint="-0.24994659260841701"/>
      </bottom>
      <diagonal/>
    </border>
    <border>
      <left style="medium">
        <color indexed="64"/>
      </left>
      <right style="thin">
        <color rgb="FFBFBFBF"/>
      </right>
      <top/>
      <bottom style="mediumDashed">
        <color indexed="64"/>
      </bottom>
      <diagonal/>
    </border>
    <border>
      <left style="thin">
        <color rgb="FFBFBFBF"/>
      </left>
      <right style="thin">
        <color rgb="FFBFBFBF"/>
      </right>
      <top/>
      <bottom style="mediumDashed">
        <color indexed="64"/>
      </bottom>
      <diagonal/>
    </border>
    <border>
      <left style="thin">
        <color rgb="FFBFBFBF"/>
      </left>
      <right style="medium">
        <color indexed="64"/>
      </right>
      <top/>
      <bottom style="mediumDashed">
        <color indexed="64"/>
      </bottom>
      <diagonal/>
    </border>
    <border>
      <left/>
      <right style="medium">
        <color indexed="64"/>
      </right>
      <top style="thin">
        <color indexed="64"/>
      </top>
      <bottom/>
      <diagonal/>
    </border>
    <border>
      <left style="medium">
        <color indexed="64"/>
      </left>
      <right style="thin">
        <color rgb="FFBFBFBF"/>
      </right>
      <top style="medium">
        <color indexed="64"/>
      </top>
      <bottom style="mediumDashed">
        <color indexed="64"/>
      </bottom>
      <diagonal/>
    </border>
    <border>
      <left style="thin">
        <color rgb="FFBFBFBF"/>
      </left>
      <right style="thin">
        <color rgb="FFBFBFBF"/>
      </right>
      <top style="medium">
        <color indexed="64"/>
      </top>
      <bottom style="mediumDashed">
        <color indexed="64"/>
      </bottom>
      <diagonal/>
    </border>
    <border>
      <left style="medium">
        <color indexed="64"/>
      </left>
      <right/>
      <top style="thin">
        <color indexed="64"/>
      </top>
      <bottom style="thin">
        <color theme="0" tint="-0.24994659260841701"/>
      </bottom>
      <diagonal/>
    </border>
    <border>
      <left style="medium">
        <color indexed="64"/>
      </left>
      <right/>
      <top/>
      <bottom style="thin">
        <color theme="0" tint="-0.24994659260841701"/>
      </bottom>
      <diagonal/>
    </border>
    <border>
      <left/>
      <right style="medium">
        <color indexed="64"/>
      </right>
      <top style="thin">
        <color theme="0" tint="-0.24994659260841701"/>
      </top>
      <bottom/>
      <diagonal/>
    </border>
    <border>
      <left style="medium">
        <color indexed="64"/>
      </left>
      <right/>
      <top/>
      <bottom style="thin">
        <color indexed="64"/>
      </bottom>
      <diagonal/>
    </border>
    <border>
      <left style="thin">
        <color theme="0" tint="-0.24994659260841701"/>
      </left>
      <right style="thin">
        <color theme="0" tint="-0.24994659260841701"/>
      </right>
      <top/>
      <bottom/>
      <diagonal/>
    </border>
    <border>
      <left style="thin">
        <color theme="0" tint="-0.24994659260841701"/>
      </left>
      <right/>
      <top style="mediumDashed">
        <color indexed="64"/>
      </top>
      <bottom/>
      <diagonal/>
    </border>
    <border>
      <left/>
      <right/>
      <top style="mediumDashed">
        <color indexed="64"/>
      </top>
      <bottom/>
      <diagonal/>
    </border>
    <border>
      <left/>
      <right style="medium">
        <color indexed="64"/>
      </right>
      <top style="mediumDashed">
        <color indexed="64"/>
      </top>
      <bottom/>
      <diagonal/>
    </border>
    <border>
      <left style="medium">
        <color indexed="64"/>
      </left>
      <right style="thin">
        <color theme="0" tint="-0.24994659260841701"/>
      </right>
      <top/>
      <bottom style="thin">
        <color indexed="64"/>
      </bottom>
      <diagonal/>
    </border>
    <border>
      <left style="thin">
        <color rgb="FFBFBFBF"/>
      </left>
      <right style="medium">
        <color indexed="64"/>
      </right>
      <top style="medium">
        <color indexed="64"/>
      </top>
      <bottom style="mediumDashed">
        <color indexed="64"/>
      </bottom>
      <diagonal/>
    </border>
    <border>
      <left style="medium">
        <color indexed="64"/>
      </left>
      <right style="thin">
        <color theme="0" tint="-0.24994659260841701"/>
      </right>
      <top style="thin">
        <color theme="0" tint="-0.24994659260841701"/>
      </top>
      <bottom style="thin">
        <color indexed="64"/>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indexed="64"/>
      </left>
      <right style="thin">
        <color theme="0" tint="-0.24994659260841701"/>
      </right>
      <top/>
      <bottom/>
      <diagonal/>
    </border>
    <border>
      <left style="thin">
        <color theme="0" tint="-0.24994659260841701"/>
      </left>
      <right style="thin">
        <color theme="0" tint="-0.24994659260841701"/>
      </right>
      <top/>
      <bottom style="thin">
        <color indexed="64"/>
      </bottom>
      <diagonal/>
    </border>
    <border>
      <left style="thin">
        <color theme="0" tint="-0.24994659260841701"/>
      </left>
      <right/>
      <top/>
      <bottom style="thin">
        <color indexed="64"/>
      </bottom>
      <diagonal/>
    </border>
    <border>
      <left style="medium">
        <color indexed="64"/>
      </left>
      <right style="thin">
        <color theme="0" tint="-0.24994659260841701"/>
      </right>
      <top/>
      <bottom style="mediumDashed">
        <color theme="0" tint="-0.34998626667073579"/>
      </bottom>
      <diagonal/>
    </border>
    <border>
      <left style="thin">
        <color theme="0" tint="-0.24994659260841701"/>
      </left>
      <right style="thin">
        <color theme="0" tint="-0.24994659260841701"/>
      </right>
      <top/>
      <bottom style="mediumDashed">
        <color theme="0" tint="-0.34998626667073579"/>
      </bottom>
      <diagonal/>
    </border>
    <border>
      <left style="thin">
        <color theme="0" tint="-0.24994659260841701"/>
      </left>
      <right/>
      <top/>
      <bottom style="mediumDashed">
        <color theme="0" tint="-0.34998626667073579"/>
      </bottom>
      <diagonal/>
    </border>
    <border>
      <left/>
      <right/>
      <top/>
      <bottom style="mediumDashed">
        <color theme="0" tint="-0.34998626667073579"/>
      </bottom>
      <diagonal/>
    </border>
    <border>
      <left/>
      <right style="medium">
        <color indexed="64"/>
      </right>
      <top/>
      <bottom style="mediumDashed">
        <color theme="0" tint="-0.34998626667073579"/>
      </bottom>
      <diagonal/>
    </border>
    <border>
      <left style="medium">
        <color indexed="64"/>
      </left>
      <right style="thin">
        <color theme="0" tint="-0.24994659260841701"/>
      </right>
      <top/>
      <bottom style="thin">
        <color theme="0" tint="-0.14996795556505021"/>
      </bottom>
      <diagonal/>
    </border>
    <border>
      <left/>
      <right/>
      <top/>
      <bottom style="thin">
        <color theme="0" tint="-0.14996795556505021"/>
      </bottom>
      <diagonal/>
    </border>
    <border>
      <left/>
      <right style="medium">
        <color indexed="64"/>
      </right>
      <top/>
      <bottom style="thin">
        <color theme="0" tint="-0.14996795556505021"/>
      </bottom>
      <diagonal/>
    </border>
    <border>
      <left style="medium">
        <color indexed="64"/>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theme="0" tint="-0.24994659260841701"/>
      </left>
      <right style="thin">
        <color theme="0" tint="-0.24994659260841701"/>
      </right>
      <top/>
      <bottom style="medium">
        <color indexed="64"/>
      </bottom>
      <diagonal/>
    </border>
    <border>
      <left style="medium">
        <color indexed="64"/>
      </left>
      <right style="thin">
        <color theme="0" tint="-0.24994659260841701"/>
      </right>
      <top style="mediumDashed">
        <color indexed="64"/>
      </top>
      <bottom style="thin">
        <color indexed="64"/>
      </bottom>
      <diagonal/>
    </border>
    <border>
      <left style="thin">
        <color theme="0" tint="-0.24994659260841701"/>
      </left>
      <right style="thin">
        <color theme="0" tint="-0.24994659260841701"/>
      </right>
      <top style="mediumDashed">
        <color indexed="64"/>
      </top>
      <bottom style="thin">
        <color indexed="64"/>
      </bottom>
      <diagonal/>
    </border>
    <border>
      <left style="thin">
        <color theme="0" tint="-0.24994659260841701"/>
      </left>
      <right/>
      <top style="mediumDashed">
        <color indexed="64"/>
      </top>
      <bottom style="thin">
        <color indexed="64"/>
      </bottom>
      <diagonal/>
    </border>
    <border>
      <left/>
      <right/>
      <top style="mediumDashed">
        <color indexed="64"/>
      </top>
      <bottom style="thin">
        <color indexed="64"/>
      </bottom>
      <diagonal/>
    </border>
    <border>
      <left/>
      <right style="medium">
        <color indexed="64"/>
      </right>
      <top style="mediumDashed">
        <color indexed="64"/>
      </top>
      <bottom style="thin">
        <color indexed="64"/>
      </bottom>
      <diagonal/>
    </border>
    <border>
      <left style="medium">
        <color indexed="64"/>
      </left>
      <right style="thin">
        <color theme="0" tint="-0.24994659260841701"/>
      </right>
      <top style="thin">
        <color indexed="64"/>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style="thin">
        <color theme="0" tint="-0.24994659260841701"/>
      </left>
      <right/>
      <top style="thin">
        <color indexed="64"/>
      </top>
      <bottom style="thin">
        <color indexed="64"/>
      </bottom>
      <diagonal/>
    </border>
    <border>
      <left style="thin">
        <color theme="0" tint="-0.24994659260841701"/>
      </left>
      <right style="medium">
        <color indexed="64"/>
      </right>
      <top/>
      <bottom style="thin">
        <color theme="0" tint="-0.24994659260841701"/>
      </bottom>
      <diagonal/>
    </border>
    <border>
      <left style="medium">
        <color indexed="64"/>
      </left>
      <right style="thin">
        <color theme="0" tint="-0.24994659260841701"/>
      </right>
      <top style="thin">
        <color theme="0" tint="-0.24994659260841701"/>
      </top>
      <bottom style="hair">
        <color indexed="64"/>
      </bottom>
      <diagonal/>
    </border>
    <border>
      <left style="thin">
        <color theme="0" tint="-0.24994659260841701"/>
      </left>
      <right style="thin">
        <color theme="0" tint="-0.24994659260841701"/>
      </right>
      <top style="thin">
        <color theme="0" tint="-0.24994659260841701"/>
      </top>
      <bottom style="hair">
        <color indexed="64"/>
      </bottom>
      <diagonal/>
    </border>
    <border>
      <left style="thin">
        <color theme="0" tint="-0.24994659260841701"/>
      </left>
      <right style="medium">
        <color indexed="64"/>
      </right>
      <top style="thin">
        <color theme="0" tint="-0.24994659260841701"/>
      </top>
      <bottom style="hair">
        <color indexed="64"/>
      </bottom>
      <diagonal/>
    </border>
    <border>
      <left style="thin">
        <color theme="0" tint="-0.24994659260841701"/>
      </left>
      <right style="medium">
        <color indexed="64"/>
      </right>
      <top/>
      <bottom style="medium">
        <color indexed="64"/>
      </bottom>
      <diagonal/>
    </border>
    <border>
      <left style="thin">
        <color theme="0" tint="-0.24994659260841701"/>
      </left>
      <right/>
      <top style="medium">
        <color indexed="64"/>
      </top>
      <bottom style="medium">
        <color indexed="64"/>
      </bottom>
      <diagonal/>
    </border>
    <border>
      <left style="medium">
        <color indexed="64"/>
      </left>
      <right style="thin">
        <color rgb="FFBFBFBF"/>
      </right>
      <top style="medium">
        <color indexed="64"/>
      </top>
      <bottom style="medium">
        <color auto="1"/>
      </bottom>
      <diagonal/>
    </border>
    <border>
      <left style="thin">
        <color rgb="FFBFBFBF"/>
      </left>
      <right style="medium">
        <color indexed="64"/>
      </right>
      <top style="medium">
        <color indexed="64"/>
      </top>
      <bottom style="medium">
        <color indexed="64"/>
      </bottom>
      <diagonal/>
    </border>
    <border>
      <left style="medium">
        <color indexed="64"/>
      </left>
      <right style="thin">
        <color rgb="FFBFBFBF"/>
      </right>
      <top/>
      <bottom style="thin">
        <color rgb="FFBFBFBF"/>
      </bottom>
      <diagonal/>
    </border>
    <border>
      <left style="thin">
        <color rgb="FFBFBFBF"/>
      </left>
      <right style="thin">
        <color rgb="FFBFBFBF"/>
      </right>
      <top/>
      <bottom style="thin">
        <color rgb="FFBFBFBF"/>
      </bottom>
      <diagonal/>
    </border>
    <border>
      <left style="thin">
        <color rgb="FFBFBFBF"/>
      </left>
      <right style="medium">
        <color indexed="64"/>
      </right>
      <top/>
      <bottom style="thin">
        <color rgb="FFBFBFBF"/>
      </bottom>
      <diagonal/>
    </border>
    <border>
      <left style="medium">
        <color indexed="64"/>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style="medium">
        <color indexed="64"/>
      </right>
      <top style="thin">
        <color rgb="FFBFBFBF"/>
      </top>
      <bottom style="thin">
        <color rgb="FFBFBFBF"/>
      </bottom>
      <diagonal/>
    </border>
    <border>
      <left style="medium">
        <color indexed="64"/>
      </left>
      <right style="thin">
        <color rgb="FFBFBFBF"/>
      </right>
      <top style="thin">
        <color rgb="FFBFBFBF"/>
      </top>
      <bottom/>
      <diagonal/>
    </border>
    <border>
      <left style="thin">
        <color rgb="FFBFBFBF"/>
      </left>
      <right style="thin">
        <color rgb="FFBFBFBF"/>
      </right>
      <top style="thin">
        <color rgb="FFBFBFBF"/>
      </top>
      <bottom/>
      <diagonal/>
    </border>
    <border>
      <left style="thin">
        <color rgb="FFBFBFBF"/>
      </left>
      <right style="medium">
        <color indexed="64"/>
      </right>
      <top style="thin">
        <color rgb="FFBFBFBF"/>
      </top>
      <bottom/>
      <diagonal/>
    </border>
    <border>
      <left style="medium">
        <color indexed="64"/>
      </left>
      <right style="thin">
        <color rgb="FFBFBFBF"/>
      </right>
      <top style="thin">
        <color rgb="FFBFBFBF"/>
      </top>
      <bottom style="medium">
        <color auto="1"/>
      </bottom>
      <diagonal/>
    </border>
    <border>
      <left style="thin">
        <color rgb="FFBFBFBF"/>
      </left>
      <right style="thin">
        <color rgb="FFBFBFBF"/>
      </right>
      <top style="thin">
        <color rgb="FFBFBFBF"/>
      </top>
      <bottom style="medium">
        <color indexed="64"/>
      </bottom>
      <diagonal/>
    </border>
    <border>
      <left style="thin">
        <color rgb="FFBFBFBF"/>
      </left>
      <right style="medium">
        <color indexed="64"/>
      </right>
      <top style="thin">
        <color rgb="FFBFBFBF"/>
      </top>
      <bottom style="medium">
        <color indexed="64"/>
      </bottom>
      <diagonal/>
    </border>
  </borders>
  <cellStyleXfs count="9">
    <xf numFmtId="0" fontId="0" fillId="0" borderId="0"/>
    <xf numFmtId="9" fontId="1" fillId="0" borderId="0" applyFont="0" applyFill="0" applyBorder="0" applyAlignment="0" applyProtection="0"/>
    <xf numFmtId="0" fontId="4" fillId="0" borderId="0"/>
    <xf numFmtId="49" fontId="7" fillId="4" borderId="0">
      <alignment vertical="center"/>
    </xf>
    <xf numFmtId="0" fontId="6" fillId="5" borderId="0">
      <alignment horizontal="left" vertical="center"/>
      <protection locked="0"/>
    </xf>
    <xf numFmtId="0" fontId="18" fillId="4" borderId="0">
      <alignment vertical="center"/>
      <protection locked="0"/>
    </xf>
    <xf numFmtId="49" fontId="4" fillId="8" borderId="48" applyAlignment="0">
      <alignment horizontal="left" vertical="center" wrapText="1"/>
      <protection locked="0"/>
    </xf>
    <xf numFmtId="0" fontId="1" fillId="0" borderId="0"/>
    <xf numFmtId="0" fontId="7" fillId="5" borderId="0">
      <alignment vertical="center"/>
    </xf>
  </cellStyleXfs>
  <cellXfs count="919">
    <xf numFmtId="0" fontId="0" fillId="0" borderId="0" xfId="0"/>
    <xf numFmtId="0" fontId="5" fillId="2" borderId="0" xfId="2" applyFont="1" applyFill="1"/>
    <xf numFmtId="0" fontId="6" fillId="3" borderId="0" xfId="0" applyFont="1" applyFill="1" applyAlignment="1">
      <alignment vertical="center"/>
    </xf>
    <xf numFmtId="0" fontId="6" fillId="3" borderId="0" xfId="0" applyFont="1" applyFill="1" applyAlignment="1">
      <alignment vertical="center" wrapText="1"/>
    </xf>
    <xf numFmtId="0" fontId="0" fillId="2" borderId="0" xfId="0" applyFill="1"/>
    <xf numFmtId="49" fontId="8" fillId="4" borderId="0" xfId="3" applyFont="1">
      <alignment vertical="center"/>
    </xf>
    <xf numFmtId="0" fontId="6" fillId="3" borderId="0" xfId="0" applyFont="1" applyFill="1" applyAlignment="1">
      <alignment horizontal="left" vertical="center"/>
    </xf>
    <xf numFmtId="0" fontId="9" fillId="4" borderId="0" xfId="3" applyNumberFormat="1" applyFont="1" applyAlignment="1">
      <alignment horizontal="left" vertical="center"/>
    </xf>
    <xf numFmtId="0" fontId="6" fillId="5" borderId="0" xfId="4" applyProtection="1">
      <alignment horizontal="left" vertical="center"/>
    </xf>
    <xf numFmtId="0" fontId="10" fillId="0" borderId="0" xfId="0" applyFont="1" applyAlignment="1">
      <alignment horizontal="left" wrapText="1"/>
    </xf>
    <xf numFmtId="0" fontId="11" fillId="2" borderId="0" xfId="0" applyFont="1" applyFill="1"/>
    <xf numFmtId="0" fontId="12" fillId="6" borderId="1" xfId="0" applyFont="1" applyFill="1" applyBorder="1" applyAlignment="1">
      <alignment horizontal="left"/>
    </xf>
    <xf numFmtId="0" fontId="13" fillId="6" borderId="2" xfId="0" applyFont="1" applyFill="1" applyBorder="1" applyAlignment="1">
      <alignment horizontal="left" wrapText="1"/>
    </xf>
    <xf numFmtId="0" fontId="13" fillId="6" borderId="3" xfId="0" applyFont="1" applyFill="1" applyBorder="1" applyAlignment="1">
      <alignment horizontal="left" wrapText="1"/>
    </xf>
    <xf numFmtId="0" fontId="0" fillId="0" borderId="0" xfId="0" applyAlignment="1">
      <alignment vertical="top" wrapText="1"/>
    </xf>
    <xf numFmtId="0" fontId="0" fillId="2" borderId="0" xfId="0" applyFill="1" applyAlignment="1">
      <alignment horizontal="left" vertical="top" wrapText="1"/>
    </xf>
    <xf numFmtId="0" fontId="13" fillId="6" borderId="7" xfId="0" applyFont="1" applyFill="1" applyBorder="1" applyAlignment="1">
      <alignment horizontal="left" vertical="center"/>
    </xf>
    <xf numFmtId="0" fontId="13" fillId="6" borderId="8" xfId="0" applyFont="1" applyFill="1" applyBorder="1" applyAlignment="1">
      <alignment horizontal="left" vertical="center"/>
    </xf>
    <xf numFmtId="0" fontId="13" fillId="6" borderId="9" xfId="0" applyFont="1" applyFill="1" applyBorder="1" applyAlignment="1">
      <alignment horizontal="left" vertical="center"/>
    </xf>
    <xf numFmtId="0" fontId="13" fillId="6" borderId="10" xfId="0" applyFont="1" applyFill="1" applyBorder="1" applyAlignment="1">
      <alignment horizontal="left" vertical="center"/>
    </xf>
    <xf numFmtId="0" fontId="0" fillId="2" borderId="0" xfId="0" applyFill="1" applyAlignment="1">
      <alignment vertical="center"/>
    </xf>
    <xf numFmtId="0" fontId="4" fillId="0" borderId="17" xfId="0" applyFont="1" applyBorder="1" applyAlignment="1">
      <alignment horizontal="left" vertical="center" wrapText="1" indent="1"/>
    </xf>
    <xf numFmtId="0" fontId="17" fillId="2" borderId="17" xfId="0" applyFont="1" applyFill="1" applyBorder="1" applyAlignment="1">
      <alignment horizontal="left" vertical="center" wrapText="1" indent="1"/>
    </xf>
    <xf numFmtId="164" fontId="10" fillId="6" borderId="21" xfId="0" applyNumberFormat="1" applyFont="1" applyFill="1" applyBorder="1" applyAlignment="1">
      <alignment vertical="center"/>
    </xf>
    <xf numFmtId="0" fontId="17" fillId="2" borderId="25" xfId="0" applyFont="1" applyFill="1" applyBorder="1" applyAlignment="1">
      <alignment horizontal="left" vertical="center" wrapText="1" indent="1"/>
    </xf>
    <xf numFmtId="0" fontId="17" fillId="2" borderId="0" xfId="0" applyFont="1" applyFill="1" applyAlignment="1">
      <alignment horizontal="left" vertical="center" wrapText="1" indent="1"/>
    </xf>
    <xf numFmtId="0" fontId="5" fillId="0" borderId="0" xfId="0" applyFont="1"/>
    <xf numFmtId="165" fontId="5" fillId="0" borderId="0" xfId="0" applyNumberFormat="1" applyFont="1"/>
    <xf numFmtId="164" fontId="4" fillId="2" borderId="0" xfId="1" applyNumberFormat="1" applyFont="1" applyFill="1" applyBorder="1" applyAlignment="1" applyProtection="1">
      <alignment horizontal="right" vertical="center" wrapText="1"/>
    </xf>
    <xf numFmtId="2" fontId="10" fillId="0" borderId="0" xfId="0" applyNumberFormat="1" applyFont="1" applyAlignment="1">
      <alignment horizontal="center"/>
    </xf>
    <xf numFmtId="0" fontId="5" fillId="2" borderId="0" xfId="0" applyFont="1" applyFill="1"/>
    <xf numFmtId="0" fontId="19" fillId="4" borderId="0" xfId="5" applyFont="1" applyProtection="1">
      <alignment vertical="center"/>
    </xf>
    <xf numFmtId="0" fontId="20" fillId="4" borderId="0" xfId="5" applyFont="1" applyProtection="1">
      <alignment vertical="center"/>
    </xf>
    <xf numFmtId="0" fontId="21" fillId="2" borderId="0" xfId="0" applyFont="1" applyFill="1"/>
    <xf numFmtId="0" fontId="3" fillId="8" borderId="30" xfId="0" applyFont="1" applyFill="1" applyBorder="1" applyAlignment="1" applyProtection="1">
      <alignment horizontal="right"/>
      <protection locked="0"/>
    </xf>
    <xf numFmtId="0" fontId="3" fillId="8" borderId="30" xfId="0" applyFont="1" applyFill="1" applyBorder="1" applyProtection="1">
      <protection locked="0"/>
    </xf>
    <xf numFmtId="0" fontId="22" fillId="6" borderId="7" xfId="0" applyFont="1" applyFill="1" applyBorder="1" applyAlignment="1">
      <alignment horizontal="left" vertical="center"/>
    </xf>
    <xf numFmtId="0" fontId="22" fillId="6" borderId="31" xfId="0" applyFont="1" applyFill="1" applyBorder="1" applyAlignment="1">
      <alignment horizontal="left" vertical="center"/>
    </xf>
    <xf numFmtId="0" fontId="22" fillId="6" borderId="8" xfId="0" applyFont="1" applyFill="1" applyBorder="1" applyAlignment="1">
      <alignment horizontal="left" vertical="center"/>
    </xf>
    <xf numFmtId="0" fontId="22" fillId="6" borderId="9" xfId="0" applyFont="1" applyFill="1" applyBorder="1" applyAlignment="1">
      <alignment horizontal="left" vertical="center"/>
    </xf>
    <xf numFmtId="0" fontId="23" fillId="2" borderId="0" xfId="0" applyFont="1" applyFill="1"/>
    <xf numFmtId="0" fontId="10" fillId="6" borderId="33" xfId="0" applyFont="1" applyFill="1" applyBorder="1" applyAlignment="1">
      <alignment horizontal="right" vertical="center"/>
    </xf>
    <xf numFmtId="0" fontId="10" fillId="6" borderId="34" xfId="0" applyFont="1" applyFill="1" applyBorder="1" applyAlignment="1">
      <alignment horizontal="right" vertical="center"/>
    </xf>
    <xf numFmtId="0" fontId="10" fillId="10" borderId="35" xfId="0" applyFont="1" applyFill="1" applyBorder="1" applyAlignment="1">
      <alignment horizontal="right" vertical="center"/>
    </xf>
    <xf numFmtId="0" fontId="10" fillId="10" borderId="36" xfId="0" applyFont="1" applyFill="1" applyBorder="1" applyAlignment="1">
      <alignment horizontal="right" vertical="center"/>
    </xf>
    <xf numFmtId="0" fontId="10" fillId="10" borderId="37" xfId="0" applyFont="1" applyFill="1" applyBorder="1" applyAlignment="1">
      <alignment horizontal="right" vertical="center"/>
    </xf>
    <xf numFmtId="0" fontId="4" fillId="0" borderId="38" xfId="0" applyFont="1" applyBorder="1" applyAlignment="1">
      <alignment horizontal="left" vertical="center" wrapText="1" indent="1"/>
    </xf>
    <xf numFmtId="0" fontId="24" fillId="11" borderId="45" xfId="0" applyFont="1" applyFill="1" applyBorder="1" applyAlignment="1">
      <alignment horizontal="left" vertical="center" wrapText="1" indent="1"/>
    </xf>
    <xf numFmtId="0" fontId="4" fillId="0" borderId="45" xfId="7" applyFont="1" applyBorder="1" applyAlignment="1">
      <alignment horizontal="left" vertical="center" indent="1"/>
    </xf>
    <xf numFmtId="166" fontId="10" fillId="0" borderId="0" xfId="0" applyNumberFormat="1" applyFont="1"/>
    <xf numFmtId="0" fontId="4" fillId="0" borderId="56" xfId="0" applyFont="1" applyBorder="1" applyAlignment="1">
      <alignment horizontal="left" vertical="center" wrapText="1" indent="1"/>
    </xf>
    <xf numFmtId="0" fontId="10" fillId="13" borderId="7" xfId="0" applyFont="1" applyFill="1" applyBorder="1" applyAlignment="1">
      <alignment horizontal="right" vertical="center" wrapText="1" indent="1"/>
    </xf>
    <xf numFmtId="0" fontId="24" fillId="0" borderId="65" xfId="0" applyFont="1" applyBorder="1" applyAlignment="1">
      <alignment vertical="center"/>
    </xf>
    <xf numFmtId="0" fontId="24" fillId="0" borderId="0" xfId="0" applyFont="1" applyAlignment="1">
      <alignment vertical="center"/>
    </xf>
    <xf numFmtId="164" fontId="25" fillId="0" borderId="0" xfId="0" applyNumberFormat="1" applyFont="1"/>
    <xf numFmtId="0" fontId="5" fillId="0" borderId="65" xfId="0" applyFont="1" applyBorder="1"/>
    <xf numFmtId="0" fontId="26" fillId="2" borderId="66" xfId="0" applyFont="1" applyFill="1" applyBorder="1" applyAlignment="1">
      <alignment vertical="center" wrapText="1"/>
    </xf>
    <xf numFmtId="0" fontId="5" fillId="0" borderId="0" xfId="0" applyFont="1" applyAlignment="1">
      <alignment horizontal="right"/>
    </xf>
    <xf numFmtId="0" fontId="4" fillId="0" borderId="67" xfId="0" applyFont="1" applyBorder="1" applyAlignment="1">
      <alignment horizontal="left" vertical="center" wrapText="1" indent="1"/>
    </xf>
    <xf numFmtId="2" fontId="10" fillId="6" borderId="69" xfId="0" applyNumberFormat="1" applyFont="1" applyFill="1" applyBorder="1" applyProtection="1">
      <protection locked="0"/>
    </xf>
    <xf numFmtId="2" fontId="10" fillId="6" borderId="72" xfId="0" applyNumberFormat="1" applyFont="1" applyFill="1" applyBorder="1" applyProtection="1">
      <protection locked="0"/>
    </xf>
    <xf numFmtId="0" fontId="4" fillId="0" borderId="45" xfId="0" applyFont="1" applyBorder="1" applyAlignment="1">
      <alignment horizontal="left" vertical="center" wrapText="1" indent="3"/>
    </xf>
    <xf numFmtId="0" fontId="4" fillId="0" borderId="45" xfId="0" applyFont="1" applyBorder="1" applyAlignment="1">
      <alignment horizontal="left" vertical="center" wrapText="1" indent="1"/>
    </xf>
    <xf numFmtId="166" fontId="5" fillId="0" borderId="0" xfId="0" applyNumberFormat="1" applyFont="1"/>
    <xf numFmtId="0" fontId="27" fillId="0" borderId="0" xfId="0" applyFont="1"/>
    <xf numFmtId="2" fontId="10" fillId="6" borderId="75" xfId="0" applyNumberFormat="1" applyFont="1" applyFill="1" applyBorder="1" applyProtection="1">
      <protection locked="0"/>
    </xf>
    <xf numFmtId="0" fontId="10" fillId="13" borderId="26" xfId="0" applyFont="1" applyFill="1" applyBorder="1" applyAlignment="1">
      <alignment horizontal="right" wrapText="1"/>
    </xf>
    <xf numFmtId="164" fontId="10" fillId="13" borderId="37" xfId="1" applyNumberFormat="1" applyFont="1" applyFill="1" applyBorder="1" applyAlignment="1" applyProtection="1">
      <alignment horizontal="right" wrapText="1"/>
      <protection locked="0"/>
    </xf>
    <xf numFmtId="167" fontId="28" fillId="15" borderId="76" xfId="0" applyNumberFormat="1" applyFont="1" applyFill="1" applyBorder="1" applyProtection="1">
      <protection locked="0"/>
    </xf>
    <xf numFmtId="0" fontId="5" fillId="0" borderId="0" xfId="0" applyFont="1" applyAlignment="1">
      <alignment horizontal="left"/>
    </xf>
    <xf numFmtId="0" fontId="5" fillId="0" borderId="0" xfId="0" applyFont="1" applyAlignment="1">
      <alignment horizontal="left" wrapText="1"/>
    </xf>
    <xf numFmtId="0" fontId="29" fillId="6" borderId="77" xfId="0" applyFont="1" applyFill="1" applyBorder="1" applyAlignment="1">
      <alignment horizontal="left" vertical="center"/>
    </xf>
    <xf numFmtId="0" fontId="10" fillId="6" borderId="31" xfId="0" applyFont="1" applyFill="1" applyBorder="1" applyAlignment="1">
      <alignment horizontal="left" vertical="center"/>
    </xf>
    <xf numFmtId="0" fontId="10" fillId="6" borderId="12" xfId="0" applyFont="1" applyFill="1" applyBorder="1" applyAlignment="1">
      <alignment horizontal="left" vertical="center"/>
    </xf>
    <xf numFmtId="0" fontId="10" fillId="6" borderId="70" xfId="0" applyFont="1" applyFill="1" applyBorder="1" applyAlignment="1">
      <alignment horizontal="left" vertical="center"/>
    </xf>
    <xf numFmtId="0" fontId="0" fillId="0" borderId="0" xfId="0" applyAlignment="1">
      <alignment vertical="center"/>
    </xf>
    <xf numFmtId="0" fontId="0" fillId="6" borderId="78" xfId="0" applyFill="1" applyBorder="1"/>
    <xf numFmtId="0" fontId="10" fillId="0" borderId="0" xfId="0" applyFont="1" applyAlignment="1">
      <alignment horizontal="left"/>
    </xf>
    <xf numFmtId="0" fontId="29" fillId="6" borderId="7" xfId="0" applyFont="1" applyFill="1" applyBorder="1" applyAlignment="1">
      <alignment horizontal="left" vertical="center"/>
    </xf>
    <xf numFmtId="0" fontId="10" fillId="6" borderId="8" xfId="0" applyFont="1" applyFill="1" applyBorder="1" applyAlignment="1">
      <alignment horizontal="left" vertical="center"/>
    </xf>
    <xf numFmtId="0" fontId="29" fillId="6" borderId="31" xfId="0" applyFont="1" applyFill="1" applyBorder="1" applyAlignment="1">
      <alignment horizontal="left" vertical="center"/>
    </xf>
    <xf numFmtId="0" fontId="29" fillId="6" borderId="70" xfId="0" applyFont="1" applyFill="1" applyBorder="1" applyAlignment="1">
      <alignment horizontal="left" vertical="center"/>
    </xf>
    <xf numFmtId="0" fontId="10" fillId="2" borderId="77" xfId="0" applyFont="1" applyFill="1" applyBorder="1" applyAlignment="1">
      <alignment horizontal="left"/>
    </xf>
    <xf numFmtId="0" fontId="10" fillId="2" borderId="31" xfId="0" applyFont="1" applyFill="1" applyBorder="1" applyAlignment="1">
      <alignment horizontal="left"/>
    </xf>
    <xf numFmtId="0" fontId="16" fillId="11" borderId="81" xfId="0" applyFont="1" applyFill="1" applyBorder="1"/>
    <xf numFmtId="0" fontId="10" fillId="2" borderId="10" xfId="0" applyFont="1" applyFill="1" applyBorder="1" applyAlignment="1">
      <alignment horizontal="left"/>
    </xf>
    <xf numFmtId="0" fontId="10" fillId="2" borderId="0" xfId="0" applyFont="1" applyFill="1" applyAlignment="1">
      <alignment horizontal="left"/>
    </xf>
    <xf numFmtId="0" fontId="10" fillId="10" borderId="82" xfId="0" applyFont="1" applyFill="1" applyBorder="1" applyAlignment="1">
      <alignment horizontal="right" vertical="center"/>
    </xf>
    <xf numFmtId="0" fontId="10" fillId="10" borderId="83" xfId="0" applyFont="1" applyFill="1" applyBorder="1" applyAlignment="1">
      <alignment horizontal="right" vertical="center"/>
    </xf>
    <xf numFmtId="0" fontId="10" fillId="16" borderId="83" xfId="0" applyFont="1" applyFill="1" applyBorder="1" applyAlignment="1">
      <alignment horizontal="right" vertical="center"/>
    </xf>
    <xf numFmtId="0" fontId="3" fillId="11" borderId="84" xfId="0" applyFont="1" applyFill="1" applyBorder="1"/>
    <xf numFmtId="0" fontId="30" fillId="19" borderId="7" xfId="0" applyFont="1" applyFill="1" applyBorder="1"/>
    <xf numFmtId="0" fontId="30" fillId="19" borderId="8" xfId="0" applyFont="1" applyFill="1" applyBorder="1" applyAlignment="1">
      <alignment wrapText="1"/>
    </xf>
    <xf numFmtId="169" fontId="10" fillId="2" borderId="0" xfId="0" applyNumberFormat="1" applyFont="1" applyFill="1" applyAlignment="1">
      <alignment horizontal="right" vertical="center"/>
    </xf>
    <xf numFmtId="0" fontId="30" fillId="19" borderId="7" xfId="0" applyFont="1" applyFill="1" applyBorder="1" applyAlignment="1">
      <alignment vertical="center"/>
    </xf>
    <xf numFmtId="0" fontId="30" fillId="19" borderId="8" xfId="0" applyFont="1" applyFill="1" applyBorder="1" applyAlignment="1">
      <alignment vertical="center"/>
    </xf>
    <xf numFmtId="2" fontId="10" fillId="19" borderId="8" xfId="0" applyNumberFormat="1" applyFont="1" applyFill="1" applyBorder="1" applyAlignment="1">
      <alignment horizontal="right"/>
    </xf>
    <xf numFmtId="0" fontId="4" fillId="0" borderId="0" xfId="0" applyFont="1" applyAlignment="1">
      <alignment horizontal="left"/>
    </xf>
    <xf numFmtId="0" fontId="31" fillId="0" borderId="0" xfId="0" applyFont="1" applyAlignment="1">
      <alignment horizontal="center" wrapText="1"/>
    </xf>
    <xf numFmtId="0" fontId="2" fillId="0" borderId="0" xfId="0" applyFont="1"/>
    <xf numFmtId="0" fontId="10" fillId="0" borderId="0" xfId="0" applyFont="1" applyAlignment="1">
      <alignment vertical="center" wrapText="1"/>
    </xf>
    <xf numFmtId="0" fontId="32" fillId="0" borderId="0" xfId="0" applyFont="1" applyAlignment="1">
      <alignment horizontal="left" vertical="center"/>
    </xf>
    <xf numFmtId="0" fontId="0" fillId="2" borderId="0" xfId="0" applyFill="1" applyAlignment="1">
      <alignment horizontal="left" vertical="center"/>
    </xf>
    <xf numFmtId="0" fontId="4" fillId="0" borderId="0" xfId="0" applyFont="1"/>
    <xf numFmtId="0" fontId="0" fillId="0" borderId="0" xfId="0" applyAlignment="1">
      <alignment horizontal="left"/>
    </xf>
    <xf numFmtId="0" fontId="33" fillId="0" borderId="0" xfId="0" applyFont="1" applyAlignment="1">
      <alignment horizontal="left"/>
    </xf>
    <xf numFmtId="2" fontId="4" fillId="8" borderId="52" xfId="0" applyNumberFormat="1" applyFont="1" applyFill="1" applyBorder="1" applyAlignment="1" applyProtection="1">
      <alignment vertical="center" wrapText="1"/>
      <protection locked="0"/>
    </xf>
    <xf numFmtId="2" fontId="4" fillId="8" borderId="53" xfId="0" applyNumberFormat="1" applyFont="1" applyFill="1" applyBorder="1" applyAlignment="1" applyProtection="1">
      <alignment vertical="center" wrapText="1"/>
      <protection locked="0"/>
    </xf>
    <xf numFmtId="0" fontId="10" fillId="6" borderId="95" xfId="0" applyFont="1" applyFill="1" applyBorder="1" applyAlignment="1">
      <alignment horizontal="right" vertical="center"/>
    </xf>
    <xf numFmtId="0" fontId="26" fillId="20" borderId="31" xfId="0" applyFont="1" applyFill="1" applyBorder="1" applyAlignment="1">
      <alignment horizontal="left" vertical="center"/>
    </xf>
    <xf numFmtId="164" fontId="10" fillId="6" borderId="118" xfId="0" applyNumberFormat="1" applyFont="1" applyFill="1" applyBorder="1" applyProtection="1">
      <protection locked="0"/>
    </xf>
    <xf numFmtId="164" fontId="10" fillId="6" borderId="8" xfId="0" applyNumberFormat="1" applyFont="1" applyFill="1" applyBorder="1" applyProtection="1">
      <protection locked="0"/>
    </xf>
    <xf numFmtId="164" fontId="10" fillId="6" borderId="119" xfId="0" applyNumberFormat="1" applyFont="1" applyFill="1" applyBorder="1" applyProtection="1">
      <protection locked="0"/>
    </xf>
    <xf numFmtId="164" fontId="10" fillId="6" borderId="9" xfId="0" applyNumberFormat="1" applyFont="1" applyFill="1" applyBorder="1" applyProtection="1">
      <protection locked="0"/>
    </xf>
    <xf numFmtId="49" fontId="4" fillId="8" borderId="120" xfId="6" applyBorder="1" applyAlignment="1">
      <alignment horizontal="right"/>
      <protection locked="0"/>
    </xf>
    <xf numFmtId="49" fontId="4" fillId="8" borderId="121" xfId="6" applyBorder="1" applyAlignment="1">
      <alignment horizontal="right"/>
      <protection locked="0"/>
    </xf>
    <xf numFmtId="49" fontId="4" fillId="8" borderId="122" xfId="6" applyBorder="1" applyAlignment="1">
      <alignment horizontal="right"/>
      <protection locked="0"/>
    </xf>
    <xf numFmtId="0" fontId="37" fillId="21" borderId="0" xfId="0" applyFont="1" applyFill="1" applyAlignment="1">
      <alignment vertical="center"/>
    </xf>
    <xf numFmtId="0" fontId="0" fillId="21" borderId="0" xfId="0" applyFill="1"/>
    <xf numFmtId="0" fontId="0" fillId="22" borderId="7" xfId="0" applyFill="1" applyBorder="1"/>
    <xf numFmtId="0" fontId="0" fillId="22" borderId="9" xfId="0" applyFill="1" applyBorder="1" applyAlignment="1">
      <alignment horizontal="left"/>
    </xf>
    <xf numFmtId="0" fontId="0" fillId="0" borderId="8" xfId="0" applyBorder="1"/>
    <xf numFmtId="0" fontId="0" fillId="0" borderId="65" xfId="0" applyBorder="1"/>
    <xf numFmtId="0" fontId="0" fillId="6" borderId="77" xfId="0" applyFill="1" applyBorder="1"/>
    <xf numFmtId="0" fontId="0" fillId="6" borderId="31" xfId="0" applyFill="1" applyBorder="1"/>
    <xf numFmtId="0" fontId="0" fillId="6" borderId="70" xfId="0" applyFill="1" applyBorder="1"/>
    <xf numFmtId="0" fontId="0" fillId="0" borderId="70" xfId="0" applyBorder="1"/>
    <xf numFmtId="0" fontId="0" fillId="6" borderId="10" xfId="0" applyFill="1" applyBorder="1"/>
    <xf numFmtId="0" fontId="0" fillId="6" borderId="0" xfId="0" applyFill="1"/>
    <xf numFmtId="0" fontId="0" fillId="6" borderId="66" xfId="0" applyFill="1" applyBorder="1"/>
    <xf numFmtId="0" fontId="3" fillId="10" borderId="70" xfId="0" applyFont="1" applyFill="1" applyBorder="1" applyAlignment="1">
      <alignment horizontal="center"/>
    </xf>
    <xf numFmtId="0" fontId="10" fillId="10" borderId="0" xfId="0" applyFont="1" applyFill="1" applyAlignment="1">
      <alignment horizontal="center"/>
    </xf>
    <xf numFmtId="0" fontId="3" fillId="10" borderId="66" xfId="0" applyFont="1" applyFill="1" applyBorder="1" applyAlignment="1">
      <alignment horizontal="center"/>
    </xf>
    <xf numFmtId="0" fontId="0" fillId="6" borderId="65" xfId="0" applyFill="1" applyBorder="1"/>
    <xf numFmtId="0" fontId="0" fillId="6" borderId="67" xfId="0" applyFill="1" applyBorder="1"/>
    <xf numFmtId="0" fontId="3" fillId="10" borderId="65" xfId="0" applyFont="1" applyFill="1" applyBorder="1"/>
    <xf numFmtId="0" fontId="3" fillId="10" borderId="67" xfId="0" applyFont="1" applyFill="1" applyBorder="1" applyAlignment="1">
      <alignment horizontal="center"/>
    </xf>
    <xf numFmtId="0" fontId="0" fillId="11" borderId="0" xfId="0" applyFill="1"/>
    <xf numFmtId="0" fontId="26" fillId="26" borderId="0" xfId="0" applyFont="1" applyFill="1" applyAlignment="1">
      <alignment vertical="center" wrapText="1"/>
    </xf>
    <xf numFmtId="0" fontId="26" fillId="26" borderId="73" xfId="0" applyFont="1" applyFill="1" applyBorder="1" applyAlignment="1">
      <alignment vertical="center" wrapText="1"/>
    </xf>
    <xf numFmtId="49" fontId="26" fillId="26" borderId="73" xfId="0" applyNumberFormat="1" applyFont="1" applyFill="1" applyBorder="1" applyAlignment="1">
      <alignment vertical="center" wrapText="1"/>
    </xf>
    <xf numFmtId="49" fontId="26" fillId="26" borderId="0" xfId="0" applyNumberFormat="1" applyFont="1" applyFill="1" applyAlignment="1">
      <alignment vertical="center" wrapText="1"/>
    </xf>
    <xf numFmtId="0" fontId="10" fillId="27" borderId="10" xfId="0" applyFont="1" applyFill="1" applyBorder="1" applyAlignment="1">
      <alignment horizontal="left" vertical="center" wrapText="1"/>
    </xf>
    <xf numFmtId="0" fontId="10" fillId="27" borderId="73" xfId="0" applyFont="1" applyFill="1" applyBorder="1" applyAlignment="1">
      <alignment horizontal="center" vertical="center" wrapText="1"/>
    </xf>
    <xf numFmtId="0" fontId="30" fillId="28" borderId="73" xfId="0" applyFont="1" applyFill="1" applyBorder="1" applyAlignment="1">
      <alignment horizontal="center" vertical="center" wrapText="1"/>
    </xf>
    <xf numFmtId="1" fontId="30" fillId="28" borderId="73" xfId="0" applyNumberFormat="1" applyFont="1" applyFill="1" applyBorder="1" applyAlignment="1">
      <alignment horizontal="center" vertical="center" wrapText="1"/>
    </xf>
    <xf numFmtId="0" fontId="10" fillId="29" borderId="10" xfId="0" applyFont="1" applyFill="1" applyBorder="1" applyAlignment="1">
      <alignment horizontal="center" vertical="center" wrapText="1"/>
    </xf>
    <xf numFmtId="0" fontId="10" fillId="30" borderId="73" xfId="0" applyFont="1" applyFill="1" applyBorder="1" applyAlignment="1">
      <alignment vertical="center" wrapText="1"/>
    </xf>
    <xf numFmtId="0" fontId="10" fillId="30" borderId="126" xfId="0" applyFont="1" applyFill="1" applyBorder="1" applyAlignment="1">
      <alignment vertical="center" wrapText="1"/>
    </xf>
    <xf numFmtId="0" fontId="10" fillId="31" borderId="126" xfId="0" applyFont="1" applyFill="1" applyBorder="1" applyAlignment="1">
      <alignment vertical="center" wrapText="1"/>
    </xf>
    <xf numFmtId="0" fontId="10" fillId="10" borderId="0" xfId="0" applyFont="1" applyFill="1" applyAlignment="1">
      <alignment vertical="center" wrapText="1"/>
    </xf>
    <xf numFmtId="0" fontId="10" fillId="23" borderId="10" xfId="0" applyFont="1" applyFill="1" applyBorder="1" applyAlignment="1">
      <alignment vertical="center" wrapText="1"/>
    </xf>
    <xf numFmtId="0" fontId="10" fillId="23" borderId="0" xfId="0" applyFont="1" applyFill="1" applyAlignment="1">
      <alignment vertical="center" wrapText="1"/>
    </xf>
    <xf numFmtId="0" fontId="10" fillId="23" borderId="73" xfId="0" applyFont="1" applyFill="1" applyBorder="1" applyAlignment="1">
      <alignment vertical="center" wrapText="1"/>
    </xf>
    <xf numFmtId="0" fontId="10" fillId="24" borderId="10" xfId="0" applyFont="1" applyFill="1" applyBorder="1" applyAlignment="1">
      <alignment horizontal="center" vertical="center" wrapText="1"/>
    </xf>
    <xf numFmtId="0" fontId="30" fillId="25" borderId="10" xfId="0" applyFont="1" applyFill="1" applyBorder="1" applyAlignment="1">
      <alignment vertical="center" wrapText="1"/>
    </xf>
    <xf numFmtId="0" fontId="0" fillId="0" borderId="0" xfId="0" applyAlignment="1">
      <alignment vertical="center" wrapText="1"/>
    </xf>
    <xf numFmtId="0" fontId="40" fillId="32" borderId="127" xfId="0" applyFont="1" applyFill="1" applyBorder="1"/>
    <xf numFmtId="0" fontId="40" fillId="32" borderId="128" xfId="0" applyFont="1" applyFill="1" applyBorder="1"/>
    <xf numFmtId="0" fontId="40" fillId="32" borderId="127" xfId="0" applyFont="1" applyFill="1" applyBorder="1" applyAlignment="1">
      <alignment horizontal="center" vertical="center"/>
    </xf>
    <xf numFmtId="0" fontId="4" fillId="32" borderId="127" xfId="0" applyFont="1" applyFill="1" applyBorder="1" applyAlignment="1">
      <alignment horizontal="center"/>
    </xf>
    <xf numFmtId="0" fontId="39" fillId="32" borderId="130" xfId="0" applyFont="1" applyFill="1" applyBorder="1" applyAlignment="1">
      <alignment vertical="top"/>
    </xf>
    <xf numFmtId="0" fontId="5" fillId="32" borderId="91" xfId="0" applyFont="1" applyFill="1" applyBorder="1" applyAlignment="1">
      <alignment vertical="top"/>
    </xf>
    <xf numFmtId="0" fontId="5" fillId="32" borderId="90" xfId="0" applyFont="1" applyFill="1" applyBorder="1" applyAlignment="1">
      <alignment vertical="top"/>
    </xf>
    <xf numFmtId="170" fontId="4" fillId="32" borderId="0" xfId="0" applyNumberFormat="1" applyFont="1" applyFill="1" applyAlignment="1">
      <alignment horizontal="right" vertical="top" indent="1"/>
    </xf>
    <xf numFmtId="0" fontId="4" fillId="32" borderId="127" xfId="0" applyFont="1" applyFill="1" applyBorder="1" applyAlignment="1">
      <alignment horizontal="left" vertical="top"/>
    </xf>
    <xf numFmtId="0" fontId="4" fillId="32" borderId="128" xfId="0" applyFont="1" applyFill="1" applyBorder="1" applyAlignment="1">
      <alignment vertical="top"/>
    </xf>
    <xf numFmtId="0" fontId="17" fillId="32" borderId="128" xfId="0" applyFont="1" applyFill="1" applyBorder="1" applyAlignment="1">
      <alignment vertical="top"/>
    </xf>
    <xf numFmtId="0" fontId="17" fillId="32" borderId="128" xfId="0" applyFont="1" applyFill="1" applyBorder="1" applyAlignment="1">
      <alignment horizontal="center" vertical="top"/>
    </xf>
    <xf numFmtId="0" fontId="4" fillId="32" borderId="127" xfId="0" applyFont="1" applyFill="1" applyBorder="1" applyAlignment="1">
      <alignment horizontal="center" vertical="top"/>
    </xf>
    <xf numFmtId="1" fontId="5" fillId="32" borderId="128" xfId="0" applyNumberFormat="1" applyFont="1" applyFill="1" applyBorder="1" applyAlignment="1">
      <alignment horizontal="center" vertical="top"/>
    </xf>
    <xf numFmtId="1" fontId="5" fillId="32" borderId="129" xfId="0" applyNumberFormat="1" applyFont="1" applyFill="1" applyBorder="1" applyAlignment="1">
      <alignment horizontal="center" vertical="top"/>
    </xf>
    <xf numFmtId="0" fontId="4" fillId="32" borderId="129" xfId="0" applyFont="1" applyFill="1" applyBorder="1" applyAlignment="1">
      <alignment horizontal="center" vertical="top"/>
    </xf>
    <xf numFmtId="0" fontId="4" fillId="32" borderId="127" xfId="0" applyFont="1" applyFill="1" applyBorder="1" applyAlignment="1">
      <alignment vertical="center"/>
    </xf>
    <xf numFmtId="0" fontId="4" fillId="32" borderId="128" xfId="0" applyFont="1" applyFill="1" applyBorder="1" applyAlignment="1">
      <alignment vertical="center"/>
    </xf>
    <xf numFmtId="171" fontId="4" fillId="32" borderId="128" xfId="0" applyNumberFormat="1" applyFont="1" applyFill="1" applyBorder="1" applyAlignment="1">
      <alignment horizontal="center" vertical="center"/>
    </xf>
    <xf numFmtId="170" fontId="4" fillId="32" borderId="92" xfId="0" applyNumberFormat="1" applyFont="1" applyFill="1" applyBorder="1" applyAlignment="1">
      <alignment horizontal="right" vertical="top" indent="1"/>
    </xf>
    <xf numFmtId="0" fontId="4" fillId="32" borderId="127" xfId="0" applyFont="1" applyFill="1" applyBorder="1"/>
    <xf numFmtId="1" fontId="4" fillId="32" borderId="128" xfId="0" applyNumberFormat="1" applyFont="1" applyFill="1" applyBorder="1" applyAlignment="1">
      <alignment horizontal="center" vertical="top"/>
    </xf>
    <xf numFmtId="1" fontId="4" fillId="32" borderId="129" xfId="0" applyNumberFormat="1" applyFont="1" applyFill="1" applyBorder="1" applyAlignment="1">
      <alignment horizontal="center" vertical="top"/>
    </xf>
    <xf numFmtId="0" fontId="5" fillId="11" borderId="91" xfId="0" applyFont="1" applyFill="1" applyBorder="1" applyAlignment="1">
      <alignment vertical="top"/>
    </xf>
    <xf numFmtId="0" fontId="5" fillId="11" borderId="90" xfId="0" applyFont="1" applyFill="1" applyBorder="1" applyAlignment="1">
      <alignment vertical="top"/>
    </xf>
    <xf numFmtId="170" fontId="4" fillId="11" borderId="92" xfId="0" applyNumberFormat="1" applyFont="1" applyFill="1" applyBorder="1" applyAlignment="1">
      <alignment horizontal="right" vertical="top" indent="1"/>
    </xf>
    <xf numFmtId="170" fontId="4" fillId="11" borderId="0" xfId="0" applyNumberFormat="1" applyFont="1" applyFill="1" applyAlignment="1">
      <alignment horizontal="right" vertical="top" indent="1"/>
    </xf>
    <xf numFmtId="0" fontId="4" fillId="34" borderId="128" xfId="0" applyFont="1" applyFill="1" applyBorder="1" applyAlignment="1">
      <alignment vertical="top"/>
    </xf>
    <xf numFmtId="0" fontId="4" fillId="34" borderId="129" xfId="0" applyFont="1" applyFill="1" applyBorder="1" applyAlignment="1">
      <alignment horizontal="center" vertical="top"/>
    </xf>
    <xf numFmtId="0" fontId="4" fillId="34" borderId="127" xfId="0" applyFont="1" applyFill="1" applyBorder="1" applyAlignment="1">
      <alignment vertical="center"/>
    </xf>
    <xf numFmtId="0" fontId="4" fillId="34" borderId="128" xfId="0" applyFont="1" applyFill="1" applyBorder="1" applyAlignment="1">
      <alignment vertical="center"/>
    </xf>
    <xf numFmtId="171" fontId="4" fillId="34" borderId="128" xfId="0" applyNumberFormat="1" applyFont="1" applyFill="1" applyBorder="1" applyAlignment="1">
      <alignment horizontal="center" vertical="center"/>
    </xf>
    <xf numFmtId="0" fontId="39" fillId="34" borderId="130" xfId="0" applyFont="1" applyFill="1" applyBorder="1" applyAlignment="1">
      <alignment vertical="top"/>
    </xf>
    <xf numFmtId="0" fontId="0" fillId="34" borderId="127" xfId="0" applyFill="1" applyBorder="1" applyAlignment="1">
      <alignment horizontal="left" vertical="top"/>
    </xf>
    <xf numFmtId="0" fontId="4" fillId="34" borderId="128" xfId="0" applyFont="1" applyFill="1" applyBorder="1" applyAlignment="1">
      <alignment horizontal="center" vertical="top"/>
    </xf>
    <xf numFmtId="0" fontId="33" fillId="34" borderId="127" xfId="0" applyFont="1" applyFill="1" applyBorder="1" applyAlignment="1">
      <alignment horizontal="center" vertical="top"/>
    </xf>
    <xf numFmtId="1" fontId="5" fillId="34" borderId="128" xfId="0" applyNumberFormat="1" applyFont="1" applyFill="1" applyBorder="1" applyAlignment="1">
      <alignment horizontal="center" vertical="top"/>
    </xf>
    <xf numFmtId="1" fontId="5" fillId="34" borderId="129" xfId="0" applyNumberFormat="1" applyFont="1" applyFill="1" applyBorder="1" applyAlignment="1">
      <alignment horizontal="center" vertical="top"/>
    </xf>
    <xf numFmtId="171" fontId="4" fillId="32" borderId="128" xfId="0" applyNumberFormat="1" applyFont="1" applyFill="1" applyBorder="1" applyAlignment="1">
      <alignment horizontal="center"/>
    </xf>
    <xf numFmtId="0" fontId="39" fillId="32" borderId="127" xfId="0" applyFont="1" applyFill="1" applyBorder="1" applyAlignment="1">
      <alignment vertical="top"/>
    </xf>
    <xf numFmtId="49" fontId="5" fillId="2" borderId="0" xfId="0" applyNumberFormat="1" applyFont="1" applyFill="1"/>
    <xf numFmtId="0" fontId="5" fillId="2" borderId="0" xfId="0" applyFont="1" applyFill="1" applyAlignment="1">
      <alignment horizontal="center"/>
    </xf>
    <xf numFmtId="1" fontId="5" fillId="2" borderId="0" xfId="0" applyNumberFormat="1" applyFont="1" applyFill="1"/>
    <xf numFmtId="0" fontId="26" fillId="33" borderId="131" xfId="0" applyFont="1" applyFill="1" applyBorder="1" applyAlignment="1">
      <alignment vertical="center" wrapText="1"/>
    </xf>
    <xf numFmtId="49" fontId="26" fillId="33" borderId="31" xfId="0" applyNumberFormat="1" applyFont="1" applyFill="1" applyBorder="1" applyAlignment="1">
      <alignment vertical="center" wrapText="1"/>
    </xf>
    <xf numFmtId="49" fontId="26" fillId="33" borderId="131" xfId="0" applyNumberFormat="1" applyFont="1" applyFill="1" applyBorder="1" applyAlignment="1">
      <alignment vertical="center" wrapText="1"/>
    </xf>
    <xf numFmtId="0" fontId="5" fillId="2" borderId="0" xfId="0" applyFont="1" applyFill="1" applyAlignment="1">
      <alignment vertical="center"/>
    </xf>
    <xf numFmtId="1" fontId="5" fillId="2" borderId="0" xfId="0" applyNumberFormat="1" applyFont="1" applyFill="1" applyAlignment="1">
      <alignment vertical="center"/>
    </xf>
    <xf numFmtId="49" fontId="5" fillId="33" borderId="31" xfId="0" applyNumberFormat="1" applyFont="1" applyFill="1" applyBorder="1"/>
    <xf numFmtId="49" fontId="5" fillId="33" borderId="77" xfId="0" applyNumberFormat="1" applyFont="1" applyFill="1" applyBorder="1"/>
    <xf numFmtId="49" fontId="17" fillId="33" borderId="77" xfId="0" applyNumberFormat="1" applyFont="1" applyFill="1" applyBorder="1"/>
    <xf numFmtId="0" fontId="5" fillId="33" borderId="77" xfId="0" applyFont="1" applyFill="1" applyBorder="1" applyAlignment="1">
      <alignment vertical="center"/>
    </xf>
    <xf numFmtId="49" fontId="5" fillId="33" borderId="131" xfId="0" applyNumberFormat="1" applyFont="1" applyFill="1" applyBorder="1"/>
    <xf numFmtId="49" fontId="5" fillId="33" borderId="132" xfId="0" applyNumberFormat="1" applyFont="1" applyFill="1" applyBorder="1"/>
    <xf numFmtId="49" fontId="17" fillId="33" borderId="132" xfId="0" applyNumberFormat="1" applyFont="1" applyFill="1" applyBorder="1"/>
    <xf numFmtId="0" fontId="0" fillId="33" borderId="127" xfId="0" applyFill="1" applyBorder="1"/>
    <xf numFmtId="0" fontId="5" fillId="33" borderId="127" xfId="0" applyFont="1" applyFill="1" applyBorder="1" applyAlignment="1">
      <alignment vertical="center"/>
    </xf>
    <xf numFmtId="0" fontId="0" fillId="0" borderId="0" xfId="0" applyAlignment="1">
      <alignment horizontal="left" vertical="center"/>
    </xf>
    <xf numFmtId="0" fontId="0" fillId="0" borderId="0" xfId="0" quotePrefix="1" applyAlignment="1">
      <alignment horizontal="center" vertical="top"/>
    </xf>
    <xf numFmtId="0" fontId="0" fillId="0" borderId="0" xfId="0" quotePrefix="1" applyAlignment="1">
      <alignment horizontal="left"/>
    </xf>
    <xf numFmtId="1" fontId="16" fillId="2" borderId="0" xfId="0" applyNumberFormat="1" applyFont="1" applyFill="1" applyAlignment="1">
      <alignment horizontal="center"/>
    </xf>
    <xf numFmtId="0" fontId="10" fillId="0" borderId="0" xfId="0" applyFont="1" applyAlignment="1">
      <alignment horizontal="center"/>
    </xf>
    <xf numFmtId="0" fontId="3" fillId="0" borderId="0" xfId="0" quotePrefix="1" applyFont="1" applyAlignment="1">
      <alignment horizontal="left"/>
    </xf>
    <xf numFmtId="0" fontId="3" fillId="0" borderId="0" xfId="0" quotePrefix="1" applyFont="1"/>
    <xf numFmtId="49" fontId="4" fillId="35" borderId="133" xfId="0" applyNumberFormat="1" applyFont="1" applyFill="1" applyBorder="1" applyAlignment="1">
      <alignment horizontal="center"/>
    </xf>
    <xf numFmtId="49" fontId="0" fillId="11" borderId="81" xfId="0" applyNumberFormat="1" applyFill="1" applyBorder="1" applyAlignment="1">
      <alignment horizontal="center"/>
    </xf>
    <xf numFmtId="0" fontId="0" fillId="0" borderId="80" xfId="0" applyBorder="1" applyAlignment="1">
      <alignment horizontal="right"/>
    </xf>
    <xf numFmtId="0" fontId="0" fillId="17" borderId="133" xfId="0" applyFill="1" applyBorder="1" applyAlignment="1">
      <alignment horizontal="left"/>
    </xf>
    <xf numFmtId="0" fontId="41" fillId="36" borderId="8" xfId="0" applyFont="1" applyFill="1" applyBorder="1" applyAlignment="1">
      <alignment horizontal="center"/>
    </xf>
    <xf numFmtId="49" fontId="4" fillId="35" borderId="134" xfId="0" applyNumberFormat="1" applyFont="1" applyFill="1" applyBorder="1" applyAlignment="1">
      <alignment horizontal="center"/>
    </xf>
    <xf numFmtId="49" fontId="0" fillId="11" borderId="135" xfId="0" applyNumberFormat="1" applyFill="1" applyBorder="1" applyAlignment="1">
      <alignment horizontal="center"/>
    </xf>
    <xf numFmtId="0" fontId="0" fillId="0" borderId="136" xfId="0" applyBorder="1" applyAlignment="1">
      <alignment horizontal="right"/>
    </xf>
    <xf numFmtId="0" fontId="0" fillId="17" borderId="134" xfId="0" applyFill="1" applyBorder="1" applyAlignment="1">
      <alignment horizontal="left"/>
    </xf>
    <xf numFmtId="0" fontId="0" fillId="17" borderId="134" xfId="0" quotePrefix="1" applyFill="1" applyBorder="1" applyAlignment="1">
      <alignment horizontal="left"/>
    </xf>
    <xf numFmtId="0" fontId="0" fillId="0" borderId="137" xfId="0" applyBorder="1" applyAlignment="1">
      <alignment horizontal="right"/>
    </xf>
    <xf numFmtId="0" fontId="0" fillId="0" borderId="138" xfId="0" applyBorder="1" applyAlignment="1">
      <alignment horizontal="right"/>
    </xf>
    <xf numFmtId="0" fontId="0" fillId="0" borderId="139" xfId="0" applyBorder="1" applyAlignment="1">
      <alignment horizontal="right"/>
    </xf>
    <xf numFmtId="0" fontId="0" fillId="17" borderId="140" xfId="0" quotePrefix="1" applyFill="1" applyBorder="1" applyAlignment="1">
      <alignment horizontal="left"/>
    </xf>
    <xf numFmtId="0" fontId="0" fillId="0" borderId="141" xfId="0" applyBorder="1" applyAlignment="1">
      <alignment horizontal="right"/>
    </xf>
    <xf numFmtId="0" fontId="5" fillId="2" borderId="0" xfId="0" quotePrefix="1" applyFont="1" applyFill="1" applyAlignment="1">
      <alignment horizontal="left"/>
    </xf>
    <xf numFmtId="0" fontId="0" fillId="0" borderId="142" xfId="0" applyBorder="1"/>
    <xf numFmtId="0" fontId="3" fillId="0" borderId="42" xfId="0" applyFont="1" applyBorder="1"/>
    <xf numFmtId="0" fontId="0" fillId="0" borderId="143" xfId="0" applyBorder="1" applyAlignment="1">
      <alignment horizontal="right"/>
    </xf>
    <xf numFmtId="0" fontId="0" fillId="30" borderId="49" xfId="0" quotePrefix="1" applyFill="1" applyBorder="1" applyAlignment="1">
      <alignment horizontal="left"/>
    </xf>
    <xf numFmtId="49" fontId="4" fillId="35" borderId="143" xfId="0" applyNumberFormat="1" applyFont="1" applyFill="1" applyBorder="1" applyAlignment="1">
      <alignment horizontal="center"/>
    </xf>
    <xf numFmtId="49" fontId="0" fillId="11" borderId="49" xfId="0" applyNumberFormat="1" applyFill="1" applyBorder="1" applyAlignment="1">
      <alignment horizontal="center"/>
    </xf>
    <xf numFmtId="0" fontId="0" fillId="0" borderId="144" xfId="0" applyBorder="1" applyAlignment="1">
      <alignment horizontal="right"/>
    </xf>
    <xf numFmtId="0" fontId="0" fillId="30" borderId="60" xfId="0" quotePrefix="1" applyFill="1" applyBorder="1" applyAlignment="1">
      <alignment horizontal="left"/>
    </xf>
    <xf numFmtId="49" fontId="4" fillId="35" borderId="144" xfId="0" applyNumberFormat="1" applyFont="1" applyFill="1" applyBorder="1" applyAlignment="1">
      <alignment horizontal="center"/>
    </xf>
    <xf numFmtId="49" fontId="0" fillId="11" borderId="60" xfId="0" applyNumberFormat="1" applyFill="1" applyBorder="1" applyAlignment="1">
      <alignment horizontal="center"/>
    </xf>
    <xf numFmtId="49" fontId="7" fillId="4" borderId="0" xfId="3">
      <alignment vertical="center"/>
    </xf>
    <xf numFmtId="0" fontId="8" fillId="4" borderId="0" xfId="3" quotePrefix="1" applyNumberFormat="1" applyFont="1">
      <alignment vertical="center"/>
    </xf>
    <xf numFmtId="0" fontId="8" fillId="4" borderId="0" xfId="3" applyNumberFormat="1" applyFont="1">
      <alignment vertical="center"/>
    </xf>
    <xf numFmtId="0" fontId="8" fillId="4" borderId="0" xfId="3" applyNumberFormat="1" applyFont="1" applyAlignment="1">
      <alignment horizontal="left" vertical="center"/>
    </xf>
    <xf numFmtId="0" fontId="7" fillId="2" borderId="0" xfId="8" applyFill="1">
      <alignment vertical="center"/>
    </xf>
    <xf numFmtId="0" fontId="7" fillId="11" borderId="0" xfId="8" applyFill="1">
      <alignment vertical="center"/>
    </xf>
    <xf numFmtId="0" fontId="29" fillId="11" borderId="0" xfId="8" applyFont="1" applyFill="1">
      <alignment vertical="center"/>
    </xf>
    <xf numFmtId="0" fontId="12" fillId="2" borderId="0" xfId="8" applyFont="1" applyFill="1" applyAlignment="1">
      <alignment horizontal="justify" vertical="center" wrapText="1"/>
    </xf>
    <xf numFmtId="0" fontId="0" fillId="0" borderId="0" xfId="0" applyAlignment="1">
      <alignment horizontal="center"/>
    </xf>
    <xf numFmtId="49" fontId="9" fillId="2" borderId="0" xfId="3" applyFont="1" applyFill="1">
      <alignment vertical="center"/>
    </xf>
    <xf numFmtId="0" fontId="46" fillId="2" borderId="0" xfId="0" applyFont="1" applyFill="1"/>
    <xf numFmtId="0" fontId="46" fillId="38" borderId="0" xfId="0" applyFont="1" applyFill="1"/>
    <xf numFmtId="0" fontId="46" fillId="38" borderId="0" xfId="0" applyFont="1" applyFill="1" applyAlignment="1">
      <alignment vertical="top"/>
    </xf>
    <xf numFmtId="0" fontId="46" fillId="38" borderId="0" xfId="0" applyFont="1" applyFill="1" applyAlignment="1">
      <alignment horizontal="centerContinuous" vertical="top"/>
    </xf>
    <xf numFmtId="0" fontId="46" fillId="38" borderId="0" xfId="0" applyFont="1" applyFill="1" applyAlignment="1">
      <alignment horizontal="center" vertical="top"/>
    </xf>
    <xf numFmtId="0" fontId="0" fillId="38" borderId="0" xfId="0" applyFill="1"/>
    <xf numFmtId="0" fontId="5" fillId="38" borderId="0" xfId="0" applyFont="1" applyFill="1"/>
    <xf numFmtId="0" fontId="32" fillId="38" borderId="0" xfId="0" applyFont="1" applyFill="1"/>
    <xf numFmtId="0" fontId="5" fillId="38" borderId="0" xfId="0" applyFont="1" applyFill="1" applyAlignment="1">
      <alignment vertical="center"/>
    </xf>
    <xf numFmtId="0" fontId="21" fillId="0" borderId="0" xfId="0" applyFont="1" applyAlignment="1">
      <alignment vertical="center"/>
    </xf>
    <xf numFmtId="0" fontId="47" fillId="2" borderId="0" xfId="0" applyFont="1" applyFill="1" applyAlignment="1">
      <alignment vertical="center"/>
    </xf>
    <xf numFmtId="0" fontId="47" fillId="38" borderId="0" xfId="0" applyFont="1" applyFill="1" applyAlignment="1">
      <alignment vertical="center"/>
    </xf>
    <xf numFmtId="0" fontId="5" fillId="38" borderId="5" xfId="0" applyFont="1" applyFill="1" applyBorder="1"/>
    <xf numFmtId="0" fontId="34" fillId="38" borderId="0" xfId="0" applyFont="1" applyFill="1"/>
    <xf numFmtId="0" fontId="34" fillId="38" borderId="0" xfId="0" applyFont="1" applyFill="1" applyAlignment="1">
      <alignment wrapText="1"/>
    </xf>
    <xf numFmtId="0" fontId="32" fillId="38" borderId="0" xfId="0" applyFont="1" applyFill="1" applyAlignment="1">
      <alignment horizontal="left"/>
    </xf>
    <xf numFmtId="0" fontId="5" fillId="38" borderId="0" xfId="0" applyFont="1" applyFill="1" applyAlignment="1">
      <alignment horizontal="left"/>
    </xf>
    <xf numFmtId="0" fontId="30" fillId="38" borderId="0" xfId="0" applyFont="1" applyFill="1" applyAlignment="1">
      <alignment horizontal="right"/>
    </xf>
    <xf numFmtId="0" fontId="0" fillId="0" borderId="0" xfId="0" quotePrefix="1"/>
    <xf numFmtId="0" fontId="5" fillId="2" borderId="0" xfId="0" applyFont="1" applyFill="1" applyAlignment="1">
      <alignment vertical="top"/>
    </xf>
    <xf numFmtId="0" fontId="48" fillId="2" borderId="0" xfId="0" applyFont="1" applyFill="1" applyAlignment="1">
      <alignment vertical="top"/>
    </xf>
    <xf numFmtId="0" fontId="46" fillId="2" borderId="0" xfId="0" applyFont="1" applyFill="1" applyAlignment="1">
      <alignment vertical="top"/>
    </xf>
    <xf numFmtId="0" fontId="5" fillId="38" borderId="0" xfId="0" applyFont="1" applyFill="1" applyAlignment="1">
      <alignment vertical="top"/>
    </xf>
    <xf numFmtId="0" fontId="49" fillId="38" borderId="0" xfId="0" applyFont="1" applyFill="1" applyAlignment="1">
      <alignment vertical="top"/>
    </xf>
    <xf numFmtId="0" fontId="50" fillId="38" borderId="0" xfId="0" applyFont="1" applyFill="1" applyAlignment="1">
      <alignment vertical="top"/>
    </xf>
    <xf numFmtId="0" fontId="48" fillId="38" borderId="0" xfId="0" applyFont="1" applyFill="1" applyAlignment="1">
      <alignment vertical="top"/>
    </xf>
    <xf numFmtId="0" fontId="16" fillId="38" borderId="0" xfId="0" applyFont="1" applyFill="1" applyAlignment="1">
      <alignment horizontal="center" vertical="top"/>
    </xf>
    <xf numFmtId="0" fontId="19" fillId="38" borderId="0" xfId="0" applyFont="1" applyFill="1" applyAlignment="1">
      <alignment vertical="top"/>
    </xf>
    <xf numFmtId="0" fontId="51" fillId="38" borderId="0" xfId="0" applyFont="1" applyFill="1" applyAlignment="1">
      <alignment vertical="top"/>
    </xf>
    <xf numFmtId="0" fontId="41" fillId="38" borderId="0" xfId="0" applyFont="1" applyFill="1" applyAlignment="1">
      <alignment vertical="top"/>
    </xf>
    <xf numFmtId="0" fontId="34" fillId="38" borderId="0" xfId="0" applyFont="1" applyFill="1" applyAlignment="1">
      <alignment vertical="top"/>
    </xf>
    <xf numFmtId="0" fontId="51" fillId="38" borderId="0" xfId="0" applyFont="1" applyFill="1" applyAlignment="1">
      <alignment horizontal="center" vertical="top"/>
    </xf>
    <xf numFmtId="0" fontId="52" fillId="38" borderId="0" xfId="0" applyFont="1" applyFill="1" applyAlignment="1">
      <alignment horizontal="center" vertical="top"/>
    </xf>
    <xf numFmtId="0" fontId="51" fillId="38" borderId="0" xfId="0" applyFont="1" applyFill="1" applyAlignment="1">
      <alignment horizontal="left" vertical="top"/>
    </xf>
    <xf numFmtId="14" fontId="0" fillId="0" borderId="0" xfId="0" applyNumberFormat="1"/>
    <xf numFmtId="0" fontId="32" fillId="38" borderId="0" xfId="0" applyFont="1" applyFill="1" applyAlignment="1">
      <alignment vertical="top" wrapText="1"/>
    </xf>
    <xf numFmtId="0" fontId="53" fillId="38" borderId="0" xfId="0" applyFont="1" applyFill="1" applyAlignment="1">
      <alignment vertical="top"/>
    </xf>
    <xf numFmtId="0" fontId="48" fillId="38" borderId="0" xfId="0" applyFont="1" applyFill="1"/>
    <xf numFmtId="0" fontId="34" fillId="38" borderId="0" xfId="0" applyFont="1" applyFill="1" applyAlignment="1">
      <alignment horizontal="right"/>
    </xf>
    <xf numFmtId="0" fontId="32" fillId="38" borderId="0" xfId="0" applyFont="1" applyFill="1" applyAlignment="1">
      <alignment horizontal="right" vertical="center"/>
    </xf>
    <xf numFmtId="0" fontId="7" fillId="5" borderId="0" xfId="8">
      <alignment vertical="center"/>
    </xf>
    <xf numFmtId="0" fontId="0" fillId="0" borderId="31" xfId="0" applyBorder="1"/>
    <xf numFmtId="164" fontId="4" fillId="6" borderId="18" xfId="1" applyNumberFormat="1" applyFont="1" applyFill="1" applyBorder="1" applyAlignment="1" applyProtection="1">
      <alignment horizontal="right" vertical="center" wrapText="1"/>
      <protection locked="0"/>
    </xf>
    <xf numFmtId="164" fontId="4" fillId="6" borderId="19" xfId="1" applyNumberFormat="1" applyFont="1" applyFill="1" applyBorder="1" applyAlignment="1" applyProtection="1">
      <alignment horizontal="right" vertical="center" wrapText="1"/>
      <protection locked="0"/>
    </xf>
    <xf numFmtId="10" fontId="4" fillId="6" borderId="23" xfId="1" applyNumberFormat="1" applyFont="1" applyFill="1" applyBorder="1" applyAlignment="1" applyProtection="1">
      <alignment horizontal="right" vertical="center" wrapText="1"/>
    </xf>
    <xf numFmtId="10" fontId="4" fillId="6" borderId="24" xfId="1" applyNumberFormat="1" applyFont="1" applyFill="1" applyBorder="1" applyAlignment="1" applyProtection="1">
      <alignment horizontal="right" vertical="center" wrapText="1"/>
    </xf>
    <xf numFmtId="2" fontId="4" fillId="6" borderId="33" xfId="1" applyNumberFormat="1" applyFont="1" applyFill="1" applyBorder="1" applyAlignment="1" applyProtection="1">
      <alignment horizontal="right" vertical="center" wrapText="1"/>
    </xf>
    <xf numFmtId="2" fontId="4" fillId="6" borderId="27" xfId="1" applyNumberFormat="1" applyFont="1" applyFill="1" applyBorder="1" applyAlignment="1" applyProtection="1">
      <alignment horizontal="right" vertical="center" wrapText="1"/>
    </xf>
    <xf numFmtId="2" fontId="4" fillId="6" borderId="28" xfId="1" applyNumberFormat="1" applyFont="1" applyFill="1" applyBorder="1" applyAlignment="1" applyProtection="1">
      <alignment horizontal="right" vertical="center" wrapText="1"/>
    </xf>
    <xf numFmtId="2" fontId="4" fillId="6" borderId="29" xfId="1" applyNumberFormat="1" applyFont="1" applyFill="1" applyBorder="1" applyAlignment="1" applyProtection="1">
      <alignment horizontal="right" vertical="center" wrapText="1"/>
    </xf>
    <xf numFmtId="0" fontId="16" fillId="10" borderId="14" xfId="0" quotePrefix="1" applyFont="1" applyFill="1" applyBorder="1" applyAlignment="1">
      <alignment horizontal="right" vertical="center"/>
    </xf>
    <xf numFmtId="0" fontId="16" fillId="10" borderId="15" xfId="0" quotePrefix="1" applyFont="1" applyFill="1" applyBorder="1" applyAlignment="1">
      <alignment horizontal="right" vertical="center"/>
    </xf>
    <xf numFmtId="0" fontId="16" fillId="10" borderId="15" xfId="0" applyFont="1" applyFill="1" applyBorder="1" applyAlignment="1">
      <alignment horizontal="right" vertical="center"/>
    </xf>
    <xf numFmtId="0" fontId="16" fillId="10" borderId="16" xfId="0" applyFont="1" applyFill="1" applyBorder="1" applyAlignment="1">
      <alignment horizontal="right" vertical="center"/>
    </xf>
    <xf numFmtId="164" fontId="10" fillId="10" borderId="11" xfId="0" applyNumberFormat="1" applyFont="1" applyFill="1" applyBorder="1" applyAlignment="1">
      <alignment horizontal="centerContinuous" vertical="center"/>
    </xf>
    <xf numFmtId="164" fontId="10" fillId="10" borderId="12" xfId="0" applyNumberFormat="1" applyFont="1" applyFill="1" applyBorder="1" applyAlignment="1">
      <alignment horizontal="centerContinuous" vertical="center"/>
    </xf>
    <xf numFmtId="164" fontId="10" fillId="10" borderId="13" xfId="0" applyNumberFormat="1" applyFont="1" applyFill="1" applyBorder="1" applyAlignment="1">
      <alignment horizontal="centerContinuous" vertical="center"/>
    </xf>
    <xf numFmtId="168" fontId="16" fillId="8" borderId="7" xfId="0" applyNumberFormat="1" applyFont="1" applyFill="1" applyBorder="1" applyAlignment="1" applyProtection="1">
      <alignment horizontal="center"/>
      <protection locked="0"/>
    </xf>
    <xf numFmtId="0" fontId="54" fillId="23" borderId="0" xfId="0" applyFont="1" applyFill="1"/>
    <xf numFmtId="0" fontId="55" fillId="23" borderId="0" xfId="0" applyFont="1" applyFill="1" applyAlignment="1">
      <alignment horizontal="center"/>
    </xf>
    <xf numFmtId="0" fontId="56" fillId="23" borderId="0" xfId="0" quotePrefix="1" applyFont="1" applyFill="1"/>
    <xf numFmtId="0" fontId="5" fillId="23" borderId="0" xfId="0" applyFont="1" applyFill="1"/>
    <xf numFmtId="0" fontId="5" fillId="2" borderId="0" xfId="0" applyFont="1" applyFill="1" applyProtection="1">
      <protection locked="0"/>
    </xf>
    <xf numFmtId="0" fontId="57" fillId="0" borderId="77" xfId="0" applyFont="1" applyBorder="1" applyAlignment="1">
      <alignment horizontal="left"/>
    </xf>
    <xf numFmtId="0" fontId="5" fillId="2" borderId="31" xfId="0" applyFont="1" applyFill="1" applyBorder="1"/>
    <xf numFmtId="0" fontId="57" fillId="2" borderId="10" xfId="0" applyFont="1" applyFill="1" applyBorder="1"/>
    <xf numFmtId="0" fontId="5" fillId="2" borderId="66" xfId="0" applyFont="1" applyFill="1" applyBorder="1"/>
    <xf numFmtId="0" fontId="57" fillId="0" borderId="78" xfId="0" applyFont="1" applyBorder="1"/>
    <xf numFmtId="0" fontId="5" fillId="2" borderId="65" xfId="0" applyFont="1" applyFill="1" applyBorder="1"/>
    <xf numFmtId="0" fontId="5" fillId="2" borderId="67" xfId="0" applyFont="1" applyFill="1" applyBorder="1"/>
    <xf numFmtId="0" fontId="0" fillId="0" borderId="150" xfId="0" applyBorder="1"/>
    <xf numFmtId="0" fontId="4" fillId="10" borderId="10" xfId="0" applyFont="1" applyFill="1" applyBorder="1" applyAlignment="1" applyProtection="1">
      <alignment horizontal="left" indent="2"/>
      <protection locked="0"/>
    </xf>
    <xf numFmtId="0" fontId="10" fillId="6" borderId="0" xfId="0" applyFont="1" applyFill="1" applyAlignment="1" applyProtection="1">
      <alignment horizontal="left"/>
      <protection locked="0"/>
    </xf>
    <xf numFmtId="0" fontId="58" fillId="6" borderId="0" xfId="0" applyFont="1" applyFill="1" applyAlignment="1" applyProtection="1">
      <alignment horizontal="left"/>
      <protection locked="0"/>
    </xf>
    <xf numFmtId="0" fontId="58" fillId="10" borderId="0" xfId="0" applyFont="1" applyFill="1" applyAlignment="1" applyProtection="1">
      <alignment horizontal="left"/>
      <protection locked="0"/>
    </xf>
    <xf numFmtId="0" fontId="5" fillId="10" borderId="0" xfId="0" applyFont="1" applyFill="1" applyAlignment="1" applyProtection="1">
      <alignment horizontal="left"/>
      <protection locked="0"/>
    </xf>
    <xf numFmtId="0" fontId="5" fillId="10" borderId="66" xfId="0" applyFont="1" applyFill="1" applyBorder="1" applyAlignment="1" applyProtection="1">
      <alignment horizontal="left"/>
      <protection locked="0"/>
    </xf>
    <xf numFmtId="0" fontId="0" fillId="0" borderId="0" xfId="0" applyAlignment="1">
      <alignment horizontal="right"/>
    </xf>
    <xf numFmtId="0" fontId="4" fillId="10" borderId="151" xfId="0" applyFont="1" applyFill="1" applyBorder="1" applyAlignment="1" applyProtection="1">
      <alignment horizontal="left" indent="2"/>
      <protection locked="0"/>
    </xf>
    <xf numFmtId="0" fontId="10" fillId="40" borderId="149" xfId="0" applyFont="1" applyFill="1" applyBorder="1" applyAlignment="1" applyProtection="1">
      <alignment horizontal="left"/>
      <protection locked="0"/>
    </xf>
    <xf numFmtId="0" fontId="58" fillId="10" borderId="149" xfId="0" applyFont="1" applyFill="1" applyBorder="1" applyAlignment="1" applyProtection="1">
      <alignment horizontal="left"/>
      <protection locked="0"/>
    </xf>
    <xf numFmtId="0" fontId="59" fillId="10" borderId="149" xfId="0" applyFont="1" applyFill="1" applyBorder="1" applyAlignment="1" applyProtection="1">
      <alignment horizontal="left" vertical="top"/>
      <protection locked="0"/>
    </xf>
    <xf numFmtId="0" fontId="5" fillId="10" borderId="149" xfId="0" applyFont="1" applyFill="1" applyBorder="1" applyAlignment="1" applyProtection="1">
      <alignment horizontal="left"/>
      <protection locked="0"/>
    </xf>
    <xf numFmtId="0" fontId="5" fillId="10" borderId="152" xfId="0" applyFont="1" applyFill="1" applyBorder="1" applyAlignment="1" applyProtection="1">
      <alignment horizontal="left"/>
      <protection locked="0"/>
    </xf>
    <xf numFmtId="0" fontId="10" fillId="8" borderId="0" xfId="0" applyFont="1" applyFill="1" applyAlignment="1" applyProtection="1">
      <alignment horizontal="left"/>
      <protection locked="0"/>
    </xf>
    <xf numFmtId="0" fontId="57" fillId="10" borderId="0" xfId="0" applyFont="1" applyFill="1" applyAlignment="1" applyProtection="1">
      <alignment horizontal="left" vertical="top"/>
      <protection locked="0"/>
    </xf>
    <xf numFmtId="0" fontId="16" fillId="10" borderId="0" xfId="0" applyFont="1" applyFill="1" applyAlignment="1" applyProtection="1">
      <alignment horizontal="left" wrapText="1"/>
      <protection locked="0"/>
    </xf>
    <xf numFmtId="0" fontId="16" fillId="10" borderId="66" xfId="0" applyFont="1" applyFill="1" applyBorder="1" applyAlignment="1" applyProtection="1">
      <alignment horizontal="left" wrapText="1"/>
      <protection locked="0"/>
    </xf>
    <xf numFmtId="0" fontId="4" fillId="10" borderId="10" xfId="0" applyFont="1" applyFill="1" applyBorder="1" applyAlignment="1" applyProtection="1">
      <alignment horizontal="left" vertical="center" indent="2"/>
      <protection locked="0"/>
    </xf>
    <xf numFmtId="0" fontId="58" fillId="10" borderId="0" xfId="0" applyFont="1" applyFill="1" applyAlignment="1" applyProtection="1">
      <alignment horizontal="left" vertical="center"/>
      <protection locked="0"/>
    </xf>
    <xf numFmtId="0" fontId="4" fillId="10" borderId="78" xfId="0" applyFont="1" applyFill="1" applyBorder="1" applyAlignment="1" applyProtection="1">
      <alignment horizontal="left" vertical="top" indent="2"/>
      <protection locked="0"/>
    </xf>
    <xf numFmtId="14" fontId="4" fillId="8" borderId="65" xfId="0" quotePrefix="1" applyNumberFormat="1" applyFont="1" applyFill="1" applyBorder="1" applyAlignment="1" applyProtection="1">
      <alignment horizontal="left" vertical="top"/>
      <protection locked="0"/>
    </xf>
    <xf numFmtId="0" fontId="61" fillId="10" borderId="65" xfId="0" applyFont="1" applyFill="1" applyBorder="1" applyAlignment="1" applyProtection="1">
      <alignment horizontal="left"/>
      <protection locked="0"/>
    </xf>
    <xf numFmtId="0" fontId="59" fillId="10" borderId="65" xfId="0" applyFont="1" applyFill="1" applyBorder="1" applyAlignment="1" applyProtection="1">
      <alignment horizontal="left" vertical="top"/>
      <protection locked="0"/>
    </xf>
    <xf numFmtId="0" fontId="58" fillId="10" borderId="65" xfId="0" applyFont="1" applyFill="1" applyBorder="1" applyAlignment="1" applyProtection="1">
      <alignment horizontal="left" vertical="top"/>
      <protection locked="0"/>
    </xf>
    <xf numFmtId="0" fontId="58" fillId="10" borderId="67" xfId="0" applyFont="1" applyFill="1" applyBorder="1" applyAlignment="1" applyProtection="1">
      <alignment horizontal="left" vertical="top"/>
      <protection locked="0"/>
    </xf>
    <xf numFmtId="0" fontId="4" fillId="10" borderId="153" xfId="0" applyFont="1" applyFill="1" applyBorder="1" applyAlignment="1">
      <alignment horizontal="left" indent="2"/>
    </xf>
    <xf numFmtId="0" fontId="4" fillId="8" borderId="154" xfId="0" applyFont="1" applyFill="1" applyBorder="1" applyAlignment="1" applyProtection="1">
      <alignment horizontal="center"/>
      <protection locked="0"/>
    </xf>
    <xf numFmtId="0" fontId="5" fillId="10" borderId="154" xfId="0" applyFont="1" applyFill="1" applyBorder="1"/>
    <xf numFmtId="0" fontId="5" fillId="10" borderId="155" xfId="0" applyFont="1" applyFill="1" applyBorder="1"/>
    <xf numFmtId="0" fontId="4" fillId="10" borderId="145" xfId="0" applyFont="1" applyFill="1" applyBorder="1" applyAlignment="1">
      <alignment horizontal="left" vertical="top" indent="2"/>
    </xf>
    <xf numFmtId="0" fontId="4" fillId="10" borderId="146" xfId="0" applyFont="1" applyFill="1" applyBorder="1" applyAlignment="1">
      <alignment horizontal="center" vertical="top"/>
    </xf>
    <xf numFmtId="0" fontId="58" fillId="10" borderId="146" xfId="0" quotePrefix="1" applyFont="1" applyFill="1" applyBorder="1" applyAlignment="1">
      <alignment vertical="top"/>
    </xf>
    <xf numFmtId="0" fontId="58" fillId="10" borderId="147" xfId="0" quotePrefix="1" applyFont="1" applyFill="1" applyBorder="1" applyAlignment="1">
      <alignment vertical="top"/>
    </xf>
    <xf numFmtId="0" fontId="58" fillId="10" borderId="137" xfId="0" applyFont="1" applyFill="1" applyBorder="1" applyAlignment="1">
      <alignment vertical="top"/>
    </xf>
    <xf numFmtId="0" fontId="0" fillId="10" borderId="137" xfId="0" applyFill="1" applyBorder="1"/>
    <xf numFmtId="0" fontId="0" fillId="10" borderId="157" xfId="0" applyFill="1" applyBorder="1"/>
    <xf numFmtId="0" fontId="4" fillId="10" borderId="46" xfId="0" applyFont="1" applyFill="1" applyBorder="1" applyAlignment="1">
      <alignment horizontal="left" vertical="top" indent="2"/>
    </xf>
    <xf numFmtId="0" fontId="10" fillId="10" borderId="48" xfId="0" applyFont="1" applyFill="1" applyBorder="1" applyAlignment="1">
      <alignment horizontal="center" vertical="top"/>
    </xf>
    <xf numFmtId="0" fontId="58" fillId="10" borderId="48" xfId="0" quotePrefix="1" applyFont="1" applyFill="1" applyBorder="1" applyAlignment="1">
      <alignment vertical="top"/>
    </xf>
    <xf numFmtId="0" fontId="58" fillId="10" borderId="159" xfId="0" quotePrefix="1" applyFont="1" applyFill="1" applyBorder="1" applyAlignment="1">
      <alignment vertical="top"/>
    </xf>
    <xf numFmtId="0" fontId="58" fillId="10" borderId="136" xfId="0" applyFont="1" applyFill="1" applyBorder="1" applyAlignment="1">
      <alignment vertical="top"/>
    </xf>
    <xf numFmtId="0" fontId="0" fillId="10" borderId="136" xfId="0" applyFill="1" applyBorder="1"/>
    <xf numFmtId="0" fontId="0" fillId="10" borderId="135" xfId="0" applyFill="1" applyBorder="1"/>
    <xf numFmtId="0" fontId="4" fillId="10" borderId="48" xfId="0" applyFont="1" applyFill="1" applyBorder="1" applyAlignment="1">
      <alignment horizontal="center" vertical="top"/>
    </xf>
    <xf numFmtId="0" fontId="4" fillId="10" borderId="48" xfId="0" quotePrefix="1" applyFont="1" applyFill="1" applyBorder="1" applyAlignment="1">
      <alignment horizontal="center" vertical="center"/>
    </xf>
    <xf numFmtId="0" fontId="33" fillId="10" borderId="159" xfId="0" quotePrefix="1" applyFont="1" applyFill="1" applyBorder="1" applyAlignment="1">
      <alignment horizontal="left" vertical="top"/>
    </xf>
    <xf numFmtId="0" fontId="50" fillId="10" borderId="136" xfId="0" applyFont="1" applyFill="1" applyBorder="1" applyAlignment="1">
      <alignment vertical="top"/>
    </xf>
    <xf numFmtId="0" fontId="62" fillId="10" borderId="136" xfId="0" applyFont="1" applyFill="1" applyBorder="1" applyAlignment="1">
      <alignment horizontal="centerContinuous" vertical="top"/>
    </xf>
    <xf numFmtId="0" fontId="62" fillId="10" borderId="135" xfId="0" applyFont="1" applyFill="1" applyBorder="1" applyAlignment="1">
      <alignment horizontal="centerContinuous" vertical="top"/>
    </xf>
    <xf numFmtId="0" fontId="58" fillId="10" borderId="48" xfId="0" applyFont="1" applyFill="1" applyBorder="1" applyAlignment="1">
      <alignment vertical="top"/>
    </xf>
    <xf numFmtId="0" fontId="63" fillId="10" borderId="159" xfId="0" applyFont="1" applyFill="1" applyBorder="1" applyAlignment="1">
      <alignment horizontal="left" vertical="top" indent="3"/>
    </xf>
    <xf numFmtId="0" fontId="4" fillId="10" borderId="57" xfId="0" applyFont="1" applyFill="1" applyBorder="1" applyAlignment="1">
      <alignment horizontal="left" vertical="top" indent="2"/>
    </xf>
    <xf numFmtId="0" fontId="4" fillId="10" borderId="59" xfId="0" applyFont="1" applyFill="1" applyBorder="1" applyAlignment="1">
      <alignment horizontal="center" vertical="top"/>
    </xf>
    <xf numFmtId="0" fontId="58" fillId="10" borderId="59" xfId="0" quotePrefix="1" applyFont="1" applyFill="1" applyBorder="1" applyAlignment="1">
      <alignment vertical="top"/>
    </xf>
    <xf numFmtId="0" fontId="58" fillId="10" borderId="148" xfId="0" quotePrefix="1" applyFont="1" applyFill="1" applyBorder="1" applyAlignment="1">
      <alignment vertical="top"/>
    </xf>
    <xf numFmtId="0" fontId="58" fillId="10" borderId="141" xfId="0" applyFont="1" applyFill="1" applyBorder="1" applyAlignment="1">
      <alignment vertical="top"/>
    </xf>
    <xf numFmtId="0" fontId="0" fillId="10" borderId="141" xfId="0" applyFill="1" applyBorder="1"/>
    <xf numFmtId="0" fontId="0" fillId="10" borderId="161" xfId="0" applyFill="1" applyBorder="1"/>
    <xf numFmtId="0" fontId="64" fillId="20" borderId="162" xfId="0" applyFont="1" applyFill="1" applyBorder="1"/>
    <xf numFmtId="0" fontId="28" fillId="20" borderId="163" xfId="0" applyFont="1" applyFill="1" applyBorder="1"/>
    <xf numFmtId="0" fontId="28" fillId="20" borderId="164" xfId="0" applyFont="1" applyFill="1" applyBorder="1"/>
    <xf numFmtId="0" fontId="65" fillId="20" borderId="164" xfId="0" applyFont="1" applyFill="1" applyBorder="1"/>
    <xf numFmtId="0" fontId="65" fillId="20" borderId="165" xfId="0" applyFont="1" applyFill="1" applyBorder="1"/>
    <xf numFmtId="0" fontId="4" fillId="10" borderId="166" xfId="0" applyFont="1" applyFill="1" applyBorder="1" applyAlignment="1" applyProtection="1">
      <alignment horizontal="left" vertical="center"/>
      <protection locked="0"/>
    </xf>
    <xf numFmtId="0" fontId="4" fillId="10" borderId="146" xfId="0" quotePrefix="1" applyFont="1" applyFill="1" applyBorder="1" applyAlignment="1">
      <alignment horizontal="center" vertical="center"/>
    </xf>
    <xf numFmtId="0" fontId="0" fillId="10" borderId="146" xfId="0" applyFill="1" applyBorder="1" applyAlignment="1">
      <alignment vertical="center"/>
    </xf>
    <xf numFmtId="0" fontId="0" fillId="10" borderId="41" xfId="0" applyFill="1" applyBorder="1" applyAlignment="1">
      <alignment vertical="center"/>
    </xf>
    <xf numFmtId="0" fontId="0" fillId="10" borderId="42" xfId="0" applyFill="1" applyBorder="1" applyAlignment="1">
      <alignment vertical="center"/>
    </xf>
    <xf numFmtId="0" fontId="4" fillId="10" borderId="143" xfId="0" applyFont="1" applyFill="1" applyBorder="1" applyAlignment="1">
      <alignment horizontal="left" vertical="center"/>
    </xf>
    <xf numFmtId="0" fontId="58" fillId="10" borderId="48" xfId="0" applyFont="1" applyFill="1" applyBorder="1" applyAlignment="1">
      <alignment vertical="center"/>
    </xf>
    <xf numFmtId="0" fontId="58" fillId="10" borderId="48" xfId="0" quotePrefix="1" applyFont="1" applyFill="1" applyBorder="1" applyAlignment="1">
      <alignment vertical="center"/>
    </xf>
    <xf numFmtId="0" fontId="0" fillId="10" borderId="48" xfId="0" applyFill="1" applyBorder="1" applyAlignment="1">
      <alignment vertical="center"/>
    </xf>
    <xf numFmtId="0" fontId="0" fillId="10" borderId="49" xfId="0" applyFill="1" applyBorder="1" applyAlignment="1">
      <alignment vertical="center"/>
    </xf>
    <xf numFmtId="0" fontId="4" fillId="10" borderId="143" xfId="0" applyFont="1" applyFill="1" applyBorder="1" applyAlignment="1">
      <alignment horizontal="left" vertical="top" indent="1"/>
    </xf>
    <xf numFmtId="0" fontId="0" fillId="10" borderId="48" xfId="0" applyFill="1" applyBorder="1"/>
    <xf numFmtId="0" fontId="0" fillId="10" borderId="49" xfId="0" applyFill="1" applyBorder="1"/>
    <xf numFmtId="0" fontId="4" fillId="10" borderId="48" xfId="0" quotePrefix="1" applyFont="1" applyFill="1" applyBorder="1" applyAlignment="1">
      <alignment horizontal="center" vertical="top"/>
    </xf>
    <xf numFmtId="0" fontId="4" fillId="10" borderId="144" xfId="0" applyFont="1" applyFill="1" applyBorder="1" applyAlignment="1">
      <alignment horizontal="left" vertical="top" indent="1"/>
    </xf>
    <xf numFmtId="0" fontId="4" fillId="10" borderId="59" xfId="0" quotePrefix="1" applyFont="1" applyFill="1" applyBorder="1" applyAlignment="1">
      <alignment horizontal="center" vertical="top"/>
    </xf>
    <xf numFmtId="0" fontId="58" fillId="10" borderId="59" xfId="0" applyFont="1" applyFill="1" applyBorder="1" applyAlignment="1">
      <alignment vertical="top"/>
    </xf>
    <xf numFmtId="0" fontId="0" fillId="10" borderId="59" xfId="0" applyFill="1" applyBorder="1"/>
    <xf numFmtId="0" fontId="0" fillId="10" borderId="60" xfId="0" applyFill="1" applyBorder="1"/>
    <xf numFmtId="0" fontId="64" fillId="20" borderId="167" xfId="0" applyFont="1" applyFill="1" applyBorder="1"/>
    <xf numFmtId="0" fontId="28" fillId="20" borderId="168" xfId="0" applyFont="1" applyFill="1" applyBorder="1"/>
    <xf numFmtId="0" fontId="65" fillId="20" borderId="168" xfId="0" applyFont="1" applyFill="1" applyBorder="1"/>
    <xf numFmtId="0" fontId="65" fillId="20" borderId="169" xfId="0" applyFont="1" applyFill="1" applyBorder="1"/>
    <xf numFmtId="0" fontId="4" fillId="10" borderId="143" xfId="0" applyFont="1" applyFill="1" applyBorder="1" applyAlignment="1">
      <alignment horizontal="left" vertical="center" indent="2"/>
    </xf>
    <xf numFmtId="0" fontId="4" fillId="10" borderId="48" xfId="0" applyFont="1" applyFill="1" applyBorder="1" applyAlignment="1">
      <alignment horizontal="center" vertical="center"/>
    </xf>
    <xf numFmtId="0" fontId="58" fillId="10" borderId="159" xfId="0" quotePrefix="1" applyFont="1" applyFill="1" applyBorder="1" applyAlignment="1">
      <alignment vertical="center"/>
    </xf>
    <xf numFmtId="0" fontId="58" fillId="10" borderId="136" xfId="0" applyFont="1" applyFill="1" applyBorder="1" applyAlignment="1">
      <alignment vertical="center"/>
    </xf>
    <xf numFmtId="0" fontId="0" fillId="10" borderId="136" xfId="0" applyFill="1" applyBorder="1" applyAlignment="1">
      <alignment vertical="center"/>
    </xf>
    <xf numFmtId="0" fontId="0" fillId="10" borderId="135" xfId="0" applyFill="1" applyBorder="1" applyAlignment="1">
      <alignment vertical="center"/>
    </xf>
    <xf numFmtId="0" fontId="64" fillId="20" borderId="171" xfId="0" applyFont="1" applyFill="1" applyBorder="1"/>
    <xf numFmtId="0" fontId="28" fillId="20" borderId="172" xfId="0" applyFont="1" applyFill="1" applyBorder="1"/>
    <xf numFmtId="0" fontId="0" fillId="41" borderId="77" xfId="0" applyFill="1" applyBorder="1" applyAlignment="1">
      <alignment horizontal="left" indent="1"/>
    </xf>
    <xf numFmtId="0" fontId="2" fillId="17" borderId="77" xfId="0" applyFont="1" applyFill="1" applyBorder="1" applyAlignment="1">
      <alignment horizontal="center"/>
    </xf>
    <xf numFmtId="0" fontId="66" fillId="17" borderId="77" xfId="0" quotePrefix="1" applyFont="1" applyFill="1" applyBorder="1" applyAlignment="1">
      <alignment horizontal="left"/>
    </xf>
    <xf numFmtId="0" fontId="0" fillId="41" borderId="11" xfId="0" applyFill="1" applyBorder="1" applyAlignment="1">
      <alignment horizontal="left"/>
    </xf>
    <xf numFmtId="0" fontId="0" fillId="41" borderId="12" xfId="0" applyFill="1" applyBorder="1"/>
    <xf numFmtId="0" fontId="0" fillId="41" borderId="13" xfId="0" applyFill="1" applyBorder="1"/>
    <xf numFmtId="0" fontId="0" fillId="41" borderId="10" xfId="0" applyFill="1" applyBorder="1" applyAlignment="1">
      <alignment horizontal="left" indent="1"/>
    </xf>
    <xf numFmtId="0" fontId="2" fillId="17" borderId="10" xfId="0" applyFont="1" applyFill="1" applyBorder="1" applyAlignment="1">
      <alignment horizontal="center"/>
    </xf>
    <xf numFmtId="0" fontId="66" fillId="17" borderId="10" xfId="0" quotePrefix="1" applyFont="1" applyFill="1" applyBorder="1" applyAlignment="1">
      <alignment horizontal="left"/>
    </xf>
    <xf numFmtId="0" fontId="0" fillId="41" borderId="10" xfId="0" applyFill="1" applyBorder="1" applyAlignment="1">
      <alignment horizontal="left"/>
    </xf>
    <xf numFmtId="0" fontId="0" fillId="41" borderId="0" xfId="0" applyFill="1"/>
    <xf numFmtId="0" fontId="0" fillId="41" borderId="66" xfId="0" applyFill="1" applyBorder="1"/>
    <xf numFmtId="0" fontId="0" fillId="41" borderId="173" xfId="0" applyFill="1" applyBorder="1" applyAlignment="1">
      <alignment horizontal="left" indent="1"/>
    </xf>
    <xf numFmtId="0" fontId="0" fillId="17" borderId="173" xfId="0" quotePrefix="1" applyFill="1" applyBorder="1" applyAlignment="1">
      <alignment horizontal="center"/>
    </xf>
    <xf numFmtId="0" fontId="66" fillId="17" borderId="173" xfId="0" quotePrefix="1" applyFont="1" applyFill="1" applyBorder="1" applyAlignment="1">
      <alignment horizontal="left"/>
    </xf>
    <xf numFmtId="0" fontId="0" fillId="41" borderId="174" xfId="0" applyFill="1" applyBorder="1" applyAlignment="1">
      <alignment horizontal="left"/>
    </xf>
    <xf numFmtId="0" fontId="0" fillId="41" borderId="137" xfId="0" applyFill="1" applyBorder="1"/>
    <xf numFmtId="0" fontId="0" fillId="41" borderId="157" xfId="0" applyFill="1" applyBorder="1"/>
    <xf numFmtId="0" fontId="0" fillId="41" borderId="138" xfId="0" applyFill="1" applyBorder="1" applyAlignment="1">
      <alignment horizontal="left" indent="1"/>
    </xf>
    <xf numFmtId="0" fontId="0" fillId="17" borderId="138" xfId="0" applyFill="1" applyBorder="1" applyAlignment="1">
      <alignment horizontal="center"/>
    </xf>
    <xf numFmtId="0" fontId="66" fillId="17" borderId="138" xfId="0" quotePrefix="1" applyFont="1" applyFill="1" applyBorder="1" applyAlignment="1">
      <alignment horizontal="left"/>
    </xf>
    <xf numFmtId="0" fontId="0" fillId="41" borderId="138" xfId="0" applyFill="1" applyBorder="1" applyAlignment="1">
      <alignment horizontal="left"/>
    </xf>
    <xf numFmtId="0" fontId="0" fillId="41" borderId="136" xfId="0" applyFill="1" applyBorder="1"/>
    <xf numFmtId="0" fontId="0" fillId="41" borderId="135" xfId="0" applyFill="1" applyBorder="1"/>
    <xf numFmtId="0" fontId="0" fillId="41" borderId="127" xfId="0" applyFill="1" applyBorder="1" applyAlignment="1">
      <alignment horizontal="left" indent="1"/>
    </xf>
    <xf numFmtId="0" fontId="0" fillId="17" borderId="127" xfId="0" applyFill="1" applyBorder="1" applyAlignment="1">
      <alignment horizontal="center"/>
    </xf>
    <xf numFmtId="0" fontId="66" fillId="17" borderId="127" xfId="0" quotePrefix="1" applyFont="1" applyFill="1" applyBorder="1" applyAlignment="1">
      <alignment horizontal="left"/>
    </xf>
    <xf numFmtId="0" fontId="0" fillId="41" borderId="108" xfId="0" applyFill="1" applyBorder="1" applyAlignment="1">
      <alignment horizontal="left"/>
    </xf>
    <xf numFmtId="0" fontId="0" fillId="41" borderId="109" xfId="0" applyFill="1" applyBorder="1"/>
    <xf numFmtId="0" fontId="0" fillId="41" borderId="110" xfId="0" applyFill="1" applyBorder="1"/>
    <xf numFmtId="0" fontId="0" fillId="17" borderId="173" xfId="0" applyFill="1" applyBorder="1" applyAlignment="1">
      <alignment horizontal="center"/>
    </xf>
    <xf numFmtId="0" fontId="0" fillId="41" borderId="108" xfId="0" applyFill="1" applyBorder="1" applyAlignment="1">
      <alignment horizontal="left" indent="1"/>
    </xf>
    <xf numFmtId="0" fontId="0" fillId="17" borderId="108" xfId="0" applyFill="1" applyBorder="1" applyAlignment="1">
      <alignment horizontal="center"/>
    </xf>
    <xf numFmtId="0" fontId="66" fillId="17" borderId="108" xfId="0" quotePrefix="1" applyFont="1" applyFill="1" applyBorder="1" applyAlignment="1">
      <alignment horizontal="left"/>
    </xf>
    <xf numFmtId="0" fontId="2" fillId="17" borderId="108" xfId="0" applyFont="1" applyFill="1" applyBorder="1" applyAlignment="1">
      <alignment horizontal="center"/>
    </xf>
    <xf numFmtId="0" fontId="0" fillId="17" borderId="10" xfId="0" applyFill="1" applyBorder="1" applyAlignment="1">
      <alignment horizontal="center"/>
    </xf>
    <xf numFmtId="0" fontId="0" fillId="41" borderId="106" xfId="0" applyFill="1" applyBorder="1" applyAlignment="1">
      <alignment horizontal="left"/>
    </xf>
    <xf numFmtId="0" fontId="0" fillId="41" borderId="129" xfId="0" applyFill="1" applyBorder="1"/>
    <xf numFmtId="0" fontId="0" fillId="41" borderId="175" xfId="0" applyFill="1" applyBorder="1"/>
    <xf numFmtId="0" fontId="0" fillId="41" borderId="176" xfId="0" applyFill="1" applyBorder="1" applyAlignment="1">
      <alignment horizontal="left" indent="1"/>
    </xf>
    <xf numFmtId="0" fontId="0" fillId="17" borderId="176" xfId="0" applyFill="1" applyBorder="1" applyAlignment="1">
      <alignment horizontal="center"/>
    </xf>
    <xf numFmtId="0" fontId="66" fillId="17" borderId="176" xfId="0" quotePrefix="1" applyFont="1" applyFill="1" applyBorder="1" applyAlignment="1">
      <alignment horizontal="left"/>
    </xf>
    <xf numFmtId="0" fontId="0" fillId="41" borderId="174" xfId="0" applyFill="1" applyBorder="1" applyAlignment="1">
      <alignment horizontal="left" indent="1"/>
    </xf>
    <xf numFmtId="0" fontId="0" fillId="17" borderId="174" xfId="0" applyFill="1" applyBorder="1" applyAlignment="1">
      <alignment horizontal="center"/>
    </xf>
    <xf numFmtId="0" fontId="66" fillId="17" borderId="174" xfId="0" quotePrefix="1" applyFont="1" applyFill="1" applyBorder="1" applyAlignment="1">
      <alignment horizontal="left"/>
    </xf>
    <xf numFmtId="0" fontId="0" fillId="41" borderId="136" xfId="0" quotePrefix="1" applyFill="1" applyBorder="1"/>
    <xf numFmtId="0" fontId="0" fillId="41" borderId="139" xfId="0" applyFill="1" applyBorder="1" applyAlignment="1">
      <alignment horizontal="left" indent="1"/>
    </xf>
    <xf numFmtId="0" fontId="0" fillId="17" borderId="139" xfId="0" applyFill="1" applyBorder="1" applyAlignment="1">
      <alignment horizontal="center"/>
    </xf>
    <xf numFmtId="0" fontId="66" fillId="17" borderId="139" xfId="0" quotePrefix="1" applyFont="1" applyFill="1" applyBorder="1" applyAlignment="1">
      <alignment horizontal="left"/>
    </xf>
    <xf numFmtId="0" fontId="0" fillId="41" borderId="139" xfId="0" applyFill="1" applyBorder="1" applyAlignment="1">
      <alignment horizontal="left"/>
    </xf>
    <xf numFmtId="0" fontId="0" fillId="41" borderId="141" xfId="0" applyFill="1" applyBorder="1"/>
    <xf numFmtId="0" fontId="0" fillId="41" borderId="161" xfId="0" applyFill="1" applyBorder="1"/>
    <xf numFmtId="0" fontId="10" fillId="42" borderId="166" xfId="0" applyFont="1" applyFill="1" applyBorder="1" applyAlignment="1">
      <alignment horizontal="left"/>
    </xf>
    <xf numFmtId="0" fontId="55" fillId="42" borderId="48" xfId="0" quotePrefix="1" applyFont="1" applyFill="1" applyBorder="1" applyAlignment="1">
      <alignment horizontal="center" vertical="center"/>
    </xf>
    <xf numFmtId="0" fontId="58" fillId="42" borderId="177" xfId="0" quotePrefix="1" applyFont="1" applyFill="1" applyBorder="1" applyAlignment="1">
      <alignment vertical="top"/>
    </xf>
    <xf numFmtId="0" fontId="58" fillId="42" borderId="178" xfId="0" quotePrefix="1" applyFont="1" applyFill="1" applyBorder="1" applyAlignment="1">
      <alignment vertical="top"/>
    </xf>
    <xf numFmtId="0" fontId="58" fillId="42" borderId="179" xfId="0" applyFont="1" applyFill="1" applyBorder="1" applyAlignment="1">
      <alignment vertical="top"/>
    </xf>
    <xf numFmtId="0" fontId="0" fillId="42" borderId="179" xfId="0" applyFill="1" applyBorder="1"/>
    <xf numFmtId="0" fontId="0" fillId="42" borderId="180" xfId="0" applyFill="1" applyBorder="1"/>
    <xf numFmtId="0" fontId="4" fillId="42" borderId="166" xfId="0" applyFont="1" applyFill="1" applyBorder="1" applyAlignment="1">
      <alignment horizontal="left" vertical="top" indent="4"/>
    </xf>
    <xf numFmtId="0" fontId="4" fillId="42" borderId="48" xfId="0" applyFont="1" applyFill="1" applyBorder="1" applyAlignment="1">
      <alignment horizontal="center" vertical="top"/>
    </xf>
    <xf numFmtId="0" fontId="58" fillId="42" borderId="146" xfId="0" quotePrefix="1" applyFont="1" applyFill="1" applyBorder="1" applyAlignment="1">
      <alignment vertical="center"/>
    </xf>
    <xf numFmtId="0" fontId="63" fillId="42" borderId="147" xfId="0" applyFont="1" applyFill="1" applyBorder="1" applyAlignment="1">
      <alignment horizontal="left" vertical="center"/>
    </xf>
    <xf numFmtId="0" fontId="58" fillId="42" borderId="137" xfId="0" applyFont="1" applyFill="1" applyBorder="1" applyAlignment="1">
      <alignment vertical="center"/>
    </xf>
    <xf numFmtId="0" fontId="0" fillId="42" borderId="137" xfId="0" applyFill="1" applyBorder="1" applyAlignment="1">
      <alignment vertical="center"/>
    </xf>
    <xf numFmtId="0" fontId="0" fillId="42" borderId="157" xfId="0" applyFill="1" applyBorder="1" applyAlignment="1">
      <alignment vertical="center"/>
    </xf>
    <xf numFmtId="0" fontId="4" fillId="42" borderId="137" xfId="0" applyFont="1" applyFill="1" applyBorder="1" applyAlignment="1">
      <alignment horizontal="center" vertical="center" wrapText="1"/>
    </xf>
    <xf numFmtId="0" fontId="63" fillId="42" borderId="159" xfId="0" applyFont="1" applyFill="1" applyBorder="1" applyAlignment="1">
      <alignment horizontal="left" vertical="center"/>
    </xf>
    <xf numFmtId="0" fontId="58" fillId="42" borderId="136" xfId="0" applyFont="1" applyFill="1" applyBorder="1" applyAlignment="1">
      <alignment vertical="center"/>
    </xf>
    <xf numFmtId="0" fontId="0" fillId="42" borderId="136" xfId="0" applyFill="1" applyBorder="1" applyAlignment="1">
      <alignment vertical="center"/>
    </xf>
    <xf numFmtId="0" fontId="0" fillId="42" borderId="135" xfId="0" applyFill="1" applyBorder="1" applyAlignment="1">
      <alignment vertical="center"/>
    </xf>
    <xf numFmtId="0" fontId="4" fillId="42" borderId="181" xfId="0" applyFont="1" applyFill="1" applyBorder="1" applyAlignment="1">
      <alignment horizontal="left" vertical="top" indent="4"/>
    </xf>
    <xf numFmtId="0" fontId="4" fillId="42" borderId="146" xfId="0" applyFont="1" applyFill="1" applyBorder="1" applyAlignment="1">
      <alignment horizontal="center" vertical="top"/>
    </xf>
    <xf numFmtId="0" fontId="58" fillId="42" borderId="0" xfId="0" quotePrefix="1" applyFont="1" applyFill="1" applyAlignment="1">
      <alignment vertical="top"/>
    </xf>
    <xf numFmtId="0" fontId="58" fillId="42" borderId="0" xfId="0" applyFont="1" applyFill="1" applyAlignment="1">
      <alignment vertical="top"/>
    </xf>
    <xf numFmtId="0" fontId="0" fillId="42" borderId="0" xfId="0" applyFill="1"/>
    <xf numFmtId="0" fontId="0" fillId="42" borderId="66" xfId="0" applyFill="1" applyBorder="1"/>
    <xf numFmtId="0" fontId="65" fillId="20" borderId="172" xfId="0" applyFont="1" applyFill="1" applyBorder="1"/>
    <xf numFmtId="0" fontId="65" fillId="20" borderId="182" xfId="0" applyFont="1" applyFill="1" applyBorder="1"/>
    <xf numFmtId="0" fontId="10" fillId="42" borderId="166" xfId="0" applyFont="1" applyFill="1" applyBorder="1" applyAlignment="1">
      <alignment horizontal="left" vertical="top"/>
    </xf>
    <xf numFmtId="0" fontId="4" fillId="42" borderId="0" xfId="0" applyFont="1" applyFill="1" applyAlignment="1">
      <alignment horizontal="center"/>
    </xf>
    <xf numFmtId="0" fontId="58" fillId="42" borderId="146" xfId="0" quotePrefix="1" applyFont="1" applyFill="1" applyBorder="1" applyAlignment="1">
      <alignment vertical="top"/>
    </xf>
    <xf numFmtId="0" fontId="58" fillId="42" borderId="147" xfId="0" quotePrefix="1" applyFont="1" applyFill="1" applyBorder="1" applyAlignment="1">
      <alignment vertical="top"/>
    </xf>
    <xf numFmtId="0" fontId="58" fillId="42" borderId="137" xfId="0" applyFont="1" applyFill="1" applyBorder="1" applyAlignment="1">
      <alignment vertical="top"/>
    </xf>
    <xf numFmtId="0" fontId="0" fillId="42" borderId="137" xfId="0" applyFill="1" applyBorder="1"/>
    <xf numFmtId="0" fontId="0" fillId="42" borderId="157" xfId="0" applyFill="1" applyBorder="1"/>
    <xf numFmtId="0" fontId="67" fillId="42" borderId="146" xfId="0" quotePrefix="1" applyFont="1" applyFill="1" applyBorder="1" applyAlignment="1">
      <alignment horizontal="center"/>
    </xf>
    <xf numFmtId="0" fontId="58" fillId="42" borderId="126" xfId="0" quotePrefix="1" applyFont="1" applyFill="1" applyBorder="1" applyAlignment="1">
      <alignment vertical="top"/>
    </xf>
    <xf numFmtId="0" fontId="5" fillId="42" borderId="0" xfId="0" applyFont="1" applyFill="1"/>
    <xf numFmtId="0" fontId="5" fillId="42" borderId="66" xfId="0" applyFont="1" applyFill="1" applyBorder="1"/>
    <xf numFmtId="0" fontId="58" fillId="42" borderId="146" xfId="0" quotePrefix="1" applyFont="1" applyFill="1" applyBorder="1" applyAlignment="1">
      <alignment horizontal="left" vertical="top"/>
    </xf>
    <xf numFmtId="0" fontId="58" fillId="42" borderId="147" xfId="0" quotePrefix="1" applyFont="1" applyFill="1" applyBorder="1" applyAlignment="1">
      <alignment horizontal="left" vertical="top"/>
    </xf>
    <xf numFmtId="0" fontId="58" fillId="42" borderId="157" xfId="0" applyFont="1" applyFill="1" applyBorder="1" applyAlignment="1">
      <alignment vertical="top"/>
    </xf>
    <xf numFmtId="0" fontId="4" fillId="42" borderId="183" xfId="0" applyFont="1" applyFill="1" applyBorder="1" applyAlignment="1">
      <alignment horizontal="left" vertical="top" indent="4"/>
    </xf>
    <xf numFmtId="0" fontId="10" fillId="42" borderId="184" xfId="0" applyFont="1" applyFill="1" applyBorder="1" applyAlignment="1">
      <alignment horizontal="center" vertical="top"/>
    </xf>
    <xf numFmtId="0" fontId="58" fillId="42" borderId="184" xfId="0" quotePrefix="1" applyFont="1" applyFill="1" applyBorder="1" applyAlignment="1">
      <alignment vertical="top"/>
    </xf>
    <xf numFmtId="0" fontId="58" fillId="42" borderId="185" xfId="0" quotePrefix="1" applyFont="1" applyFill="1" applyBorder="1" applyAlignment="1">
      <alignment vertical="top"/>
    </xf>
    <xf numFmtId="0" fontId="58" fillId="42" borderId="109" xfId="0" applyFont="1" applyFill="1" applyBorder="1" applyAlignment="1">
      <alignment vertical="top"/>
    </xf>
    <xf numFmtId="0" fontId="58" fillId="42" borderId="110" xfId="0" applyFont="1" applyFill="1" applyBorder="1" applyAlignment="1">
      <alignment vertical="top"/>
    </xf>
    <xf numFmtId="0" fontId="10" fillId="42" borderId="186" xfId="0" applyFont="1" applyFill="1" applyBorder="1" applyAlignment="1">
      <alignment horizontal="left" vertical="top"/>
    </xf>
    <xf numFmtId="0" fontId="58" fillId="42" borderId="146" xfId="0" quotePrefix="1" applyFont="1" applyFill="1" applyBorder="1" applyAlignment="1">
      <alignment horizontal="center" vertical="top"/>
    </xf>
    <xf numFmtId="0" fontId="58" fillId="42" borderId="48" xfId="0" quotePrefix="1" applyFont="1" applyFill="1" applyBorder="1" applyAlignment="1">
      <alignment horizontal="center" vertical="top"/>
    </xf>
    <xf numFmtId="0" fontId="58" fillId="42" borderId="48" xfId="0" quotePrefix="1" applyFont="1" applyFill="1" applyBorder="1" applyAlignment="1">
      <alignment vertical="top"/>
    </xf>
    <xf numFmtId="0" fontId="58" fillId="42" borderId="159" xfId="0" quotePrefix="1" applyFont="1" applyFill="1" applyBorder="1" applyAlignment="1">
      <alignment vertical="top"/>
    </xf>
    <xf numFmtId="0" fontId="58" fillId="42" borderId="136" xfId="0" applyFont="1" applyFill="1" applyBorder="1" applyAlignment="1">
      <alignment vertical="top"/>
    </xf>
    <xf numFmtId="0" fontId="0" fillId="42" borderId="136" xfId="0" applyFill="1" applyBorder="1"/>
    <xf numFmtId="0" fontId="0" fillId="42" borderId="135" xfId="0" applyFill="1" applyBorder="1"/>
    <xf numFmtId="0" fontId="4" fillId="42" borderId="10" xfId="0" applyFont="1" applyFill="1" applyBorder="1" applyAlignment="1">
      <alignment horizontal="left" vertical="top" indent="4"/>
    </xf>
    <xf numFmtId="0" fontId="4" fillId="42" borderId="159" xfId="0" quotePrefix="1" applyFont="1" applyFill="1" applyBorder="1" applyAlignment="1">
      <alignment horizontal="center" vertical="top"/>
    </xf>
    <xf numFmtId="0" fontId="17" fillId="42" borderId="176" xfId="0" applyFont="1" applyFill="1" applyBorder="1" applyAlignment="1">
      <alignment horizontal="left" indent="4"/>
    </xf>
    <xf numFmtId="0" fontId="4" fillId="42" borderId="187" xfId="0" quotePrefix="1" applyFont="1" applyFill="1" applyBorder="1" applyAlignment="1">
      <alignment horizontal="center" vertical="top"/>
    </xf>
    <xf numFmtId="0" fontId="5" fillId="42" borderId="5" xfId="0" applyFont="1" applyFill="1" applyBorder="1"/>
    <xf numFmtId="0" fontId="5" fillId="42" borderId="150" xfId="0" applyFont="1" applyFill="1" applyBorder="1"/>
    <xf numFmtId="0" fontId="4" fillId="42" borderId="146" xfId="0" quotePrefix="1" applyFont="1" applyFill="1" applyBorder="1" applyAlignment="1">
      <alignment horizontal="center" vertical="top"/>
    </xf>
    <xf numFmtId="0" fontId="4" fillId="42" borderId="184" xfId="0" applyFont="1" applyFill="1" applyBorder="1" applyAlignment="1">
      <alignment horizontal="center" vertical="top"/>
    </xf>
    <xf numFmtId="0" fontId="58" fillId="42" borderId="184" xfId="0" quotePrefix="1" applyFont="1" applyFill="1" applyBorder="1" applyAlignment="1">
      <alignment horizontal="left" vertical="top"/>
    </xf>
    <xf numFmtId="0" fontId="58" fillId="42" borderId="185" xfId="0" quotePrefix="1" applyFont="1" applyFill="1" applyBorder="1" applyAlignment="1">
      <alignment horizontal="left" vertical="top"/>
    </xf>
    <xf numFmtId="0" fontId="4" fillId="10" borderId="143" xfId="0" applyFont="1" applyFill="1" applyBorder="1" applyAlignment="1">
      <alignment vertical="center"/>
    </xf>
    <xf numFmtId="0" fontId="68" fillId="10" borderId="186" xfId="0" applyFont="1" applyFill="1" applyBorder="1" applyAlignment="1">
      <alignment horizontal="left" vertical="top" indent="1"/>
    </xf>
    <xf numFmtId="0" fontId="4" fillId="10" borderId="0" xfId="0" applyFont="1" applyFill="1" applyAlignment="1">
      <alignment horizontal="center" vertical="top" wrapText="1"/>
    </xf>
    <xf numFmtId="0" fontId="58" fillId="10" borderId="177" xfId="0" quotePrefix="1" applyFont="1" applyFill="1" applyBorder="1" applyAlignment="1">
      <alignment horizontal="left" vertical="top" indent="1"/>
    </xf>
    <xf numFmtId="0" fontId="58" fillId="10" borderId="0" xfId="0" applyFont="1" applyFill="1" applyAlignment="1">
      <alignment vertical="top"/>
    </xf>
    <xf numFmtId="0" fontId="58" fillId="10" borderId="66" xfId="0" applyFont="1" applyFill="1" applyBorder="1" applyAlignment="1">
      <alignment vertical="top"/>
    </xf>
    <xf numFmtId="0" fontId="58" fillId="10" borderId="177" xfId="0" quotePrefix="1" applyFont="1" applyFill="1" applyBorder="1" applyAlignment="1">
      <alignment horizontal="left" vertical="top"/>
    </xf>
    <xf numFmtId="0" fontId="68" fillId="10" borderId="186" xfId="0" applyFont="1" applyFill="1" applyBorder="1" applyAlignment="1">
      <alignment horizontal="left" vertical="top" indent="2"/>
    </xf>
    <xf numFmtId="0" fontId="58" fillId="10" borderId="126" xfId="0" quotePrefix="1" applyFont="1" applyFill="1" applyBorder="1" applyAlignment="1">
      <alignment horizontal="left" vertical="top"/>
    </xf>
    <xf numFmtId="0" fontId="10" fillId="10" borderId="146" xfId="0" quotePrefix="1" applyFont="1" applyFill="1" applyBorder="1" applyAlignment="1">
      <alignment horizontal="center" wrapText="1"/>
    </xf>
    <xf numFmtId="0" fontId="69" fillId="10" borderId="186" xfId="0" applyFont="1" applyFill="1" applyBorder="1" applyAlignment="1">
      <alignment horizontal="left" vertical="top" indent="2"/>
    </xf>
    <xf numFmtId="0" fontId="69" fillId="10" borderId="181" xfId="0" applyFont="1" applyFill="1" applyBorder="1" applyAlignment="1">
      <alignment horizontal="left" vertical="top" indent="2"/>
    </xf>
    <xf numFmtId="0" fontId="10" fillId="10" borderId="187" xfId="0" quotePrefix="1" applyFont="1" applyFill="1" applyBorder="1" applyAlignment="1">
      <alignment horizontal="center" wrapText="1"/>
    </xf>
    <xf numFmtId="0" fontId="58" fillId="10" borderId="187" xfId="0" quotePrefix="1" applyFont="1" applyFill="1" applyBorder="1" applyAlignment="1">
      <alignment horizontal="left" vertical="top" indent="1"/>
    </xf>
    <xf numFmtId="0" fontId="58" fillId="10" borderId="188" xfId="0" quotePrefix="1" applyFont="1" applyFill="1" applyBorder="1" applyAlignment="1">
      <alignment horizontal="left" vertical="top"/>
    </xf>
    <xf numFmtId="0" fontId="58" fillId="10" borderId="5" xfId="0" applyFont="1" applyFill="1" applyBorder="1" applyAlignment="1">
      <alignment vertical="top"/>
    </xf>
    <xf numFmtId="0" fontId="58" fillId="10" borderId="150" xfId="0" applyFont="1" applyFill="1" applyBorder="1" applyAlignment="1">
      <alignment vertical="top"/>
    </xf>
    <xf numFmtId="0" fontId="69" fillId="10" borderId="186" xfId="0" applyFont="1" applyFill="1" applyBorder="1" applyAlignment="1">
      <alignment horizontal="left" vertical="top" indent="1"/>
    </xf>
    <xf numFmtId="0" fontId="4" fillId="10" borderId="177" xfId="0" applyFont="1" applyFill="1" applyBorder="1" applyAlignment="1">
      <alignment horizontal="center" vertical="top"/>
    </xf>
    <xf numFmtId="0" fontId="58" fillId="10" borderId="177" xfId="0" quotePrefix="1" applyFont="1" applyFill="1" applyBorder="1" applyAlignment="1">
      <alignment vertical="top"/>
    </xf>
    <xf numFmtId="0" fontId="5" fillId="10" borderId="0" xfId="0" applyFont="1" applyFill="1" applyAlignment="1">
      <alignment vertical="top"/>
    </xf>
    <xf numFmtId="0" fontId="5" fillId="10" borderId="66" xfId="0" applyFont="1" applyFill="1" applyBorder="1" applyAlignment="1">
      <alignment vertical="top"/>
    </xf>
    <xf numFmtId="0" fontId="70" fillId="10" borderId="177" xfId="0" applyFont="1" applyFill="1" applyBorder="1" applyAlignment="1">
      <alignment horizontal="center" vertical="top" wrapText="1"/>
    </xf>
    <xf numFmtId="0" fontId="70" fillId="10" borderId="177" xfId="0" quotePrefix="1" applyFont="1" applyFill="1" applyBorder="1" applyAlignment="1">
      <alignment horizontal="left" vertical="top" indent="1"/>
    </xf>
    <xf numFmtId="0" fontId="72" fillId="10" borderId="126" xfId="0" quotePrefix="1" applyFont="1" applyFill="1" applyBorder="1" applyAlignment="1">
      <alignment horizontal="left" vertical="top" indent="2"/>
    </xf>
    <xf numFmtId="0" fontId="25" fillId="10" borderId="0" xfId="0" applyFont="1" applyFill="1" applyAlignment="1">
      <alignment vertical="top"/>
    </xf>
    <xf numFmtId="0" fontId="70" fillId="10" borderId="126" xfId="0" quotePrefix="1" applyFont="1" applyFill="1" applyBorder="1" applyAlignment="1">
      <alignment horizontal="left" vertical="top"/>
    </xf>
    <xf numFmtId="0" fontId="69" fillId="10" borderId="186" xfId="0" applyFont="1" applyFill="1" applyBorder="1" applyAlignment="1">
      <alignment horizontal="left" vertical="top" indent="4"/>
    </xf>
    <xf numFmtId="14" fontId="4" fillId="10" borderId="177" xfId="0" quotePrefix="1" applyNumberFormat="1" applyFont="1" applyFill="1" applyBorder="1" applyAlignment="1">
      <alignment horizontal="center" vertical="top" wrapText="1"/>
    </xf>
    <xf numFmtId="0" fontId="58" fillId="10" borderId="126" xfId="0" quotePrefix="1" applyFont="1" applyFill="1" applyBorder="1" applyAlignment="1">
      <alignment horizontal="center" vertical="center"/>
    </xf>
    <xf numFmtId="0" fontId="58" fillId="10" borderId="126" xfId="0" quotePrefix="1" applyFont="1" applyFill="1" applyBorder="1" applyAlignment="1">
      <alignment vertical="top"/>
    </xf>
    <xf numFmtId="0" fontId="69" fillId="10" borderId="189" xfId="0" applyFont="1" applyFill="1" applyBorder="1" applyAlignment="1">
      <alignment horizontal="left" vertical="top" indent="2"/>
    </xf>
    <xf numFmtId="0" fontId="26" fillId="10" borderId="190" xfId="0" quotePrefix="1" applyFont="1" applyFill="1" applyBorder="1" applyAlignment="1">
      <alignment horizontal="center" vertical="top"/>
    </xf>
    <xf numFmtId="0" fontId="58" fillId="10" borderId="190" xfId="0" quotePrefix="1" applyFont="1" applyFill="1" applyBorder="1" applyAlignment="1">
      <alignment vertical="top"/>
    </xf>
    <xf numFmtId="0" fontId="58" fillId="10" borderId="191" xfId="0" quotePrefix="1" applyFont="1" applyFill="1" applyBorder="1" applyAlignment="1">
      <alignment horizontal="left" vertical="top"/>
    </xf>
    <xf numFmtId="0" fontId="5" fillId="10" borderId="192" xfId="0" applyFont="1" applyFill="1" applyBorder="1" applyAlignment="1">
      <alignment vertical="top"/>
    </xf>
    <xf numFmtId="0" fontId="5" fillId="10" borderId="193" xfId="0" applyFont="1" applyFill="1" applyBorder="1" applyAlignment="1">
      <alignment vertical="top"/>
    </xf>
    <xf numFmtId="0" fontId="68" fillId="10" borderId="186" xfId="0" applyFont="1" applyFill="1" applyBorder="1" applyAlignment="1">
      <alignment horizontal="left"/>
    </xf>
    <xf numFmtId="0" fontId="24" fillId="10" borderId="177" xfId="0" quotePrefix="1" applyFont="1" applyFill="1" applyBorder="1" applyAlignment="1">
      <alignment horizontal="left"/>
    </xf>
    <xf numFmtId="0" fontId="58" fillId="10" borderId="177" xfId="0" quotePrefix="1" applyFont="1" applyFill="1" applyBorder="1"/>
    <xf numFmtId="0" fontId="58" fillId="10" borderId="126" xfId="0" quotePrefix="1" applyFont="1" applyFill="1" applyBorder="1" applyAlignment="1">
      <alignment horizontal="left"/>
    </xf>
    <xf numFmtId="0" fontId="5" fillId="10" borderId="0" xfId="0" applyFont="1" applyFill="1"/>
    <xf numFmtId="0" fontId="5" fillId="10" borderId="66" xfId="0" applyFont="1" applyFill="1" applyBorder="1"/>
    <xf numFmtId="0" fontId="26" fillId="10" borderId="177" xfId="0" quotePrefix="1" applyFont="1" applyFill="1" applyBorder="1" applyAlignment="1">
      <alignment horizontal="center" vertical="top"/>
    </xf>
    <xf numFmtId="0" fontId="4" fillId="10" borderId="187" xfId="0" quotePrefix="1" applyFont="1" applyFill="1" applyBorder="1" applyAlignment="1">
      <alignment horizontal="center" vertical="top"/>
    </xf>
    <xf numFmtId="0" fontId="58" fillId="10" borderId="187" xfId="0" quotePrefix="1" applyFont="1" applyFill="1" applyBorder="1" applyAlignment="1">
      <alignment vertical="top"/>
    </xf>
    <xf numFmtId="0" fontId="58" fillId="10" borderId="185" xfId="0" quotePrefix="1" applyFont="1" applyFill="1" applyBorder="1" applyAlignment="1">
      <alignment horizontal="left" vertical="top"/>
    </xf>
    <xf numFmtId="0" fontId="5" fillId="10" borderId="5" xfId="0" applyFont="1" applyFill="1" applyBorder="1" applyAlignment="1">
      <alignment vertical="top"/>
    </xf>
    <xf numFmtId="0" fontId="5" fillId="10" borderId="150" xfId="0" applyFont="1" applyFill="1" applyBorder="1" applyAlignment="1">
      <alignment vertical="top"/>
    </xf>
    <xf numFmtId="0" fontId="4" fillId="10" borderId="177" xfId="0" quotePrefix="1" applyFont="1" applyFill="1" applyBorder="1" applyAlignment="1">
      <alignment horizontal="center" vertical="top"/>
    </xf>
    <xf numFmtId="0" fontId="70" fillId="10" borderId="177" xfId="0" quotePrefix="1" applyFont="1" applyFill="1" applyBorder="1" applyAlignment="1">
      <alignment horizontal="left" vertical="top" indent="3"/>
    </xf>
    <xf numFmtId="0" fontId="58" fillId="10" borderId="187" xfId="0" quotePrefix="1" applyFont="1" applyFill="1" applyBorder="1" applyAlignment="1">
      <alignment horizontal="left" vertical="top"/>
    </xf>
    <xf numFmtId="0" fontId="69" fillId="10" borderId="10" xfId="0" applyFont="1" applyFill="1" applyBorder="1" applyAlignment="1">
      <alignment horizontal="left" vertical="top" indent="2"/>
    </xf>
    <xf numFmtId="0" fontId="4" fillId="10" borderId="0" xfId="0" quotePrefix="1" applyFont="1" applyFill="1" applyAlignment="1">
      <alignment horizontal="center" vertical="top"/>
    </xf>
    <xf numFmtId="0" fontId="58" fillId="10" borderId="0" xfId="0" quotePrefix="1" applyFont="1" applyFill="1" applyAlignment="1">
      <alignment vertical="top"/>
    </xf>
    <xf numFmtId="0" fontId="58" fillId="10" borderId="0" xfId="0" quotePrefix="1" applyFont="1" applyFill="1" applyAlignment="1">
      <alignment horizontal="left" vertical="top"/>
    </xf>
    <xf numFmtId="0" fontId="68" fillId="10" borderId="194" xfId="0" applyFont="1" applyFill="1" applyBorder="1" applyAlignment="1">
      <alignment horizontal="left" vertical="top" indent="1"/>
    </xf>
    <xf numFmtId="0" fontId="5" fillId="10" borderId="195" xfId="0" applyFont="1" applyFill="1" applyBorder="1" applyAlignment="1">
      <alignment vertical="top"/>
    </xf>
    <xf numFmtId="0" fontId="5" fillId="10" borderId="196" xfId="0" applyFont="1" applyFill="1" applyBorder="1" applyAlignment="1">
      <alignment vertical="top"/>
    </xf>
    <xf numFmtId="0" fontId="58" fillId="10" borderId="126" xfId="0" quotePrefix="1" applyFont="1" applyFill="1" applyBorder="1" applyAlignment="1">
      <alignment horizontal="center" vertical="top"/>
    </xf>
    <xf numFmtId="0" fontId="63" fillId="10" borderId="126" xfId="0" applyFont="1" applyFill="1" applyBorder="1" applyAlignment="1">
      <alignment horizontal="left" vertical="top" indent="3"/>
    </xf>
    <xf numFmtId="0" fontId="69" fillId="10" borderId="197" xfId="0" applyFont="1" applyFill="1" applyBorder="1" applyAlignment="1">
      <alignment horizontal="left" vertical="top" indent="2"/>
    </xf>
    <xf numFmtId="0" fontId="58" fillId="10" borderId="198" xfId="0" quotePrefix="1" applyFont="1" applyFill="1" applyBorder="1" applyAlignment="1">
      <alignment horizontal="center" vertical="top"/>
    </xf>
    <xf numFmtId="0" fontId="58" fillId="10" borderId="199" xfId="0" quotePrefix="1" applyFont="1" applyFill="1" applyBorder="1" applyAlignment="1">
      <alignment vertical="top"/>
    </xf>
    <xf numFmtId="0" fontId="58" fillId="10" borderId="198" xfId="0" quotePrefix="1" applyFont="1" applyFill="1" applyBorder="1" applyAlignment="1">
      <alignment horizontal="left" vertical="top"/>
    </xf>
    <xf numFmtId="0" fontId="58" fillId="10" borderId="65" xfId="0" quotePrefix="1" applyFont="1" applyFill="1" applyBorder="1" applyAlignment="1">
      <alignment horizontal="left" vertical="top" indent="1"/>
    </xf>
    <xf numFmtId="0" fontId="5" fillId="10" borderId="65" xfId="0" applyFont="1" applyFill="1" applyBorder="1" applyAlignment="1">
      <alignment vertical="top"/>
    </xf>
    <xf numFmtId="0" fontId="5" fillId="10" borderId="67" xfId="0" applyFont="1" applyFill="1" applyBorder="1" applyAlignment="1">
      <alignment vertical="top"/>
    </xf>
    <xf numFmtId="0" fontId="10" fillId="10" borderId="177" xfId="0" quotePrefix="1" applyFont="1" applyFill="1" applyBorder="1" applyAlignment="1">
      <alignment horizontal="center" vertical="top"/>
    </xf>
    <xf numFmtId="0" fontId="58" fillId="10" borderId="0" xfId="0" quotePrefix="1" applyFont="1" applyFill="1" applyAlignment="1">
      <alignment horizontal="left" vertical="top" indent="1"/>
    </xf>
    <xf numFmtId="0" fontId="73" fillId="10" borderId="126" xfId="0" quotePrefix="1" applyFont="1" applyFill="1" applyBorder="1" applyAlignment="1">
      <alignment vertical="top"/>
    </xf>
    <xf numFmtId="0" fontId="69" fillId="4" borderId="10" xfId="0" applyFont="1" applyFill="1" applyBorder="1" applyAlignment="1">
      <alignment horizontal="left" vertical="top" indent="2"/>
    </xf>
    <xf numFmtId="0" fontId="4" fillId="4" borderId="0" xfId="0" quotePrefix="1" applyFont="1" applyFill="1" applyAlignment="1">
      <alignment horizontal="center" vertical="top"/>
    </xf>
    <xf numFmtId="0" fontId="58" fillId="4" borderId="0" xfId="0" quotePrefix="1" applyFont="1" applyFill="1" applyAlignment="1">
      <alignment vertical="top"/>
    </xf>
    <xf numFmtId="0" fontId="73" fillId="4" borderId="0" xfId="0" quotePrefix="1" applyFont="1" applyFill="1" applyAlignment="1">
      <alignment vertical="top"/>
    </xf>
    <xf numFmtId="0" fontId="5" fillId="4" borderId="0" xfId="0" applyFont="1" applyFill="1" applyAlignment="1">
      <alignment vertical="top"/>
    </xf>
    <xf numFmtId="0" fontId="5" fillId="4" borderId="66" xfId="0" applyFont="1" applyFill="1" applyBorder="1" applyAlignment="1">
      <alignment vertical="top"/>
    </xf>
    <xf numFmtId="0" fontId="4" fillId="10" borderId="200" xfId="0" applyFont="1" applyFill="1" applyBorder="1" applyAlignment="1">
      <alignment vertical="top"/>
    </xf>
    <xf numFmtId="0" fontId="4" fillId="10" borderId="201" xfId="0" applyFont="1" applyFill="1" applyBorder="1" applyAlignment="1">
      <alignment horizontal="center" vertical="top"/>
    </xf>
    <xf numFmtId="0" fontId="58" fillId="10" borderId="201" xfId="0" quotePrefix="1" applyFont="1" applyFill="1" applyBorder="1" applyAlignment="1">
      <alignment horizontal="left" vertical="top"/>
    </xf>
    <xf numFmtId="0" fontId="5" fillId="10" borderId="202" xfId="0" applyFont="1" applyFill="1" applyBorder="1" applyAlignment="1">
      <alignment vertical="top"/>
    </xf>
    <xf numFmtId="0" fontId="5" fillId="10" borderId="203" xfId="0" applyFont="1" applyFill="1" applyBorder="1" applyAlignment="1">
      <alignment vertical="top"/>
    </xf>
    <xf numFmtId="0" fontId="5" fillId="10" borderId="204" xfId="0" applyFont="1" applyFill="1" applyBorder="1" applyAlignment="1">
      <alignment vertical="top"/>
    </xf>
    <xf numFmtId="0" fontId="4" fillId="10" borderId="205" xfId="0" applyFont="1" applyFill="1" applyBorder="1" applyAlignment="1">
      <alignment vertical="top"/>
    </xf>
    <xf numFmtId="0" fontId="4" fillId="10" borderId="206" xfId="0" quotePrefix="1" applyFont="1" applyFill="1" applyBorder="1" applyAlignment="1">
      <alignment horizontal="center" vertical="top"/>
    </xf>
    <xf numFmtId="0" fontId="58" fillId="10" borderId="206" xfId="0" quotePrefix="1" applyFont="1" applyFill="1" applyBorder="1" applyAlignment="1">
      <alignment horizontal="left" vertical="top"/>
    </xf>
    <xf numFmtId="0" fontId="58" fillId="10" borderId="207" xfId="0" quotePrefix="1" applyFont="1" applyFill="1" applyBorder="1" applyAlignment="1">
      <alignment vertical="top"/>
    </xf>
    <xf numFmtId="0" fontId="5" fillId="10" borderId="149" xfId="0" applyFont="1" applyFill="1" applyBorder="1" applyAlignment="1">
      <alignment vertical="top"/>
    </xf>
    <xf numFmtId="0" fontId="5" fillId="10" borderId="152" xfId="0" applyFont="1" applyFill="1" applyBorder="1" applyAlignment="1">
      <alignment vertical="top"/>
    </xf>
    <xf numFmtId="0" fontId="4" fillId="10" borderId="166" xfId="0" applyFont="1" applyFill="1" applyBorder="1" applyAlignment="1">
      <alignment horizontal="left" vertical="top" indent="2"/>
    </xf>
    <xf numFmtId="0" fontId="58" fillId="10" borderId="146" xfId="0" applyFont="1" applyFill="1" applyBorder="1" applyAlignment="1">
      <alignment vertical="top"/>
    </xf>
    <xf numFmtId="0" fontId="58" fillId="10" borderId="208" xfId="0" applyFont="1" applyFill="1" applyBorder="1" applyAlignment="1">
      <alignment vertical="top"/>
    </xf>
    <xf numFmtId="0" fontId="4" fillId="10" borderId="143" xfId="0" applyFont="1" applyFill="1" applyBorder="1" applyAlignment="1">
      <alignment horizontal="left" vertical="top" indent="2"/>
    </xf>
    <xf numFmtId="0" fontId="58" fillId="10" borderId="49" xfId="0" applyFont="1" applyFill="1" applyBorder="1" applyAlignment="1">
      <alignment vertical="top"/>
    </xf>
    <xf numFmtId="0" fontId="4" fillId="10" borderId="209" xfId="0" applyFont="1" applyFill="1" applyBorder="1" applyAlignment="1">
      <alignment horizontal="left" vertical="top" indent="2"/>
    </xf>
    <xf numFmtId="0" fontId="4" fillId="10" borderId="210" xfId="0" applyFont="1" applyFill="1" applyBorder="1" applyAlignment="1">
      <alignment horizontal="center" vertical="top"/>
    </xf>
    <xf numFmtId="0" fontId="58" fillId="10" borderId="210" xfId="0" quotePrefix="1" applyFont="1" applyFill="1" applyBorder="1" applyAlignment="1">
      <alignment vertical="top"/>
    </xf>
    <xf numFmtId="0" fontId="58" fillId="10" borderId="210" xfId="0" applyFont="1" applyFill="1" applyBorder="1" applyAlignment="1">
      <alignment vertical="top"/>
    </xf>
    <xf numFmtId="0" fontId="58" fillId="10" borderId="211" xfId="0" applyFont="1" applyFill="1" applyBorder="1" applyAlignment="1">
      <alignment vertical="top"/>
    </xf>
    <xf numFmtId="0" fontId="4" fillId="10" borderId="197" xfId="0" applyFont="1" applyFill="1" applyBorder="1" applyAlignment="1">
      <alignment horizontal="left" vertical="top" indent="2"/>
    </xf>
    <xf numFmtId="0" fontId="4" fillId="10" borderId="199" xfId="0" applyFont="1" applyFill="1" applyBorder="1" applyAlignment="1">
      <alignment horizontal="center" vertical="top"/>
    </xf>
    <xf numFmtId="0" fontId="58" fillId="10" borderId="199" xfId="0" applyFont="1" applyFill="1" applyBorder="1" applyAlignment="1">
      <alignment vertical="top"/>
    </xf>
    <xf numFmtId="0" fontId="58" fillId="10" borderId="212" xfId="0" applyFont="1" applyFill="1" applyBorder="1" applyAlignment="1">
      <alignment vertical="top"/>
    </xf>
    <xf numFmtId="0" fontId="64" fillId="43" borderId="171" xfId="0" applyFont="1" applyFill="1" applyBorder="1"/>
    <xf numFmtId="0" fontId="28" fillId="43" borderId="172" xfId="0" applyFont="1" applyFill="1" applyBorder="1"/>
    <xf numFmtId="0" fontId="65" fillId="43" borderId="172" xfId="0" applyFont="1" applyFill="1" applyBorder="1"/>
    <xf numFmtId="0" fontId="65" fillId="43" borderId="182" xfId="0" applyFont="1" applyFill="1" applyBorder="1"/>
    <xf numFmtId="0" fontId="4" fillId="10" borderId="153" xfId="0" applyFont="1" applyFill="1" applyBorder="1" applyAlignment="1">
      <alignment vertical="top"/>
    </xf>
    <xf numFmtId="0" fontId="17" fillId="10" borderId="154" xfId="0" quotePrefix="1" applyFont="1" applyFill="1" applyBorder="1" applyAlignment="1">
      <alignment horizontal="center" vertical="center"/>
    </xf>
    <xf numFmtId="0" fontId="58" fillId="10" borderId="154" xfId="0" quotePrefix="1" applyFont="1" applyFill="1" applyBorder="1" applyAlignment="1">
      <alignment vertical="top"/>
    </xf>
    <xf numFmtId="0" fontId="50" fillId="10" borderId="213" xfId="0" quotePrefix="1" applyFont="1" applyFill="1" applyBorder="1" applyAlignment="1">
      <alignment vertical="top"/>
    </xf>
    <xf numFmtId="0" fontId="74" fillId="10" borderId="8" xfId="0" applyFont="1" applyFill="1" applyBorder="1" applyAlignment="1">
      <alignment vertical="top"/>
    </xf>
    <xf numFmtId="0" fontId="74" fillId="10" borderId="9" xfId="0" applyFont="1" applyFill="1" applyBorder="1" applyAlignment="1">
      <alignment vertical="top"/>
    </xf>
    <xf numFmtId="0" fontId="4" fillId="10" borderId="143" xfId="0" applyFont="1" applyFill="1" applyBorder="1" applyAlignment="1">
      <alignment vertical="top"/>
    </xf>
    <xf numFmtId="0" fontId="17" fillId="10" borderId="48" xfId="0" quotePrefix="1" applyFont="1" applyFill="1" applyBorder="1" applyAlignment="1">
      <alignment horizontal="center" vertical="center"/>
    </xf>
    <xf numFmtId="0" fontId="74" fillId="10" borderId="159" xfId="0" quotePrefix="1" applyFont="1" applyFill="1" applyBorder="1" applyAlignment="1">
      <alignment vertical="top"/>
    </xf>
    <xf numFmtId="0" fontId="74" fillId="10" borderId="136" xfId="0" applyFont="1" applyFill="1" applyBorder="1" applyAlignment="1">
      <alignment vertical="top"/>
    </xf>
    <xf numFmtId="0" fontId="74" fillId="10" borderId="135" xfId="0" applyFont="1" applyFill="1" applyBorder="1" applyAlignment="1">
      <alignment vertical="top"/>
    </xf>
    <xf numFmtId="0" fontId="64" fillId="43" borderId="214" xfId="0" applyFont="1" applyFill="1" applyBorder="1"/>
    <xf numFmtId="0" fontId="28" fillId="43" borderId="163" xfId="0" applyFont="1" applyFill="1" applyBorder="1"/>
    <xf numFmtId="0" fontId="65" fillId="43" borderId="163" xfId="0" applyFont="1" applyFill="1" applyBorder="1"/>
    <xf numFmtId="0" fontId="28" fillId="43" borderId="215" xfId="0" applyFont="1" applyFill="1" applyBorder="1"/>
    <xf numFmtId="0" fontId="4" fillId="44" borderId="216" xfId="0" applyFont="1" applyFill="1" applyBorder="1" applyAlignment="1">
      <alignment vertical="top"/>
    </xf>
    <xf numFmtId="0" fontId="75" fillId="44" borderId="217" xfId="0" quotePrefix="1" applyFont="1" applyFill="1" applyBorder="1" applyAlignment="1">
      <alignment vertical="top"/>
    </xf>
    <xf numFmtId="0" fontId="76" fillId="44" borderId="217" xfId="0" quotePrefix="1" applyFont="1" applyFill="1" applyBorder="1" applyAlignment="1">
      <alignment vertical="top"/>
    </xf>
    <xf numFmtId="0" fontId="76" fillId="44" borderId="217" xfId="0" applyFont="1" applyFill="1" applyBorder="1" applyAlignment="1">
      <alignment vertical="top"/>
    </xf>
    <xf numFmtId="0" fontId="76" fillId="44" borderId="218" xfId="0" applyFont="1" applyFill="1" applyBorder="1" applyAlignment="1">
      <alignment vertical="top"/>
    </xf>
    <xf numFmtId="0" fontId="4" fillId="44" borderId="219" xfId="0" applyFont="1" applyFill="1" applyBorder="1" applyAlignment="1">
      <alignment horizontal="left" vertical="top" indent="2"/>
    </xf>
    <xf numFmtId="0" fontId="10" fillId="44" borderId="220" xfId="0" applyFont="1" applyFill="1" applyBorder="1" applyAlignment="1">
      <alignment horizontal="center" vertical="top"/>
    </xf>
    <xf numFmtId="0" fontId="10" fillId="44" borderId="220" xfId="0" quotePrefix="1" applyFont="1" applyFill="1" applyBorder="1" applyAlignment="1">
      <alignment vertical="top"/>
    </xf>
    <xf numFmtId="0" fontId="4" fillId="44" borderId="220" xfId="0" quotePrefix="1" applyFont="1" applyFill="1" applyBorder="1" applyAlignment="1">
      <alignment vertical="top"/>
    </xf>
    <xf numFmtId="0" fontId="4" fillId="44" borderId="220" xfId="0" applyFont="1" applyFill="1" applyBorder="1" applyAlignment="1">
      <alignment vertical="top"/>
    </xf>
    <xf numFmtId="0" fontId="4" fillId="44" borderId="221" xfId="0" applyFont="1" applyFill="1" applyBorder="1" applyAlignment="1">
      <alignment vertical="top"/>
    </xf>
    <xf numFmtId="0" fontId="4" fillId="44" borderId="220" xfId="0" applyFont="1" applyFill="1" applyBorder="1" applyAlignment="1">
      <alignment horizontal="center" vertical="top"/>
    </xf>
    <xf numFmtId="0" fontId="75" fillId="44" borderId="220" xfId="0" quotePrefix="1" applyFont="1" applyFill="1" applyBorder="1" applyAlignment="1">
      <alignment vertical="top"/>
    </xf>
    <xf numFmtId="0" fontId="76" fillId="44" borderId="220" xfId="0" quotePrefix="1" applyFont="1" applyFill="1" applyBorder="1" applyAlignment="1">
      <alignment vertical="top"/>
    </xf>
    <xf numFmtId="0" fontId="76" fillId="44" borderId="220" xfId="0" applyFont="1" applyFill="1" applyBorder="1" applyAlignment="1">
      <alignment vertical="top"/>
    </xf>
    <xf numFmtId="0" fontId="76" fillId="44" borderId="221" xfId="0" applyFont="1" applyFill="1" applyBorder="1" applyAlignment="1">
      <alignment vertical="top"/>
    </xf>
    <xf numFmtId="0" fontId="4" fillId="44" borderId="222" xfId="0" applyFont="1" applyFill="1" applyBorder="1" applyAlignment="1">
      <alignment horizontal="left" vertical="top" indent="2"/>
    </xf>
    <xf numFmtId="0" fontId="4" fillId="44" borderId="223" xfId="0" applyFont="1" applyFill="1" applyBorder="1" applyAlignment="1">
      <alignment horizontal="center" vertical="top"/>
    </xf>
    <xf numFmtId="0" fontId="75" fillId="44" borderId="223" xfId="0" quotePrefix="1" applyFont="1" applyFill="1" applyBorder="1" applyAlignment="1">
      <alignment vertical="top"/>
    </xf>
    <xf numFmtId="0" fontId="76" fillId="44" borderId="223" xfId="0" quotePrefix="1" applyFont="1" applyFill="1" applyBorder="1" applyAlignment="1">
      <alignment vertical="top"/>
    </xf>
    <xf numFmtId="0" fontId="76" fillId="44" borderId="223" xfId="0" applyFont="1" applyFill="1" applyBorder="1" applyAlignment="1">
      <alignment vertical="top"/>
    </xf>
    <xf numFmtId="0" fontId="76" fillId="44" borderId="224" xfId="0" applyFont="1" applyFill="1" applyBorder="1" applyAlignment="1">
      <alignment vertical="top"/>
    </xf>
    <xf numFmtId="0" fontId="4" fillId="44" borderId="225" xfId="0" applyFont="1" applyFill="1" applyBorder="1" applyAlignment="1">
      <alignment horizontal="left" vertical="top" indent="2"/>
    </xf>
    <xf numFmtId="0" fontId="4" fillId="44" borderId="226" xfId="0" applyFont="1" applyFill="1" applyBorder="1" applyAlignment="1">
      <alignment horizontal="center" vertical="top"/>
    </xf>
    <xf numFmtId="0" fontId="75" fillId="44" borderId="226" xfId="0" quotePrefix="1" applyFont="1" applyFill="1" applyBorder="1" applyAlignment="1">
      <alignment vertical="top"/>
    </xf>
    <xf numFmtId="0" fontId="76" fillId="44" borderId="226" xfId="0" quotePrefix="1" applyFont="1" applyFill="1" applyBorder="1" applyAlignment="1">
      <alignment vertical="top"/>
    </xf>
    <xf numFmtId="0" fontId="76" fillId="44" borderId="226" xfId="0" applyFont="1" applyFill="1" applyBorder="1" applyAlignment="1">
      <alignment vertical="top"/>
    </xf>
    <xf numFmtId="0" fontId="76" fillId="44" borderId="227" xfId="0" applyFont="1" applyFill="1" applyBorder="1" applyAlignment="1">
      <alignment vertical="top"/>
    </xf>
    <xf numFmtId="0" fontId="10" fillId="9" borderId="94" xfId="0" applyFont="1" applyFill="1" applyBorder="1" applyAlignment="1">
      <alignment horizontal="center" vertical="center" wrapText="1"/>
    </xf>
    <xf numFmtId="0" fontId="2" fillId="0" borderId="30" xfId="0" applyFont="1" applyBorder="1"/>
    <xf numFmtId="164" fontId="4" fillId="8" borderId="19" xfId="1" applyNumberFormat="1" applyFont="1" applyFill="1" applyBorder="1" applyAlignment="1" applyProtection="1">
      <alignment horizontal="right" vertical="center" wrapText="1"/>
      <protection locked="0"/>
    </xf>
    <xf numFmtId="164" fontId="4" fillId="8" borderId="20" xfId="1" applyNumberFormat="1" applyFont="1" applyFill="1" applyBorder="1" applyAlignment="1" applyProtection="1">
      <alignment horizontal="right" vertical="center" wrapText="1"/>
      <protection locked="0"/>
    </xf>
    <xf numFmtId="2" fontId="4" fillId="8" borderId="100" xfId="0" applyNumberFormat="1" applyFont="1" applyFill="1" applyBorder="1" applyAlignment="1" applyProtection="1">
      <alignment vertical="center" wrapText="1"/>
      <protection locked="0"/>
    </xf>
    <xf numFmtId="2" fontId="17" fillId="12" borderId="97" xfId="0" applyNumberFormat="1" applyFont="1" applyFill="1" applyBorder="1" applyAlignment="1" applyProtection="1">
      <alignment vertical="center" wrapText="1"/>
      <protection locked="0"/>
    </xf>
    <xf numFmtId="2" fontId="17" fillId="12" borderId="46" xfId="0" applyNumberFormat="1" applyFont="1" applyFill="1" applyBorder="1" applyAlignment="1" applyProtection="1">
      <alignment vertical="center" wrapText="1"/>
      <protection locked="0"/>
    </xf>
    <xf numFmtId="2" fontId="17" fillId="12" borderId="48" xfId="0" applyNumberFormat="1" applyFont="1" applyFill="1" applyBorder="1" applyAlignment="1" applyProtection="1">
      <alignment vertical="center" wrapText="1"/>
      <protection locked="0"/>
    </xf>
    <xf numFmtId="2" fontId="4" fillId="8" borderId="49" xfId="0" applyNumberFormat="1" applyFont="1" applyFill="1" applyBorder="1" applyAlignment="1" applyProtection="1">
      <alignment vertical="center" wrapText="1"/>
      <protection locked="0"/>
    </xf>
    <xf numFmtId="2" fontId="4" fillId="8" borderId="51" xfId="0" applyNumberFormat="1" applyFont="1" applyFill="1" applyBorder="1" applyAlignment="1" applyProtection="1">
      <alignment vertical="center" wrapText="1"/>
      <protection locked="0"/>
    </xf>
    <xf numFmtId="2" fontId="4" fillId="8" borderId="39" xfId="0" applyNumberFormat="1" applyFont="1" applyFill="1" applyBorder="1" applyAlignment="1" applyProtection="1">
      <alignment vertical="center" wrapText="1"/>
      <protection locked="0"/>
    </xf>
    <xf numFmtId="2" fontId="4" fillId="8" borderId="40" xfId="0" applyNumberFormat="1" applyFont="1" applyFill="1" applyBorder="1" applyAlignment="1" applyProtection="1">
      <alignment vertical="center" wrapText="1"/>
      <protection locked="0"/>
    </xf>
    <xf numFmtId="2" fontId="4" fillId="8" borderId="96" xfId="0" applyNumberFormat="1" applyFont="1" applyFill="1" applyBorder="1" applyAlignment="1" applyProtection="1">
      <alignment vertical="center" wrapText="1"/>
      <protection locked="0"/>
    </xf>
    <xf numFmtId="2" fontId="4" fillId="8" borderId="41" xfId="0" applyNumberFormat="1" applyFont="1" applyFill="1" applyBorder="1" applyAlignment="1" applyProtection="1">
      <alignment vertical="center" wrapText="1"/>
      <protection locked="0"/>
    </xf>
    <xf numFmtId="2" fontId="4" fillId="8" borderId="42" xfId="0" applyNumberFormat="1" applyFont="1" applyFill="1" applyBorder="1" applyAlignment="1" applyProtection="1">
      <alignment vertical="center" wrapText="1"/>
      <protection locked="0"/>
    </xf>
    <xf numFmtId="2" fontId="10" fillId="6" borderId="46" xfId="0" applyNumberFormat="1" applyFont="1" applyFill="1" applyBorder="1" applyAlignment="1" applyProtection="1">
      <alignment vertical="center"/>
      <protection locked="0"/>
    </xf>
    <xf numFmtId="2" fontId="10" fillId="6" borderId="47" xfId="0" applyNumberFormat="1" applyFont="1" applyFill="1" applyBorder="1" applyAlignment="1" applyProtection="1">
      <alignment vertical="center"/>
      <protection locked="0"/>
    </xf>
    <xf numFmtId="2" fontId="10" fillId="6" borderId="97" xfId="0" applyNumberFormat="1" applyFont="1" applyFill="1" applyBorder="1" applyAlignment="1" applyProtection="1">
      <alignment vertical="center"/>
      <protection locked="0"/>
    </xf>
    <xf numFmtId="2" fontId="10" fillId="6" borderId="48" xfId="0" applyNumberFormat="1" applyFont="1" applyFill="1" applyBorder="1" applyAlignment="1" applyProtection="1">
      <alignment vertical="center"/>
      <protection locked="0"/>
    </xf>
    <xf numFmtId="2" fontId="10" fillId="6" borderId="49" xfId="0" applyNumberFormat="1" applyFont="1" applyFill="1" applyBorder="1" applyAlignment="1" applyProtection="1">
      <alignment vertical="center"/>
      <protection locked="0"/>
    </xf>
    <xf numFmtId="2" fontId="4" fillId="8" borderId="46" xfId="0" applyNumberFormat="1" applyFont="1" applyFill="1" applyBorder="1" applyAlignment="1" applyProtection="1">
      <alignment vertical="center" wrapText="1"/>
      <protection locked="0"/>
    </xf>
    <xf numFmtId="2" fontId="17" fillId="12" borderId="47" xfId="0" applyNumberFormat="1" applyFont="1" applyFill="1" applyBorder="1" applyAlignment="1" applyProtection="1">
      <alignment vertical="center" wrapText="1"/>
      <protection locked="0"/>
    </xf>
    <xf numFmtId="2" fontId="4" fillId="8" borderId="57" xfId="0" applyNumberFormat="1" applyFont="1" applyFill="1" applyBorder="1" applyAlignment="1" applyProtection="1">
      <alignment vertical="center" wrapText="1"/>
      <protection locked="0"/>
    </xf>
    <xf numFmtId="2" fontId="4" fillId="8" borderId="58" xfId="0" applyNumberFormat="1" applyFont="1" applyFill="1" applyBorder="1" applyAlignment="1" applyProtection="1">
      <alignment vertical="center" wrapText="1"/>
      <protection locked="0"/>
    </xf>
    <xf numFmtId="2" fontId="4" fillId="8" borderId="98" xfId="0" applyNumberFormat="1" applyFont="1" applyFill="1" applyBorder="1" applyAlignment="1" applyProtection="1">
      <alignment vertical="center" wrapText="1"/>
      <protection locked="0"/>
    </xf>
    <xf numFmtId="2" fontId="4" fillId="8" borderId="59" xfId="0" applyNumberFormat="1" applyFont="1" applyFill="1" applyBorder="1" applyAlignment="1" applyProtection="1">
      <alignment vertical="center" wrapText="1"/>
      <protection locked="0"/>
    </xf>
    <xf numFmtId="2" fontId="4" fillId="8" borderId="60" xfId="0" applyNumberFormat="1" applyFont="1" applyFill="1" applyBorder="1" applyAlignment="1" applyProtection="1">
      <alignment vertical="center" wrapText="1"/>
      <protection locked="0"/>
    </xf>
    <xf numFmtId="2" fontId="10" fillId="13" borderId="62" xfId="1" applyNumberFormat="1" applyFont="1" applyFill="1" applyBorder="1" applyAlignment="1" applyProtection="1">
      <alignment horizontal="right" wrapText="1"/>
      <protection locked="0"/>
    </xf>
    <xf numFmtId="2" fontId="10" fillId="13" borderId="63" xfId="1" applyNumberFormat="1" applyFont="1" applyFill="1" applyBorder="1" applyAlignment="1" applyProtection="1">
      <alignment horizontal="right" wrapText="1"/>
      <protection locked="0"/>
    </xf>
    <xf numFmtId="2" fontId="4" fillId="8" borderId="44" xfId="0" applyNumberFormat="1" applyFont="1" applyFill="1" applyBorder="1" applyAlignment="1" applyProtection="1">
      <alignment vertical="center" wrapText="1"/>
      <protection locked="0"/>
    </xf>
    <xf numFmtId="2" fontId="4" fillId="8" borderId="68" xfId="0" applyNumberFormat="1" applyFont="1" applyFill="1" applyBorder="1" applyAlignment="1" applyProtection="1">
      <alignment vertical="center" wrapText="1"/>
      <protection locked="0"/>
    </xf>
    <xf numFmtId="2" fontId="4" fillId="8" borderId="99" xfId="0" applyNumberFormat="1" applyFont="1" applyFill="1" applyBorder="1" applyAlignment="1" applyProtection="1">
      <alignment vertical="center" wrapText="1"/>
      <protection locked="0"/>
    </xf>
    <xf numFmtId="2" fontId="4" fillId="8" borderId="19" xfId="0" applyNumberFormat="1" applyFont="1" applyFill="1" applyBorder="1" applyAlignment="1" applyProtection="1">
      <alignment vertical="center" wrapText="1"/>
      <protection locked="0"/>
    </xf>
    <xf numFmtId="2" fontId="10" fillId="6" borderId="52" xfId="0" applyNumberFormat="1" applyFont="1" applyFill="1" applyBorder="1" applyProtection="1">
      <protection locked="0"/>
    </xf>
    <xf numFmtId="2" fontId="10" fillId="6" borderId="71" xfId="0" applyNumberFormat="1" applyFont="1" applyFill="1" applyBorder="1" applyProtection="1">
      <protection locked="0"/>
    </xf>
    <xf numFmtId="2" fontId="10" fillId="6" borderId="100" xfId="0" applyNumberFormat="1" applyFont="1" applyFill="1" applyBorder="1" applyProtection="1">
      <protection locked="0"/>
    </xf>
    <xf numFmtId="2" fontId="10" fillId="6" borderId="53" xfId="0" applyNumberFormat="1" applyFont="1" applyFill="1" applyBorder="1" applyProtection="1">
      <protection locked="0"/>
    </xf>
    <xf numFmtId="2" fontId="10" fillId="6" borderId="51" xfId="0" applyNumberFormat="1" applyFont="1" applyFill="1" applyBorder="1" applyProtection="1">
      <protection locked="0"/>
    </xf>
    <xf numFmtId="2" fontId="4" fillId="8" borderId="28" xfId="0" applyNumberFormat="1" applyFont="1" applyFill="1" applyBorder="1" applyAlignment="1" applyProtection="1">
      <alignment vertical="center" wrapText="1"/>
      <protection locked="0"/>
    </xf>
    <xf numFmtId="2" fontId="4" fillId="8" borderId="34" xfId="0" applyNumberFormat="1" applyFont="1" applyFill="1" applyBorder="1" applyAlignment="1" applyProtection="1">
      <alignment vertical="center" wrapText="1"/>
      <protection locked="0"/>
    </xf>
    <xf numFmtId="2" fontId="4" fillId="8" borderId="101" xfId="0" applyNumberFormat="1" applyFont="1" applyFill="1" applyBorder="1" applyAlignment="1" applyProtection="1">
      <alignment vertical="center" wrapText="1"/>
      <protection locked="0"/>
    </xf>
    <xf numFmtId="2" fontId="4" fillId="8" borderId="27" xfId="0" applyNumberFormat="1" applyFont="1" applyFill="1" applyBorder="1" applyAlignment="1" applyProtection="1">
      <alignment vertical="center" wrapText="1"/>
      <protection locked="0"/>
    </xf>
    <xf numFmtId="2" fontId="10" fillId="13" borderId="36" xfId="1" applyNumberFormat="1" applyFont="1" applyFill="1" applyBorder="1" applyAlignment="1" applyProtection="1">
      <alignment horizontal="right" wrapText="1"/>
      <protection locked="0"/>
    </xf>
    <xf numFmtId="2" fontId="4" fillId="9" borderId="18" xfId="1" applyNumberFormat="1" applyFont="1" applyFill="1" applyBorder="1" applyAlignment="1" applyProtection="1">
      <alignment horizontal="right" vertical="center" wrapText="1"/>
    </xf>
    <xf numFmtId="2" fontId="4" fillId="9" borderId="43" xfId="1" applyNumberFormat="1" applyFont="1" applyFill="1" applyBorder="1" applyAlignment="1" applyProtection="1">
      <alignment horizontal="right" vertical="center" wrapText="1"/>
    </xf>
    <xf numFmtId="2" fontId="4" fillId="2" borderId="44" xfId="1" applyNumberFormat="1" applyFont="1" applyFill="1" applyBorder="1" applyAlignment="1" applyProtection="1">
      <alignment horizontal="right" vertical="center" wrapText="1"/>
    </xf>
    <xf numFmtId="2" fontId="4" fillId="2" borderId="19" xfId="1" applyNumberFormat="1" applyFont="1" applyFill="1" applyBorder="1" applyAlignment="1" applyProtection="1">
      <alignment horizontal="right" vertical="center" wrapText="1"/>
    </xf>
    <xf numFmtId="2" fontId="4" fillId="2" borderId="20" xfId="1" applyNumberFormat="1" applyFont="1" applyFill="1" applyBorder="1" applyAlignment="1" applyProtection="1">
      <alignment horizontal="right" vertical="center" wrapText="1"/>
    </xf>
    <xf numFmtId="2" fontId="10" fillId="6" borderId="50" xfId="0" applyNumberFormat="1" applyFont="1" applyFill="1" applyBorder="1" applyAlignment="1">
      <alignment horizontal="left"/>
    </xf>
    <xf numFmtId="2" fontId="10" fillId="6" borderId="51" xfId="0" applyNumberFormat="1" applyFont="1" applyFill="1" applyBorder="1" applyAlignment="1">
      <alignment horizontal="left"/>
    </xf>
    <xf numFmtId="2" fontId="10" fillId="6" borderId="52" xfId="0" applyNumberFormat="1" applyFont="1" applyFill="1" applyBorder="1" applyAlignment="1">
      <alignment horizontal="left"/>
    </xf>
    <xf numFmtId="2" fontId="10" fillId="6" borderId="53" xfId="0" applyNumberFormat="1" applyFont="1" applyFill="1" applyBorder="1" applyAlignment="1">
      <alignment horizontal="left"/>
    </xf>
    <xf numFmtId="2" fontId="10" fillId="6" borderId="54" xfId="0" applyNumberFormat="1" applyFont="1" applyFill="1" applyBorder="1" applyAlignment="1">
      <alignment horizontal="left"/>
    </xf>
    <xf numFmtId="2" fontId="4" fillId="9" borderId="50" xfId="1" applyNumberFormat="1" applyFont="1" applyFill="1" applyBorder="1" applyAlignment="1" applyProtection="1">
      <alignment horizontal="right" wrapText="1"/>
    </xf>
    <xf numFmtId="2" fontId="4" fillId="9" borderId="51" xfId="1" applyNumberFormat="1" applyFont="1" applyFill="1" applyBorder="1" applyAlignment="1" applyProtection="1">
      <alignment horizontal="right" wrapText="1"/>
    </xf>
    <xf numFmtId="2" fontId="4" fillId="2" borderId="52" xfId="1" applyNumberFormat="1" applyFont="1" applyFill="1" applyBorder="1" applyAlignment="1" applyProtection="1">
      <alignment horizontal="right" wrapText="1"/>
    </xf>
    <xf numFmtId="2" fontId="4" fillId="2" borderId="55" xfId="1" applyNumberFormat="1" applyFont="1" applyFill="1" applyBorder="1" applyAlignment="1" applyProtection="1">
      <alignment horizontal="right" wrapText="1"/>
    </xf>
    <xf numFmtId="2" fontId="4" fillId="9" borderId="33" xfId="1" applyNumberFormat="1" applyFont="1" applyFill="1" applyBorder="1" applyAlignment="1" applyProtection="1">
      <alignment horizontal="right" wrapText="1"/>
    </xf>
    <xf numFmtId="2" fontId="4" fillId="9" borderId="34" xfId="1" applyNumberFormat="1" applyFont="1" applyFill="1" applyBorder="1" applyAlignment="1" applyProtection="1">
      <alignment horizontal="right" wrapText="1"/>
    </xf>
    <xf numFmtId="2" fontId="4" fillId="2" borderId="27" xfId="1" applyNumberFormat="1" applyFont="1" applyFill="1" applyBorder="1" applyAlignment="1" applyProtection="1">
      <alignment horizontal="right" wrapText="1"/>
    </xf>
    <xf numFmtId="2" fontId="4" fillId="2" borderId="61" xfId="1" applyNumberFormat="1" applyFont="1" applyFill="1" applyBorder="1" applyAlignment="1" applyProtection="1">
      <alignment horizontal="right" wrapText="1"/>
    </xf>
    <xf numFmtId="2" fontId="10" fillId="13" borderId="64" xfId="1" applyNumberFormat="1" applyFont="1" applyFill="1" applyBorder="1" applyAlignment="1" applyProtection="1">
      <alignment horizontal="right" wrapText="1"/>
    </xf>
    <xf numFmtId="2" fontId="10" fillId="13" borderId="62" xfId="1" applyNumberFormat="1" applyFont="1" applyFill="1" applyBorder="1" applyAlignment="1" applyProtection="1">
      <alignment horizontal="right" wrapText="1"/>
    </xf>
    <xf numFmtId="2" fontId="10" fillId="13" borderId="63" xfId="1" applyNumberFormat="1" applyFont="1" applyFill="1" applyBorder="1" applyAlignment="1" applyProtection="1">
      <alignment horizontal="right" wrapText="1"/>
    </xf>
    <xf numFmtId="43" fontId="4" fillId="2" borderId="18" xfId="0" applyNumberFormat="1" applyFont="1" applyFill="1" applyBorder="1" applyAlignment="1">
      <alignment horizontal="right" vertical="center"/>
    </xf>
    <xf numFmtId="43" fontId="4" fillId="2" borderId="43" xfId="0" applyNumberFormat="1" applyFont="1" applyFill="1" applyBorder="1" applyAlignment="1">
      <alignment horizontal="right" vertical="center"/>
    </xf>
    <xf numFmtId="43" fontId="4" fillId="2" borderId="68" xfId="0" applyNumberFormat="1" applyFont="1" applyFill="1" applyBorder="1" applyAlignment="1">
      <alignment horizontal="right" vertical="center"/>
    </xf>
    <xf numFmtId="43" fontId="4" fillId="2" borderId="44" xfId="0" applyNumberFormat="1" applyFont="1" applyFill="1" applyBorder="1" applyAlignment="1">
      <alignment horizontal="right" vertical="center"/>
    </xf>
    <xf numFmtId="43" fontId="4" fillId="2" borderId="19" xfId="0" applyNumberFormat="1" applyFont="1" applyFill="1" applyBorder="1" applyAlignment="1">
      <alignment horizontal="right" vertical="center"/>
    </xf>
    <xf numFmtId="43" fontId="10" fillId="6" borderId="70" xfId="0" applyNumberFormat="1" applyFont="1" applyFill="1" applyBorder="1" applyAlignment="1">
      <alignment horizontal="left"/>
    </xf>
    <xf numFmtId="43" fontId="10" fillId="6" borderId="50" xfId="0" applyNumberFormat="1" applyFont="1" applyFill="1" applyBorder="1" applyAlignment="1">
      <alignment horizontal="left"/>
    </xf>
    <xf numFmtId="43" fontId="10" fillId="6" borderId="51" xfId="0" applyNumberFormat="1" applyFont="1" applyFill="1" applyBorder="1" applyAlignment="1">
      <alignment horizontal="left"/>
    </xf>
    <xf numFmtId="43" fontId="10" fillId="6" borderId="71" xfId="0" applyNumberFormat="1" applyFont="1" applyFill="1" applyBorder="1" applyAlignment="1">
      <alignment horizontal="left"/>
    </xf>
    <xf numFmtId="43" fontId="10" fillId="6" borderId="52" xfId="0" applyNumberFormat="1" applyFont="1" applyFill="1" applyBorder="1" applyAlignment="1">
      <alignment horizontal="left"/>
    </xf>
    <xf numFmtId="43" fontId="10" fillId="6" borderId="53" xfId="0" applyNumberFormat="1" applyFont="1" applyFill="1" applyBorder="1" applyAlignment="1">
      <alignment horizontal="left"/>
    </xf>
    <xf numFmtId="43" fontId="10" fillId="6" borderId="66" xfId="0" applyNumberFormat="1" applyFont="1" applyFill="1" applyBorder="1" applyAlignment="1">
      <alignment horizontal="right"/>
    </xf>
    <xf numFmtId="43" fontId="4" fillId="2" borderId="50" xfId="0" applyNumberFormat="1" applyFont="1" applyFill="1" applyBorder="1" applyAlignment="1">
      <alignment horizontal="right" vertical="center"/>
    </xf>
    <xf numFmtId="43" fontId="4" fillId="2" borderId="51" xfId="0" applyNumberFormat="1" applyFont="1" applyFill="1" applyBorder="1" applyAlignment="1">
      <alignment horizontal="right" vertical="center"/>
    </xf>
    <xf numFmtId="43" fontId="4" fillId="2" borderId="71" xfId="0" applyNumberFormat="1" applyFont="1" applyFill="1" applyBorder="1" applyAlignment="1">
      <alignment horizontal="right" vertical="center"/>
    </xf>
    <xf numFmtId="43" fontId="4" fillId="2" borderId="52" xfId="0" applyNumberFormat="1" applyFont="1" applyFill="1" applyBorder="1" applyAlignment="1">
      <alignment horizontal="right" vertical="center"/>
    </xf>
    <xf numFmtId="43" fontId="5" fillId="6" borderId="66" xfId="0" applyNumberFormat="1" applyFont="1" applyFill="1" applyBorder="1"/>
    <xf numFmtId="43" fontId="4" fillId="2" borderId="33" xfId="0" applyNumberFormat="1" applyFont="1" applyFill="1" applyBorder="1" applyAlignment="1">
      <alignment horizontal="right" vertical="center"/>
    </xf>
    <xf numFmtId="43" fontId="4" fillId="2" borderId="102" xfId="0" applyNumberFormat="1" applyFont="1" applyFill="1" applyBorder="1" applyAlignment="1">
      <alignment horizontal="right" vertical="center"/>
    </xf>
    <xf numFmtId="43" fontId="4" fillId="2" borderId="27" xfId="0" applyNumberFormat="1" applyFont="1" applyFill="1" applyBorder="1" applyAlignment="1">
      <alignment horizontal="right" vertical="center"/>
    </xf>
    <xf numFmtId="43" fontId="4" fillId="2" borderId="34" xfId="0" applyNumberFormat="1" applyFont="1" applyFill="1" applyBorder="1" applyAlignment="1">
      <alignment horizontal="right" vertical="center"/>
    </xf>
    <xf numFmtId="43" fontId="5" fillId="6" borderId="67" xfId="0" applyNumberFormat="1" applyFont="1" applyFill="1" applyBorder="1"/>
    <xf numFmtId="43" fontId="10" fillId="13" borderId="64" xfId="1" applyNumberFormat="1" applyFont="1" applyFill="1" applyBorder="1" applyAlignment="1" applyProtection="1">
      <alignment horizontal="right" wrapText="1"/>
    </xf>
    <xf numFmtId="43" fontId="10" fillId="13" borderId="62" xfId="1" applyNumberFormat="1" applyFont="1" applyFill="1" applyBorder="1" applyAlignment="1" applyProtection="1">
      <alignment horizontal="right" wrapText="1"/>
    </xf>
    <xf numFmtId="43" fontId="10" fillId="13" borderId="63" xfId="1" applyNumberFormat="1" applyFont="1" applyFill="1" applyBorder="1" applyAlignment="1" applyProtection="1">
      <alignment horizontal="right" wrapText="1"/>
    </xf>
    <xf numFmtId="173" fontId="4" fillId="11" borderId="64" xfId="0" applyNumberFormat="1" applyFont="1" applyFill="1" applyBorder="1" applyAlignment="1">
      <alignment horizontal="right" vertical="center"/>
    </xf>
    <xf numFmtId="173" fontId="4" fillId="11" borderId="62" xfId="0" applyNumberFormat="1" applyFont="1" applyFill="1" applyBorder="1" applyAlignment="1">
      <alignment horizontal="right" vertical="center"/>
    </xf>
    <xf numFmtId="173" fontId="4" fillId="11" borderId="63" xfId="0" applyNumberFormat="1" applyFont="1" applyFill="1" applyBorder="1" applyAlignment="1">
      <alignment horizontal="right" vertical="center"/>
    </xf>
    <xf numFmtId="174" fontId="4" fillId="18" borderId="115" xfId="0" applyNumberFormat="1" applyFont="1" applyFill="1" applyBorder="1" applyAlignment="1">
      <alignment horizontal="right" vertical="center"/>
    </xf>
    <xf numFmtId="174" fontId="4" fillId="18" borderId="0" xfId="0" applyNumberFormat="1" applyFont="1" applyFill="1" applyAlignment="1">
      <alignment horizontal="right" vertical="center"/>
    </xf>
    <xf numFmtId="174" fontId="4" fillId="2" borderId="30" xfId="0" applyNumberFormat="1" applyFont="1" applyFill="1" applyBorder="1" applyAlignment="1">
      <alignment horizontal="right" vertical="center"/>
    </xf>
    <xf numFmtId="174" fontId="3" fillId="11" borderId="66" xfId="0" applyNumberFormat="1" applyFont="1" applyFill="1" applyBorder="1"/>
    <xf numFmtId="174" fontId="4" fillId="18" borderId="73" xfId="0" applyNumberFormat="1" applyFont="1" applyFill="1" applyBorder="1" applyAlignment="1">
      <alignment horizontal="left" vertical="center"/>
    </xf>
    <xf numFmtId="174" fontId="4" fillId="18" borderId="0" xfId="0" applyNumberFormat="1" applyFont="1" applyFill="1" applyAlignment="1">
      <alignment horizontal="left" vertical="center"/>
    </xf>
    <xf numFmtId="174" fontId="4" fillId="18" borderId="65" xfId="0" applyNumberFormat="1" applyFont="1" applyFill="1" applyBorder="1" applyAlignment="1">
      <alignment horizontal="left" vertical="center"/>
    </xf>
    <xf numFmtId="174" fontId="4" fillId="2" borderId="116" xfId="0" applyNumberFormat="1" applyFont="1" applyFill="1" applyBorder="1" applyAlignment="1">
      <alignment horizontal="right" vertical="center"/>
    </xf>
    <xf numFmtId="174" fontId="4" fillId="2" borderId="64" xfId="0" applyNumberFormat="1" applyFont="1" applyFill="1" applyBorder="1" applyAlignment="1">
      <alignment horizontal="right" vertical="center"/>
    </xf>
    <xf numFmtId="174" fontId="4" fillId="2" borderId="23" xfId="0" applyNumberFormat="1" applyFont="1" applyFill="1" applyBorder="1" applyAlignment="1">
      <alignment horizontal="right" vertical="center"/>
    </xf>
    <xf numFmtId="174" fontId="4" fillId="2" borderId="85" xfId="0" applyNumberFormat="1" applyFont="1" applyFill="1" applyBorder="1" applyAlignment="1">
      <alignment horizontal="right" vertical="center"/>
    </xf>
    <xf numFmtId="174" fontId="4" fillId="2" borderId="117" xfId="0" applyNumberFormat="1" applyFont="1" applyFill="1" applyBorder="1" applyAlignment="1">
      <alignment horizontal="right" vertical="center"/>
    </xf>
    <xf numFmtId="174" fontId="4" fillId="18" borderId="78" xfId="0" applyNumberFormat="1" applyFont="1" applyFill="1" applyBorder="1" applyAlignment="1">
      <alignment horizontal="right" vertical="center"/>
    </xf>
    <xf numFmtId="174" fontId="0" fillId="11" borderId="66" xfId="0" applyNumberFormat="1" applyFill="1" applyBorder="1"/>
    <xf numFmtId="174" fontId="4" fillId="2" borderId="33" xfId="0" applyNumberFormat="1" applyFont="1" applyFill="1" applyBorder="1" applyAlignment="1">
      <alignment horizontal="right" vertical="center"/>
    </xf>
    <xf numFmtId="174" fontId="4" fillId="2" borderId="86" xfId="0" applyNumberFormat="1" applyFont="1" applyFill="1" applyBorder="1" applyAlignment="1">
      <alignment horizontal="right" vertical="center"/>
    </xf>
    <xf numFmtId="174" fontId="4" fillId="2" borderId="53" xfId="0" applyNumberFormat="1" applyFont="1" applyFill="1" applyBorder="1" applyAlignment="1">
      <alignment horizontal="right" vertical="center"/>
    </xf>
    <xf numFmtId="174" fontId="4" fillId="2" borderId="20" xfId="0" applyNumberFormat="1" applyFont="1" applyFill="1" applyBorder="1" applyAlignment="1">
      <alignment horizontal="right" vertical="center"/>
    </xf>
    <xf numFmtId="174" fontId="4" fillId="2" borderId="25" xfId="0" applyNumberFormat="1" applyFont="1" applyFill="1" applyBorder="1" applyAlignment="1">
      <alignment horizontal="right" vertical="center"/>
    </xf>
    <xf numFmtId="174" fontId="4" fillId="2" borderId="87" xfId="0" applyNumberFormat="1" applyFont="1" applyFill="1" applyBorder="1" applyAlignment="1">
      <alignment horizontal="right" vertical="center"/>
    </xf>
    <xf numFmtId="174" fontId="4" fillId="2" borderId="88" xfId="0" applyNumberFormat="1" applyFont="1" applyFill="1" applyBorder="1" applyAlignment="1">
      <alignment horizontal="right" vertical="center"/>
    </xf>
    <xf numFmtId="174" fontId="4" fillId="2" borderId="89" xfId="0" applyNumberFormat="1" applyFont="1" applyFill="1" applyBorder="1" applyAlignment="1">
      <alignment horizontal="right" vertical="center"/>
    </xf>
    <xf numFmtId="174" fontId="4" fillId="2" borderId="90" xfId="0" applyNumberFormat="1" applyFont="1" applyFill="1" applyBorder="1" applyAlignment="1">
      <alignment horizontal="right" vertical="center"/>
    </xf>
    <xf numFmtId="174" fontId="4" fillId="2" borderId="91" xfId="0" applyNumberFormat="1" applyFont="1" applyFill="1" applyBorder="1" applyAlignment="1">
      <alignment horizontal="right" vertical="center"/>
    </xf>
    <xf numFmtId="174" fontId="4" fillId="2" borderId="92" xfId="0" applyNumberFormat="1" applyFont="1" applyFill="1" applyBorder="1" applyAlignment="1">
      <alignment horizontal="right" vertical="center"/>
    </xf>
    <xf numFmtId="174" fontId="4" fillId="2" borderId="93" xfId="0" applyNumberFormat="1" applyFont="1" applyFill="1" applyBorder="1" applyAlignment="1">
      <alignment horizontal="right" vertical="center"/>
    </xf>
    <xf numFmtId="174" fontId="30" fillId="19" borderId="8" xfId="0" applyNumberFormat="1" applyFont="1" applyFill="1" applyBorder="1" applyAlignment="1">
      <alignment horizontal="right"/>
    </xf>
    <xf numFmtId="174" fontId="30" fillId="19" borderId="111" xfId="0" applyNumberFormat="1" applyFont="1" applyFill="1" applyBorder="1" applyAlignment="1">
      <alignment horizontal="right"/>
    </xf>
    <xf numFmtId="174" fontId="30" fillId="19" borderId="112" xfId="0" applyNumberFormat="1" applyFont="1" applyFill="1" applyBorder="1" applyAlignment="1">
      <alignment horizontal="right"/>
    </xf>
    <xf numFmtId="10" fontId="4" fillId="8" borderId="62" xfId="1" applyNumberFormat="1" applyFont="1" applyFill="1" applyBorder="1" applyAlignment="1" applyProtection="1">
      <alignment vertical="center" wrapText="1"/>
      <protection locked="0"/>
    </xf>
    <xf numFmtId="173" fontId="30" fillId="19" borderId="111" xfId="0" applyNumberFormat="1" applyFont="1" applyFill="1" applyBorder="1" applyAlignment="1">
      <alignment horizontal="right"/>
    </xf>
    <xf numFmtId="173" fontId="30" fillId="19" borderId="112" xfId="0" applyNumberFormat="1" applyFont="1" applyFill="1" applyBorder="1" applyAlignment="1">
      <alignment horizontal="right"/>
    </xf>
    <xf numFmtId="0" fontId="45" fillId="37" borderId="0" xfId="0" applyFont="1" applyFill="1" applyAlignment="1">
      <alignment horizontal="center"/>
    </xf>
    <xf numFmtId="49" fontId="7" fillId="4" borderId="0" xfId="3" applyAlignment="1">
      <alignment horizontal="center" vertical="center"/>
    </xf>
    <xf numFmtId="0" fontId="7" fillId="5" borderId="0" xfId="8">
      <alignment vertical="center"/>
    </xf>
    <xf numFmtId="0" fontId="12" fillId="11" borderId="0" xfId="8" applyFont="1" applyFill="1" applyAlignment="1">
      <alignment horizontal="justify" vertical="center" wrapText="1"/>
    </xf>
    <xf numFmtId="49" fontId="9" fillId="4" borderId="0" xfId="3" applyFont="1" applyAlignment="1">
      <alignment horizontal="center" vertical="center"/>
    </xf>
    <xf numFmtId="0" fontId="34" fillId="38" borderId="0" xfId="0" applyFont="1" applyFill="1" applyAlignment="1">
      <alignment horizontal="right" vertical="center"/>
    </xf>
    <xf numFmtId="0" fontId="47" fillId="8" borderId="0" xfId="0" applyFont="1" applyFill="1" applyAlignment="1" applyProtection="1">
      <alignment vertical="center"/>
      <protection locked="0"/>
    </xf>
    <xf numFmtId="0" fontId="32" fillId="38" borderId="0" xfId="0" quotePrefix="1" applyFont="1" applyFill="1" applyAlignment="1">
      <alignment horizontal="right" vertical="center"/>
    </xf>
    <xf numFmtId="0" fontId="32" fillId="38" borderId="0" xfId="0" applyFont="1" applyFill="1" applyAlignment="1">
      <alignment horizontal="right" vertical="center"/>
    </xf>
    <xf numFmtId="170" fontId="47" fillId="6" borderId="0" xfId="0" applyNumberFormat="1" applyFont="1" applyFill="1" applyAlignment="1">
      <alignment horizontal="left" vertical="center" wrapText="1"/>
    </xf>
    <xf numFmtId="0" fontId="34" fillId="38" borderId="0" xfId="0" applyFont="1" applyFill="1" applyAlignment="1">
      <alignment horizontal="right"/>
    </xf>
    <xf numFmtId="0" fontId="5" fillId="8" borderId="145" xfId="0" applyFont="1" applyFill="1" applyBorder="1" applyAlignment="1" applyProtection="1">
      <alignment horizontal="left"/>
      <protection locked="0"/>
    </xf>
    <xf numFmtId="0" fontId="5" fillId="8" borderId="146" xfId="0" applyFont="1" applyFill="1" applyBorder="1" applyAlignment="1" applyProtection="1">
      <alignment horizontal="left"/>
      <protection locked="0"/>
    </xf>
    <xf numFmtId="0" fontId="5" fillId="8" borderId="147" xfId="0" applyFont="1" applyFill="1" applyBorder="1" applyAlignment="1" applyProtection="1">
      <alignment horizontal="left"/>
      <protection locked="0"/>
    </xf>
    <xf numFmtId="0" fontId="5" fillId="8" borderId="0" xfId="0" applyFont="1" applyFill="1" applyProtection="1">
      <protection locked="0"/>
    </xf>
    <xf numFmtId="0" fontId="5" fillId="6" borderId="0" xfId="0" applyFont="1" applyFill="1" applyAlignment="1">
      <alignment horizontal="left"/>
    </xf>
    <xf numFmtId="0" fontId="5" fillId="8" borderId="0" xfId="0" applyFont="1" applyFill="1" applyAlignment="1" applyProtection="1">
      <alignment horizontal="left"/>
      <protection locked="0"/>
    </xf>
    <xf numFmtId="0" fontId="5" fillId="6" borderId="0" xfId="0" quotePrefix="1" applyFont="1" applyFill="1" applyProtection="1">
      <protection locked="0"/>
    </xf>
    <xf numFmtId="172" fontId="5" fillId="6" borderId="0" xfId="0" quotePrefix="1" applyNumberFormat="1" applyFont="1" applyFill="1" applyAlignment="1" applyProtection="1">
      <alignment horizontal="left"/>
      <protection locked="0"/>
    </xf>
    <xf numFmtId="0" fontId="19" fillId="38" borderId="0" xfId="0" applyFont="1" applyFill="1" applyAlignment="1">
      <alignment horizontal="right" vertical="top"/>
    </xf>
    <xf numFmtId="0" fontId="13" fillId="8" borderId="0" xfId="0" applyFont="1" applyFill="1" applyAlignment="1" applyProtection="1">
      <alignment horizontal="center" vertical="top"/>
      <protection locked="0"/>
    </xf>
    <xf numFmtId="0" fontId="13" fillId="6" borderId="0" xfId="0" applyFont="1" applyFill="1" applyAlignment="1">
      <alignment horizontal="center" vertical="top"/>
    </xf>
    <xf numFmtId="0" fontId="13" fillId="39" borderId="0" xfId="0" quotePrefix="1" applyFont="1" applyFill="1" applyAlignment="1">
      <alignment horizontal="center" vertical="center"/>
    </xf>
    <xf numFmtId="0" fontId="16" fillId="6" borderId="0" xfId="0" applyFont="1" applyFill="1" applyAlignment="1">
      <alignment horizontal="left" vertical="top" indent="1"/>
    </xf>
    <xf numFmtId="0" fontId="19" fillId="38" borderId="0" xfId="0" applyFont="1" applyFill="1" applyAlignment="1">
      <alignment horizontal="right" vertical="top" wrapText="1"/>
    </xf>
    <xf numFmtId="0" fontId="5" fillId="8" borderId="0" xfId="0" applyFont="1" applyFill="1" applyAlignment="1" applyProtection="1">
      <alignment horizontal="left" vertical="top" indent="1"/>
      <protection locked="0"/>
    </xf>
    <xf numFmtId="14" fontId="16" fillId="8" borderId="0" xfId="0" quotePrefix="1" applyNumberFormat="1" applyFont="1" applyFill="1" applyAlignment="1" applyProtection="1">
      <alignment horizontal="left" vertical="top" indent="1"/>
      <protection locked="0"/>
    </xf>
    <xf numFmtId="14" fontId="16" fillId="8" borderId="0" xfId="0" applyNumberFormat="1" applyFont="1" applyFill="1" applyAlignment="1" applyProtection="1">
      <alignment horizontal="left" vertical="top" indent="1"/>
      <protection locked="0"/>
    </xf>
    <xf numFmtId="0" fontId="16" fillId="8" borderId="0" xfId="0" applyFont="1" applyFill="1" applyAlignment="1" applyProtection="1">
      <alignment horizontal="left" vertical="top" indent="1"/>
      <protection locked="0"/>
    </xf>
    <xf numFmtId="0" fontId="14" fillId="7" borderId="4" xfId="0" applyFont="1" applyFill="1" applyBorder="1" applyAlignment="1">
      <alignment horizontal="left" vertical="top" wrapText="1"/>
    </xf>
    <xf numFmtId="0" fontId="14" fillId="7" borderId="5" xfId="0" applyFont="1" applyFill="1" applyBorder="1" applyAlignment="1">
      <alignment horizontal="left" vertical="top" wrapText="1"/>
    </xf>
    <xf numFmtId="0" fontId="14" fillId="7" borderId="6" xfId="0" applyFont="1" applyFill="1" applyBorder="1" applyAlignment="1">
      <alignment horizontal="left" vertical="top" wrapText="1"/>
    </xf>
    <xf numFmtId="0" fontId="10" fillId="9" borderId="11" xfId="0" applyFont="1" applyFill="1" applyBorder="1" applyAlignment="1">
      <alignment horizontal="center" vertical="center"/>
    </xf>
    <xf numFmtId="0" fontId="10" fillId="9" borderId="32" xfId="0" applyFont="1" applyFill="1" applyBorder="1" applyAlignment="1">
      <alignment horizontal="center" vertical="center"/>
    </xf>
    <xf numFmtId="0" fontId="10" fillId="9" borderId="12" xfId="0" applyFont="1" applyFill="1" applyBorder="1" applyAlignment="1">
      <alignment horizontal="center" vertical="center"/>
    </xf>
    <xf numFmtId="0" fontId="10" fillId="9" borderId="13" xfId="0" applyFont="1" applyFill="1" applyBorder="1" applyAlignment="1">
      <alignment horizontal="center" vertical="center"/>
    </xf>
    <xf numFmtId="0" fontId="16" fillId="10" borderId="22" xfId="0" applyFont="1" applyFill="1" applyBorder="1" applyAlignment="1">
      <alignment horizontal="center"/>
    </xf>
    <xf numFmtId="0" fontId="16" fillId="10" borderId="23" xfId="0" applyFont="1" applyFill="1" applyBorder="1" applyAlignment="1">
      <alignment horizontal="center"/>
    </xf>
    <xf numFmtId="0" fontId="16" fillId="10" borderId="24" xfId="0" applyFont="1" applyFill="1" applyBorder="1" applyAlignment="1">
      <alignment horizontal="center"/>
    </xf>
    <xf numFmtId="0" fontId="10" fillId="10" borderId="11" xfId="0" applyFont="1" applyFill="1" applyBorder="1" applyAlignment="1">
      <alignment horizontal="center" vertical="center"/>
    </xf>
    <xf numFmtId="0" fontId="10" fillId="10" borderId="12" xfId="0" applyFont="1" applyFill="1" applyBorder="1" applyAlignment="1">
      <alignment horizontal="center" vertical="center"/>
    </xf>
    <xf numFmtId="0" fontId="10" fillId="10" borderId="13" xfId="0" applyFont="1" applyFill="1" applyBorder="1" applyAlignment="1">
      <alignment horizontal="center" vertical="center"/>
    </xf>
    <xf numFmtId="0" fontId="16" fillId="6" borderId="106" xfId="0" applyFont="1" applyFill="1" applyBorder="1" applyAlignment="1">
      <alignment horizontal="center"/>
    </xf>
    <xf numFmtId="0" fontId="16" fillId="6" borderId="2" xfId="0" applyFont="1" applyFill="1" applyBorder="1" applyAlignment="1">
      <alignment horizontal="center"/>
    </xf>
    <xf numFmtId="0" fontId="16" fillId="6" borderId="3" xfId="0" applyFont="1" applyFill="1" applyBorder="1" applyAlignment="1">
      <alignment horizontal="center"/>
    </xf>
    <xf numFmtId="0" fontId="16" fillId="10" borderId="113" xfId="0" applyFont="1" applyFill="1" applyBorder="1" applyAlignment="1">
      <alignment horizontal="center"/>
    </xf>
    <xf numFmtId="0" fontId="16" fillId="10" borderId="104" xfId="0" applyFont="1" applyFill="1" applyBorder="1" applyAlignment="1">
      <alignment horizontal="center"/>
    </xf>
    <xf numFmtId="0" fontId="16" fillId="10" borderId="114" xfId="0" applyFont="1" applyFill="1" applyBorder="1" applyAlignment="1">
      <alignment horizontal="center"/>
    </xf>
    <xf numFmtId="0" fontId="16" fillId="6" borderId="103" xfId="0" applyFont="1" applyFill="1" applyBorder="1" applyAlignment="1">
      <alignment horizontal="center"/>
    </xf>
    <xf numFmtId="0" fontId="16" fillId="6" borderId="104" xfId="0" applyFont="1" applyFill="1" applyBorder="1" applyAlignment="1">
      <alignment horizontal="center"/>
    </xf>
    <xf numFmtId="0" fontId="16" fillId="6" borderId="105" xfId="0" applyFont="1" applyFill="1" applyBorder="1" applyAlignment="1">
      <alignment horizontal="center"/>
    </xf>
    <xf numFmtId="0" fontId="10" fillId="6" borderId="11" xfId="0" applyFont="1" applyFill="1" applyBorder="1" applyAlignment="1">
      <alignment horizontal="center" vertical="center"/>
    </xf>
    <xf numFmtId="0" fontId="10" fillId="6" borderId="12" xfId="0" applyFont="1" applyFill="1" applyBorder="1" applyAlignment="1">
      <alignment horizontal="center" vertical="center"/>
    </xf>
    <xf numFmtId="0" fontId="10" fillId="6" borderId="13" xfId="0" applyFont="1" applyFill="1" applyBorder="1" applyAlignment="1">
      <alignment horizontal="center" vertical="center"/>
    </xf>
    <xf numFmtId="0" fontId="77" fillId="14" borderId="7" xfId="0" applyFont="1" applyFill="1" applyBorder="1" applyAlignment="1">
      <alignment horizontal="left" vertical="center" wrapText="1"/>
    </xf>
    <xf numFmtId="0" fontId="77" fillId="14" borderId="8" xfId="0" applyFont="1" applyFill="1" applyBorder="1" applyAlignment="1">
      <alignment horizontal="left" vertical="center" wrapText="1"/>
    </xf>
    <xf numFmtId="0" fontId="77" fillId="14" borderId="9" xfId="0" applyFont="1" applyFill="1" applyBorder="1" applyAlignment="1">
      <alignment horizontal="left" vertical="center" wrapText="1"/>
    </xf>
    <xf numFmtId="0" fontId="16" fillId="0" borderId="77" xfId="0" applyFont="1" applyBorder="1" applyAlignment="1">
      <alignment horizontal="left"/>
    </xf>
    <xf numFmtId="0" fontId="16" fillId="0" borderId="31" xfId="0" applyFont="1" applyBorder="1" applyAlignment="1">
      <alignment horizontal="left"/>
    </xf>
    <xf numFmtId="0" fontId="4" fillId="2" borderId="10" xfId="0" applyFont="1" applyFill="1" applyBorder="1" applyAlignment="1">
      <alignment horizontal="center"/>
    </xf>
    <xf numFmtId="0" fontId="4" fillId="2" borderId="0" xfId="0" applyFont="1" applyFill="1" applyAlignment="1">
      <alignment horizontal="center"/>
    </xf>
    <xf numFmtId="0" fontId="4" fillId="2" borderId="74" xfId="0" applyFont="1" applyFill="1" applyBorder="1" applyAlignment="1">
      <alignment horizontal="center"/>
    </xf>
    <xf numFmtId="0" fontId="16" fillId="10" borderId="107" xfId="0" applyFont="1" applyFill="1" applyBorder="1" applyAlignment="1">
      <alignment horizontal="center" vertical="center"/>
    </xf>
    <xf numFmtId="0" fontId="16" fillId="10" borderId="80" xfId="0" applyFont="1" applyFill="1" applyBorder="1" applyAlignment="1">
      <alignment horizontal="center" vertical="center"/>
    </xf>
    <xf numFmtId="0" fontId="16" fillId="10" borderId="39" xfId="0" applyFont="1" applyFill="1" applyBorder="1" applyAlignment="1">
      <alignment horizontal="center" vertical="center"/>
    </xf>
    <xf numFmtId="0" fontId="16" fillId="16" borderId="79" xfId="0" applyFont="1" applyFill="1" applyBorder="1" applyAlignment="1">
      <alignment horizontal="center" vertical="center" wrapText="1"/>
    </xf>
    <xf numFmtId="0" fontId="16" fillId="16" borderId="80" xfId="0" applyFont="1" applyFill="1" applyBorder="1" applyAlignment="1">
      <alignment horizontal="center" vertical="center" wrapText="1"/>
    </xf>
    <xf numFmtId="0" fontId="10" fillId="17" borderId="108" xfId="0" applyFont="1" applyFill="1" applyBorder="1" applyAlignment="1">
      <alignment horizontal="center" vertical="center"/>
    </xf>
    <xf numFmtId="0" fontId="10" fillId="17" borderId="109" xfId="0" applyFont="1" applyFill="1" applyBorder="1" applyAlignment="1">
      <alignment horizontal="center" vertical="center"/>
    </xf>
    <xf numFmtId="0" fontId="10" fillId="17" borderId="110" xfId="0" applyFont="1" applyFill="1" applyBorder="1" applyAlignment="1">
      <alignment horizontal="center" vertical="center"/>
    </xf>
    <xf numFmtId="0" fontId="30" fillId="25" borderId="123" xfId="0" applyFont="1" applyFill="1" applyBorder="1" applyAlignment="1">
      <alignment horizontal="center" vertical="center" wrapText="1"/>
    </xf>
    <xf numFmtId="0" fontId="30" fillId="25" borderId="124" xfId="0" applyFont="1" applyFill="1" applyBorder="1" applyAlignment="1">
      <alignment horizontal="center" vertical="center" wrapText="1"/>
    </xf>
    <xf numFmtId="0" fontId="30" fillId="25" borderId="125" xfId="0" applyFont="1" applyFill="1" applyBorder="1" applyAlignment="1">
      <alignment horizontal="center" vertical="center" wrapText="1"/>
    </xf>
    <xf numFmtId="0" fontId="5" fillId="33" borderId="77" xfId="0" applyFont="1" applyFill="1" applyBorder="1" applyAlignment="1">
      <alignment horizontal="left" vertical="top" wrapText="1"/>
    </xf>
    <xf numFmtId="0" fontId="5" fillId="33" borderId="31" xfId="0" applyFont="1" applyFill="1" applyBorder="1" applyAlignment="1">
      <alignment horizontal="left" vertical="top" wrapText="1"/>
    </xf>
    <xf numFmtId="0" fontId="38" fillId="6" borderId="31" xfId="0" applyFont="1" applyFill="1" applyBorder="1" applyAlignment="1">
      <alignment horizontal="center"/>
    </xf>
    <xf numFmtId="0" fontId="10" fillId="10" borderId="31" xfId="0" applyFont="1" applyFill="1" applyBorder="1" applyAlignment="1">
      <alignment horizontal="center"/>
    </xf>
    <xf numFmtId="0" fontId="3" fillId="23" borderId="77" xfId="0" applyFont="1" applyFill="1" applyBorder="1" applyAlignment="1">
      <alignment horizontal="center" vertical="center"/>
    </xf>
    <xf numFmtId="0" fontId="3" fillId="23" borderId="31" xfId="0" applyFont="1" applyFill="1" applyBorder="1" applyAlignment="1">
      <alignment horizontal="center" vertical="center"/>
    </xf>
    <xf numFmtId="0" fontId="3" fillId="23" borderId="70" xfId="0" applyFont="1" applyFill="1" applyBorder="1" applyAlignment="1">
      <alignment horizontal="center" vertical="center"/>
    </xf>
    <xf numFmtId="0" fontId="3" fillId="23" borderId="10" xfId="0" applyFont="1" applyFill="1" applyBorder="1" applyAlignment="1">
      <alignment horizontal="center" vertical="center"/>
    </xf>
    <xf numFmtId="0" fontId="3" fillId="23" borderId="0" xfId="0" applyFont="1" applyFill="1" applyAlignment="1">
      <alignment horizontal="center" vertical="center"/>
    </xf>
    <xf numFmtId="0" fontId="3" fillId="23" borderId="66" xfId="0" applyFont="1" applyFill="1" applyBorder="1" applyAlignment="1">
      <alignment horizontal="center" vertical="center"/>
    </xf>
    <xf numFmtId="0" fontId="3" fillId="23" borderId="78" xfId="0" applyFont="1" applyFill="1" applyBorder="1" applyAlignment="1">
      <alignment horizontal="center" vertical="center"/>
    </xf>
    <xf numFmtId="0" fontId="3" fillId="23" borderId="65" xfId="0" applyFont="1" applyFill="1" applyBorder="1" applyAlignment="1">
      <alignment horizontal="center" vertical="center"/>
    </xf>
    <xf numFmtId="0" fontId="3" fillId="23" borderId="67" xfId="0" applyFont="1" applyFill="1" applyBorder="1" applyAlignment="1">
      <alignment horizontal="center" vertical="center"/>
    </xf>
    <xf numFmtId="0" fontId="10" fillId="24" borderId="123" xfId="0" applyFont="1" applyFill="1" applyBorder="1" applyAlignment="1">
      <alignment horizontal="center"/>
    </xf>
    <xf numFmtId="0" fontId="10" fillId="24" borderId="124" xfId="0" applyFont="1" applyFill="1" applyBorder="1" applyAlignment="1">
      <alignment horizontal="center"/>
    </xf>
    <xf numFmtId="0" fontId="10" fillId="24" borderId="125" xfId="0" applyFont="1" applyFill="1" applyBorder="1" applyAlignment="1">
      <alignment horizontal="center"/>
    </xf>
    <xf numFmtId="0" fontId="0" fillId="0" borderId="1" xfId="0" applyBorder="1" applyAlignment="1">
      <alignment horizontal="right" vertical="center"/>
    </xf>
    <xf numFmtId="0" fontId="0" fillId="0" borderId="73" xfId="0" applyBorder="1" applyAlignment="1">
      <alignment horizontal="right" vertical="center"/>
    </xf>
    <xf numFmtId="0" fontId="0" fillId="0" borderId="4" xfId="0" applyBorder="1" applyAlignment="1">
      <alignment horizontal="right" vertical="center"/>
    </xf>
    <xf numFmtId="0" fontId="16" fillId="10" borderId="0" xfId="0" applyFont="1" applyFill="1" applyAlignment="1" applyProtection="1">
      <alignment horizontal="left" wrapText="1"/>
      <protection locked="0"/>
    </xf>
    <xf numFmtId="0" fontId="16" fillId="10" borderId="66" xfId="0" applyFont="1" applyFill="1" applyBorder="1" applyAlignment="1" applyProtection="1">
      <alignment horizontal="left" wrapText="1"/>
      <protection locked="0"/>
    </xf>
    <xf numFmtId="0" fontId="4" fillId="8" borderId="0" xfId="0" applyFont="1" applyFill="1" applyAlignment="1" applyProtection="1">
      <alignment horizontal="left" vertical="top" wrapText="1"/>
      <protection locked="0"/>
    </xf>
    <xf numFmtId="0" fontId="0" fillId="0" borderId="156" xfId="0" applyBorder="1" applyAlignment="1">
      <alignment horizontal="right" vertical="center"/>
    </xf>
    <xf numFmtId="0" fontId="0" fillId="0" borderId="158" xfId="0" applyBorder="1" applyAlignment="1">
      <alignment horizontal="right" vertical="center"/>
    </xf>
    <xf numFmtId="0" fontId="0" fillId="0" borderId="160" xfId="0" applyBorder="1" applyAlignment="1">
      <alignment horizontal="right" vertical="center"/>
    </xf>
    <xf numFmtId="0" fontId="0" fillId="0" borderId="156" xfId="0" applyBorder="1" applyAlignment="1">
      <alignment horizontal="right" vertical="center" wrapText="1"/>
    </xf>
    <xf numFmtId="0" fontId="0" fillId="0" borderId="73" xfId="0" applyBorder="1" applyAlignment="1">
      <alignment horizontal="right" vertical="center" wrapText="1"/>
    </xf>
    <xf numFmtId="0" fontId="0" fillId="0" borderId="4" xfId="0" applyBorder="1" applyAlignment="1">
      <alignment horizontal="right" vertical="center" wrapText="1"/>
    </xf>
    <xf numFmtId="0" fontId="4" fillId="42" borderId="186" xfId="0" applyFont="1" applyFill="1" applyBorder="1" applyAlignment="1">
      <alignment horizontal="left" vertical="center" indent="4"/>
    </xf>
    <xf numFmtId="0" fontId="4" fillId="42" borderId="166" xfId="0" applyFont="1" applyFill="1" applyBorder="1" applyAlignment="1">
      <alignment horizontal="left" vertical="center" indent="4"/>
    </xf>
    <xf numFmtId="0" fontId="0" fillId="0" borderId="0" xfId="0"/>
    <xf numFmtId="0" fontId="0" fillId="0" borderId="170" xfId="0" applyBorder="1" applyAlignment="1">
      <alignment horizontal="right" vertical="center" wrapText="1"/>
    </xf>
    <xf numFmtId="0" fontId="0" fillId="0" borderId="66" xfId="0" applyBorder="1" applyAlignment="1">
      <alignment horizontal="right" vertical="center" wrapText="1"/>
    </xf>
  </cellXfs>
  <cellStyles count="9">
    <cellStyle name="dms_H" xfId="8" xr:uid="{C4811625-8B09-48C1-8BBE-67B9BD012F4F}"/>
    <cellStyle name="dms_Row1" xfId="6" xr:uid="{FDA6ED69-C09D-42EA-903F-28822B230D2A}"/>
    <cellStyle name="dms_TopHeader" xfId="3" xr:uid="{DE58EDC7-9EB7-4F1B-AA56-BD3833F97789}"/>
    <cellStyle name="Normal" xfId="0" builtinId="0"/>
    <cellStyle name="Normal 10" xfId="2" xr:uid="{C3DC604B-49CB-48EC-8314-021037A8C9F1}"/>
    <cellStyle name="Normal 3 5" xfId="7" xr:uid="{4D242B7D-F5D1-4CEA-903B-983F2BC8F879}"/>
    <cellStyle name="Percent" xfId="1" builtinId="5"/>
    <cellStyle name="TableLvl2" xfId="4" xr:uid="{1B3E62C2-FB1B-4A22-B43F-BC65E9C21888}"/>
    <cellStyle name="TableLvl3" xfId="5" xr:uid="{48E70C19-5D08-42C3-9145-3F3BD79BB632}"/>
  </cellStyles>
  <dxfs count="77">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dxf>
    <dxf>
      <fill>
        <patternFill>
          <bgColor rgb="FFFFFF00"/>
        </patternFill>
      </fill>
    </dxf>
    <dxf>
      <font>
        <b/>
        <i val="0"/>
        <color rgb="FFFF0000"/>
      </font>
    </dxf>
    <dxf>
      <font>
        <b/>
        <i val="0"/>
        <color theme="5"/>
      </font>
    </dxf>
    <dxf>
      <font>
        <b/>
        <i val="0"/>
        <color rgb="FFFF0000"/>
      </font>
    </dxf>
    <dxf>
      <font>
        <b/>
        <i val="0"/>
        <color rgb="FFFF0000"/>
      </font>
      <fill>
        <patternFill patternType="solid">
          <bgColor theme="0" tint="-0.24994659260841701"/>
        </patternFill>
      </fill>
    </dxf>
    <dxf>
      <font>
        <b/>
        <i val="0"/>
        <color rgb="FFFF0000"/>
      </font>
      <border>
        <vertical/>
        <horizontal/>
      </border>
    </dxf>
    <dxf>
      <font>
        <b/>
        <i val="0"/>
        <color rgb="FFFF0000"/>
      </font>
    </dxf>
    <dxf>
      <fill>
        <patternFill>
          <bgColor theme="6" tint="0.59996337778862885"/>
        </patternFill>
      </fill>
    </dxf>
    <dxf>
      <fill>
        <patternFill>
          <bgColor rgb="FFFFFF99"/>
        </patternFill>
      </fill>
    </dxf>
    <dxf>
      <fill>
        <patternFill>
          <bgColor rgb="FFFFFF99"/>
        </patternFill>
      </fill>
    </dxf>
    <dxf>
      <font>
        <color auto="1"/>
      </font>
      <fill>
        <patternFill>
          <bgColor rgb="FFFFFFCC"/>
        </patternFill>
      </fill>
    </dxf>
    <dxf>
      <fill>
        <patternFill>
          <bgColor rgb="FFFFFFCC"/>
        </patternFill>
      </fill>
    </dxf>
    <dxf>
      <font>
        <color auto="1"/>
      </font>
      <fill>
        <patternFill>
          <bgColor rgb="FFFFFFCC"/>
        </patternFill>
      </fill>
    </dxf>
    <dxf>
      <fill>
        <patternFill>
          <bgColor rgb="FFFFFFCC"/>
        </patternFill>
      </fill>
    </dxf>
    <dxf>
      <font>
        <color auto="1"/>
      </font>
      <fill>
        <patternFill>
          <bgColor rgb="FFFFFFCC"/>
        </patternFill>
      </fill>
    </dxf>
    <dxf>
      <fill>
        <patternFill>
          <bgColor rgb="FFFFFFCC"/>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b/>
        <i val="0"/>
        <color rgb="FFFF0000"/>
      </font>
      <fill>
        <patternFill patternType="solid">
          <bgColor rgb="FFFFFFCC"/>
        </patternFill>
      </fill>
    </dxf>
    <dxf>
      <font>
        <b/>
        <i val="0"/>
        <color theme="9" tint="-0.24994659260841701"/>
      </font>
    </dxf>
    <dxf>
      <font>
        <b/>
        <i val="0"/>
        <color theme="9" tint="-0.24994659260841701"/>
      </font>
    </dxf>
    <dxf>
      <font>
        <color theme="4" tint="-0.499984740745262"/>
      </font>
      <fill>
        <patternFill>
          <bgColor theme="4" tint="-0.499984740745262"/>
        </patternFill>
      </fill>
    </dxf>
    <dxf>
      <font>
        <b val="0"/>
        <i val="0"/>
        <strike val="0"/>
        <condense val="0"/>
        <extend val="0"/>
        <outline val="0"/>
        <shadow val="0"/>
        <u val="none"/>
        <vertAlign val="baseline"/>
        <sz val="11"/>
        <color theme="1"/>
        <name val="Arial"/>
        <family val="2"/>
        <scheme val="none"/>
      </font>
      <numFmt numFmtId="0" formatCode="General"/>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theme="1"/>
        <name val="Arial"/>
        <family val="2"/>
        <scheme val="none"/>
      </font>
      <numFmt numFmtId="30" formatCode="@"/>
      <fill>
        <patternFill patternType="solid">
          <fgColor indexed="64"/>
          <bgColor theme="4" tint="0.79998168889431442"/>
        </patternFill>
      </fill>
      <border diagonalUp="0" diagonalDown="0">
        <left style="medium">
          <color indexed="64"/>
        </left>
        <right/>
        <top style="thin">
          <color theme="4" tint="0.39997558519241921"/>
        </top>
        <bottom/>
        <vertical/>
        <horizontal/>
      </border>
    </dxf>
    <dxf>
      <font>
        <b val="0"/>
        <i val="0"/>
        <strike val="0"/>
        <condense val="0"/>
        <extend val="0"/>
        <outline val="0"/>
        <shadow val="0"/>
        <u val="none"/>
        <vertAlign val="baseline"/>
        <sz val="11"/>
        <color theme="1"/>
        <name val="Arial"/>
        <family val="2"/>
        <scheme val="none"/>
      </font>
      <numFmt numFmtId="30" formatCode="@"/>
      <fill>
        <patternFill patternType="solid">
          <fgColor indexed="64"/>
          <bgColor theme="4" tint="0.79998168889431442"/>
        </patternFill>
      </fill>
      <border diagonalUp="0" diagonalDown="0">
        <left style="medium">
          <color indexed="64"/>
        </left>
        <right/>
        <top style="thin">
          <color theme="4" tint="0.39997558519241921"/>
        </top>
        <bottom/>
        <vertical/>
        <horizontal/>
      </border>
    </dxf>
    <dxf>
      <font>
        <b val="0"/>
        <i val="0"/>
        <strike val="0"/>
        <condense val="0"/>
        <extend val="0"/>
        <outline val="0"/>
        <shadow val="0"/>
        <u val="none"/>
        <vertAlign val="baseline"/>
        <sz val="11"/>
        <color theme="1"/>
        <name val="Arial"/>
        <family val="2"/>
        <scheme val="none"/>
      </font>
      <numFmt numFmtId="30" formatCode="@"/>
      <fill>
        <patternFill patternType="solid">
          <fgColor indexed="64"/>
          <bgColor theme="4" tint="0.79998168889431442"/>
        </patternFill>
      </fill>
      <border diagonalUp="0" diagonalDown="0">
        <left/>
        <right/>
        <top style="thin">
          <color theme="4" tint="0.39997558519241921"/>
        </top>
        <bottom/>
        <vertical/>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8" tint="-0.249977111117893"/>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medium">
          <color indexed="64"/>
        </left>
        <right/>
        <top style="thin">
          <color theme="4"/>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center" vertical="center"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171" formatCode="0000"/>
      <fill>
        <patternFill patternType="solid">
          <fgColor theme="4" tint="0.79998168889431442"/>
          <bgColor theme="4" tint="0.79998168889431442"/>
        </patternFill>
      </fill>
      <alignment horizontal="center"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171" formatCode="0000"/>
      <fill>
        <patternFill patternType="solid">
          <fgColor theme="4" tint="0.79998168889431442"/>
          <bgColor theme="4" tint="0.79998168889431442"/>
        </patternFill>
      </fill>
      <alignment horizontal="center"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center" vertical="top" textRotation="0" wrapText="0" indent="0" justifyLastLine="0" shrinkToFit="0" readingOrder="0"/>
      <border diagonalUp="0" diagonalDown="0">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1" formatCode="0"/>
      <fill>
        <patternFill patternType="solid">
          <fgColor theme="4" tint="0.79998168889431442"/>
          <bgColor theme="4" tint="0.79998168889431442"/>
        </patternFill>
      </fill>
      <alignment horizontal="center" vertical="top" textRotation="0" wrapText="0" indent="0" justifyLastLine="0" shrinkToFit="0" readingOrder="0"/>
      <border diagonalUp="0" diagonalDown="0">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1" formatCode="0"/>
      <fill>
        <patternFill patternType="solid">
          <fgColor theme="4" tint="0.79998168889431442"/>
          <bgColor theme="4" tint="0.79998168889431442"/>
        </patternFill>
      </fill>
      <alignment horizontal="center"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center" vertical="top"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theme="4" tint="0.79998168889431442"/>
          <bgColor theme="4" tint="0.79998168889431442"/>
        </patternFill>
      </fill>
      <alignment horizontal="center"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left" vertical="top"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170" formatCode="##\ ###\ ###\ ###\ ##0"/>
      <fill>
        <patternFill patternType="solid">
          <fgColor theme="4" tint="0.79998168889431442"/>
          <bgColor theme="4" tint="0.79998168889431442"/>
        </patternFill>
      </fill>
      <alignment horizontal="right" vertical="top" textRotation="0" wrapText="0" indent="1" justifyLastLine="0" shrinkToFit="0" readingOrder="0"/>
    </dxf>
    <dxf>
      <font>
        <b val="0"/>
        <i val="0"/>
        <strike val="0"/>
        <condense val="0"/>
        <extend val="0"/>
        <outline val="0"/>
        <shadow val="0"/>
        <u val="none"/>
        <vertAlign val="baseline"/>
        <sz val="10"/>
        <color auto="1"/>
        <name val="Arial"/>
        <family val="2"/>
        <scheme val="none"/>
      </font>
      <numFmt numFmtId="170" formatCode="##\ ###\ ###\ ###\ ##0"/>
      <fill>
        <patternFill patternType="solid">
          <fgColor theme="4" tint="0.79998168889431442"/>
          <bgColor theme="4" tint="0.79998168889431442"/>
        </patternFill>
      </fill>
      <alignment horizontal="right" vertical="top" textRotation="0" wrapText="0" indent="1" justifyLastLine="0" shrinkToFit="0" readingOrder="0"/>
      <border diagonalUp="0" diagonalDown="0">
        <left style="thin">
          <color theme="0" tint="-0.34998626667073579"/>
        </left>
        <right/>
        <top style="thin">
          <color theme="0" tint="-0.34998626667073579"/>
        </top>
        <bottom/>
        <vertical/>
        <horizontal/>
      </border>
    </dxf>
    <dxf>
      <font>
        <b val="0"/>
        <i val="0"/>
        <strike val="0"/>
        <condense val="0"/>
        <extend val="0"/>
        <outline val="0"/>
        <shadow val="0"/>
        <u val="none"/>
        <vertAlign val="baseline"/>
        <sz val="11"/>
        <color theme="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medium">
          <color indexed="64"/>
        </left>
        <right/>
        <top style="thin">
          <color theme="0" tint="-0.34998626667073579"/>
        </top>
        <bottom/>
        <vertical/>
        <horizontal/>
      </border>
    </dxf>
    <dxf>
      <font>
        <b val="0"/>
        <i val="0"/>
        <strike val="0"/>
        <condense val="0"/>
        <extend val="0"/>
        <outline val="0"/>
        <shadow val="0"/>
        <u val="none"/>
        <vertAlign val="baseline"/>
        <sz val="11"/>
        <color theme="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right/>
        <top style="thin">
          <color theme="0" tint="-0.34998626667073579"/>
        </top>
        <bottom/>
        <vertical/>
        <horizontal/>
      </border>
    </dxf>
    <dxf>
      <border outline="0">
        <left style="medium">
          <color indexed="64"/>
        </left>
        <right style="medium">
          <color indexed="64"/>
        </right>
        <top style="medium">
          <color indexed="64"/>
        </top>
        <bottom style="medium">
          <color indexed="64"/>
        </bottom>
      </border>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146048</xdr:colOff>
      <xdr:row>0</xdr:row>
      <xdr:rowOff>122236</xdr:rowOff>
    </xdr:from>
    <xdr:to>
      <xdr:col>15</xdr:col>
      <xdr:colOff>35716</xdr:colOff>
      <xdr:row>2</xdr:row>
      <xdr:rowOff>407985</xdr:rowOff>
    </xdr:to>
    <xdr:grpSp>
      <xdr:nvGrpSpPr>
        <xdr:cNvPr id="2" name="Group 1">
          <a:extLst>
            <a:ext uri="{FF2B5EF4-FFF2-40B4-BE49-F238E27FC236}">
              <a16:creationId xmlns:a16="http://schemas.microsoft.com/office/drawing/2014/main" id="{A1626229-F74F-48EA-9319-70CA36AA4943}"/>
            </a:ext>
          </a:extLst>
        </xdr:cNvPr>
        <xdr:cNvGrpSpPr/>
      </xdr:nvGrpSpPr>
      <xdr:grpSpPr>
        <a:xfrm>
          <a:off x="1401107" y="122236"/>
          <a:ext cx="1324021" cy="1406337"/>
          <a:chOff x="997323" y="22412"/>
          <a:chExt cx="1154206" cy="1176617"/>
        </a:xfrm>
      </xdr:grpSpPr>
      <xdr:sp macro="" textlink="">
        <xdr:nvSpPr>
          <xdr:cNvPr id="3" name="Rectangle 3">
            <a:extLst>
              <a:ext uri="{FF2B5EF4-FFF2-40B4-BE49-F238E27FC236}">
                <a16:creationId xmlns:a16="http://schemas.microsoft.com/office/drawing/2014/main" id="{8366D4F8-F831-351E-83FF-65EFC49D8B57}"/>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694D9026-69F1-7ED8-A578-5669575EAF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6F36A0EC-B42E-A594-0B37-6A4420C56F1A}"/>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B4831B0C-C597-75BE-75D9-A6CC9BC0B077}"/>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149833</xdr:colOff>
      <xdr:row>0</xdr:row>
      <xdr:rowOff>53511</xdr:rowOff>
    </xdr:from>
    <xdr:to>
      <xdr:col>17</xdr:col>
      <xdr:colOff>2984</xdr:colOff>
      <xdr:row>3</xdr:row>
      <xdr:rowOff>418</xdr:rowOff>
    </xdr:to>
    <xdr:grpSp>
      <xdr:nvGrpSpPr>
        <xdr:cNvPr id="9" name="Group 8">
          <a:extLst>
            <a:ext uri="{FF2B5EF4-FFF2-40B4-BE49-F238E27FC236}">
              <a16:creationId xmlns:a16="http://schemas.microsoft.com/office/drawing/2014/main" id="{34DAB502-3F7E-4ED1-B97E-0CF3FA78C78D}"/>
            </a:ext>
          </a:extLst>
        </xdr:cNvPr>
        <xdr:cNvGrpSpPr/>
      </xdr:nvGrpSpPr>
      <xdr:grpSpPr>
        <a:xfrm>
          <a:off x="10287154" y="53511"/>
          <a:ext cx="7201009" cy="1089907"/>
          <a:chOff x="7089189" y="43183"/>
          <a:chExt cx="7879238" cy="994086"/>
        </a:xfrm>
      </xdr:grpSpPr>
      <xdr:grpSp>
        <xdr:nvGrpSpPr>
          <xdr:cNvPr id="10" name="Group 9">
            <a:extLst>
              <a:ext uri="{FF2B5EF4-FFF2-40B4-BE49-F238E27FC236}">
                <a16:creationId xmlns:a16="http://schemas.microsoft.com/office/drawing/2014/main" id="{62CC2FBF-15EF-CA8A-F8DC-8ECE02D30715}"/>
              </a:ext>
            </a:extLst>
          </xdr:cNvPr>
          <xdr:cNvGrpSpPr/>
        </xdr:nvGrpSpPr>
        <xdr:grpSpPr>
          <a:xfrm>
            <a:off x="9496850" y="43183"/>
            <a:ext cx="5471577" cy="994086"/>
            <a:chOff x="9496850" y="97658"/>
            <a:chExt cx="5471577" cy="994086"/>
          </a:xfrm>
        </xdr:grpSpPr>
        <xdr:grpSp>
          <xdr:nvGrpSpPr>
            <xdr:cNvPr id="14" name="Group 13">
              <a:extLst>
                <a:ext uri="{FF2B5EF4-FFF2-40B4-BE49-F238E27FC236}">
                  <a16:creationId xmlns:a16="http://schemas.microsoft.com/office/drawing/2014/main" id="{4C409B4A-5489-9BB1-22BC-0798997C545C}"/>
                </a:ext>
              </a:extLst>
            </xdr:cNvPr>
            <xdr:cNvGrpSpPr/>
          </xdr:nvGrpSpPr>
          <xdr:grpSpPr>
            <a:xfrm>
              <a:off x="9496850" y="146409"/>
              <a:ext cx="1957971" cy="935763"/>
              <a:chOff x="11601990" y="2518552"/>
              <a:chExt cx="1875794" cy="501191"/>
            </a:xfrm>
          </xdr:grpSpPr>
          <xdr:sp macro="" textlink="">
            <xdr:nvSpPr>
              <xdr:cNvPr id="21" name="Rounded Rectangle 16">
                <a:extLst>
                  <a:ext uri="{FF2B5EF4-FFF2-40B4-BE49-F238E27FC236}">
                    <a16:creationId xmlns:a16="http://schemas.microsoft.com/office/drawing/2014/main" id="{DC1290D5-75AB-74EF-59BC-9E7968CBBECE}"/>
                  </a:ext>
                </a:extLst>
              </xdr:cNvPr>
              <xdr:cNvSpPr/>
            </xdr:nvSpPr>
            <xdr:spPr>
              <a:xfrm>
                <a:off x="11601990" y="2518552"/>
                <a:ext cx="1865789"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 textlink="">
            <xdr:nvSpPr>
              <xdr:cNvPr id="22" name="Rounded Rectangle 17">
                <a:extLst>
                  <a:ext uri="{FF2B5EF4-FFF2-40B4-BE49-F238E27FC236}">
                    <a16:creationId xmlns:a16="http://schemas.microsoft.com/office/drawing/2014/main" id="{9C4807E5-35AD-5187-9CB1-D6C0BA42BF9F}"/>
                  </a:ext>
                </a:extLst>
              </xdr:cNvPr>
              <xdr:cNvSpPr/>
            </xdr:nvSpPr>
            <xdr:spPr>
              <a:xfrm>
                <a:off x="11601993" y="2759326"/>
                <a:ext cx="1875791"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5" name="Group 14">
              <a:extLst>
                <a:ext uri="{FF2B5EF4-FFF2-40B4-BE49-F238E27FC236}">
                  <a16:creationId xmlns:a16="http://schemas.microsoft.com/office/drawing/2014/main" id="{6E6F45F0-7A17-67EF-6FE8-B9391F5D442B}"/>
                </a:ext>
              </a:extLst>
            </xdr:cNvPr>
            <xdr:cNvGrpSpPr/>
          </xdr:nvGrpSpPr>
          <xdr:grpSpPr>
            <a:xfrm>
              <a:off x="11650369" y="97658"/>
              <a:ext cx="3318058" cy="994086"/>
              <a:chOff x="8387713" y="106967"/>
              <a:chExt cx="3191911" cy="1002967"/>
            </a:xfrm>
          </xdr:grpSpPr>
          <xdr:sp macro="" textlink="">
            <xdr:nvSpPr>
              <xdr:cNvPr id="16" name="Rounded Rectangle 11">
                <a:extLst>
                  <a:ext uri="{FF2B5EF4-FFF2-40B4-BE49-F238E27FC236}">
                    <a16:creationId xmlns:a16="http://schemas.microsoft.com/office/drawing/2014/main" id="{E9E41AFD-8C67-C6CD-15A9-DC6534C801B2}"/>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7" name="Group 16">
                <a:extLst>
                  <a:ext uri="{FF2B5EF4-FFF2-40B4-BE49-F238E27FC236}">
                    <a16:creationId xmlns:a16="http://schemas.microsoft.com/office/drawing/2014/main" id="{DC03EF8E-FBF2-0FA1-1D3C-756C26BDBF88}"/>
                  </a:ext>
                </a:extLst>
              </xdr:cNvPr>
              <xdr:cNvGrpSpPr/>
            </xdr:nvGrpSpPr>
            <xdr:grpSpPr>
              <a:xfrm>
                <a:off x="9803443" y="156152"/>
                <a:ext cx="1685197" cy="886495"/>
                <a:chOff x="23590870" y="476314"/>
                <a:chExt cx="2068513" cy="648072"/>
              </a:xfrm>
            </xdr:grpSpPr>
            <xdr:sp macro="" textlink="">
              <xdr:nvSpPr>
                <xdr:cNvPr id="19" name="Rounded Rectangle 14">
                  <a:extLst>
                    <a:ext uri="{FF2B5EF4-FFF2-40B4-BE49-F238E27FC236}">
                      <a16:creationId xmlns:a16="http://schemas.microsoft.com/office/drawing/2014/main" id="{489674D7-7D92-C227-C2CC-0F92DF4A9A86}"/>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 textlink="">
              <xdr:nvSpPr>
                <xdr:cNvPr id="20" name="Rounded Rectangle 15">
                  <a:extLst>
                    <a:ext uri="{FF2B5EF4-FFF2-40B4-BE49-F238E27FC236}">
                      <a16:creationId xmlns:a16="http://schemas.microsoft.com/office/drawing/2014/main" id="{22B8052C-B7F8-6201-3423-BAC2A2FA8FE4}"/>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8" name="Rounded Rectangle 13">
                <a:extLst>
                  <a:ext uri="{FF2B5EF4-FFF2-40B4-BE49-F238E27FC236}">
                    <a16:creationId xmlns:a16="http://schemas.microsoft.com/office/drawing/2014/main" id="{3B5793E6-4010-A20C-B3EA-50F7466E7BDE}"/>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11" name="Group 10">
            <a:extLst>
              <a:ext uri="{FF2B5EF4-FFF2-40B4-BE49-F238E27FC236}">
                <a16:creationId xmlns:a16="http://schemas.microsoft.com/office/drawing/2014/main" id="{4FF818C8-4E70-3CE2-C37C-1043241003F4}"/>
              </a:ext>
            </a:extLst>
          </xdr:cNvPr>
          <xdr:cNvGrpSpPr/>
        </xdr:nvGrpSpPr>
        <xdr:grpSpPr>
          <a:xfrm>
            <a:off x="7089189" y="91934"/>
            <a:ext cx="2309198" cy="943957"/>
            <a:chOff x="11231900" y="3144708"/>
            <a:chExt cx="2428804" cy="966829"/>
          </a:xfrm>
        </xdr:grpSpPr>
        <xdr:sp macro="" textlink="">
          <xdr:nvSpPr>
            <xdr:cNvPr id="12" name="Rounded Rectangle 16">
              <a:extLst>
                <a:ext uri="{FF2B5EF4-FFF2-40B4-BE49-F238E27FC236}">
                  <a16:creationId xmlns:a16="http://schemas.microsoft.com/office/drawing/2014/main" id="{9CEF993F-C7C8-1E6B-4D66-AD54AE2A5829}"/>
                </a:ext>
              </a:extLst>
            </xdr:cNvPr>
            <xdr:cNvSpPr/>
          </xdr:nvSpPr>
          <xdr:spPr>
            <a:xfrm>
              <a:off x="11231902" y="3144708"/>
              <a:ext cx="2428802"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 textlink="">
          <xdr:nvSpPr>
            <xdr:cNvPr id="13" name="Rounded Rectangle 16">
              <a:extLst>
                <a:ext uri="{FF2B5EF4-FFF2-40B4-BE49-F238E27FC236}">
                  <a16:creationId xmlns:a16="http://schemas.microsoft.com/office/drawing/2014/main" id="{728AC788-D822-70ED-EEA3-59FEF4D9BBC2}"/>
                </a:ext>
              </a:extLst>
            </xdr:cNvPr>
            <xdr:cNvSpPr/>
          </xdr:nvSpPr>
          <xdr:spPr>
            <a:xfrm>
              <a:off x="11231900" y="3611478"/>
              <a:ext cx="2428801"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D35F32B-4E4D-4AB9-A54F-F8B96EE44A12}" name="Table1" displayName="Table1" ref="B9:AL15" totalsRowShown="0" tableBorderDxfId="76">
  <autoFilter ref="B9:AL15" xr:uid="{AC18A4D7-81B6-4A90-9525-DF6255B60894}"/>
  <sortState xmlns:xlrd2="http://schemas.microsoft.com/office/spreadsheetml/2017/richdata2" ref="B10:AL15">
    <sortCondition ref="B9:B15"/>
  </sortState>
  <tableColumns count="37">
    <tableColumn id="1" xr3:uid="{F5299C9C-BD77-44D4-83DB-AE375DC91AF9}" name="dms_TradingName_List" dataDxfId="75"/>
    <tableColumn id="2" xr3:uid="{69F65190-B71B-4E29-8244-71721E6DE775}" name="dms_TradingNameFull_List" dataDxfId="74"/>
    <tableColumn id="3" xr3:uid="{8891D357-E2C7-4150-BAE2-2798DA1A00B4}" name="dms_ABN_List" dataDxfId="73"/>
    <tableColumn id="37" xr3:uid="{3D9EE9E0-EEE8-4A93-ADFD-B276998629F0}" name="dms_UID_List" dataDxfId="72"/>
    <tableColumn id="4" xr3:uid="{692AB089-0330-4B7B-B755-DD202615CE9E}" name="dms_JurisdictionList" dataDxfId="71"/>
    <tableColumn id="5" xr3:uid="{4D90403D-F23F-4C28-9725-834B7B58D479}" name="dms_Sector_List" dataDxfId="70"/>
    <tableColumn id="6" xr3:uid="{019B9944-98B4-4294-B29A-9ABBD8879D69}" name="dms_Segment_List" dataDxfId="69"/>
    <tableColumn id="7" xr3:uid="{C0E8FC12-FFFC-409C-8D5C-0D2885392423}" name="dms_FormControl_List" dataDxfId="68"/>
    <tableColumn id="8" xr3:uid="{CF7ED9F4-439E-4271-8C35-2CDE2DF83CF5}" name="dms_RPT_List" dataDxfId="67"/>
    <tableColumn id="9" xr3:uid="{57748019-54FB-4E2D-AABA-F9C68A23EE36}" name="dms_RPTMonth_List" dataDxfId="66"/>
    <tableColumn id="10" xr3:uid="{CE8C03FE-6582-4F95-9936-2E61B41B1E9A}" name="dms_CRCPlength_List" dataDxfId="65"/>
    <tableColumn id="11" xr3:uid="{DD4D00CE-1382-4B30-B343-366912CC6AD3}" name="dms_FRCPlength_List" dataDxfId="64"/>
    <tableColumn id="12" xr3:uid="{CC17041D-C2F1-4A59-AB55-6A58622F7AC3}" name="dms_PRCPlength_List" dataDxfId="63"/>
    <tableColumn id="13" xr3:uid="{80FF12B5-73CD-4FC2-BC77-E1B58B7301AE}" name="dms_663_List" dataDxfId="62"/>
    <tableColumn id="14" xr3:uid="{C8461DDC-B03E-4A56-9737-349B3F1578B4}" name="dms_Addr1_List" dataDxfId="61"/>
    <tableColumn id="15" xr3:uid="{48A868B2-A860-4FA9-805E-CFF6B126D9A6}" name="dms_Addr2_List" dataDxfId="60"/>
    <tableColumn id="16" xr3:uid="{1DFABCC2-0672-41B4-BE18-61A871DAA3A3}" name="dms_Suburb_List" dataDxfId="59"/>
    <tableColumn id="17" xr3:uid="{0FCEE26E-FBA5-4BDF-8707-7751B38F7F01}" name="dms_State_List" dataDxfId="58"/>
    <tableColumn id="18" xr3:uid="{E79B7607-705F-469D-B65F-3705521B9837}" name="dms_PostCode_List" dataDxfId="57"/>
    <tableColumn id="19" xr3:uid="{5961EBD6-744C-4276-8922-C6B33FBED461}" name="dms_PAddr1_List" dataDxfId="56"/>
    <tableColumn id="20" xr3:uid="{39D07C4B-8F50-4D85-A494-5C2A7CDE7BC0}" name="dms_PAddr2_List" dataDxfId="55"/>
    <tableColumn id="21" xr3:uid="{66F3D471-CC8E-4722-A790-851CDC828855}" name="dms_PSuburb_List" dataDxfId="54"/>
    <tableColumn id="22" xr3:uid="{2CD82473-EDF8-47CF-951B-E10FE9307748}" name="dms_PState_List" dataDxfId="53"/>
    <tableColumn id="23" xr3:uid="{C4E5C4D2-F057-4039-B56B-1F45379DA804}" name="dms_PPostCode_List" dataDxfId="52"/>
    <tableColumn id="24" xr3:uid="{F8E932BE-77FC-4DC7-A05D-2F82B7A357E0}" name="dms_CBD_flag" dataDxfId="51"/>
    <tableColumn id="25" xr3:uid="{26E976B0-DE16-46E7-A63E-048681D73E9B}" name="dms_Urban_flag" dataDxfId="50"/>
    <tableColumn id="26" xr3:uid="{EBF1D9E4-159B-439A-8D0B-6A0186C5AD13}" name="dms_ShortRural_flag" dataDxfId="49"/>
    <tableColumn id="27" xr3:uid="{4B5E9D60-5044-49C4-BB41-10E51C9DAA1A}" name="dms_LongRural_flag" dataDxfId="48"/>
    <tableColumn id="28" xr3:uid="{159961E3-C0E3-486F-BA4E-33821A7BBAEB}" name="dms_FeederType_5_flag" dataDxfId="47"/>
    <tableColumn id="29" xr3:uid="{5C6D816B-EA62-4896-9160-B132D6708D63}" name="dms_FeederName_1" dataDxfId="46"/>
    <tableColumn id="30" xr3:uid="{2466A3B6-C645-4575-B7BC-8CE2C97E68C6}" name="dms_FeederName_2" dataDxfId="45"/>
    <tableColumn id="31" xr3:uid="{A978B4E4-C41E-44DC-BF3E-61161CDAED7B}" name="dms_FeederName_3" dataDxfId="44"/>
    <tableColumn id="32" xr3:uid="{8E2A14A8-F0AB-4B46-96A8-B1703B999947}" name="dms_FeederName_4" dataDxfId="43"/>
    <tableColumn id="33" xr3:uid="{20947458-511F-471B-8587-F594CBA6641F}" name="dms_FeederName_5" dataDxfId="42"/>
    <tableColumn id="34" xr3:uid="{3BD17751-6106-4E25-8F8D-53B9AFDD1D63}" name="dms_MAIFI_flag_List" dataDxfId="41"/>
    <tableColumn id="35" xr3:uid="{9DF0ED1F-EC3D-4DEE-8973-AB0C5D2A66AB}" name="dms_Public_Lighting_List" dataDxfId="40"/>
    <tableColumn id="36" xr3:uid="{8B8543ED-A6FF-4033-9144-658CD830E148}" name="Name" dataDxfId="39">
      <calculatedColumnFormula>B10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BB993E5-BCF0-4577-A227-9CC7A8284990}" name="Table2" displayName="Table2" ref="B19:E32" totalsRowShown="0" tableBorderDxfId="38">
  <autoFilter ref="B19:E32" xr:uid="{B48A2940-5C8F-466A-BEAE-C1F06C878355}"/>
  <sortState xmlns:xlrd2="http://schemas.microsoft.com/office/spreadsheetml/2017/richdata2" ref="B20:E32">
    <sortCondition ref="B19:B32"/>
  </sortState>
  <tableColumns count="4">
    <tableColumn id="1" xr3:uid="{63D494E1-6750-433B-A71B-63B044A88896}" name="dms_Model_List " dataDxfId="37"/>
    <tableColumn id="2" xr3:uid="{2FDDC1EC-A741-4371-97B3-3B9D6F13234A}" name="dms_Model_Name_Format1" dataDxfId="36"/>
    <tableColumn id="3" xr3:uid="{64398BE7-C9AC-40A0-838D-3D93D7FE4796}" name="dms_Worksheet_List" dataDxfId="35"/>
    <tableColumn id="4" xr3:uid="{00B8511B-A492-42E7-836C-E066619632E8}" name="dms_Model_Span_List" dataDxfId="34"/>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5" Type="http://schemas.openxmlformats.org/officeDocument/2006/relationships/comments" Target="../comments2.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66D201-2916-4B9F-B902-3283C4D88CAB}">
  <sheetPr codeName="Sheet6">
    <tabColor theme="4" tint="-0.499984740745262"/>
  </sheetPr>
  <dimension ref="A1:CU80"/>
  <sheetViews>
    <sheetView showGridLines="0" zoomScale="85" zoomScaleNormal="85" workbookViewId="0"/>
  </sheetViews>
  <sheetFormatPr defaultRowHeight="15" x14ac:dyDescent="0.25"/>
  <cols>
    <col min="1" max="96" width="2.7109375" customWidth="1"/>
  </cols>
  <sheetData>
    <row r="1" spans="8:96" ht="44.25" customHeight="1" x14ac:dyDescent="0.25">
      <c r="H1" s="814"/>
      <c r="I1" s="814"/>
      <c r="J1" s="814"/>
      <c r="K1" s="814"/>
      <c r="L1" s="814"/>
      <c r="M1" s="814"/>
      <c r="N1" s="814"/>
      <c r="O1" s="814"/>
      <c r="P1" s="814"/>
      <c r="Q1" s="247"/>
      <c r="R1" s="247"/>
      <c r="S1" s="247"/>
      <c r="T1" s="247"/>
      <c r="U1" s="247"/>
      <c r="V1" s="248" t="str">
        <f>INDEX(dms_Worksheet_List,MATCH(dms_MODEL,dms_Model_List))</f>
        <v>REGULATORY REPORTING STATEMENT</v>
      </c>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row>
    <row r="2" spans="8:96" ht="44.25" customHeight="1" x14ac:dyDescent="0.25">
      <c r="H2" s="814"/>
      <c r="I2" s="814"/>
      <c r="J2" s="814"/>
      <c r="K2" s="814"/>
      <c r="L2" s="814"/>
      <c r="M2" s="814"/>
      <c r="N2" s="814"/>
      <c r="O2" s="814"/>
      <c r="P2" s="814"/>
      <c r="Q2" s="247"/>
      <c r="R2" s="247"/>
      <c r="S2" s="247"/>
      <c r="T2" s="247"/>
      <c r="U2" s="247"/>
      <c r="V2" s="249" t="str">
        <f>INDEX(dms_TradingNameFull_List,MATCH(dms_TradingName,dms_TradingName_List))</f>
        <v>United Energy</v>
      </c>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247"/>
      <c r="BJ2" s="247"/>
      <c r="BK2" s="247"/>
      <c r="BL2" s="247"/>
      <c r="BM2" s="247"/>
      <c r="BN2" s="247"/>
      <c r="BO2" s="247"/>
      <c r="BP2" s="247"/>
      <c r="BQ2" s="247"/>
      <c r="BR2" s="247"/>
      <c r="BS2" s="247"/>
      <c r="BT2" s="247"/>
      <c r="BU2" s="247"/>
      <c r="BV2" s="247"/>
      <c r="BW2" s="247"/>
      <c r="BX2" s="247"/>
      <c r="BY2" s="247"/>
      <c r="BZ2" s="247"/>
      <c r="CA2" s="247"/>
      <c r="CB2" s="247"/>
      <c r="CC2" s="247"/>
      <c r="CD2" s="247"/>
      <c r="CE2" s="247"/>
      <c r="CF2" s="247"/>
      <c r="CG2" s="247"/>
      <c r="CH2" s="247"/>
      <c r="CI2" s="247"/>
      <c r="CJ2" s="247"/>
      <c r="CK2" s="247"/>
      <c r="CL2" s="247"/>
      <c r="CM2" s="247"/>
      <c r="CN2" s="247"/>
      <c r="CO2" s="247"/>
      <c r="CP2" s="247"/>
    </row>
    <row r="3" spans="8:96" ht="44.25" customHeight="1" x14ac:dyDescent="0.25">
      <c r="H3" s="814"/>
      <c r="I3" s="814"/>
      <c r="J3" s="814"/>
      <c r="K3" s="814"/>
      <c r="L3" s="814"/>
      <c r="M3" s="814"/>
      <c r="N3" s="814"/>
      <c r="O3" s="814"/>
      <c r="P3" s="814"/>
      <c r="Q3" s="247"/>
      <c r="R3" s="247"/>
      <c r="S3" s="247"/>
      <c r="T3" s="247"/>
      <c r="U3" s="247"/>
      <c r="V3" s="7" t="s">
        <v>701</v>
      </c>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row>
    <row r="4" spans="8:96" ht="31.5" customHeight="1" x14ac:dyDescent="0.25">
      <c r="Q4" s="297"/>
      <c r="R4" s="297"/>
      <c r="S4" s="297"/>
      <c r="T4" s="297"/>
      <c r="U4" s="297"/>
      <c r="V4" s="815" t="s">
        <v>350</v>
      </c>
      <c r="W4" s="815"/>
      <c r="X4" s="815"/>
      <c r="Y4" s="815"/>
      <c r="Z4" s="815"/>
      <c r="AA4" s="815"/>
      <c r="AB4" s="815"/>
      <c r="AC4" s="815"/>
      <c r="AD4" s="815"/>
      <c r="AE4" s="815"/>
      <c r="AF4" s="815"/>
      <c r="AG4" s="815"/>
      <c r="AH4" s="815"/>
      <c r="AI4" s="815"/>
      <c r="AJ4" s="815"/>
      <c r="AK4" s="815"/>
      <c r="AL4" s="815"/>
      <c r="AM4" s="815"/>
      <c r="AN4" s="815"/>
      <c r="AO4" s="815"/>
      <c r="AP4" s="815"/>
      <c r="AQ4" s="815"/>
      <c r="AR4" s="815"/>
      <c r="AS4" s="815"/>
      <c r="AT4" s="815"/>
      <c r="AU4" s="815"/>
      <c r="AV4" s="815"/>
      <c r="AW4" s="815"/>
      <c r="AX4" s="815"/>
      <c r="AY4" s="815"/>
      <c r="AZ4" s="815"/>
      <c r="BA4" s="815"/>
      <c r="BB4" s="815"/>
      <c r="BC4" s="815"/>
      <c r="BD4" s="815"/>
      <c r="BE4" s="815"/>
      <c r="BF4" s="815"/>
      <c r="BG4" s="297"/>
      <c r="BH4" s="297"/>
      <c r="BI4" s="297"/>
      <c r="BJ4" s="297"/>
      <c r="BK4" s="297"/>
      <c r="BL4" s="297"/>
      <c r="BM4" s="297"/>
      <c r="BN4" s="297"/>
      <c r="BO4" s="297"/>
      <c r="BP4" s="297"/>
      <c r="BQ4" s="297"/>
      <c r="BR4" s="297"/>
      <c r="BS4" s="297"/>
      <c r="BT4" s="297"/>
      <c r="BU4" s="297"/>
      <c r="BV4" s="297"/>
      <c r="BW4" s="297"/>
      <c r="BX4" s="297"/>
      <c r="BY4" s="297"/>
      <c r="BZ4" s="297"/>
      <c r="CA4" s="297"/>
      <c r="CB4" s="297"/>
      <c r="CC4" s="297"/>
      <c r="CD4" s="297"/>
      <c r="CE4" s="297"/>
      <c r="CF4" s="297"/>
      <c r="CG4" s="297"/>
      <c r="CH4" s="297"/>
      <c r="CI4" s="297"/>
      <c r="CJ4" s="297"/>
      <c r="CK4" s="297"/>
      <c r="CL4" s="297"/>
      <c r="CM4" s="297"/>
      <c r="CN4" s="297"/>
      <c r="CO4" s="297"/>
      <c r="CP4" s="297"/>
    </row>
    <row r="6" spans="8:96" ht="20.25" x14ac:dyDescent="0.25">
      <c r="H6" s="251"/>
      <c r="I6" s="251"/>
      <c r="J6" s="251"/>
      <c r="K6" s="251"/>
      <c r="L6" s="251"/>
      <c r="M6" s="251"/>
      <c r="N6" s="251"/>
      <c r="O6" s="251"/>
      <c r="P6" s="251"/>
      <c r="Q6" s="252"/>
      <c r="R6" s="252"/>
      <c r="S6" s="252"/>
      <c r="T6" s="252"/>
      <c r="U6" s="252"/>
      <c r="V6" s="253" t="s">
        <v>351</v>
      </c>
      <c r="W6" s="252"/>
      <c r="X6" s="252"/>
      <c r="Y6" s="252"/>
      <c r="Z6" s="252"/>
      <c r="AA6" s="252"/>
      <c r="AB6" s="252"/>
      <c r="AC6" s="252"/>
      <c r="AD6" s="252"/>
      <c r="AE6" s="252"/>
      <c r="AF6" s="252"/>
      <c r="AG6" s="252"/>
      <c r="AH6" s="252"/>
      <c r="AI6" s="252"/>
      <c r="AJ6" s="252"/>
      <c r="AK6" s="252"/>
      <c r="AL6" s="252"/>
      <c r="AM6" s="252"/>
      <c r="AN6" s="252"/>
      <c r="AO6" s="252"/>
      <c r="AP6" s="252"/>
      <c r="AQ6" s="252"/>
      <c r="AR6" s="252"/>
      <c r="AS6" s="252"/>
      <c r="AT6" s="252"/>
      <c r="AU6" s="252"/>
      <c r="AV6" s="252"/>
      <c r="AW6" s="252"/>
      <c r="AX6" s="252"/>
      <c r="AY6" s="252"/>
      <c r="AZ6" s="252"/>
      <c r="BA6" s="252"/>
      <c r="BB6" s="252"/>
      <c r="BC6" s="252"/>
      <c r="BD6" s="252"/>
      <c r="BE6" s="252"/>
      <c r="BF6" s="252"/>
      <c r="BG6" s="252"/>
      <c r="BH6" s="252"/>
      <c r="BI6" s="252"/>
      <c r="BJ6" s="252"/>
      <c r="BK6" s="252"/>
      <c r="BL6" s="252"/>
      <c r="BM6" s="252"/>
      <c r="BN6" s="252"/>
      <c r="BO6" s="252"/>
      <c r="BP6" s="252"/>
      <c r="BQ6" s="252"/>
      <c r="BR6" s="252"/>
      <c r="BS6" s="252"/>
      <c r="BT6" s="252"/>
      <c r="BU6" s="252"/>
      <c r="BV6" s="252"/>
      <c r="BW6" s="252"/>
      <c r="BX6" s="252"/>
      <c r="BY6" s="252"/>
      <c r="BZ6" s="252"/>
      <c r="CA6" s="252"/>
      <c r="CB6" s="252"/>
      <c r="CC6" s="252"/>
      <c r="CD6" s="252"/>
      <c r="CE6" s="252"/>
      <c r="CF6" s="252"/>
      <c r="CG6" s="252"/>
      <c r="CH6" s="252"/>
      <c r="CI6" s="252"/>
      <c r="CJ6" s="252"/>
      <c r="CK6" s="252"/>
      <c r="CL6" s="252"/>
      <c r="CM6" s="252"/>
      <c r="CN6" s="252"/>
      <c r="CO6" s="252"/>
      <c r="CP6" s="252"/>
    </row>
    <row r="7" spans="8:96" ht="50.25" customHeight="1" x14ac:dyDescent="0.25">
      <c r="H7" s="251"/>
      <c r="I7" s="251"/>
      <c r="J7" s="251"/>
      <c r="K7" s="251"/>
      <c r="L7" s="251"/>
      <c r="M7" s="251"/>
      <c r="N7" s="251"/>
      <c r="O7" s="251"/>
      <c r="P7" s="251"/>
      <c r="Q7" s="252"/>
      <c r="R7" s="252"/>
      <c r="S7" s="252"/>
      <c r="T7" s="252"/>
      <c r="U7" s="252"/>
      <c r="V7" s="816" t="s">
        <v>352</v>
      </c>
      <c r="W7" s="816"/>
      <c r="X7" s="816"/>
      <c r="Y7" s="816"/>
      <c r="Z7" s="816"/>
      <c r="AA7" s="816"/>
      <c r="AB7" s="816"/>
      <c r="AC7" s="816"/>
      <c r="AD7" s="816"/>
      <c r="AE7" s="816"/>
      <c r="AF7" s="816"/>
      <c r="AG7" s="816"/>
      <c r="AH7" s="816"/>
      <c r="AI7" s="816"/>
      <c r="AJ7" s="816"/>
      <c r="AK7" s="816"/>
      <c r="AL7" s="816"/>
      <c r="AM7" s="816"/>
      <c r="AN7" s="816"/>
      <c r="AO7" s="816"/>
      <c r="AP7" s="816"/>
      <c r="AQ7" s="816"/>
      <c r="AR7" s="816"/>
      <c r="AS7" s="816"/>
      <c r="AT7" s="816"/>
      <c r="AU7" s="816"/>
      <c r="AV7" s="816"/>
      <c r="AW7" s="816"/>
      <c r="AX7" s="816"/>
      <c r="AY7" s="816"/>
      <c r="AZ7" s="816"/>
      <c r="BA7" s="816"/>
      <c r="BB7" s="816"/>
      <c r="BC7" s="816"/>
      <c r="BD7" s="816"/>
      <c r="BE7" s="816"/>
      <c r="BF7" s="816"/>
      <c r="BG7" s="816"/>
      <c r="BH7" s="816"/>
      <c r="BI7" s="816"/>
      <c r="BJ7" s="816"/>
      <c r="BK7" s="816"/>
      <c r="BL7" s="816"/>
      <c r="BM7" s="816"/>
      <c r="BN7" s="816"/>
      <c r="BO7" s="816"/>
      <c r="BP7" s="816"/>
      <c r="BQ7" s="816"/>
      <c r="BR7" s="816"/>
      <c r="BS7" s="816"/>
      <c r="BT7" s="816"/>
      <c r="BU7" s="816"/>
      <c r="BV7" s="816"/>
      <c r="BW7" s="816"/>
      <c r="BX7" s="816"/>
      <c r="BY7" s="252"/>
      <c r="BZ7" s="252"/>
      <c r="CA7" s="252"/>
      <c r="CB7" s="252"/>
      <c r="CC7" s="252"/>
      <c r="CD7" s="252"/>
      <c r="CE7" s="252"/>
      <c r="CF7" s="252"/>
      <c r="CG7" s="252"/>
      <c r="CH7" s="252"/>
      <c r="CI7" s="252"/>
      <c r="CJ7" s="252"/>
      <c r="CK7" s="252"/>
      <c r="CL7" s="252"/>
      <c r="CM7" s="252"/>
      <c r="CN7" s="252"/>
      <c r="CO7" s="252"/>
      <c r="CP7" s="252"/>
    </row>
    <row r="8" spans="8:96" ht="20.25" x14ac:dyDescent="0.25">
      <c r="H8" s="251"/>
      <c r="I8" s="251"/>
      <c r="J8" s="251"/>
      <c r="K8" s="251"/>
      <c r="L8" s="251"/>
      <c r="M8" s="251"/>
      <c r="N8" s="251"/>
      <c r="O8" s="251"/>
      <c r="P8" s="251"/>
      <c r="Q8" s="251"/>
      <c r="R8" s="251"/>
      <c r="S8" s="251"/>
      <c r="T8" s="251"/>
      <c r="U8" s="251"/>
      <c r="V8" s="254"/>
      <c r="W8" s="254"/>
      <c r="X8" s="254"/>
      <c r="Y8" s="254"/>
      <c r="Z8" s="254"/>
      <c r="AA8" s="254"/>
      <c r="AB8" s="254"/>
      <c r="AC8" s="254"/>
      <c r="AD8" s="254"/>
      <c r="AE8" s="254"/>
      <c r="AF8" s="254"/>
      <c r="AG8" s="254"/>
      <c r="AH8" s="254"/>
      <c r="AI8" s="254"/>
      <c r="AJ8" s="254"/>
      <c r="AK8" s="254"/>
      <c r="AL8" s="254"/>
      <c r="AM8" s="254"/>
      <c r="AN8" s="254"/>
      <c r="AO8" s="254"/>
      <c r="AP8" s="254"/>
      <c r="AQ8" s="254"/>
      <c r="AR8" s="254"/>
      <c r="AS8" s="254"/>
      <c r="AT8" s="254"/>
      <c r="AU8" s="254"/>
      <c r="AV8" s="254"/>
      <c r="AW8" s="254"/>
      <c r="AX8" s="254"/>
      <c r="AY8" s="254"/>
      <c r="AZ8" s="254"/>
      <c r="BA8" s="254"/>
      <c r="BB8" s="254"/>
      <c r="BC8" s="254"/>
      <c r="BD8" s="254"/>
      <c r="BE8" s="254"/>
      <c r="BF8" s="254"/>
      <c r="BG8" s="254"/>
      <c r="BH8" s="254"/>
      <c r="BI8" s="254"/>
      <c r="BJ8" s="254"/>
      <c r="BK8" s="254"/>
      <c r="BL8" s="254"/>
      <c r="BM8" s="254"/>
      <c r="BN8" s="254"/>
      <c r="BO8" s="254"/>
      <c r="BP8" s="254"/>
      <c r="BQ8" s="254"/>
      <c r="BR8" s="254"/>
      <c r="BS8" s="254"/>
      <c r="BT8" s="254"/>
      <c r="BU8" s="254"/>
      <c r="BV8" s="254"/>
      <c r="BW8" s="254"/>
      <c r="BX8" s="254"/>
      <c r="BY8" s="251"/>
      <c r="BZ8" s="251"/>
      <c r="CA8" s="251"/>
      <c r="CB8" s="251"/>
      <c r="CC8" s="251"/>
      <c r="CD8" s="251"/>
      <c r="CE8" s="251"/>
      <c r="CF8" s="251"/>
      <c r="CG8" s="251"/>
      <c r="CH8" s="251"/>
      <c r="CI8" s="251"/>
      <c r="CJ8" s="251"/>
      <c r="CK8" s="251"/>
      <c r="CL8" s="251"/>
      <c r="CM8" s="251"/>
      <c r="CN8" s="251"/>
      <c r="CO8" s="251"/>
      <c r="CP8" s="251"/>
    </row>
    <row r="9" spans="8:96" s="255" customFormat="1" ht="45" customHeight="1" x14ac:dyDescent="0.25">
      <c r="H9" s="256"/>
      <c r="I9" s="256"/>
      <c r="J9" s="256"/>
      <c r="K9" s="256"/>
      <c r="L9" s="256"/>
      <c r="M9" s="256"/>
      <c r="N9" s="256"/>
      <c r="O9" s="256"/>
      <c r="P9" s="256"/>
      <c r="Q9" s="817" t="s">
        <v>353</v>
      </c>
      <c r="R9" s="817"/>
      <c r="S9" s="817"/>
      <c r="T9" s="817"/>
      <c r="U9" s="817"/>
      <c r="V9" s="817"/>
      <c r="W9" s="817"/>
      <c r="X9" s="817"/>
      <c r="Y9" s="817"/>
      <c r="Z9" s="817"/>
      <c r="AA9" s="817"/>
      <c r="AB9" s="817"/>
      <c r="AC9" s="817"/>
      <c r="AD9" s="817"/>
      <c r="AE9" s="817"/>
      <c r="AF9" s="817"/>
      <c r="AG9" s="817"/>
      <c r="AH9" s="817"/>
      <c r="AI9" s="817"/>
      <c r="AJ9" s="817"/>
      <c r="AK9" s="817"/>
      <c r="AL9" s="817"/>
      <c r="AM9" s="817"/>
      <c r="AN9" s="817"/>
      <c r="AO9" s="817"/>
      <c r="AP9" s="817"/>
      <c r="AQ9" s="817"/>
      <c r="AR9" s="817"/>
      <c r="AS9" s="817"/>
      <c r="AT9" s="817"/>
      <c r="AU9" s="817"/>
      <c r="AV9" s="817"/>
      <c r="AW9" s="817"/>
      <c r="AX9" s="817"/>
      <c r="AY9" s="817"/>
      <c r="AZ9" s="817"/>
      <c r="BA9" s="817"/>
      <c r="BB9" s="817"/>
      <c r="BC9" s="817"/>
      <c r="BD9" s="817"/>
      <c r="BE9" s="817"/>
      <c r="BF9" s="817"/>
      <c r="BG9" s="817"/>
      <c r="BH9" s="817"/>
      <c r="BI9" s="817"/>
      <c r="BJ9" s="817"/>
      <c r="BK9" s="817"/>
      <c r="BL9" s="817"/>
      <c r="BM9" s="817"/>
      <c r="BN9" s="817"/>
      <c r="BO9" s="817"/>
      <c r="BP9" s="817"/>
      <c r="BQ9" s="817"/>
      <c r="BR9" s="817"/>
      <c r="BS9" s="817"/>
      <c r="BT9" s="817"/>
      <c r="BU9" s="817"/>
      <c r="BV9" s="817"/>
      <c r="BW9" s="817"/>
      <c r="BX9" s="817"/>
      <c r="BY9" s="817"/>
      <c r="BZ9" s="817"/>
      <c r="CA9" s="817"/>
      <c r="CB9" s="817"/>
      <c r="CC9" s="817"/>
      <c r="CD9" s="817"/>
      <c r="CE9" s="817"/>
      <c r="CF9" s="817"/>
      <c r="CG9" s="817"/>
      <c r="CH9" s="817"/>
      <c r="CI9" s="817"/>
      <c r="CJ9" s="817"/>
      <c r="CK9" s="817"/>
      <c r="CL9" s="817"/>
      <c r="CM9" s="817"/>
      <c r="CN9" s="817"/>
      <c r="CO9" s="817"/>
      <c r="CP9" s="817"/>
      <c r="CQ9"/>
      <c r="CR9"/>
    </row>
    <row r="10" spans="8:96" x14ac:dyDescent="0.25">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row>
    <row r="11" spans="8:96" ht="26.25" hidden="1" x14ac:dyDescent="0.4">
      <c r="H11" s="4"/>
      <c r="I11" s="4"/>
      <c r="J11" s="4"/>
      <c r="K11" s="4"/>
      <c r="L11" s="4"/>
      <c r="M11" s="4"/>
      <c r="N11" s="4"/>
      <c r="O11" s="4"/>
      <c r="P11" s="4"/>
      <c r="Q11" s="813" t="s">
        <v>354</v>
      </c>
      <c r="R11" s="813"/>
      <c r="S11" s="813"/>
      <c r="T11" s="813"/>
      <c r="U11" s="813"/>
      <c r="V11" s="813"/>
      <c r="W11" s="813"/>
      <c r="X11" s="813"/>
      <c r="Y11" s="813"/>
      <c r="Z11" s="813"/>
      <c r="AA11" s="813"/>
      <c r="AB11" s="813"/>
      <c r="AC11" s="813"/>
      <c r="AD11" s="813"/>
      <c r="AE11" s="813"/>
      <c r="AF11" s="813"/>
      <c r="AG11" s="813"/>
      <c r="AH11" s="813"/>
      <c r="AI11" s="813"/>
      <c r="AJ11" s="813"/>
      <c r="AK11" s="813"/>
      <c r="AL11" s="813"/>
      <c r="AM11" s="813"/>
      <c r="AN11" s="813"/>
      <c r="AO11" s="813"/>
      <c r="AP11" s="813"/>
      <c r="AQ11" s="813"/>
      <c r="AR11" s="813"/>
      <c r="AS11" s="813"/>
      <c r="AT11" s="813"/>
      <c r="AU11" s="813"/>
      <c r="AV11" s="813"/>
      <c r="AW11" s="813"/>
      <c r="AX11" s="813"/>
      <c r="AY11" s="813"/>
      <c r="AZ11" s="813"/>
      <c r="BA11" s="813"/>
      <c r="BB11" s="813"/>
      <c r="BC11" s="813"/>
      <c r="BD11" s="813"/>
      <c r="BE11" s="813"/>
      <c r="BF11" s="813"/>
      <c r="BG11" s="813"/>
      <c r="BH11" s="813"/>
      <c r="BI11" s="813"/>
      <c r="BJ11" s="813"/>
      <c r="BK11" s="813"/>
      <c r="BL11" s="813"/>
      <c r="BM11" s="813"/>
      <c r="BN11" s="813"/>
      <c r="BO11" s="813"/>
      <c r="BP11" s="813"/>
      <c r="BQ11" s="813"/>
      <c r="BR11" s="813"/>
      <c r="BS11" s="813"/>
      <c r="BT11" s="813"/>
      <c r="BU11" s="813"/>
      <c r="BV11" s="813"/>
      <c r="BW11" s="813"/>
      <c r="BX11" s="813"/>
      <c r="BY11" s="813"/>
      <c r="BZ11" s="813"/>
      <c r="CA11" s="813"/>
      <c r="CB11" s="813"/>
      <c r="CC11" s="813"/>
      <c r="CD11" s="813"/>
      <c r="CE11" s="813"/>
      <c r="CF11" s="813"/>
      <c r="CG11" s="813"/>
      <c r="CH11" s="813"/>
      <c r="CI11" s="813"/>
      <c r="CJ11" s="813"/>
      <c r="CK11" s="813"/>
      <c r="CL11" s="813"/>
      <c r="CM11" s="813"/>
      <c r="CN11" s="813"/>
      <c r="CO11" s="813"/>
      <c r="CP11" s="813"/>
    </row>
    <row r="12" spans="8:96" ht="26.25" hidden="1" x14ac:dyDescent="0.4">
      <c r="H12" s="4"/>
      <c r="I12" s="4"/>
      <c r="J12" s="4"/>
      <c r="K12" s="4"/>
      <c r="L12" s="4"/>
      <c r="M12" s="4"/>
      <c r="N12" s="4"/>
      <c r="O12" s="4"/>
      <c r="P12" s="4"/>
      <c r="Q12" s="813" t="s">
        <v>355</v>
      </c>
      <c r="R12" s="813"/>
      <c r="S12" s="813"/>
      <c r="T12" s="813"/>
      <c r="U12" s="813"/>
      <c r="V12" s="813"/>
      <c r="W12" s="813"/>
      <c r="X12" s="813"/>
      <c r="Y12" s="813"/>
      <c r="Z12" s="813"/>
      <c r="AA12" s="813"/>
      <c r="AB12" s="813"/>
      <c r="AC12" s="813"/>
      <c r="AD12" s="813"/>
      <c r="AE12" s="813"/>
      <c r="AF12" s="813"/>
      <c r="AG12" s="813"/>
      <c r="AH12" s="813"/>
      <c r="AI12" s="813"/>
      <c r="AJ12" s="813"/>
      <c r="AK12" s="813"/>
      <c r="AL12" s="813"/>
      <c r="AM12" s="813"/>
      <c r="AN12" s="813"/>
      <c r="AO12" s="813"/>
      <c r="AP12" s="813"/>
      <c r="AQ12" s="813"/>
      <c r="AR12" s="813"/>
      <c r="AS12" s="813"/>
      <c r="AT12" s="813"/>
      <c r="AU12" s="813"/>
      <c r="AV12" s="813"/>
      <c r="AW12" s="813"/>
      <c r="AX12" s="813"/>
      <c r="AY12" s="813"/>
      <c r="AZ12" s="813"/>
      <c r="BA12" s="813"/>
      <c r="BB12" s="813"/>
      <c r="BC12" s="813"/>
      <c r="BD12" s="813"/>
      <c r="BE12" s="813"/>
      <c r="BF12" s="813"/>
      <c r="BG12" s="813"/>
      <c r="BH12" s="813"/>
      <c r="BI12" s="813"/>
      <c r="BJ12" s="813"/>
      <c r="BK12" s="813"/>
      <c r="BL12" s="813"/>
      <c r="BM12" s="813"/>
      <c r="BN12" s="813"/>
      <c r="BO12" s="813"/>
      <c r="BP12" s="813"/>
      <c r="BQ12" s="813"/>
      <c r="BR12" s="813"/>
      <c r="BS12" s="813"/>
      <c r="BT12" s="813"/>
      <c r="BU12" s="813"/>
      <c r="BV12" s="813"/>
      <c r="BW12" s="813"/>
      <c r="BX12" s="813"/>
      <c r="BY12" s="813"/>
      <c r="BZ12" s="813"/>
      <c r="CA12" s="813"/>
      <c r="CB12" s="813"/>
      <c r="CC12" s="813"/>
      <c r="CD12" s="813"/>
      <c r="CE12" s="813"/>
      <c r="CF12" s="813"/>
      <c r="CG12" s="813"/>
      <c r="CH12" s="813"/>
      <c r="CI12" s="813"/>
      <c r="CJ12" s="813"/>
      <c r="CK12" s="813"/>
      <c r="CL12" s="813"/>
      <c r="CM12" s="813"/>
      <c r="CN12" s="813"/>
      <c r="CO12" s="813"/>
      <c r="CP12" s="813"/>
    </row>
    <row r="13" spans="8:96" hidden="1" x14ac:dyDescent="0.25">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row>
    <row r="14" spans="8:96" ht="12" customHeight="1" x14ac:dyDescent="0.4">
      <c r="H14" s="257"/>
      <c r="I14" s="257"/>
      <c r="J14" s="257"/>
      <c r="K14" s="257"/>
      <c r="L14" s="257"/>
      <c r="M14" s="257"/>
      <c r="N14" s="257"/>
      <c r="O14" s="257"/>
      <c r="P14" s="257"/>
      <c r="Q14" s="258"/>
      <c r="R14" s="258"/>
      <c r="S14" s="258"/>
      <c r="T14" s="258"/>
      <c r="U14" s="258"/>
      <c r="V14" s="258"/>
      <c r="W14" s="258"/>
      <c r="X14" s="258"/>
      <c r="Y14" s="258"/>
      <c r="Z14" s="258"/>
      <c r="AA14" s="258"/>
      <c r="AB14" s="258"/>
      <c r="AC14" s="258"/>
      <c r="AD14" s="258"/>
      <c r="AE14" s="258"/>
      <c r="AF14" s="258"/>
      <c r="AG14" s="258"/>
      <c r="AH14" s="258"/>
      <c r="AI14" s="258"/>
      <c r="AJ14" s="258"/>
      <c r="AK14" s="258"/>
      <c r="AL14" s="258"/>
      <c r="AM14" s="258"/>
      <c r="AN14" s="258"/>
      <c r="AO14" s="258"/>
      <c r="AP14" s="258"/>
      <c r="AQ14" s="258"/>
      <c r="AR14" s="258"/>
      <c r="AS14" s="258"/>
      <c r="AT14" s="258"/>
      <c r="AU14" s="258"/>
      <c r="AV14" s="258"/>
      <c r="AW14" s="258"/>
      <c r="AX14" s="258"/>
      <c r="AY14" s="258"/>
      <c r="AZ14" s="258"/>
      <c r="BA14" s="258"/>
      <c r="BB14" s="258"/>
      <c r="BC14" s="258"/>
      <c r="BD14" s="258"/>
      <c r="BE14" s="258"/>
      <c r="BF14" s="258"/>
      <c r="BG14" s="258"/>
      <c r="BH14" s="258"/>
      <c r="BI14" s="258"/>
      <c r="BJ14" s="258"/>
      <c r="BK14" s="258"/>
      <c r="BL14" s="258"/>
      <c r="BM14" s="258"/>
      <c r="BN14" s="258"/>
      <c r="BO14" s="258"/>
      <c r="BP14" s="258"/>
      <c r="BQ14" s="258"/>
      <c r="BR14" s="258"/>
      <c r="BS14" s="258"/>
      <c r="BT14" s="258"/>
      <c r="BU14" s="258"/>
      <c r="BV14" s="258"/>
      <c r="BW14" s="258"/>
      <c r="BX14" s="258"/>
      <c r="BY14" s="258"/>
      <c r="BZ14" s="258"/>
      <c r="CA14" s="258"/>
      <c r="CB14" s="258"/>
      <c r="CC14" s="258"/>
      <c r="CD14" s="258"/>
      <c r="CE14" s="258"/>
      <c r="CF14" s="258"/>
      <c r="CG14" s="258"/>
      <c r="CH14" s="258"/>
      <c r="CI14" s="258"/>
      <c r="CJ14" s="258"/>
      <c r="CK14" s="258"/>
      <c r="CL14" s="258"/>
      <c r="CM14" s="258"/>
      <c r="CN14" s="258"/>
      <c r="CO14" s="258"/>
      <c r="CP14" s="258"/>
    </row>
    <row r="15" spans="8:96" ht="30" x14ac:dyDescent="0.4">
      <c r="H15" s="257"/>
      <c r="I15" s="257"/>
      <c r="J15" s="257"/>
      <c r="K15" s="257"/>
      <c r="L15" s="257"/>
      <c r="M15" s="257"/>
      <c r="N15" s="257"/>
      <c r="O15" s="257"/>
      <c r="P15" s="257"/>
      <c r="Q15" s="259"/>
      <c r="R15" s="259"/>
      <c r="S15" s="259"/>
      <c r="T15" s="259"/>
      <c r="U15" s="259"/>
      <c r="V15" s="260" t="s">
        <v>356</v>
      </c>
      <c r="W15" s="260"/>
      <c r="X15" s="260"/>
      <c r="Y15" s="260"/>
      <c r="Z15" s="260"/>
      <c r="AA15" s="260"/>
      <c r="AB15" s="260"/>
      <c r="AC15" s="260"/>
      <c r="AD15" s="260"/>
      <c r="AE15" s="260"/>
      <c r="AF15" s="260"/>
      <c r="AG15" s="260"/>
      <c r="AH15" s="260"/>
      <c r="AI15" s="260"/>
      <c r="AJ15" s="260"/>
      <c r="AK15" s="260"/>
      <c r="AL15" s="260"/>
      <c r="AM15" s="260"/>
      <c r="AN15" s="260"/>
      <c r="AO15" s="260"/>
      <c r="AP15" s="260"/>
      <c r="AQ15" s="260"/>
      <c r="AR15" s="260"/>
      <c r="AS15" s="260"/>
      <c r="AT15" s="260"/>
      <c r="AU15" s="260"/>
      <c r="AV15" s="260"/>
      <c r="AW15" s="260"/>
      <c r="AX15" s="260"/>
      <c r="AY15" s="260"/>
      <c r="AZ15" s="260"/>
      <c r="BA15" s="260"/>
      <c r="BB15" s="260"/>
      <c r="BC15" s="260"/>
      <c r="BD15" s="260"/>
      <c r="BE15" s="260"/>
      <c r="BF15" s="260"/>
      <c r="BG15" s="260"/>
      <c r="BH15" s="260"/>
      <c r="BI15" s="260"/>
      <c r="BJ15" s="260"/>
      <c r="BK15" s="260"/>
      <c r="BL15" s="260"/>
      <c r="BM15" s="260"/>
      <c r="BN15" s="260"/>
      <c r="BO15" s="260"/>
      <c r="BP15" s="260"/>
      <c r="BQ15" s="260"/>
      <c r="BR15" s="260"/>
      <c r="BS15" s="260"/>
      <c r="BT15" s="260"/>
      <c r="BU15" s="260"/>
      <c r="BV15" s="260"/>
      <c r="BW15" s="260"/>
      <c r="BX15" s="260"/>
      <c r="BY15" s="260"/>
      <c r="BZ15" s="260"/>
      <c r="CA15" s="260"/>
      <c r="CB15" s="260"/>
      <c r="CC15" s="260"/>
      <c r="CD15" s="260"/>
      <c r="CE15" s="260"/>
      <c r="CF15" s="260"/>
      <c r="CG15" s="260"/>
      <c r="CH15" s="260"/>
      <c r="CI15" s="260"/>
      <c r="CJ15" s="261"/>
      <c r="CK15" s="261"/>
      <c r="CL15" s="261"/>
      <c r="CM15" s="259"/>
      <c r="CN15" s="259"/>
      <c r="CO15" s="259"/>
      <c r="CP15" s="259"/>
    </row>
    <row r="16" spans="8:96" x14ac:dyDescent="0.25">
      <c r="H16" s="4"/>
      <c r="I16" s="4"/>
      <c r="J16" s="4"/>
      <c r="K16" s="4"/>
      <c r="L16" s="4"/>
      <c r="M16" s="4"/>
      <c r="N16" s="4"/>
      <c r="O16" s="4"/>
      <c r="P16" s="4"/>
      <c r="Q16" s="262"/>
      <c r="R16" s="262"/>
      <c r="S16" s="262"/>
      <c r="T16" s="262"/>
      <c r="U16" s="262"/>
      <c r="V16" s="262"/>
      <c r="W16" s="262"/>
      <c r="X16" s="262"/>
      <c r="Y16" s="262"/>
      <c r="Z16" s="262"/>
      <c r="AA16" s="262"/>
      <c r="AB16" s="262"/>
      <c r="AC16" s="262"/>
      <c r="AD16" s="262"/>
      <c r="AE16" s="262"/>
      <c r="AF16" s="262"/>
      <c r="AG16" s="262"/>
      <c r="AH16" s="262"/>
      <c r="AI16" s="262"/>
      <c r="AJ16" s="262"/>
      <c r="AK16" s="262"/>
      <c r="AL16" s="262"/>
      <c r="AM16" s="262"/>
      <c r="AN16" s="262"/>
      <c r="AO16" s="262"/>
      <c r="AP16" s="262"/>
      <c r="AQ16" s="262"/>
      <c r="AR16" s="262"/>
      <c r="AS16" s="262"/>
      <c r="AT16" s="262"/>
      <c r="AU16" s="262"/>
      <c r="AV16" s="262"/>
      <c r="AW16" s="262"/>
      <c r="AX16" s="262"/>
      <c r="AY16" s="262"/>
      <c r="AZ16" s="262"/>
      <c r="BA16" s="262"/>
      <c r="BB16" s="262"/>
      <c r="BC16" s="262"/>
      <c r="BD16" s="262"/>
      <c r="BE16" s="262"/>
      <c r="BF16" s="262"/>
      <c r="BG16" s="262"/>
      <c r="BH16" s="262"/>
      <c r="BI16" s="262"/>
      <c r="BJ16" s="262"/>
      <c r="BK16" s="262"/>
      <c r="BL16" s="262"/>
      <c r="BM16" s="262"/>
      <c r="BN16" s="262"/>
      <c r="BO16" s="262"/>
      <c r="BP16" s="262"/>
      <c r="BQ16" s="262"/>
      <c r="BR16" s="262"/>
      <c r="BS16" s="262"/>
      <c r="BT16" s="262"/>
      <c r="BU16" s="262"/>
      <c r="BV16" s="262"/>
      <c r="BW16" s="262"/>
      <c r="BX16" s="262"/>
      <c r="BY16" s="262"/>
      <c r="BZ16" s="262"/>
      <c r="CA16" s="262"/>
      <c r="CB16" s="262"/>
      <c r="CC16" s="262"/>
      <c r="CD16" s="262"/>
      <c r="CE16" s="262"/>
      <c r="CF16" s="262"/>
      <c r="CG16" s="262"/>
      <c r="CH16" s="262"/>
      <c r="CI16" s="262"/>
      <c r="CJ16" s="262"/>
      <c r="CK16" s="262"/>
      <c r="CL16" s="262"/>
      <c r="CM16" s="262"/>
      <c r="CN16" s="262"/>
      <c r="CO16" s="262"/>
      <c r="CP16" s="262"/>
    </row>
    <row r="17" spans="1:99" ht="18" x14ac:dyDescent="0.25">
      <c r="H17" s="30"/>
      <c r="I17" s="30"/>
      <c r="J17" s="30"/>
      <c r="K17" s="30"/>
      <c r="L17" s="30"/>
      <c r="M17" s="30"/>
      <c r="N17" s="30"/>
      <c r="O17" s="30"/>
      <c r="P17" s="30"/>
      <c r="Q17" s="263"/>
      <c r="R17" s="263"/>
      <c r="S17" s="263"/>
      <c r="T17" s="263"/>
      <c r="U17" s="263"/>
      <c r="V17" s="264" t="s">
        <v>357</v>
      </c>
      <c r="W17" s="264"/>
      <c r="X17" s="264"/>
      <c r="Y17" s="264"/>
      <c r="Z17" s="264"/>
      <c r="AA17" s="264"/>
      <c r="AB17" s="264"/>
      <c r="AC17" s="264"/>
      <c r="AD17" s="264"/>
      <c r="AE17" s="264"/>
      <c r="AF17" s="264"/>
      <c r="AG17" s="264"/>
      <c r="AH17" s="264"/>
      <c r="AI17" s="264"/>
      <c r="AJ17" s="264"/>
      <c r="AK17" s="264"/>
      <c r="AL17" s="264"/>
      <c r="AM17" s="264"/>
      <c r="AN17" s="264"/>
      <c r="AO17" s="264"/>
      <c r="AP17" s="264"/>
      <c r="AQ17" s="264"/>
      <c r="AR17" s="264"/>
      <c r="AS17" s="264"/>
      <c r="AT17" s="264"/>
      <c r="AU17" s="264"/>
      <c r="AV17" s="264"/>
      <c r="AW17" s="264"/>
      <c r="AX17" s="264"/>
      <c r="AY17" s="264"/>
      <c r="AZ17" s="264"/>
      <c r="BA17" s="264"/>
      <c r="BB17" s="264"/>
      <c r="BC17" s="264"/>
      <c r="BD17" s="264"/>
      <c r="BE17" s="264"/>
      <c r="BF17" s="264"/>
      <c r="BG17" s="264"/>
      <c r="BH17" s="263"/>
      <c r="BI17" s="263"/>
      <c r="BJ17" s="263"/>
      <c r="BK17" s="263"/>
      <c r="BL17" s="263"/>
      <c r="BM17" s="263"/>
      <c r="BN17" s="263"/>
      <c r="BO17" s="263"/>
      <c r="BP17" s="263"/>
      <c r="BQ17" s="263"/>
      <c r="BR17" s="263"/>
      <c r="BS17" s="263"/>
      <c r="BT17" s="263"/>
      <c r="BU17" s="263"/>
      <c r="BV17" s="263"/>
      <c r="BW17" s="263"/>
      <c r="BX17" s="263"/>
      <c r="BY17" s="263"/>
      <c r="BZ17" s="263"/>
      <c r="CA17" s="263"/>
      <c r="CB17" s="263"/>
      <c r="CC17" s="263"/>
      <c r="CD17" s="263"/>
      <c r="CE17" s="263"/>
      <c r="CF17" s="263"/>
      <c r="CG17" s="263"/>
      <c r="CH17" s="263"/>
      <c r="CI17" s="263"/>
      <c r="CJ17" s="263"/>
      <c r="CK17" s="263"/>
      <c r="CL17" s="263"/>
      <c r="CM17" s="263"/>
      <c r="CN17" s="263"/>
      <c r="CO17" s="263"/>
      <c r="CP17" s="263"/>
    </row>
    <row r="18" spans="1:99" x14ac:dyDescent="0.25">
      <c r="H18" s="30"/>
      <c r="I18" s="30"/>
      <c r="J18" s="30"/>
      <c r="K18" s="30"/>
      <c r="L18" s="30"/>
      <c r="M18" s="30"/>
      <c r="N18" s="30"/>
      <c r="O18" s="30"/>
      <c r="P18" s="30"/>
      <c r="Q18" s="263"/>
      <c r="R18" s="263"/>
      <c r="S18" s="263"/>
      <c r="T18" s="263"/>
      <c r="U18" s="263"/>
      <c r="V18" s="263"/>
      <c r="W18" s="263"/>
      <c r="X18" s="263"/>
      <c r="Y18" s="263"/>
      <c r="Z18" s="263"/>
      <c r="AA18" s="263"/>
      <c r="AB18" s="263"/>
      <c r="AC18" s="263"/>
      <c r="AD18" s="263"/>
      <c r="AE18" s="263"/>
      <c r="AF18" s="263"/>
      <c r="AG18" s="263"/>
      <c r="AH18" s="263"/>
      <c r="AI18" s="263"/>
      <c r="AJ18" s="263"/>
      <c r="AK18" s="263"/>
      <c r="AL18" s="263"/>
      <c r="AM18" s="263"/>
      <c r="AN18" s="263"/>
      <c r="AO18" s="263"/>
      <c r="AP18" s="263"/>
      <c r="AQ18" s="263"/>
      <c r="AR18" s="263"/>
      <c r="AS18" s="263"/>
      <c r="AT18" s="263"/>
      <c r="AU18" s="263"/>
      <c r="AV18" s="263"/>
      <c r="AW18" s="263"/>
      <c r="AX18" s="263"/>
      <c r="AY18" s="263"/>
      <c r="AZ18" s="263"/>
      <c r="BA18" s="263"/>
      <c r="BB18" s="263"/>
      <c r="BC18" s="263"/>
      <c r="BD18" s="263"/>
      <c r="BE18" s="263"/>
      <c r="BF18" s="263"/>
      <c r="BG18" s="263"/>
      <c r="BH18" s="263"/>
      <c r="BI18" s="263"/>
      <c r="BJ18" s="263"/>
      <c r="BK18" s="263"/>
      <c r="BL18" s="263"/>
      <c r="BM18" s="263"/>
      <c r="BN18" s="263"/>
      <c r="BO18" s="263"/>
      <c r="BP18" s="263"/>
      <c r="BQ18" s="263"/>
      <c r="BR18" s="263"/>
      <c r="BS18" s="263"/>
      <c r="BT18" s="263"/>
      <c r="BU18" s="263"/>
      <c r="BV18" s="263"/>
      <c r="BW18" s="263"/>
      <c r="BX18" s="263"/>
      <c r="BY18" s="263"/>
      <c r="BZ18" s="263"/>
      <c r="CA18" s="263"/>
      <c r="CB18" s="263"/>
      <c r="CC18" s="263"/>
      <c r="CD18" s="263"/>
      <c r="CE18" s="263"/>
      <c r="CF18" s="263"/>
      <c r="CG18" s="263"/>
      <c r="CH18" s="263"/>
      <c r="CI18" s="263"/>
      <c r="CJ18" s="263"/>
      <c r="CK18" s="263"/>
      <c r="CL18" s="263"/>
      <c r="CM18" s="263"/>
      <c r="CN18" s="263"/>
      <c r="CO18" s="263"/>
      <c r="CP18" s="263"/>
    </row>
    <row r="19" spans="1:99" s="75" customFormat="1" ht="27.75" customHeight="1" x14ac:dyDescent="0.25">
      <c r="A19"/>
      <c r="H19" s="203"/>
      <c r="I19" s="203"/>
      <c r="J19" s="203"/>
      <c r="K19" s="203"/>
      <c r="L19" s="203"/>
      <c r="M19" s="203"/>
      <c r="N19" s="203"/>
      <c r="O19" s="203"/>
      <c r="P19" s="203"/>
      <c r="Q19" s="265"/>
      <c r="R19" s="265"/>
      <c r="S19" s="265"/>
      <c r="T19" s="265"/>
      <c r="U19" s="265"/>
      <c r="V19" s="818" t="s">
        <v>358</v>
      </c>
      <c r="W19" s="818"/>
      <c r="X19" s="818"/>
      <c r="Y19" s="818"/>
      <c r="Z19" s="818"/>
      <c r="AA19" s="818"/>
      <c r="AB19" s="818"/>
      <c r="AC19" s="818"/>
      <c r="AD19" s="818"/>
      <c r="AE19" s="818"/>
      <c r="AF19" s="818"/>
      <c r="AG19" s="818"/>
      <c r="AH19" s="818"/>
      <c r="AI19" s="818"/>
      <c r="AJ19" s="818"/>
      <c r="AK19" s="265"/>
      <c r="AL19" s="819" t="s">
        <v>119</v>
      </c>
      <c r="AM19" s="819"/>
      <c r="AN19" s="819"/>
      <c r="AO19" s="819"/>
      <c r="AP19" s="819"/>
      <c r="AQ19" s="819"/>
      <c r="AR19" s="819"/>
      <c r="AS19" s="819"/>
      <c r="AT19" s="819"/>
      <c r="AU19" s="819"/>
      <c r="AV19" s="819"/>
      <c r="AW19" s="819"/>
      <c r="AX19" s="819"/>
      <c r="AY19" s="819"/>
      <c r="AZ19" s="819"/>
      <c r="BA19" s="819"/>
      <c r="BB19" s="819"/>
      <c r="BC19" s="819"/>
      <c r="BD19" s="819"/>
      <c r="BE19" s="819"/>
      <c r="BF19" s="819"/>
      <c r="BG19" s="819"/>
      <c r="BH19" s="265"/>
      <c r="BI19" s="265"/>
      <c r="BJ19" s="265"/>
      <c r="BK19" s="265"/>
      <c r="BL19" s="265"/>
      <c r="BM19" s="265"/>
      <c r="BN19" s="265"/>
      <c r="BO19" s="265"/>
      <c r="BP19" s="265"/>
      <c r="BQ19" s="265"/>
      <c r="BR19" s="265"/>
      <c r="BS19" s="265"/>
      <c r="BT19" s="265"/>
      <c r="BU19" s="265"/>
      <c r="BV19" s="265"/>
      <c r="BW19" s="265"/>
      <c r="BX19" s="265"/>
      <c r="BY19" s="265"/>
      <c r="BZ19" s="265"/>
      <c r="CA19" s="265"/>
      <c r="CB19" s="265"/>
      <c r="CC19" s="265"/>
      <c r="CD19" s="265"/>
      <c r="CE19" s="265"/>
      <c r="CF19" s="265"/>
      <c r="CG19" s="265"/>
      <c r="CH19" s="265"/>
      <c r="CI19" s="265"/>
      <c r="CJ19" s="265"/>
      <c r="CK19" s="265"/>
      <c r="CL19" s="265"/>
      <c r="CM19" s="265"/>
      <c r="CN19" s="265"/>
      <c r="CO19" s="265"/>
      <c r="CP19" s="265"/>
      <c r="CQ19"/>
      <c r="CR19"/>
    </row>
    <row r="20" spans="1:99" s="266" customFormat="1" ht="25.5" hidden="1" customHeight="1" x14ac:dyDescent="0.25">
      <c r="A20"/>
      <c r="H20" s="267"/>
      <c r="I20" s="267"/>
      <c r="J20" s="267"/>
      <c r="K20" s="267"/>
      <c r="L20" s="267"/>
      <c r="M20" s="267"/>
      <c r="N20" s="267"/>
      <c r="O20" s="267"/>
      <c r="P20" s="267"/>
      <c r="Q20" s="268"/>
      <c r="R20" s="268"/>
      <c r="S20" s="268"/>
      <c r="T20" s="268"/>
      <c r="U20" s="268"/>
      <c r="V20" s="820" t="s">
        <v>359</v>
      </c>
      <c r="W20" s="821"/>
      <c r="X20" s="821"/>
      <c r="Y20" s="821"/>
      <c r="Z20" s="821"/>
      <c r="AA20" s="821"/>
      <c r="AB20" s="821"/>
      <c r="AC20" s="821"/>
      <c r="AD20" s="821"/>
      <c r="AE20" s="821"/>
      <c r="AF20" s="821"/>
      <c r="AG20" s="821"/>
      <c r="AH20" s="821"/>
      <c r="AI20" s="821"/>
      <c r="AJ20" s="821"/>
      <c r="AK20" s="268"/>
      <c r="AL20" s="822">
        <f>INDEX(dms_ABN_List,MATCH(dms_TradingName,dms_TradingName_List))</f>
        <v>70064651029</v>
      </c>
      <c r="AM20" s="822"/>
      <c r="AN20" s="822"/>
      <c r="AO20" s="822"/>
      <c r="AP20" s="822"/>
      <c r="AQ20" s="822"/>
      <c r="AR20" s="822"/>
      <c r="AS20" s="822"/>
      <c r="AT20" s="822"/>
      <c r="AU20" s="822"/>
      <c r="AV20" s="822"/>
      <c r="AW20" s="822"/>
      <c r="AX20" s="268"/>
      <c r="AY20" s="268"/>
      <c r="AZ20" s="268"/>
      <c r="BA20" s="268"/>
      <c r="BB20" s="268"/>
      <c r="BC20" s="268"/>
      <c r="BD20" s="268"/>
      <c r="BE20" s="268"/>
      <c r="BF20" s="268"/>
      <c r="BG20" s="268"/>
      <c r="BH20" s="268"/>
      <c r="BI20" s="268"/>
      <c r="BJ20" s="268"/>
      <c r="BK20" s="268"/>
      <c r="BL20" s="268"/>
      <c r="BM20" s="268"/>
      <c r="BN20" s="268"/>
      <c r="BO20" s="268"/>
      <c r="BP20" s="268"/>
      <c r="BQ20" s="268"/>
      <c r="BR20" s="268"/>
      <c r="BS20" s="268"/>
      <c r="BT20" s="268"/>
      <c r="BU20" s="268"/>
      <c r="BV20" s="268"/>
      <c r="BW20" s="268"/>
      <c r="BX20" s="268"/>
      <c r="BY20" s="268"/>
      <c r="BZ20" s="268"/>
      <c r="CA20" s="268"/>
      <c r="CB20" s="268"/>
      <c r="CC20" s="268"/>
      <c r="CD20" s="268"/>
      <c r="CE20" s="268"/>
      <c r="CF20" s="268"/>
      <c r="CG20" s="268"/>
      <c r="CH20" s="268"/>
      <c r="CI20" s="268"/>
      <c r="CJ20" s="268"/>
      <c r="CK20" s="268"/>
      <c r="CL20" s="268"/>
      <c r="CM20" s="268"/>
      <c r="CN20" s="268"/>
      <c r="CO20" s="268"/>
      <c r="CP20" s="268"/>
      <c r="CQ20"/>
      <c r="CR20"/>
    </row>
    <row r="21" spans="1:99" ht="18" hidden="1" x14ac:dyDescent="0.25">
      <c r="H21" s="30"/>
      <c r="I21" s="30"/>
      <c r="J21" s="30"/>
      <c r="K21" s="30"/>
      <c r="L21" s="30"/>
      <c r="M21" s="30"/>
      <c r="N21" s="30"/>
      <c r="O21" s="30"/>
      <c r="P21" s="30"/>
      <c r="Q21" s="263"/>
      <c r="R21" s="263"/>
      <c r="S21" s="263"/>
      <c r="T21" s="263"/>
      <c r="U21" s="263"/>
      <c r="V21" s="820" t="s">
        <v>360</v>
      </c>
      <c r="W21" s="821"/>
      <c r="X21" s="821"/>
      <c r="Y21" s="821"/>
      <c r="Z21" s="821"/>
      <c r="AA21" s="821"/>
      <c r="AB21" s="821"/>
      <c r="AC21" s="821"/>
      <c r="AD21" s="821"/>
      <c r="AE21" s="821"/>
      <c r="AF21" s="821"/>
      <c r="AG21" s="821"/>
      <c r="AH21" s="821"/>
      <c r="AI21" s="821"/>
      <c r="AJ21" s="821"/>
      <c r="AK21" s="268"/>
      <c r="AL21" s="822" t="str">
        <f>INDEX(dms_UID_List,MATCH(dms_TradingName,dms_TradingName_List))</f>
        <v>EDDVIC500</v>
      </c>
      <c r="AM21" s="822"/>
      <c r="AN21" s="822"/>
      <c r="AO21" s="822"/>
      <c r="AP21" s="822"/>
      <c r="AQ21" s="822"/>
      <c r="AR21" s="822"/>
      <c r="AS21" s="822"/>
      <c r="AT21" s="822"/>
      <c r="AU21" s="822"/>
      <c r="AV21" s="822"/>
      <c r="AW21" s="822"/>
      <c r="AX21" s="263"/>
      <c r="AY21" s="263"/>
      <c r="AZ21" s="263"/>
      <c r="BA21" s="263"/>
      <c r="BB21" s="263"/>
      <c r="BC21" s="263"/>
      <c r="BD21" s="263"/>
      <c r="BE21" s="263"/>
      <c r="BF21" s="263"/>
      <c r="BG21" s="263"/>
      <c r="BH21" s="263"/>
      <c r="BI21" s="263"/>
      <c r="BJ21" s="263"/>
      <c r="BK21" s="263"/>
      <c r="BL21" s="263"/>
      <c r="BM21" s="263"/>
      <c r="BN21" s="263"/>
      <c r="BO21" s="263"/>
      <c r="BP21" s="263"/>
      <c r="BQ21" s="263"/>
      <c r="BR21" s="263"/>
      <c r="BS21" s="263"/>
      <c r="BT21" s="263"/>
      <c r="BU21" s="263"/>
      <c r="BV21" s="263"/>
      <c r="BW21" s="263"/>
      <c r="BX21" s="263"/>
      <c r="BY21" s="263"/>
      <c r="BZ21" s="263"/>
      <c r="CA21" s="263"/>
      <c r="CB21" s="263"/>
      <c r="CC21" s="263"/>
      <c r="CD21" s="263"/>
      <c r="CE21" s="263"/>
      <c r="CF21" s="263"/>
      <c r="CG21" s="263"/>
      <c r="CH21" s="263"/>
      <c r="CI21" s="263"/>
      <c r="CJ21" s="263"/>
      <c r="CK21" s="263"/>
      <c r="CL21" s="263"/>
      <c r="CM21" s="263"/>
      <c r="CN21" s="263"/>
      <c r="CO21" s="263"/>
      <c r="CP21" s="263"/>
    </row>
    <row r="22" spans="1:99" x14ac:dyDescent="0.25">
      <c r="H22" s="30"/>
      <c r="I22" s="30"/>
      <c r="J22" s="30"/>
      <c r="K22" s="30"/>
      <c r="L22" s="30"/>
      <c r="M22" s="30"/>
      <c r="N22" s="30"/>
      <c r="O22" s="30"/>
      <c r="P22" s="30"/>
      <c r="Q22" s="263"/>
      <c r="R22" s="263"/>
      <c r="S22" s="263"/>
      <c r="T22" s="263"/>
      <c r="U22" s="263"/>
      <c r="V22" s="263"/>
      <c r="W22" s="263"/>
      <c r="X22" s="263"/>
      <c r="Y22" s="263"/>
      <c r="Z22" s="263"/>
      <c r="AA22" s="263"/>
      <c r="AB22" s="263"/>
      <c r="AC22" s="269"/>
      <c r="AD22" s="263"/>
      <c r="AE22" s="263"/>
      <c r="AF22" s="263"/>
      <c r="AG22" s="263"/>
      <c r="AH22" s="263"/>
      <c r="AI22" s="263"/>
      <c r="AJ22" s="263"/>
      <c r="AK22" s="263"/>
      <c r="AL22" s="263"/>
      <c r="AM22" s="263"/>
      <c r="AN22" s="263"/>
      <c r="AO22" s="263"/>
      <c r="AP22" s="263"/>
      <c r="AQ22" s="263"/>
      <c r="AR22" s="263"/>
      <c r="AS22" s="263"/>
      <c r="AT22" s="263"/>
      <c r="AU22" s="263"/>
      <c r="AV22" s="263"/>
      <c r="AW22" s="263"/>
      <c r="AX22" s="263"/>
      <c r="AY22" s="263"/>
      <c r="AZ22" s="263"/>
      <c r="BA22" s="263"/>
      <c r="BB22" s="263"/>
      <c r="BC22" s="263"/>
      <c r="BD22" s="263"/>
      <c r="BE22" s="263"/>
      <c r="BF22" s="263"/>
      <c r="BG22" s="263"/>
      <c r="BH22" s="263"/>
      <c r="BI22" s="263"/>
      <c r="BJ22" s="263"/>
      <c r="BK22" s="263"/>
      <c r="BL22" s="263"/>
      <c r="BM22" s="263"/>
      <c r="BN22" s="263"/>
      <c r="BO22" s="263"/>
      <c r="BP22" s="263"/>
      <c r="BQ22" s="263"/>
      <c r="BR22" s="263"/>
      <c r="BS22" s="263"/>
      <c r="BT22" s="263"/>
      <c r="BU22" s="263"/>
      <c r="BV22" s="263"/>
      <c r="BW22" s="263"/>
      <c r="BX22" s="263"/>
      <c r="BY22" s="263"/>
      <c r="BZ22" s="263"/>
      <c r="CA22" s="263"/>
      <c r="CB22" s="263"/>
      <c r="CC22" s="263"/>
      <c r="CD22" s="263"/>
      <c r="CE22" s="263"/>
      <c r="CF22" s="263"/>
      <c r="CG22" s="263"/>
      <c r="CH22" s="263"/>
      <c r="CI22" s="263"/>
      <c r="CJ22" s="263"/>
      <c r="CK22" s="263"/>
      <c r="CL22" s="263"/>
      <c r="CM22" s="263"/>
      <c r="CN22" s="263"/>
      <c r="CO22" s="263"/>
      <c r="CP22" s="263"/>
    </row>
    <row r="23" spans="1:99" x14ac:dyDescent="0.25">
      <c r="H23" s="30"/>
      <c r="I23" s="30"/>
      <c r="J23" s="30"/>
      <c r="K23" s="30"/>
      <c r="L23" s="30"/>
      <c r="M23" s="30"/>
      <c r="N23" s="30"/>
      <c r="O23" s="30"/>
      <c r="P23" s="30"/>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63"/>
      <c r="AQ23" s="263"/>
      <c r="AR23" s="263"/>
      <c r="AS23" s="263"/>
      <c r="AT23" s="263"/>
      <c r="AU23" s="263"/>
      <c r="AV23" s="263"/>
      <c r="AW23" s="263"/>
      <c r="AX23" s="263"/>
      <c r="AY23" s="263"/>
      <c r="AZ23" s="263"/>
      <c r="BA23" s="263"/>
      <c r="BB23" s="263"/>
      <c r="BC23" s="263"/>
      <c r="BD23" s="263"/>
      <c r="BE23" s="263"/>
      <c r="BF23" s="263"/>
      <c r="BG23" s="263"/>
      <c r="BH23" s="263"/>
      <c r="BI23" s="263"/>
      <c r="BJ23" s="263"/>
      <c r="BK23" s="263"/>
      <c r="BL23" s="263"/>
      <c r="BM23" s="263"/>
      <c r="BN23" s="263"/>
      <c r="BO23" s="263"/>
      <c r="BP23" s="263"/>
      <c r="BQ23" s="263"/>
      <c r="BR23" s="263"/>
      <c r="BS23" s="263"/>
      <c r="BT23" s="263"/>
      <c r="BU23" s="263"/>
      <c r="BV23" s="263"/>
      <c r="BW23" s="263"/>
      <c r="BX23" s="263"/>
      <c r="BY23" s="263"/>
      <c r="BZ23" s="263"/>
      <c r="CA23" s="263"/>
      <c r="CB23" s="263"/>
      <c r="CC23" s="263"/>
      <c r="CD23" s="263"/>
      <c r="CE23" s="263"/>
      <c r="CF23" s="263"/>
      <c r="CG23" s="263"/>
      <c r="CH23" s="263"/>
      <c r="CI23" s="263"/>
      <c r="CJ23" s="263"/>
      <c r="CK23" s="263"/>
      <c r="CL23" s="263"/>
      <c r="CM23" s="263"/>
      <c r="CN23" s="263"/>
      <c r="CO23" s="263"/>
      <c r="CP23" s="263"/>
    </row>
    <row r="24" spans="1:99" ht="15" customHeight="1" x14ac:dyDescent="0.25">
      <c r="H24" s="30"/>
      <c r="I24" s="30"/>
      <c r="J24" s="30"/>
      <c r="K24" s="30"/>
      <c r="L24" s="30"/>
      <c r="M24" s="30"/>
      <c r="N24" s="30"/>
      <c r="O24" s="30"/>
      <c r="P24" s="30"/>
      <c r="Q24" s="263"/>
      <c r="R24" s="263"/>
      <c r="S24" s="263"/>
      <c r="T24" s="263"/>
      <c r="U24" s="270"/>
      <c r="V24" s="264" t="s">
        <v>361</v>
      </c>
      <c r="W24" s="264"/>
      <c r="X24" s="264"/>
      <c r="Y24" s="264"/>
      <c r="Z24" s="264"/>
      <c r="AA24" s="264"/>
      <c r="AB24" s="264"/>
      <c r="AC24" s="264"/>
      <c r="AD24" s="264"/>
      <c r="AE24" s="264"/>
      <c r="AF24" s="264"/>
      <c r="AG24" s="264"/>
      <c r="AH24" s="264"/>
      <c r="AI24" s="264"/>
      <c r="AJ24" s="264"/>
      <c r="AK24" s="264"/>
      <c r="AL24" s="264"/>
      <c r="AM24" s="264"/>
      <c r="AN24" s="264"/>
      <c r="AO24" s="264"/>
      <c r="AP24" s="264"/>
      <c r="AQ24" s="264"/>
      <c r="AR24" s="264"/>
      <c r="AS24" s="264"/>
      <c r="AT24" s="264"/>
      <c r="AU24" s="264"/>
      <c r="AV24" s="264"/>
      <c r="AW24" s="264"/>
      <c r="AX24" s="264"/>
      <c r="AY24" s="264"/>
      <c r="AZ24" s="264"/>
      <c r="BA24" s="264"/>
      <c r="BB24" s="264"/>
      <c r="BC24" s="264"/>
      <c r="BD24" s="264"/>
      <c r="BE24" s="264"/>
      <c r="BF24" s="264"/>
      <c r="BG24" s="264"/>
      <c r="BH24" s="263"/>
      <c r="BI24" s="270"/>
      <c r="BJ24" s="271"/>
      <c r="BK24" s="271"/>
      <c r="BL24" s="271"/>
      <c r="BM24" s="271"/>
      <c r="BN24" s="271"/>
      <c r="BO24" s="271"/>
      <c r="BP24" s="271"/>
      <c r="BQ24" s="272" t="s">
        <v>362</v>
      </c>
      <c r="BR24" s="272"/>
      <c r="BS24" s="272"/>
      <c r="BT24" s="272"/>
      <c r="BU24" s="272"/>
      <c r="BV24" s="272"/>
      <c r="BW24" s="272"/>
      <c r="BX24" s="272"/>
      <c r="BY24" s="272"/>
      <c r="BZ24" s="272"/>
      <c r="CA24" s="272"/>
      <c r="CB24" s="272"/>
      <c r="CC24" s="272"/>
      <c r="CD24" s="272"/>
      <c r="CE24" s="272"/>
      <c r="CF24" s="272"/>
      <c r="CG24" s="272"/>
      <c r="CH24" s="272"/>
      <c r="CI24" s="272"/>
      <c r="CJ24" s="272"/>
      <c r="CK24" s="272"/>
      <c r="CL24" s="272"/>
      <c r="CM24" s="272"/>
      <c r="CN24" s="272"/>
      <c r="CO24" s="272"/>
      <c r="CP24" s="272"/>
    </row>
    <row r="25" spans="1:99" x14ac:dyDescent="0.25">
      <c r="H25" s="30"/>
      <c r="I25" s="30"/>
      <c r="J25" s="30"/>
      <c r="K25" s="30"/>
      <c r="L25" s="30"/>
      <c r="M25" s="30"/>
      <c r="N25" s="30"/>
      <c r="O25" s="30"/>
      <c r="P25" s="30"/>
      <c r="Q25" s="263"/>
      <c r="R25" s="263"/>
      <c r="S25" s="263"/>
      <c r="T25" s="263"/>
      <c r="U25" s="263"/>
      <c r="V25" s="263"/>
      <c r="W25" s="263"/>
      <c r="X25" s="263"/>
      <c r="Y25" s="263"/>
      <c r="Z25" s="263"/>
      <c r="AA25" s="263"/>
      <c r="AB25" s="263"/>
      <c r="AC25" s="263"/>
      <c r="AD25" s="263"/>
      <c r="AE25" s="263"/>
      <c r="AF25" s="263"/>
      <c r="AG25" s="263"/>
      <c r="AH25" s="263"/>
      <c r="AI25" s="263"/>
      <c r="AJ25" s="263"/>
      <c r="AK25" s="270"/>
      <c r="AL25" s="270"/>
      <c r="AM25" s="271"/>
      <c r="AN25" s="271"/>
      <c r="AO25" s="271"/>
      <c r="AP25" s="271"/>
      <c r="AQ25" s="271"/>
      <c r="AR25" s="271"/>
      <c r="AS25" s="271"/>
      <c r="AT25" s="271"/>
      <c r="AU25" s="271"/>
      <c r="AV25" s="271"/>
      <c r="AW25" s="271"/>
      <c r="AX25" s="271"/>
      <c r="AY25" s="271"/>
      <c r="AZ25" s="271"/>
      <c r="BA25" s="271"/>
      <c r="BB25" s="271"/>
      <c r="BC25" s="271"/>
      <c r="BD25" s="271"/>
      <c r="BE25" s="271"/>
      <c r="BF25" s="271"/>
      <c r="BG25" s="271"/>
      <c r="BH25" s="263"/>
      <c r="BI25" s="263"/>
      <c r="BJ25" s="263"/>
      <c r="BK25" s="263"/>
      <c r="BL25" s="263"/>
      <c r="BM25" s="263"/>
      <c r="BN25" s="263"/>
      <c r="BO25" s="263"/>
      <c r="BP25" s="263"/>
      <c r="BQ25" s="270"/>
      <c r="BR25" s="271"/>
      <c r="BS25" s="271"/>
      <c r="BT25" s="271"/>
      <c r="BU25" s="271"/>
      <c r="BV25" s="271"/>
      <c r="BW25" s="271"/>
      <c r="BX25" s="271"/>
      <c r="BY25" s="271"/>
      <c r="BZ25" s="271"/>
      <c r="CA25" s="271"/>
      <c r="CB25" s="271"/>
      <c r="CC25" s="271"/>
      <c r="CD25" s="271"/>
      <c r="CE25" s="271"/>
      <c r="CF25" s="271"/>
      <c r="CG25" s="271"/>
      <c r="CH25" s="271"/>
      <c r="CI25" s="271"/>
      <c r="CJ25" s="271"/>
      <c r="CK25" s="271"/>
      <c r="CL25" s="271"/>
      <c r="CM25" s="263"/>
      <c r="CN25" s="263"/>
      <c r="CO25" s="263"/>
      <c r="CP25" s="263"/>
    </row>
    <row r="26" spans="1:99" x14ac:dyDescent="0.25">
      <c r="H26" s="30"/>
      <c r="I26" s="30"/>
      <c r="J26" s="30"/>
      <c r="K26" s="30"/>
      <c r="L26" s="30"/>
      <c r="M26" s="30"/>
      <c r="N26" s="30"/>
      <c r="O26" s="30"/>
      <c r="P26" s="30"/>
      <c r="Q26" s="263"/>
      <c r="R26" s="263"/>
      <c r="S26" s="263"/>
      <c r="T26" s="263"/>
      <c r="U26" s="263"/>
      <c r="V26" s="823" t="s">
        <v>363</v>
      </c>
      <c r="W26" s="823"/>
      <c r="X26" s="823"/>
      <c r="Y26" s="823"/>
      <c r="Z26" s="823"/>
      <c r="AA26" s="823"/>
      <c r="AB26" s="823"/>
      <c r="AC26" s="823"/>
      <c r="AD26" s="823"/>
      <c r="AE26" s="823"/>
      <c r="AF26" s="823"/>
      <c r="AG26" s="823"/>
      <c r="AH26" s="823"/>
      <c r="AI26" s="823"/>
      <c r="AJ26" s="823"/>
      <c r="AK26" s="263"/>
      <c r="AL26" s="824"/>
      <c r="AM26" s="825"/>
      <c r="AN26" s="825"/>
      <c r="AO26" s="825"/>
      <c r="AP26" s="825"/>
      <c r="AQ26" s="825"/>
      <c r="AR26" s="825"/>
      <c r="AS26" s="825"/>
      <c r="AT26" s="825"/>
      <c r="AU26" s="825"/>
      <c r="AV26" s="825"/>
      <c r="AW26" s="825"/>
      <c r="AX26" s="825"/>
      <c r="AY26" s="825"/>
      <c r="AZ26" s="825"/>
      <c r="BA26" s="825"/>
      <c r="BB26" s="825"/>
      <c r="BC26" s="825"/>
      <c r="BD26" s="825"/>
      <c r="BE26" s="825"/>
      <c r="BF26" s="825"/>
      <c r="BG26" s="826"/>
      <c r="BH26" s="263"/>
      <c r="BI26" s="823" t="s">
        <v>363</v>
      </c>
      <c r="BJ26" s="823"/>
      <c r="BK26" s="823"/>
      <c r="BL26" s="823"/>
      <c r="BM26" s="823"/>
      <c r="BN26" s="823"/>
      <c r="BO26" s="823"/>
      <c r="BP26" s="295"/>
      <c r="BQ26" s="824"/>
      <c r="BR26" s="825"/>
      <c r="BS26" s="825"/>
      <c r="BT26" s="825"/>
      <c r="BU26" s="825"/>
      <c r="BV26" s="825"/>
      <c r="BW26" s="825"/>
      <c r="BX26" s="825"/>
      <c r="BY26" s="825"/>
      <c r="BZ26" s="825"/>
      <c r="CA26" s="825"/>
      <c r="CB26" s="825"/>
      <c r="CC26" s="825"/>
      <c r="CD26" s="825"/>
      <c r="CE26" s="825"/>
      <c r="CF26" s="825"/>
      <c r="CG26" s="825"/>
      <c r="CH26" s="825"/>
      <c r="CI26" s="825"/>
      <c r="CJ26" s="825"/>
      <c r="CK26" s="825"/>
      <c r="CL26" s="826"/>
      <c r="CM26" s="263"/>
      <c r="CN26" s="263"/>
      <c r="CO26" s="263"/>
      <c r="CP26" s="263"/>
    </row>
    <row r="27" spans="1:99" x14ac:dyDescent="0.25">
      <c r="H27" s="30"/>
      <c r="I27" s="30"/>
      <c r="J27" s="30"/>
      <c r="K27" s="30"/>
      <c r="L27" s="30"/>
      <c r="M27" s="30"/>
      <c r="N27" s="30"/>
      <c r="O27" s="30"/>
      <c r="P27" s="30"/>
      <c r="Q27" s="263"/>
      <c r="R27" s="263"/>
      <c r="S27" s="263"/>
      <c r="T27" s="263"/>
      <c r="U27" s="263"/>
      <c r="V27" s="823" t="s">
        <v>364</v>
      </c>
      <c r="W27" s="823"/>
      <c r="X27" s="823"/>
      <c r="Y27" s="823"/>
      <c r="Z27" s="823"/>
      <c r="AA27" s="823"/>
      <c r="AB27" s="823"/>
      <c r="AC27" s="823"/>
      <c r="AD27" s="823"/>
      <c r="AE27" s="823"/>
      <c r="AF27" s="823"/>
      <c r="AG27" s="823"/>
      <c r="AH27" s="823"/>
      <c r="AI27" s="823"/>
      <c r="AJ27" s="823"/>
      <c r="AK27" s="263"/>
      <c r="AL27" s="824"/>
      <c r="AM27" s="825"/>
      <c r="AN27" s="825"/>
      <c r="AO27" s="825"/>
      <c r="AP27" s="825"/>
      <c r="AQ27" s="825"/>
      <c r="AR27" s="825"/>
      <c r="AS27" s="825"/>
      <c r="AT27" s="825"/>
      <c r="AU27" s="825"/>
      <c r="AV27" s="825"/>
      <c r="AW27" s="825"/>
      <c r="AX27" s="825"/>
      <c r="AY27" s="825"/>
      <c r="AZ27" s="825"/>
      <c r="BA27" s="825"/>
      <c r="BB27" s="825"/>
      <c r="BC27" s="825"/>
      <c r="BD27" s="825"/>
      <c r="BE27" s="825"/>
      <c r="BF27" s="825"/>
      <c r="BG27" s="826"/>
      <c r="BH27" s="263"/>
      <c r="BI27" s="823" t="s">
        <v>364</v>
      </c>
      <c r="BJ27" s="823"/>
      <c r="BK27" s="823"/>
      <c r="BL27" s="823"/>
      <c r="BM27" s="823"/>
      <c r="BN27" s="823"/>
      <c r="BO27" s="823"/>
      <c r="BP27" s="295"/>
      <c r="BQ27" s="824"/>
      <c r="BR27" s="825"/>
      <c r="BS27" s="825"/>
      <c r="BT27" s="825"/>
      <c r="BU27" s="825"/>
      <c r="BV27" s="825"/>
      <c r="BW27" s="825"/>
      <c r="BX27" s="825"/>
      <c r="BY27" s="825"/>
      <c r="BZ27" s="825"/>
      <c r="CA27" s="825"/>
      <c r="CB27" s="825"/>
      <c r="CC27" s="825"/>
      <c r="CD27" s="825"/>
      <c r="CE27" s="825"/>
      <c r="CF27" s="825"/>
      <c r="CG27" s="825"/>
      <c r="CH27" s="825"/>
      <c r="CI27" s="825"/>
      <c r="CJ27" s="825"/>
      <c r="CK27" s="825"/>
      <c r="CL27" s="826"/>
      <c r="CM27" s="263"/>
      <c r="CN27" s="263"/>
      <c r="CO27" s="263"/>
      <c r="CP27" s="263"/>
    </row>
    <row r="28" spans="1:99" x14ac:dyDescent="0.25">
      <c r="H28" s="30"/>
      <c r="I28" s="30"/>
      <c r="J28" s="30"/>
      <c r="K28" s="30"/>
      <c r="L28" s="30"/>
      <c r="M28" s="30"/>
      <c r="N28" s="30"/>
      <c r="O28" s="30"/>
      <c r="P28" s="30"/>
      <c r="Q28" s="263"/>
      <c r="R28" s="263"/>
      <c r="S28" s="263"/>
      <c r="T28" s="263"/>
      <c r="U28" s="263"/>
      <c r="V28" s="823" t="s">
        <v>365</v>
      </c>
      <c r="W28" s="823"/>
      <c r="X28" s="823"/>
      <c r="Y28" s="823"/>
      <c r="Z28" s="823"/>
      <c r="AA28" s="823"/>
      <c r="AB28" s="823"/>
      <c r="AC28" s="823"/>
      <c r="AD28" s="823"/>
      <c r="AE28" s="823"/>
      <c r="AF28" s="823"/>
      <c r="AG28" s="823"/>
      <c r="AH28" s="823"/>
      <c r="AI28" s="823"/>
      <c r="AJ28" s="823"/>
      <c r="AK28" s="263"/>
      <c r="AL28" s="827"/>
      <c r="AM28" s="827"/>
      <c r="AN28" s="827"/>
      <c r="AO28" s="827"/>
      <c r="AP28" s="827"/>
      <c r="AQ28" s="827"/>
      <c r="AR28" s="827"/>
      <c r="AS28" s="827"/>
      <c r="AT28" s="827"/>
      <c r="AU28" s="827"/>
      <c r="AV28" s="827"/>
      <c r="AW28" s="827"/>
      <c r="AX28" s="827"/>
      <c r="AY28" s="827"/>
      <c r="AZ28" s="827"/>
      <c r="BA28" s="273"/>
      <c r="BB28" s="273"/>
      <c r="BC28" s="273"/>
      <c r="BD28" s="273"/>
      <c r="BE28" s="273"/>
      <c r="BF28" s="273"/>
      <c r="BG28" s="273"/>
      <c r="BH28" s="263"/>
      <c r="BI28" s="823" t="s">
        <v>365</v>
      </c>
      <c r="BJ28" s="823"/>
      <c r="BK28" s="823"/>
      <c r="BL28" s="823"/>
      <c r="BM28" s="823"/>
      <c r="BN28" s="823"/>
      <c r="BO28" s="823"/>
      <c r="BP28" s="295"/>
      <c r="BQ28" s="827"/>
      <c r="BR28" s="827"/>
      <c r="BS28" s="827"/>
      <c r="BT28" s="827"/>
      <c r="BU28" s="827"/>
      <c r="BV28" s="827"/>
      <c r="BW28" s="827"/>
      <c r="BX28" s="827"/>
      <c r="BY28" s="827"/>
      <c r="BZ28" s="827"/>
      <c r="CA28" s="827"/>
      <c r="CB28" s="827"/>
      <c r="CC28" s="827"/>
      <c r="CD28" s="827"/>
      <c r="CE28" s="827"/>
      <c r="CF28" s="273"/>
      <c r="CG28" s="273"/>
      <c r="CH28" s="273"/>
      <c r="CI28" s="273"/>
      <c r="CJ28" s="273"/>
      <c r="CK28" s="273"/>
      <c r="CL28" s="273"/>
      <c r="CM28" s="263"/>
      <c r="CN28" s="263"/>
      <c r="CO28" s="263"/>
      <c r="CP28" s="263"/>
    </row>
    <row r="29" spans="1:99" x14ac:dyDescent="0.25">
      <c r="H29" s="30"/>
      <c r="I29" s="30"/>
      <c r="J29" s="30"/>
      <c r="K29" s="30"/>
      <c r="L29" s="30"/>
      <c r="M29" s="30"/>
      <c r="N29" s="30"/>
      <c r="O29" s="30"/>
      <c r="P29" s="30"/>
      <c r="Q29" s="263"/>
      <c r="R29" s="263"/>
      <c r="S29" s="263"/>
      <c r="T29" s="263"/>
      <c r="U29" s="263"/>
      <c r="V29" s="823" t="s">
        <v>366</v>
      </c>
      <c r="W29" s="823"/>
      <c r="X29" s="823"/>
      <c r="Y29" s="823"/>
      <c r="Z29" s="823"/>
      <c r="AA29" s="823"/>
      <c r="AB29" s="823"/>
      <c r="AC29" s="823"/>
      <c r="AD29" s="823"/>
      <c r="AE29" s="823"/>
      <c r="AF29" s="823"/>
      <c r="AG29" s="823"/>
      <c r="AH29" s="823"/>
      <c r="AI29" s="823"/>
      <c r="AJ29" s="823"/>
      <c r="AK29" s="263"/>
      <c r="AL29" s="828" t="str">
        <f>INDEX(dms_State_List,MATCH(dms_TradingName,dms_TradingName_List))</f>
        <v>Vic</v>
      </c>
      <c r="AM29" s="828"/>
      <c r="AN29" s="828"/>
      <c r="AO29" s="828"/>
      <c r="AP29" s="263"/>
      <c r="AQ29" s="274"/>
      <c r="AR29" s="263"/>
      <c r="AS29" s="263"/>
      <c r="AT29" s="263"/>
      <c r="AU29" s="263"/>
      <c r="AV29" s="274" t="s">
        <v>367</v>
      </c>
      <c r="AW29" s="274"/>
      <c r="AX29" s="829"/>
      <c r="AY29" s="829"/>
      <c r="AZ29" s="829"/>
      <c r="BA29" s="263"/>
      <c r="BB29" s="263"/>
      <c r="BC29" s="263"/>
      <c r="BD29" s="263"/>
      <c r="BE29" s="263"/>
      <c r="BF29" s="263"/>
      <c r="BG29" s="263"/>
      <c r="BH29" s="263"/>
      <c r="BI29" s="823" t="s">
        <v>366</v>
      </c>
      <c r="BJ29" s="823"/>
      <c r="BK29" s="823"/>
      <c r="BL29" s="823"/>
      <c r="BM29" s="823"/>
      <c r="BN29" s="823"/>
      <c r="BO29" s="823"/>
      <c r="BP29" s="295"/>
      <c r="BQ29" s="828" t="str">
        <f>INDEX(dms_PState_List,MATCH(dms_TradingName,dms_TradingName_List))</f>
        <v>Vic</v>
      </c>
      <c r="BR29" s="828"/>
      <c r="BS29" s="828"/>
      <c r="BT29" s="828"/>
      <c r="BU29" s="263"/>
      <c r="BV29" s="263"/>
      <c r="BW29" s="295"/>
      <c r="BX29" s="263"/>
      <c r="BY29" s="263"/>
      <c r="BZ29" s="263"/>
      <c r="CA29" s="274" t="s">
        <v>367</v>
      </c>
      <c r="CB29" s="263"/>
      <c r="CC29" s="829"/>
      <c r="CD29" s="829"/>
      <c r="CE29" s="829"/>
      <c r="CF29" s="263"/>
      <c r="CG29" s="263"/>
      <c r="CH29" s="263"/>
      <c r="CI29" s="263"/>
      <c r="CJ29" s="263"/>
      <c r="CK29" s="263"/>
      <c r="CL29" s="263"/>
      <c r="CM29" s="263"/>
      <c r="CN29" s="263"/>
      <c r="CO29" s="263"/>
      <c r="CP29" s="263"/>
    </row>
    <row r="30" spans="1:99" x14ac:dyDescent="0.25">
      <c r="H30" s="30"/>
      <c r="I30" s="30"/>
      <c r="J30" s="30"/>
      <c r="K30" s="30"/>
      <c r="L30" s="30"/>
      <c r="M30" s="30"/>
      <c r="N30" s="30"/>
      <c r="O30" s="30"/>
      <c r="P30" s="30"/>
      <c r="Q30" s="263"/>
      <c r="R30" s="263"/>
      <c r="S30" s="263"/>
      <c r="T30" s="263"/>
      <c r="U30" s="263"/>
      <c r="V30" s="263"/>
      <c r="W30" s="263"/>
      <c r="X30" s="263"/>
      <c r="Y30" s="263"/>
      <c r="Z30" s="263"/>
      <c r="AA30" s="263"/>
      <c r="AB30" s="263"/>
      <c r="AC30" s="263"/>
      <c r="AD30" s="263"/>
      <c r="AE30" s="263"/>
      <c r="AF30" s="263"/>
      <c r="AG30" s="263"/>
      <c r="AH30" s="263"/>
      <c r="AI30" s="263"/>
      <c r="AJ30" s="263"/>
      <c r="AK30" s="263"/>
      <c r="AL30" s="263"/>
      <c r="AM30" s="263"/>
      <c r="AN30" s="263"/>
      <c r="AO30" s="263"/>
      <c r="AP30" s="263"/>
      <c r="AQ30" s="263"/>
      <c r="AR30" s="263"/>
      <c r="AS30" s="263"/>
      <c r="AT30" s="263"/>
      <c r="AU30" s="263"/>
      <c r="AV30" s="263"/>
      <c r="AW30" s="263"/>
      <c r="AX30" s="263"/>
      <c r="AY30" s="263"/>
      <c r="AZ30" s="263"/>
      <c r="BA30" s="263"/>
      <c r="BB30" s="263"/>
      <c r="BC30" s="263"/>
      <c r="BD30" s="263"/>
      <c r="BE30" s="263"/>
      <c r="BF30" s="263"/>
      <c r="BG30" s="263"/>
      <c r="BH30" s="263"/>
      <c r="BI30" s="263"/>
      <c r="BJ30" s="263"/>
      <c r="BK30" s="263"/>
      <c r="BL30" s="263"/>
      <c r="BM30" s="263"/>
      <c r="BN30" s="263"/>
      <c r="BO30" s="263"/>
      <c r="BP30" s="263"/>
      <c r="BQ30" s="263"/>
      <c r="BR30" s="263"/>
      <c r="BS30" s="263"/>
      <c r="BT30" s="263"/>
      <c r="BU30" s="263"/>
      <c r="BV30" s="263"/>
      <c r="BW30" s="263"/>
      <c r="BX30" s="263"/>
      <c r="BY30" s="263"/>
      <c r="BZ30" s="263"/>
      <c r="CA30" s="263"/>
      <c r="CB30" s="263"/>
      <c r="CC30" s="263"/>
      <c r="CD30" s="263"/>
      <c r="CE30" s="263"/>
      <c r="CF30" s="263"/>
      <c r="CG30" s="263"/>
      <c r="CH30" s="263"/>
      <c r="CI30" s="263"/>
      <c r="CJ30" s="263"/>
      <c r="CK30" s="263"/>
      <c r="CL30" s="263"/>
      <c r="CM30" s="263"/>
      <c r="CN30" s="263"/>
      <c r="CO30" s="263"/>
      <c r="CP30" s="263"/>
      <c r="CU30" s="275"/>
    </row>
    <row r="31" spans="1:99" x14ac:dyDescent="0.25">
      <c r="H31" s="30"/>
      <c r="I31" s="30"/>
      <c r="J31" s="30"/>
      <c r="K31" s="30"/>
      <c r="L31" s="30"/>
      <c r="M31" s="30"/>
      <c r="N31" s="30"/>
      <c r="O31" s="30"/>
      <c r="P31" s="30"/>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t="s">
        <v>368</v>
      </c>
      <c r="BB31" s="263"/>
      <c r="BC31" s="263"/>
      <c r="BD31" s="263"/>
      <c r="BE31" s="263"/>
      <c r="BF31" s="263"/>
      <c r="BG31" s="263"/>
      <c r="BH31" s="263"/>
      <c r="BI31" s="263"/>
      <c r="BJ31" s="263"/>
      <c r="BK31" s="263"/>
      <c r="BL31" s="263"/>
      <c r="BM31" s="263"/>
      <c r="BN31" s="263"/>
      <c r="BO31" s="263"/>
      <c r="BP31" s="263"/>
      <c r="BQ31" s="263"/>
      <c r="BR31" s="263"/>
      <c r="BS31" s="263"/>
      <c r="BT31" s="263"/>
      <c r="BU31" s="263"/>
      <c r="BV31" s="263"/>
      <c r="BW31" s="263"/>
      <c r="BX31" s="263"/>
      <c r="BY31" s="263"/>
      <c r="BZ31" s="263"/>
      <c r="CA31" s="263"/>
      <c r="CB31" s="263"/>
      <c r="CC31" s="263"/>
      <c r="CD31" s="263"/>
      <c r="CE31" s="263"/>
      <c r="CF31" s="263"/>
      <c r="CG31" s="263"/>
      <c r="CH31" s="263"/>
      <c r="CI31" s="263"/>
      <c r="CJ31" s="263"/>
      <c r="CK31" s="263"/>
      <c r="CL31" s="263"/>
      <c r="CM31" s="263"/>
      <c r="CN31" s="263"/>
      <c r="CO31" s="263"/>
      <c r="CP31" s="263"/>
    </row>
    <row r="32" spans="1:99" x14ac:dyDescent="0.25">
      <c r="H32" s="30"/>
      <c r="I32" s="30"/>
      <c r="J32" s="30"/>
      <c r="K32" s="30"/>
      <c r="L32" s="30"/>
      <c r="M32" s="30"/>
      <c r="N32" s="30"/>
      <c r="O32" s="30"/>
      <c r="P32" s="30"/>
      <c r="Q32" s="263"/>
      <c r="R32" s="263"/>
      <c r="S32" s="263"/>
      <c r="T32" s="263"/>
      <c r="U32" s="263"/>
      <c r="V32" s="263"/>
      <c r="W32" s="263"/>
      <c r="X32" s="263"/>
      <c r="Y32" s="263"/>
      <c r="Z32" s="263"/>
      <c r="AA32" s="263"/>
      <c r="AB32" s="263"/>
      <c r="AC32" s="263"/>
      <c r="AD32" s="263"/>
      <c r="AE32" s="263"/>
      <c r="AF32" s="263"/>
      <c r="AG32" s="263"/>
      <c r="AH32" s="263"/>
      <c r="AI32" s="263"/>
      <c r="AJ32" s="263"/>
      <c r="AK32" s="263"/>
      <c r="AL32" s="263"/>
      <c r="AM32" s="263"/>
      <c r="AN32" s="263"/>
      <c r="AO32" s="263"/>
      <c r="AP32" s="263"/>
      <c r="AQ32" s="263"/>
      <c r="AR32" s="263"/>
      <c r="AS32" s="263"/>
      <c r="AT32" s="263"/>
      <c r="AU32" s="263"/>
      <c r="AV32" s="263"/>
      <c r="AW32" s="263"/>
      <c r="AX32" s="263"/>
      <c r="AY32" s="263"/>
      <c r="AZ32" s="263"/>
      <c r="BA32" s="263"/>
      <c r="BB32" s="263"/>
      <c r="BC32" s="263"/>
      <c r="BD32" s="263"/>
      <c r="BE32" s="263"/>
      <c r="BF32" s="263"/>
      <c r="BG32" s="263"/>
      <c r="BH32" s="263"/>
      <c r="BI32" s="263"/>
      <c r="BJ32" s="263"/>
      <c r="BK32" s="263"/>
      <c r="BL32" s="263"/>
      <c r="BM32" s="263"/>
      <c r="BN32" s="263"/>
      <c r="BO32" s="263"/>
      <c r="BP32" s="263"/>
      <c r="BQ32" s="263"/>
      <c r="BR32" s="263"/>
      <c r="BS32" s="263"/>
      <c r="BT32" s="263"/>
      <c r="BU32" s="263"/>
      <c r="BV32" s="263"/>
      <c r="BW32" s="263"/>
      <c r="BX32" s="263"/>
      <c r="BY32" s="263"/>
      <c r="BZ32" s="263"/>
      <c r="CA32" s="263"/>
      <c r="CB32" s="263"/>
      <c r="CC32" s="263"/>
      <c r="CD32" s="263"/>
      <c r="CE32" s="263"/>
      <c r="CF32" s="263"/>
      <c r="CG32" s="263"/>
      <c r="CH32" s="263"/>
      <c r="CI32" s="263"/>
      <c r="CJ32" s="263"/>
      <c r="CK32" s="263"/>
      <c r="CL32" s="263"/>
      <c r="CM32" s="263"/>
      <c r="CN32" s="263"/>
      <c r="CO32" s="263"/>
      <c r="CP32" s="263"/>
    </row>
    <row r="33" spans="2:94" ht="18" x14ac:dyDescent="0.25">
      <c r="H33" s="30"/>
      <c r="I33" s="30"/>
      <c r="J33" s="30"/>
      <c r="K33" s="30"/>
      <c r="L33" s="30"/>
      <c r="M33" s="30"/>
      <c r="N33" s="30"/>
      <c r="O33" s="30"/>
      <c r="P33" s="30"/>
      <c r="Q33" s="263"/>
      <c r="R33" s="263"/>
      <c r="S33" s="263"/>
      <c r="T33" s="263"/>
      <c r="U33" s="263"/>
      <c r="V33" s="264" t="s">
        <v>369</v>
      </c>
      <c r="W33" s="264"/>
      <c r="X33" s="264"/>
      <c r="Y33" s="264"/>
      <c r="Z33" s="264"/>
      <c r="AA33" s="264"/>
      <c r="AB33" s="264"/>
      <c r="AC33" s="264"/>
      <c r="AD33" s="264"/>
      <c r="AE33" s="264"/>
      <c r="AF33" s="264"/>
      <c r="AG33" s="264"/>
      <c r="AH33" s="264"/>
      <c r="AI33" s="264"/>
      <c r="AJ33" s="264"/>
      <c r="AK33" s="264"/>
      <c r="AL33" s="264"/>
      <c r="AM33" s="264"/>
      <c r="AN33" s="264"/>
      <c r="AO33" s="264"/>
      <c r="AP33" s="264"/>
      <c r="AQ33" s="264"/>
      <c r="AR33" s="264"/>
      <c r="AS33" s="264"/>
      <c r="AT33" s="264"/>
      <c r="AU33" s="264"/>
      <c r="AV33" s="264"/>
      <c r="AW33" s="264"/>
      <c r="AX33" s="264"/>
      <c r="AY33" s="264"/>
      <c r="AZ33" s="264"/>
      <c r="BA33" s="264"/>
      <c r="BB33" s="264"/>
      <c r="BC33" s="264"/>
      <c r="BD33" s="264"/>
      <c r="BE33" s="264"/>
      <c r="BF33" s="264"/>
      <c r="BG33" s="264"/>
      <c r="BH33" s="263"/>
      <c r="BI33" s="263"/>
      <c r="BJ33" s="263"/>
      <c r="BK33" s="263"/>
      <c r="BL33" s="263"/>
      <c r="BM33" s="263"/>
      <c r="BN33" s="263"/>
      <c r="BO33" s="263"/>
      <c r="BP33" s="263"/>
      <c r="BQ33" s="263"/>
      <c r="BR33" s="263"/>
      <c r="BS33" s="263"/>
      <c r="BT33" s="263"/>
      <c r="BU33" s="263"/>
      <c r="BV33" s="263"/>
      <c r="BW33" s="263"/>
      <c r="BX33" s="263"/>
      <c r="BY33" s="263"/>
      <c r="BZ33" s="263"/>
      <c r="CA33" s="263"/>
      <c r="CB33" s="263"/>
      <c r="CC33" s="263"/>
      <c r="CD33" s="263"/>
      <c r="CE33" s="263"/>
      <c r="CF33" s="263"/>
      <c r="CG33" s="263"/>
      <c r="CH33" s="263"/>
      <c r="CI33" s="263"/>
      <c r="CJ33" s="263"/>
      <c r="CK33" s="263"/>
      <c r="CL33" s="263"/>
      <c r="CM33" s="263"/>
      <c r="CN33" s="263"/>
      <c r="CO33" s="263"/>
      <c r="CP33" s="263"/>
    </row>
    <row r="34" spans="2:94" x14ac:dyDescent="0.25">
      <c r="H34" s="30"/>
      <c r="I34" s="30"/>
      <c r="J34" s="30"/>
      <c r="K34" s="30"/>
      <c r="L34" s="30"/>
      <c r="M34" s="30"/>
      <c r="N34" s="30"/>
      <c r="O34" s="30"/>
      <c r="P34" s="30"/>
      <c r="Q34" s="263"/>
      <c r="R34" s="263"/>
      <c r="S34" s="263"/>
      <c r="T34" s="263"/>
      <c r="U34" s="263"/>
      <c r="V34" s="263"/>
      <c r="W34" s="263"/>
      <c r="X34" s="263"/>
      <c r="Y34" s="263"/>
      <c r="Z34" s="263"/>
      <c r="AA34" s="263"/>
      <c r="AB34" s="263"/>
      <c r="AC34" s="263"/>
      <c r="AD34" s="263"/>
      <c r="AE34" s="263"/>
      <c r="AF34" s="263"/>
      <c r="AG34" s="263"/>
      <c r="AH34" s="263"/>
      <c r="AI34" s="263"/>
      <c r="AJ34" s="263"/>
      <c r="AK34" s="263"/>
      <c r="AL34" s="263"/>
      <c r="AM34" s="263"/>
      <c r="AN34" s="263"/>
      <c r="AO34" s="263"/>
      <c r="AP34" s="263"/>
      <c r="AQ34" s="263"/>
      <c r="AR34" s="263"/>
      <c r="AS34" s="263"/>
      <c r="AT34" s="263"/>
      <c r="AU34" s="263"/>
      <c r="AV34" s="263"/>
      <c r="AW34" s="263"/>
      <c r="AX34" s="263"/>
      <c r="AY34" s="263"/>
      <c r="AZ34" s="263"/>
      <c r="BA34" s="263"/>
      <c r="BB34" s="263"/>
      <c r="BC34" s="263"/>
      <c r="BD34" s="263"/>
      <c r="BE34" s="263"/>
      <c r="BF34" s="263"/>
      <c r="BG34" s="263"/>
      <c r="BH34" s="263"/>
      <c r="BI34" s="263"/>
      <c r="BJ34" s="263"/>
      <c r="BK34" s="263"/>
      <c r="BL34" s="263"/>
      <c r="BM34" s="263"/>
      <c r="BN34" s="263"/>
      <c r="BO34" s="263"/>
      <c r="BP34" s="263"/>
      <c r="BQ34" s="263"/>
      <c r="BR34" s="263"/>
      <c r="BS34" s="263"/>
      <c r="BT34" s="263"/>
      <c r="BU34" s="263"/>
      <c r="BV34" s="263"/>
      <c r="BW34" s="263"/>
      <c r="BX34" s="263"/>
      <c r="BY34" s="263"/>
      <c r="BZ34" s="263"/>
      <c r="CA34" s="263"/>
      <c r="CB34" s="263"/>
      <c r="CC34" s="263"/>
      <c r="CD34" s="263"/>
      <c r="CE34" s="263"/>
      <c r="CF34" s="263"/>
      <c r="CG34" s="263"/>
      <c r="CH34" s="263"/>
      <c r="CI34" s="263"/>
      <c r="CJ34" s="263"/>
      <c r="CK34" s="263"/>
      <c r="CL34" s="263"/>
      <c r="CM34" s="263"/>
      <c r="CN34" s="263"/>
      <c r="CO34" s="263"/>
      <c r="CP34" s="263"/>
    </row>
    <row r="35" spans="2:94" x14ac:dyDescent="0.25">
      <c r="H35" s="30"/>
      <c r="I35" s="30"/>
      <c r="J35" s="30"/>
      <c r="K35" s="30"/>
      <c r="L35" s="30"/>
      <c r="M35" s="30"/>
      <c r="N35" s="30"/>
      <c r="O35" s="30"/>
      <c r="P35" s="30"/>
      <c r="Q35" s="263"/>
      <c r="R35" s="263"/>
      <c r="S35" s="263"/>
      <c r="T35" s="263"/>
      <c r="U35" s="263"/>
      <c r="V35" s="823" t="s">
        <v>81</v>
      </c>
      <c r="W35" s="823"/>
      <c r="X35" s="823"/>
      <c r="Y35" s="823"/>
      <c r="Z35" s="823"/>
      <c r="AA35" s="823"/>
      <c r="AB35" s="823"/>
      <c r="AC35" s="823"/>
      <c r="AD35" s="823"/>
      <c r="AE35" s="823"/>
      <c r="AF35" s="823"/>
      <c r="AG35" s="823"/>
      <c r="AH35" s="823"/>
      <c r="AI35" s="823"/>
      <c r="AJ35" s="823"/>
      <c r="AK35" s="263"/>
      <c r="AL35" s="830"/>
      <c r="AM35" s="830"/>
      <c r="AN35" s="830"/>
      <c r="AO35" s="830"/>
      <c r="AP35" s="830"/>
      <c r="AQ35" s="830"/>
      <c r="AR35" s="830"/>
      <c r="AS35" s="830"/>
      <c r="AT35" s="830"/>
      <c r="AU35" s="830"/>
      <c r="AV35" s="830"/>
      <c r="AW35" s="830"/>
      <c r="AX35" s="830"/>
      <c r="AY35" s="830"/>
      <c r="AZ35" s="830"/>
      <c r="BA35" s="830"/>
      <c r="BB35" s="830"/>
      <c r="BC35" s="830"/>
      <c r="BD35" s="830"/>
      <c r="BE35" s="830"/>
      <c r="BF35" s="830"/>
      <c r="BG35" s="830"/>
      <c r="BH35" s="263"/>
      <c r="BI35" s="823" t="s">
        <v>81</v>
      </c>
      <c r="BJ35" s="823"/>
      <c r="BK35" s="823"/>
      <c r="BL35" s="823"/>
      <c r="BM35" s="823"/>
      <c r="BN35" s="823"/>
      <c r="BO35" s="823"/>
      <c r="BP35" s="295"/>
      <c r="BQ35" s="830"/>
      <c r="BR35" s="830"/>
      <c r="BS35" s="830"/>
      <c r="BT35" s="830"/>
      <c r="BU35" s="830"/>
      <c r="BV35" s="830"/>
      <c r="BW35" s="830"/>
      <c r="BX35" s="830"/>
      <c r="BY35" s="830"/>
      <c r="BZ35" s="830"/>
      <c r="CA35" s="830"/>
      <c r="CB35" s="830"/>
      <c r="CC35" s="830"/>
      <c r="CD35" s="830"/>
      <c r="CE35" s="830"/>
      <c r="CF35" s="830"/>
      <c r="CG35" s="830"/>
      <c r="CH35" s="830"/>
      <c r="CI35" s="830"/>
      <c r="CJ35" s="830"/>
      <c r="CK35" s="830"/>
      <c r="CL35" s="830"/>
      <c r="CM35" s="263"/>
      <c r="CN35" s="263"/>
      <c r="CO35" s="263"/>
      <c r="CP35" s="263"/>
    </row>
    <row r="36" spans="2:94" x14ac:dyDescent="0.25">
      <c r="H36" s="30"/>
      <c r="I36" s="30"/>
      <c r="J36" s="30"/>
      <c r="K36" s="30"/>
      <c r="L36" s="30"/>
      <c r="M36" s="30"/>
      <c r="N36" s="30"/>
      <c r="O36" s="30"/>
      <c r="P36" s="30"/>
      <c r="Q36" s="263"/>
      <c r="R36" s="263"/>
      <c r="S36" s="263"/>
      <c r="T36" s="263"/>
      <c r="U36" s="263"/>
      <c r="V36" s="823" t="s">
        <v>370</v>
      </c>
      <c r="W36" s="823"/>
      <c r="X36" s="823"/>
      <c r="Y36" s="823"/>
      <c r="Z36" s="823"/>
      <c r="AA36" s="823"/>
      <c r="AB36" s="823"/>
      <c r="AC36" s="823"/>
      <c r="AD36" s="823"/>
      <c r="AE36" s="823"/>
      <c r="AF36" s="823"/>
      <c r="AG36" s="823"/>
      <c r="AH36" s="823"/>
      <c r="AI36" s="823"/>
      <c r="AJ36" s="823"/>
      <c r="AK36" s="263"/>
      <c r="AL36" s="831"/>
      <c r="AM36" s="831"/>
      <c r="AN36" s="831"/>
      <c r="AO36" s="831"/>
      <c r="AP36" s="831"/>
      <c r="AQ36" s="831"/>
      <c r="AR36" s="831"/>
      <c r="AS36" s="831"/>
      <c r="AT36" s="831"/>
      <c r="AU36" s="831"/>
      <c r="AV36" s="831"/>
      <c r="AW36" s="831"/>
      <c r="AX36" s="831"/>
      <c r="AY36" s="831"/>
      <c r="AZ36" s="831"/>
      <c r="BA36" s="831"/>
      <c r="BB36" s="831"/>
      <c r="BC36" s="831"/>
      <c r="BD36" s="831"/>
      <c r="BE36" s="831"/>
      <c r="BF36" s="831"/>
      <c r="BG36" s="831"/>
      <c r="BH36" s="270"/>
      <c r="BI36" s="823" t="s">
        <v>370</v>
      </c>
      <c r="BJ36" s="823"/>
      <c r="BK36" s="823"/>
      <c r="BL36" s="823"/>
      <c r="BM36" s="823"/>
      <c r="BN36" s="823"/>
      <c r="BO36" s="823"/>
      <c r="BP36" s="295"/>
      <c r="BQ36" s="831"/>
      <c r="BR36" s="831"/>
      <c r="BS36" s="831"/>
      <c r="BT36" s="831"/>
      <c r="BU36" s="831"/>
      <c r="BV36" s="831"/>
      <c r="BW36" s="831"/>
      <c r="BX36" s="831"/>
      <c r="BY36" s="831"/>
      <c r="BZ36" s="831"/>
      <c r="CA36" s="831"/>
      <c r="CB36" s="831"/>
      <c r="CC36" s="831"/>
      <c r="CD36" s="831"/>
      <c r="CE36" s="831"/>
      <c r="CF36" s="831"/>
      <c r="CG36" s="831"/>
      <c r="CH36" s="831"/>
      <c r="CI36" s="831"/>
      <c r="CJ36" s="831"/>
      <c r="CK36" s="831"/>
      <c r="CL36" s="831"/>
      <c r="CM36" s="263"/>
      <c r="CN36" s="263"/>
      <c r="CO36" s="263"/>
      <c r="CP36" s="263"/>
    </row>
    <row r="37" spans="2:94" x14ac:dyDescent="0.25">
      <c r="H37" s="30"/>
      <c r="I37" s="30"/>
      <c r="J37" s="30"/>
      <c r="K37" s="30"/>
      <c r="L37" s="30"/>
      <c r="M37" s="30"/>
      <c r="N37" s="30"/>
      <c r="O37" s="30"/>
      <c r="P37" s="30"/>
      <c r="Q37" s="263"/>
      <c r="R37" s="263"/>
      <c r="S37" s="263"/>
      <c r="T37" s="263"/>
      <c r="U37" s="263"/>
      <c r="V37" s="823" t="s">
        <v>371</v>
      </c>
      <c r="W37" s="823"/>
      <c r="X37" s="823"/>
      <c r="Y37" s="823"/>
      <c r="Z37" s="823"/>
      <c r="AA37" s="823"/>
      <c r="AB37" s="823"/>
      <c r="AC37" s="823"/>
      <c r="AD37" s="823"/>
      <c r="AE37" s="823"/>
      <c r="AF37" s="823"/>
      <c r="AG37" s="823"/>
      <c r="AH37" s="823"/>
      <c r="AI37" s="823"/>
      <c r="AJ37" s="823"/>
      <c r="AK37" s="263"/>
      <c r="AL37" s="830"/>
      <c r="AM37" s="830"/>
      <c r="AN37" s="830"/>
      <c r="AO37" s="830"/>
      <c r="AP37" s="830"/>
      <c r="AQ37" s="830"/>
      <c r="AR37" s="830"/>
      <c r="AS37" s="830"/>
      <c r="AT37" s="830"/>
      <c r="AU37" s="830"/>
      <c r="AV37" s="830"/>
      <c r="AW37" s="830"/>
      <c r="AX37" s="830"/>
      <c r="AY37" s="830"/>
      <c r="AZ37" s="830"/>
      <c r="BA37" s="830"/>
      <c r="BB37" s="830"/>
      <c r="BC37" s="830"/>
      <c r="BD37" s="830"/>
      <c r="BE37" s="830"/>
      <c r="BF37" s="830"/>
      <c r="BG37" s="830"/>
      <c r="BH37" s="263"/>
      <c r="BI37" s="823" t="s">
        <v>371</v>
      </c>
      <c r="BJ37" s="823"/>
      <c r="BK37" s="823"/>
      <c r="BL37" s="823"/>
      <c r="BM37" s="823"/>
      <c r="BN37" s="823"/>
      <c r="BO37" s="823"/>
      <c r="BP37" s="295"/>
      <c r="BQ37" s="830"/>
      <c r="BR37" s="830"/>
      <c r="BS37" s="830"/>
      <c r="BT37" s="830"/>
      <c r="BU37" s="830"/>
      <c r="BV37" s="830"/>
      <c r="BW37" s="830"/>
      <c r="BX37" s="830"/>
      <c r="BY37" s="830"/>
      <c r="BZ37" s="830"/>
      <c r="CA37" s="830"/>
      <c r="CB37" s="830"/>
      <c r="CC37" s="830"/>
      <c r="CD37" s="830"/>
      <c r="CE37" s="830"/>
      <c r="CF37" s="830"/>
      <c r="CG37" s="830"/>
      <c r="CH37" s="830"/>
      <c r="CI37" s="830"/>
      <c r="CJ37" s="830"/>
      <c r="CK37" s="830"/>
      <c r="CL37" s="830"/>
      <c r="CM37" s="263"/>
      <c r="CN37" s="263"/>
      <c r="CO37" s="263"/>
      <c r="CP37" s="263"/>
    </row>
    <row r="38" spans="2:94" x14ac:dyDescent="0.25">
      <c r="H38" s="30"/>
      <c r="I38" s="30"/>
      <c r="J38" s="30"/>
      <c r="K38" s="30"/>
      <c r="L38" s="30"/>
      <c r="M38" s="30"/>
      <c r="N38" s="30"/>
      <c r="O38" s="30"/>
      <c r="P38" s="30"/>
      <c r="Q38" s="263"/>
      <c r="R38" s="263"/>
      <c r="S38" s="263"/>
      <c r="T38" s="263"/>
      <c r="U38" s="263"/>
      <c r="V38" s="263"/>
      <c r="W38" s="263"/>
      <c r="X38" s="263"/>
      <c r="Y38" s="263"/>
      <c r="Z38" s="263"/>
      <c r="AA38" s="263"/>
      <c r="AB38" s="263"/>
      <c r="AC38" s="263"/>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63"/>
      <c r="BB38" s="263"/>
      <c r="BC38" s="263"/>
      <c r="BD38" s="263"/>
      <c r="BE38" s="263"/>
      <c r="BF38" s="263"/>
      <c r="BG38" s="263"/>
      <c r="BH38" s="263"/>
      <c r="BI38" s="263"/>
      <c r="BJ38" s="263"/>
      <c r="BK38" s="263"/>
      <c r="BL38" s="263"/>
      <c r="BM38" s="263"/>
      <c r="BN38" s="263"/>
      <c r="BO38" s="263"/>
      <c r="BP38" s="263"/>
      <c r="BQ38" s="263"/>
      <c r="BR38" s="263"/>
      <c r="BS38" s="263"/>
      <c r="BT38" s="263"/>
      <c r="BU38" s="263"/>
      <c r="BV38" s="263"/>
      <c r="BW38" s="263"/>
      <c r="BX38" s="263"/>
      <c r="BY38" s="263"/>
      <c r="BZ38" s="263"/>
      <c r="CA38" s="263"/>
      <c r="CB38" s="263"/>
      <c r="CC38" s="263"/>
      <c r="CD38" s="263"/>
      <c r="CE38" s="263"/>
      <c r="CF38" s="263"/>
      <c r="CG38" s="263"/>
      <c r="CH38" s="263"/>
      <c r="CI38" s="263"/>
      <c r="CJ38" s="263"/>
      <c r="CK38" s="263"/>
      <c r="CL38" s="263"/>
      <c r="CM38" s="263"/>
      <c r="CN38" s="263"/>
      <c r="CO38" s="263"/>
      <c r="CP38" s="263"/>
    </row>
    <row r="39" spans="2:94" x14ac:dyDescent="0.25">
      <c r="H39" s="30"/>
      <c r="I39" s="30"/>
      <c r="J39" s="30"/>
      <c r="K39" s="30"/>
      <c r="L39" s="30"/>
      <c r="M39" s="30"/>
      <c r="N39" s="30"/>
      <c r="O39" s="30"/>
      <c r="P39" s="30"/>
      <c r="Q39" s="263"/>
      <c r="R39" s="263"/>
      <c r="S39" s="263"/>
      <c r="T39" s="263"/>
      <c r="U39" s="263"/>
      <c r="V39" s="263"/>
      <c r="W39" s="263"/>
      <c r="X39" s="263"/>
      <c r="Y39" s="263"/>
      <c r="Z39" s="263"/>
      <c r="AA39" s="263"/>
      <c r="AB39" s="263"/>
      <c r="AC39" s="263"/>
      <c r="AD39" s="263"/>
      <c r="AE39" s="263"/>
      <c r="AF39" s="263"/>
      <c r="AG39" s="263"/>
      <c r="AH39" s="263"/>
      <c r="AI39" s="263"/>
      <c r="AJ39" s="263"/>
      <c r="AK39" s="263"/>
      <c r="AL39" s="263"/>
      <c r="AM39" s="263"/>
      <c r="AN39" s="263"/>
      <c r="AO39" s="263"/>
      <c r="AP39" s="263"/>
      <c r="AQ39" s="263"/>
      <c r="AR39" s="263"/>
      <c r="AS39" s="263"/>
      <c r="AT39" s="263"/>
      <c r="AU39" s="263"/>
      <c r="AV39" s="263"/>
      <c r="AW39" s="263"/>
      <c r="AX39" s="263"/>
      <c r="AY39" s="263"/>
      <c r="AZ39" s="263"/>
      <c r="BA39" s="263"/>
      <c r="BB39" s="263"/>
      <c r="BC39" s="263"/>
      <c r="BD39" s="263"/>
      <c r="BE39" s="263"/>
      <c r="BF39" s="263"/>
      <c r="BG39" s="263"/>
      <c r="BH39" s="263"/>
      <c r="BI39" s="263"/>
      <c r="BJ39" s="263"/>
      <c r="BK39" s="263"/>
      <c r="BL39" s="263"/>
      <c r="BM39" s="263"/>
      <c r="BN39" s="263"/>
      <c r="BO39" s="263"/>
      <c r="BP39" s="263"/>
      <c r="BQ39" s="263"/>
      <c r="BR39" s="263"/>
      <c r="BS39" s="263"/>
      <c r="BT39" s="263"/>
      <c r="BU39" s="263"/>
      <c r="BV39" s="263"/>
      <c r="BW39" s="263"/>
      <c r="BX39" s="263"/>
      <c r="BY39" s="263"/>
      <c r="BZ39" s="263"/>
      <c r="CA39" s="263"/>
      <c r="CB39" s="263"/>
      <c r="CC39" s="263"/>
      <c r="CD39" s="263"/>
      <c r="CE39" s="263"/>
      <c r="CF39" s="263"/>
      <c r="CG39" s="263"/>
      <c r="CH39" s="263"/>
      <c r="CI39" s="263"/>
      <c r="CJ39" s="263"/>
      <c r="CK39" s="263"/>
      <c r="CL39" s="263"/>
      <c r="CM39" s="263"/>
      <c r="CN39" s="263"/>
      <c r="CO39" s="263"/>
      <c r="CP39" s="263"/>
    </row>
    <row r="40" spans="2:94" x14ac:dyDescent="0.25">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c r="AF40" s="277"/>
      <c r="AG40" s="277"/>
      <c r="AH40" s="277"/>
      <c r="AI40" s="277"/>
      <c r="AJ40" s="277"/>
      <c r="AK40" s="277"/>
      <c r="AL40" s="277"/>
      <c r="AM40" s="277"/>
      <c r="AN40" s="277"/>
      <c r="AO40" s="277"/>
      <c r="AP40" s="277"/>
      <c r="AQ40" s="277"/>
      <c r="AR40" s="277"/>
      <c r="AS40" s="277"/>
      <c r="AT40" s="277"/>
      <c r="AU40" s="277"/>
      <c r="AV40" s="277"/>
      <c r="AW40" s="277"/>
      <c r="AX40" s="277"/>
      <c r="AY40" s="276"/>
      <c r="AZ40" s="276"/>
      <c r="BA40" s="276"/>
      <c r="BB40" s="276"/>
      <c r="BC40" s="276"/>
      <c r="BD40" s="276"/>
      <c r="BE40" s="276"/>
      <c r="BF40" s="276"/>
      <c r="BG40" s="276"/>
      <c r="BH40" s="276"/>
      <c r="BI40" s="276"/>
      <c r="BJ40" s="276"/>
      <c r="BK40" s="276"/>
      <c r="BL40" s="276"/>
      <c r="BM40" s="276"/>
      <c r="BN40" s="276"/>
      <c r="BO40" s="276"/>
      <c r="BP40" s="276"/>
      <c r="BQ40" s="276"/>
      <c r="BR40" s="276"/>
      <c r="BS40" s="276"/>
      <c r="BT40" s="276"/>
      <c r="BU40" s="276"/>
      <c r="BV40" s="276"/>
      <c r="BW40" s="276"/>
      <c r="BX40" s="276"/>
      <c r="BY40" s="276"/>
      <c r="BZ40" s="276"/>
      <c r="CA40" s="276"/>
      <c r="CB40" s="276"/>
      <c r="CC40" s="276"/>
      <c r="CD40" s="276"/>
      <c r="CE40" s="276"/>
      <c r="CF40" s="276"/>
      <c r="CG40" s="276"/>
      <c r="CH40" s="276"/>
      <c r="CI40" s="276"/>
      <c r="CJ40" s="276"/>
      <c r="CK40" s="276"/>
      <c r="CL40" s="276"/>
      <c r="CM40" s="276"/>
      <c r="CN40" s="276"/>
      <c r="CO40" s="276"/>
      <c r="CP40" s="276"/>
    </row>
    <row r="41" spans="2:94" x14ac:dyDescent="0.25">
      <c r="H41" s="30"/>
      <c r="I41" s="30"/>
      <c r="J41" s="30"/>
      <c r="Q41" s="263"/>
      <c r="R41" s="263"/>
      <c r="S41" s="263"/>
      <c r="T41" s="263"/>
      <c r="U41" s="263"/>
      <c r="V41" s="263"/>
      <c r="W41" s="263"/>
      <c r="X41" s="263"/>
      <c r="Y41" s="263"/>
      <c r="Z41" s="263"/>
      <c r="AA41" s="263"/>
      <c r="AB41" s="263"/>
      <c r="AC41" s="263"/>
      <c r="AD41" s="263"/>
      <c r="AE41" s="263"/>
      <c r="AF41" s="263"/>
      <c r="AG41" s="263"/>
      <c r="AH41" s="263"/>
      <c r="AI41" s="263"/>
      <c r="AJ41" s="263"/>
      <c r="AK41" s="263"/>
      <c r="AL41" s="263"/>
      <c r="AM41" s="263"/>
      <c r="AN41" s="263"/>
      <c r="AO41" s="263"/>
      <c r="AP41" s="263"/>
      <c r="AQ41" s="263"/>
      <c r="AR41" s="263"/>
      <c r="AS41" s="263"/>
      <c r="AT41" s="263"/>
      <c r="AU41" s="263"/>
      <c r="AV41" s="263"/>
      <c r="AW41" s="263"/>
      <c r="AX41" s="263"/>
      <c r="AY41" s="263"/>
      <c r="AZ41" s="263"/>
      <c r="BA41" s="263"/>
      <c r="BB41" s="263"/>
      <c r="BC41" s="263"/>
      <c r="BD41" s="263"/>
      <c r="BE41" s="263"/>
      <c r="BF41" s="263"/>
      <c r="BG41" s="263"/>
      <c r="BH41" s="263"/>
      <c r="BI41" s="263"/>
      <c r="BJ41" s="263"/>
      <c r="BK41" s="263"/>
      <c r="BL41" s="263"/>
      <c r="BM41" s="263"/>
      <c r="BN41" s="263"/>
      <c r="BO41" s="263"/>
      <c r="BP41" s="263"/>
      <c r="BQ41" s="263"/>
      <c r="BR41" s="263"/>
      <c r="BS41" s="263"/>
      <c r="BT41" s="263"/>
      <c r="BU41" s="263"/>
      <c r="BV41" s="263"/>
      <c r="BW41" s="263"/>
      <c r="BX41" s="263"/>
      <c r="BY41" s="263"/>
      <c r="BZ41" s="263"/>
      <c r="CA41" s="263"/>
      <c r="CB41" s="263"/>
      <c r="CC41" s="263"/>
      <c r="CD41" s="263"/>
      <c r="CE41" s="263"/>
      <c r="CF41" s="263"/>
      <c r="CG41" s="263"/>
      <c r="CH41" s="263"/>
      <c r="CI41" s="263"/>
      <c r="CJ41" s="263"/>
      <c r="CK41" s="263"/>
      <c r="CL41" s="263"/>
      <c r="CM41" s="263"/>
      <c r="CN41" s="263"/>
      <c r="CO41" s="263"/>
      <c r="CP41" s="263"/>
    </row>
    <row r="42" spans="2:94" ht="30" x14ac:dyDescent="0.25">
      <c r="H42" s="278"/>
      <c r="I42" s="278"/>
      <c r="J42" s="278"/>
      <c r="Q42" s="260" t="s">
        <v>372</v>
      </c>
      <c r="R42" s="260"/>
      <c r="S42" s="260"/>
      <c r="T42" s="260"/>
      <c r="U42" s="260"/>
      <c r="V42" s="260"/>
      <c r="W42" s="260"/>
      <c r="X42" s="260"/>
      <c r="Y42" s="260"/>
      <c r="Z42" s="260"/>
      <c r="AA42" s="260"/>
      <c r="AB42" s="260"/>
      <c r="AC42" s="260"/>
      <c r="AD42" s="260"/>
      <c r="AE42" s="260"/>
      <c r="AF42" s="260"/>
      <c r="AG42" s="260"/>
      <c r="AH42" s="260"/>
      <c r="AI42" s="260"/>
      <c r="AJ42" s="260"/>
      <c r="AK42" s="260"/>
      <c r="AL42" s="260"/>
      <c r="AM42" s="260"/>
      <c r="AN42" s="260"/>
      <c r="AO42" s="260"/>
      <c r="AP42" s="260"/>
      <c r="AQ42" s="260"/>
      <c r="AR42" s="260"/>
      <c r="AS42" s="260"/>
      <c r="AT42" s="260"/>
      <c r="AU42" s="260"/>
      <c r="AV42" s="260"/>
      <c r="AW42" s="260"/>
      <c r="AX42" s="260"/>
      <c r="AY42" s="260"/>
      <c r="AZ42" s="260"/>
      <c r="BA42" s="260"/>
      <c r="BB42" s="260"/>
      <c r="BC42" s="260"/>
      <c r="BD42" s="260"/>
      <c r="BE42" s="260"/>
      <c r="BF42" s="260"/>
      <c r="BG42" s="260"/>
      <c r="BH42" s="260"/>
      <c r="BI42" s="260"/>
      <c r="BJ42" s="260"/>
      <c r="BK42" s="260"/>
      <c r="BL42" s="260"/>
      <c r="BM42" s="260"/>
      <c r="BN42" s="260"/>
      <c r="BO42" s="260"/>
      <c r="BP42" s="260"/>
      <c r="BQ42" s="260"/>
      <c r="BR42" s="260"/>
      <c r="BS42" s="260"/>
      <c r="BT42" s="260"/>
      <c r="BU42" s="260"/>
      <c r="BV42" s="260"/>
      <c r="BW42" s="260"/>
      <c r="BX42" s="260"/>
      <c r="BY42" s="260"/>
      <c r="BZ42" s="260"/>
      <c r="CA42" s="260"/>
      <c r="CB42" s="260"/>
      <c r="CC42" s="260"/>
      <c r="CD42" s="260"/>
      <c r="CE42" s="260"/>
      <c r="CF42" s="260"/>
      <c r="CG42" s="260"/>
      <c r="CH42" s="260"/>
      <c r="CI42" s="260"/>
      <c r="CJ42" s="260"/>
      <c r="CK42" s="260"/>
      <c r="CL42" s="260"/>
      <c r="CM42" s="260"/>
      <c r="CN42" s="260"/>
      <c r="CO42" s="260"/>
      <c r="CP42" s="260"/>
    </row>
    <row r="43" spans="2:94" x14ac:dyDescent="0.25">
      <c r="H43" s="276"/>
      <c r="I43" s="276"/>
      <c r="J43" s="276"/>
      <c r="Q43" s="279"/>
      <c r="R43" s="279"/>
      <c r="S43" s="279"/>
      <c r="T43" s="279"/>
      <c r="U43" s="279"/>
      <c r="V43" s="279"/>
      <c r="W43" s="279"/>
      <c r="X43" s="279"/>
      <c r="Y43" s="279"/>
      <c r="Z43" s="279"/>
      <c r="AA43" s="279"/>
      <c r="AB43" s="279"/>
      <c r="AC43" s="279"/>
      <c r="AD43" s="279"/>
      <c r="AE43" s="279"/>
      <c r="AF43" s="279"/>
      <c r="AG43" s="279"/>
      <c r="AH43" s="279"/>
      <c r="AI43" s="279"/>
      <c r="AJ43" s="279"/>
      <c r="AK43" s="279"/>
      <c r="AL43" s="279"/>
      <c r="AM43" s="279"/>
      <c r="AN43" s="279"/>
      <c r="AO43" s="279"/>
      <c r="AP43" s="279"/>
      <c r="AQ43" s="279"/>
      <c r="AR43" s="279"/>
      <c r="AS43" s="279"/>
      <c r="AT43" s="279"/>
      <c r="AU43" s="279"/>
      <c r="AV43" s="279"/>
      <c r="AW43" s="279"/>
      <c r="AX43" s="279"/>
      <c r="AY43" s="279"/>
      <c r="AZ43" s="279"/>
      <c r="BA43" s="279"/>
      <c r="BB43" s="279"/>
      <c r="BC43" s="279"/>
      <c r="BD43" s="279"/>
      <c r="BE43" s="279"/>
      <c r="BF43" s="279"/>
      <c r="BG43" s="279"/>
      <c r="BH43" s="279"/>
      <c r="BI43" s="279"/>
      <c r="BJ43" s="279"/>
      <c r="BK43" s="279"/>
      <c r="BL43" s="279"/>
      <c r="BM43" s="279"/>
      <c r="BN43" s="279"/>
      <c r="BO43" s="279"/>
      <c r="BP43" s="279"/>
      <c r="BQ43" s="279"/>
      <c r="BR43" s="279"/>
      <c r="BS43" s="279"/>
      <c r="BT43" s="279"/>
      <c r="BU43" s="279"/>
      <c r="BV43" s="279"/>
      <c r="BW43" s="279"/>
      <c r="BX43" s="279"/>
      <c r="BY43" s="279"/>
      <c r="BZ43" s="279"/>
      <c r="CA43" s="279"/>
      <c r="CB43" s="279"/>
      <c r="CC43" s="279"/>
      <c r="CD43" s="279"/>
      <c r="CE43" s="279"/>
      <c r="CF43" s="279"/>
      <c r="CG43" s="279"/>
      <c r="CH43" s="279"/>
      <c r="CI43" s="279"/>
      <c r="CJ43" s="279"/>
      <c r="CK43" s="279"/>
      <c r="CL43" s="279"/>
      <c r="CM43" s="279"/>
      <c r="CN43" s="279"/>
      <c r="CO43" s="279"/>
      <c r="CP43" s="279"/>
    </row>
    <row r="44" spans="2:94" x14ac:dyDescent="0.25">
      <c r="H44" s="276"/>
      <c r="I44" s="276"/>
      <c r="J44" s="276"/>
      <c r="Q44" s="279"/>
      <c r="R44" s="279"/>
      <c r="S44" s="279"/>
      <c r="T44" s="279"/>
      <c r="U44" s="279"/>
      <c r="V44" s="279"/>
      <c r="W44" s="279"/>
      <c r="X44" s="279"/>
      <c r="Y44" s="279"/>
      <c r="Z44" s="279"/>
      <c r="AA44" s="279"/>
      <c r="AB44" s="279"/>
      <c r="AC44" s="279"/>
      <c r="AD44" s="279"/>
      <c r="AE44" s="279"/>
      <c r="AF44" s="279"/>
      <c r="AG44" s="279"/>
      <c r="AH44" s="279"/>
      <c r="AI44" s="279"/>
      <c r="AJ44" s="279"/>
      <c r="AK44" s="279"/>
      <c r="AL44" s="280"/>
      <c r="AM44" s="281"/>
      <c r="AN44" s="281"/>
      <c r="AO44" s="281"/>
      <c r="AP44" s="281"/>
      <c r="AQ44" s="281"/>
      <c r="AR44" s="281"/>
      <c r="AS44" s="281"/>
      <c r="AT44" s="281"/>
      <c r="AU44" s="280"/>
      <c r="AV44" s="281"/>
      <c r="AW44" s="281"/>
      <c r="AX44" s="281"/>
      <c r="AY44" s="281"/>
      <c r="AZ44" s="281"/>
      <c r="BA44" s="281"/>
      <c r="BB44" s="281"/>
      <c r="BC44" s="281"/>
      <c r="BD44" s="280"/>
      <c r="BE44" s="281"/>
      <c r="BF44" s="281"/>
      <c r="BG44" s="281"/>
      <c r="BH44" s="281"/>
      <c r="BI44" s="281"/>
      <c r="BJ44" s="281"/>
      <c r="BK44" s="281"/>
      <c r="BL44" s="281"/>
      <c r="BM44" s="280"/>
      <c r="BN44" s="281"/>
      <c r="BO44" s="281"/>
      <c r="BP44" s="281"/>
      <c r="BQ44" s="281"/>
      <c r="BR44" s="281"/>
      <c r="BS44" s="281"/>
      <c r="BT44" s="281"/>
      <c r="BU44" s="281"/>
      <c r="BV44" s="280"/>
      <c r="BW44" s="281"/>
      <c r="BX44" s="281"/>
      <c r="BY44" s="281"/>
      <c r="BZ44" s="281"/>
      <c r="CA44" s="281"/>
      <c r="CB44" s="281"/>
      <c r="CC44" s="281"/>
      <c r="CD44" s="281"/>
      <c r="CE44" s="279"/>
      <c r="CF44" s="279"/>
      <c r="CG44" s="279"/>
      <c r="CH44" s="279"/>
      <c r="CI44" s="279"/>
      <c r="CJ44" s="279"/>
      <c r="CK44" s="279"/>
      <c r="CL44" s="279"/>
      <c r="CM44" s="279"/>
      <c r="CN44" s="279"/>
      <c r="CO44" s="279"/>
      <c r="CP44" s="279"/>
    </row>
    <row r="45" spans="2:94" ht="15.75" customHeight="1" x14ac:dyDescent="0.25">
      <c r="B45" s="275"/>
      <c r="H45" s="276"/>
      <c r="I45" s="276"/>
      <c r="J45" s="276"/>
      <c r="Q45" s="296"/>
      <c r="R45" s="296"/>
      <c r="S45" s="296"/>
      <c r="T45" s="296"/>
      <c r="U45" s="296"/>
      <c r="V45" s="296"/>
      <c r="W45" s="279"/>
      <c r="X45" s="279"/>
      <c r="Y45" s="279"/>
      <c r="Z45" s="832" t="s">
        <v>373</v>
      </c>
      <c r="AA45" s="832"/>
      <c r="AB45" s="832"/>
      <c r="AC45" s="832"/>
      <c r="AD45" s="832"/>
      <c r="AE45" s="832"/>
      <c r="AF45" s="832"/>
      <c r="AG45" s="832"/>
      <c r="AH45" s="832"/>
      <c r="AI45" s="832"/>
      <c r="AJ45" s="282"/>
      <c r="AK45" s="282"/>
      <c r="AL45" s="833" t="s">
        <v>302</v>
      </c>
      <c r="AM45" s="833"/>
      <c r="AN45" s="833"/>
      <c r="AO45" s="833"/>
      <c r="AP45" s="833"/>
      <c r="AQ45" s="833"/>
      <c r="AR45" s="833"/>
      <c r="AS45" s="833"/>
      <c r="AT45" s="283"/>
      <c r="AU45" s="834" t="s">
        <v>304</v>
      </c>
      <c r="AV45" s="834"/>
      <c r="AW45" s="834"/>
      <c r="AX45" s="834"/>
      <c r="AY45" s="834"/>
      <c r="AZ45" s="834"/>
      <c r="BA45" s="834"/>
      <c r="BB45" s="834"/>
      <c r="BC45" s="283"/>
      <c r="BD45" s="834" t="s">
        <v>306</v>
      </c>
      <c r="BE45" s="834"/>
      <c r="BF45" s="834"/>
      <c r="BG45" s="834"/>
      <c r="BH45" s="834"/>
      <c r="BI45" s="834"/>
      <c r="BJ45" s="834"/>
      <c r="BK45" s="834"/>
      <c r="BL45" s="283"/>
      <c r="BM45" s="834" t="s">
        <v>308</v>
      </c>
      <c r="BN45" s="834"/>
      <c r="BO45" s="834"/>
      <c r="BP45" s="834"/>
      <c r="BQ45" s="834"/>
      <c r="BR45" s="834"/>
      <c r="BS45" s="834"/>
      <c r="BT45" s="834"/>
      <c r="BU45" s="283"/>
      <c r="BV45" s="835" t="s">
        <v>310</v>
      </c>
      <c r="BW45" s="835"/>
      <c r="BX45" s="835"/>
      <c r="BY45" s="835"/>
      <c r="BZ45" s="835"/>
      <c r="CA45" s="835"/>
      <c r="CB45" s="835"/>
      <c r="CC45" s="835"/>
      <c r="CD45" s="279"/>
      <c r="CE45" s="279"/>
      <c r="CF45" s="279"/>
      <c r="CG45" s="279"/>
      <c r="CH45" s="279"/>
      <c r="CI45" s="279"/>
      <c r="CJ45" s="279"/>
      <c r="CK45" s="279"/>
      <c r="CL45" s="279"/>
      <c r="CM45" s="279"/>
      <c r="CN45" s="279"/>
      <c r="CO45" s="279"/>
      <c r="CP45" s="279"/>
    </row>
    <row r="46" spans="2:94" ht="18" x14ac:dyDescent="0.25">
      <c r="B46" s="275"/>
      <c r="H46" s="276"/>
      <c r="I46" s="276"/>
      <c r="J46" s="276"/>
      <c r="Q46" s="296"/>
      <c r="R46" s="296"/>
      <c r="S46" s="296"/>
      <c r="T46" s="296"/>
      <c r="U46" s="296"/>
      <c r="V46" s="296"/>
      <c r="W46" s="279"/>
      <c r="X46" s="279"/>
      <c r="Y46" s="279"/>
      <c r="Z46" s="282"/>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c r="BB46" s="284"/>
      <c r="BC46" s="284"/>
      <c r="BD46" s="284"/>
      <c r="BE46" s="284"/>
      <c r="BF46" s="284"/>
      <c r="BG46" s="284"/>
      <c r="BH46" s="284"/>
      <c r="BI46" s="284"/>
      <c r="BJ46" s="284"/>
      <c r="BK46" s="284"/>
      <c r="BL46" s="284"/>
      <c r="BM46" s="284"/>
      <c r="BN46" s="284"/>
      <c r="BO46" s="284"/>
      <c r="BP46" s="284"/>
      <c r="BQ46" s="284"/>
      <c r="BR46" s="284"/>
      <c r="BS46" s="284"/>
      <c r="BT46" s="284"/>
      <c r="BU46" s="284"/>
      <c r="BV46" s="284"/>
      <c r="BW46" s="284"/>
      <c r="BX46" s="284"/>
      <c r="BY46" s="284"/>
      <c r="BZ46" s="284"/>
      <c r="CA46" s="284"/>
      <c r="CB46" s="284"/>
      <c r="CC46" s="284"/>
      <c r="CD46" s="279"/>
      <c r="CE46" s="279"/>
      <c r="CF46" s="279"/>
      <c r="CG46" s="279"/>
      <c r="CH46" s="279"/>
      <c r="CI46" s="279"/>
      <c r="CJ46" s="279"/>
      <c r="CK46" s="279"/>
      <c r="CL46" s="279"/>
      <c r="CM46" s="279"/>
      <c r="CN46" s="279"/>
      <c r="CO46" s="279"/>
      <c r="CP46" s="279"/>
    </row>
    <row r="47" spans="2:94" ht="15" customHeight="1" x14ac:dyDescent="0.25">
      <c r="H47" s="276"/>
      <c r="I47" s="276"/>
      <c r="J47" s="276"/>
      <c r="Q47" s="296"/>
      <c r="R47" s="296"/>
      <c r="S47" s="296"/>
      <c r="T47" s="296"/>
      <c r="U47" s="296"/>
      <c r="V47" s="296"/>
      <c r="W47" s="279"/>
      <c r="X47" s="279"/>
      <c r="Y47" s="279"/>
      <c r="Z47" s="282"/>
      <c r="AA47" s="282"/>
      <c r="AB47" s="282"/>
      <c r="AC47" s="282"/>
      <c r="AD47" s="282"/>
      <c r="AE47" s="282"/>
      <c r="AF47" s="282"/>
      <c r="AG47" s="282"/>
      <c r="AH47" s="282"/>
      <c r="AI47" s="282"/>
      <c r="AJ47" s="282"/>
      <c r="AK47" s="282"/>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c r="BO47" s="284"/>
      <c r="BP47" s="284"/>
      <c r="BQ47" s="284"/>
      <c r="BR47" s="284"/>
      <c r="BS47" s="284"/>
      <c r="BT47" s="284"/>
      <c r="BU47" s="284"/>
      <c r="BV47" s="284"/>
      <c r="BW47" s="284"/>
      <c r="BX47" s="284"/>
      <c r="BY47" s="284"/>
      <c r="BZ47" s="284"/>
      <c r="CA47" s="284"/>
      <c r="CB47" s="284"/>
      <c r="CC47" s="284"/>
      <c r="CD47" s="279"/>
      <c r="CE47" s="279"/>
      <c r="CF47" s="279"/>
      <c r="CG47" s="279"/>
      <c r="CH47" s="279"/>
      <c r="CI47" s="279"/>
      <c r="CJ47" s="279"/>
      <c r="CK47" s="279"/>
      <c r="CL47" s="279"/>
      <c r="CM47" s="279"/>
      <c r="CN47" s="279"/>
      <c r="CO47" s="279"/>
      <c r="CP47" s="296"/>
    </row>
    <row r="48" spans="2:94" ht="15" customHeight="1" x14ac:dyDescent="0.25">
      <c r="B48" s="275"/>
      <c r="H48" s="276"/>
      <c r="I48" s="276"/>
      <c r="J48" s="276"/>
      <c r="Q48" s="296"/>
      <c r="R48" s="296"/>
      <c r="S48" s="296"/>
      <c r="T48" s="296"/>
      <c r="U48" s="296"/>
      <c r="V48" s="296"/>
      <c r="W48" s="279"/>
      <c r="X48" s="279"/>
      <c r="Y48" s="279"/>
      <c r="Z48" s="282"/>
      <c r="AA48" s="282"/>
      <c r="AB48" s="282"/>
      <c r="AC48" s="282"/>
      <c r="AD48" s="282"/>
      <c r="AE48" s="282"/>
      <c r="AF48" s="282"/>
      <c r="AG48" s="282"/>
      <c r="AH48" s="282"/>
      <c r="AI48" s="282"/>
      <c r="AJ48" s="282"/>
      <c r="AK48" s="282"/>
      <c r="AL48" s="287"/>
      <c r="AM48" s="286"/>
      <c r="AN48" s="286"/>
      <c r="AO48" s="286"/>
      <c r="AP48" s="286"/>
      <c r="AQ48" s="286"/>
      <c r="AR48" s="286"/>
      <c r="AS48" s="286"/>
      <c r="AT48" s="286"/>
      <c r="AU48" s="287"/>
      <c r="AV48" s="286"/>
      <c r="AW48" s="286"/>
      <c r="AX48" s="286"/>
      <c r="AY48" s="286"/>
      <c r="AZ48" s="286"/>
      <c r="BA48" s="286"/>
      <c r="BB48" s="286"/>
      <c r="BC48" s="286"/>
      <c r="BD48" s="287"/>
      <c r="BE48" s="286"/>
      <c r="BF48" s="286"/>
      <c r="BG48" s="286"/>
      <c r="BH48" s="286"/>
      <c r="BI48" s="286"/>
      <c r="BJ48" s="286"/>
      <c r="BK48" s="286"/>
      <c r="BL48" s="286"/>
      <c r="BM48" s="287"/>
      <c r="BN48" s="286"/>
      <c r="BO48" s="286"/>
      <c r="BP48" s="286"/>
      <c r="BQ48" s="286"/>
      <c r="BR48" s="286"/>
      <c r="BS48" s="286"/>
      <c r="BT48" s="286"/>
      <c r="BU48" s="286"/>
      <c r="BV48" s="287"/>
      <c r="BW48" s="286"/>
      <c r="BX48" s="286"/>
      <c r="BY48" s="286"/>
      <c r="BZ48" s="286"/>
      <c r="CA48" s="286"/>
      <c r="CB48" s="286"/>
      <c r="CC48" s="286"/>
      <c r="CD48" s="279"/>
      <c r="CE48" s="279"/>
      <c r="CF48" s="279"/>
      <c r="CG48" s="279"/>
      <c r="CH48" s="279"/>
      <c r="CI48" s="279"/>
      <c r="CJ48" s="279"/>
      <c r="CK48" s="279"/>
      <c r="CL48" s="279"/>
      <c r="CM48" s="279"/>
      <c r="CN48" s="279"/>
      <c r="CO48" s="279"/>
      <c r="CP48" s="296"/>
    </row>
    <row r="49" spans="2:94" ht="15.75" customHeight="1" x14ac:dyDescent="0.25">
      <c r="B49" s="275"/>
      <c r="H49" s="276"/>
      <c r="I49" s="276"/>
      <c r="J49" s="276"/>
      <c r="Q49" s="296"/>
      <c r="R49" s="296"/>
      <c r="S49" s="296"/>
      <c r="T49" s="296"/>
      <c r="U49" s="296"/>
      <c r="V49" s="296"/>
      <c r="W49" s="279"/>
      <c r="X49" s="296" t="s">
        <v>374</v>
      </c>
      <c r="Y49" s="279"/>
      <c r="Z49" s="832" t="s">
        <v>25</v>
      </c>
      <c r="AA49" s="832"/>
      <c r="AB49" s="832"/>
      <c r="AC49" s="832"/>
      <c r="AD49" s="832"/>
      <c r="AE49" s="832"/>
      <c r="AF49" s="832"/>
      <c r="AG49" s="832"/>
      <c r="AH49" s="832"/>
      <c r="AI49" s="832"/>
      <c r="AJ49" s="282"/>
      <c r="AK49" s="282"/>
      <c r="AL49" s="834" t="s">
        <v>293</v>
      </c>
      <c r="AM49" s="834"/>
      <c r="AN49" s="834"/>
      <c r="AO49" s="834"/>
      <c r="AP49" s="834"/>
      <c r="AQ49" s="834"/>
      <c r="AR49" s="834"/>
      <c r="AS49" s="834"/>
      <c r="AT49" s="283"/>
      <c r="AU49" s="834" t="s">
        <v>295</v>
      </c>
      <c r="AV49" s="834"/>
      <c r="AW49" s="834"/>
      <c r="AX49" s="834"/>
      <c r="AY49" s="834"/>
      <c r="AZ49" s="834"/>
      <c r="BA49" s="834"/>
      <c r="BB49" s="834"/>
      <c r="BC49" s="283"/>
      <c r="BD49" s="834" t="s">
        <v>33</v>
      </c>
      <c r="BE49" s="834"/>
      <c r="BF49" s="834"/>
      <c r="BG49" s="834"/>
      <c r="BH49" s="834"/>
      <c r="BI49" s="834"/>
      <c r="BJ49" s="834"/>
      <c r="BK49" s="834"/>
      <c r="BL49" s="283"/>
      <c r="BM49" s="834" t="s">
        <v>298</v>
      </c>
      <c r="BN49" s="834"/>
      <c r="BO49" s="834"/>
      <c r="BP49" s="834"/>
      <c r="BQ49" s="834"/>
      <c r="BR49" s="834"/>
      <c r="BS49" s="834"/>
      <c r="BT49" s="834"/>
      <c r="BU49" s="283"/>
      <c r="BV49" s="834" t="s">
        <v>300</v>
      </c>
      <c r="BW49" s="834"/>
      <c r="BX49" s="834"/>
      <c r="BY49" s="834"/>
      <c r="BZ49" s="834"/>
      <c r="CA49" s="834"/>
      <c r="CB49" s="834"/>
      <c r="CC49" s="834"/>
      <c r="CD49" s="279"/>
      <c r="CE49" s="279"/>
      <c r="CF49" s="279"/>
      <c r="CG49" s="279"/>
      <c r="CH49" s="279"/>
      <c r="CI49" s="279"/>
      <c r="CJ49" s="279"/>
      <c r="CK49" s="279"/>
      <c r="CL49" s="279"/>
      <c r="CM49" s="279"/>
      <c r="CN49" s="279"/>
      <c r="CO49" s="279"/>
      <c r="CP49" s="296"/>
    </row>
    <row r="50" spans="2:94" ht="15" customHeight="1" x14ac:dyDescent="0.25">
      <c r="H50" s="276"/>
      <c r="I50" s="276"/>
      <c r="J50" s="276"/>
      <c r="Q50" s="296"/>
      <c r="R50" s="296"/>
      <c r="S50" s="296"/>
      <c r="T50" s="296"/>
      <c r="U50" s="296"/>
      <c r="V50" s="296"/>
      <c r="W50" s="279"/>
      <c r="X50" s="279"/>
      <c r="Y50" s="279"/>
      <c r="Z50" s="282"/>
      <c r="AA50" s="282"/>
      <c r="AB50" s="282"/>
      <c r="AC50" s="282"/>
      <c r="AD50" s="282"/>
      <c r="AE50" s="282"/>
      <c r="AF50" s="282"/>
      <c r="AG50" s="282"/>
      <c r="AH50" s="282"/>
      <c r="AI50" s="282"/>
      <c r="AJ50" s="282"/>
      <c r="AK50" s="282"/>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c r="BO50" s="284"/>
      <c r="BP50" s="284"/>
      <c r="BQ50" s="284"/>
      <c r="BR50" s="284"/>
      <c r="BS50" s="284"/>
      <c r="BT50" s="284"/>
      <c r="BU50" s="284"/>
      <c r="BV50" s="284"/>
      <c r="BW50" s="284"/>
      <c r="BX50" s="284"/>
      <c r="BY50" s="284"/>
      <c r="BZ50" s="284"/>
      <c r="CA50" s="284"/>
      <c r="CB50" s="284"/>
      <c r="CC50" s="284"/>
      <c r="CD50" s="279"/>
      <c r="CE50" s="279"/>
      <c r="CF50" s="279"/>
      <c r="CG50" s="279"/>
      <c r="CH50" s="279"/>
      <c r="CI50" s="279"/>
      <c r="CJ50" s="279"/>
      <c r="CK50" s="279"/>
      <c r="CL50" s="279"/>
      <c r="CM50" s="279"/>
      <c r="CN50" s="279"/>
      <c r="CO50" s="279"/>
      <c r="CP50" s="296"/>
    </row>
    <row r="51" spans="2:94" ht="15" customHeight="1" x14ac:dyDescent="0.25">
      <c r="H51" s="276"/>
      <c r="I51" s="276"/>
      <c r="J51" s="276"/>
      <c r="Q51" s="296"/>
      <c r="R51" s="296"/>
      <c r="S51" s="296"/>
      <c r="T51" s="296"/>
      <c r="U51" s="296"/>
      <c r="V51" s="296"/>
      <c r="W51" s="279"/>
      <c r="X51" s="279"/>
      <c r="Y51" s="279"/>
      <c r="Z51" s="282"/>
      <c r="AA51" s="282"/>
      <c r="AB51" s="282"/>
      <c r="AC51" s="282"/>
      <c r="AD51" s="282"/>
      <c r="AE51" s="282"/>
      <c r="AF51" s="282"/>
      <c r="AG51" s="282"/>
      <c r="AH51" s="282"/>
      <c r="AI51" s="282"/>
      <c r="AJ51" s="282"/>
      <c r="AK51" s="282"/>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c r="BO51" s="284"/>
      <c r="BP51" s="284"/>
      <c r="BQ51" s="284"/>
      <c r="BR51" s="284"/>
      <c r="BS51" s="284"/>
      <c r="BT51" s="284"/>
      <c r="BU51" s="284"/>
      <c r="BV51" s="284"/>
      <c r="BW51" s="284"/>
      <c r="BX51" s="284"/>
      <c r="BY51" s="284"/>
      <c r="BZ51" s="284"/>
      <c r="CA51" s="284"/>
      <c r="CB51" s="284"/>
      <c r="CC51" s="284"/>
      <c r="CD51" s="279"/>
      <c r="CE51" s="279"/>
      <c r="CF51" s="279"/>
      <c r="CG51" s="279"/>
      <c r="CH51" s="279"/>
      <c r="CI51" s="279"/>
      <c r="CJ51" s="279"/>
      <c r="CK51" s="279"/>
      <c r="CL51" s="279"/>
      <c r="CM51" s="279"/>
      <c r="CN51" s="279"/>
      <c r="CO51" s="279"/>
      <c r="CP51" s="296"/>
    </row>
    <row r="52" spans="2:94" ht="15" customHeight="1" x14ac:dyDescent="0.25">
      <c r="H52" s="276"/>
      <c r="I52" s="276"/>
      <c r="J52" s="276"/>
      <c r="Q52" s="296"/>
      <c r="R52" s="296"/>
      <c r="S52" s="296"/>
      <c r="T52" s="296"/>
      <c r="U52" s="296"/>
      <c r="V52" s="296"/>
      <c r="W52" s="279"/>
      <c r="X52" s="279"/>
      <c r="Y52" s="279"/>
      <c r="Z52" s="282"/>
      <c r="AA52" s="282"/>
      <c r="AB52" s="282"/>
      <c r="AC52" s="282"/>
      <c r="AD52" s="282"/>
      <c r="AE52" s="282"/>
      <c r="AF52" s="282"/>
      <c r="AG52" s="282"/>
      <c r="AH52" s="282"/>
      <c r="AI52" s="282"/>
      <c r="AJ52" s="282"/>
      <c r="AK52" s="282"/>
      <c r="AL52" s="285"/>
      <c r="AM52" s="285"/>
      <c r="AN52" s="285"/>
      <c r="AO52" s="285"/>
      <c r="AP52" s="285"/>
      <c r="AQ52" s="285"/>
      <c r="AR52" s="285"/>
      <c r="AS52" s="285"/>
      <c r="AT52" s="285"/>
      <c r="AU52" s="285"/>
      <c r="AV52" s="285"/>
      <c r="AW52" s="285"/>
      <c r="AX52" s="285"/>
      <c r="AY52" s="285"/>
      <c r="AZ52" s="285"/>
      <c r="BA52" s="285"/>
      <c r="BB52" s="285"/>
      <c r="BC52" s="285"/>
      <c r="BD52" s="285"/>
      <c r="BE52" s="285"/>
      <c r="BF52" s="285"/>
      <c r="BG52" s="285"/>
      <c r="BH52" s="285"/>
      <c r="BI52" s="285"/>
      <c r="BJ52" s="285"/>
      <c r="BK52" s="285"/>
      <c r="BL52" s="285"/>
      <c r="BM52" s="285"/>
      <c r="BN52" s="285"/>
      <c r="BO52" s="285"/>
      <c r="BP52" s="285"/>
      <c r="BQ52" s="285"/>
      <c r="BR52" s="285"/>
      <c r="BS52" s="285"/>
      <c r="BT52" s="285"/>
      <c r="BU52" s="285"/>
      <c r="BV52" s="285"/>
      <c r="BW52" s="285"/>
      <c r="BX52" s="285"/>
      <c r="BY52" s="285"/>
      <c r="BZ52" s="285"/>
      <c r="CA52" s="285"/>
      <c r="CB52" s="285"/>
      <c r="CC52" s="290"/>
      <c r="CD52" s="279"/>
      <c r="CE52" s="279"/>
      <c r="CF52" s="279"/>
      <c r="CG52" s="279"/>
      <c r="CH52" s="279"/>
      <c r="CI52" s="279"/>
      <c r="CJ52" s="279"/>
      <c r="CK52" s="279"/>
      <c r="CL52" s="279"/>
      <c r="CM52" s="279"/>
      <c r="CN52" s="279"/>
      <c r="CO52" s="279"/>
      <c r="CP52" s="296"/>
    </row>
    <row r="53" spans="2:94" ht="15.75" hidden="1" customHeight="1" x14ac:dyDescent="0.25">
      <c r="H53" s="276"/>
      <c r="I53" s="276"/>
      <c r="J53" s="276"/>
      <c r="Q53" s="296"/>
      <c r="R53" s="296"/>
      <c r="S53" s="296"/>
      <c r="T53" s="296"/>
      <c r="U53" s="296"/>
      <c r="V53" s="296"/>
      <c r="W53" s="279"/>
      <c r="X53" s="279"/>
      <c r="Y53" s="279"/>
      <c r="Z53" s="832" t="s">
        <v>9</v>
      </c>
      <c r="AA53" s="832"/>
      <c r="AB53" s="832"/>
      <c r="AC53" s="832"/>
      <c r="AD53" s="832"/>
      <c r="AE53" s="832"/>
      <c r="AF53" s="832"/>
      <c r="AG53" s="832"/>
      <c r="AH53" s="832"/>
      <c r="AI53" s="832"/>
      <c r="AJ53" s="282"/>
      <c r="AK53" s="282"/>
      <c r="AL53" s="834" t="s">
        <v>288</v>
      </c>
      <c r="AM53" s="834"/>
      <c r="AN53" s="834"/>
      <c r="AO53" s="834"/>
      <c r="AP53" s="834"/>
      <c r="AQ53" s="834"/>
      <c r="AR53" s="834"/>
      <c r="AS53" s="834"/>
      <c r="AT53" s="283"/>
      <c r="AU53" s="834" t="s">
        <v>289</v>
      </c>
      <c r="AV53" s="834"/>
      <c r="AW53" s="834"/>
      <c r="AX53" s="834"/>
      <c r="AY53" s="834"/>
      <c r="AZ53" s="834"/>
      <c r="BA53" s="834"/>
      <c r="BB53" s="834"/>
      <c r="BC53" s="283"/>
      <c r="BD53" s="834" t="s">
        <v>290</v>
      </c>
      <c r="BE53" s="834"/>
      <c r="BF53" s="834"/>
      <c r="BG53" s="834"/>
      <c r="BH53" s="834"/>
      <c r="BI53" s="834"/>
      <c r="BJ53" s="834"/>
      <c r="BK53" s="834"/>
      <c r="BL53" s="283"/>
      <c r="BM53" s="834" t="s">
        <v>291</v>
      </c>
      <c r="BN53" s="834"/>
      <c r="BO53" s="834"/>
      <c r="BP53" s="834"/>
      <c r="BQ53" s="834"/>
      <c r="BR53" s="834"/>
      <c r="BS53" s="834"/>
      <c r="BT53" s="834"/>
      <c r="BU53" s="283"/>
      <c r="BV53" s="834" t="s">
        <v>292</v>
      </c>
      <c r="BW53" s="834"/>
      <c r="BX53" s="834"/>
      <c r="BY53" s="834"/>
      <c r="BZ53" s="834"/>
      <c r="CA53" s="834"/>
      <c r="CB53" s="834"/>
      <c r="CC53" s="834"/>
      <c r="CD53" s="279"/>
      <c r="CE53" s="279"/>
      <c r="CF53" s="279"/>
      <c r="CG53" s="279"/>
      <c r="CH53" s="279"/>
      <c r="CI53" s="279"/>
      <c r="CJ53" s="279"/>
      <c r="CK53" s="279"/>
      <c r="CL53" s="279"/>
      <c r="CM53" s="279"/>
      <c r="CN53" s="279"/>
      <c r="CO53" s="279"/>
      <c r="CP53" s="296"/>
    </row>
    <row r="54" spans="2:94" ht="15.75" x14ac:dyDescent="0.25">
      <c r="H54" s="276"/>
      <c r="I54" s="276"/>
      <c r="J54" s="276"/>
      <c r="Q54" s="279"/>
      <c r="R54" s="279"/>
      <c r="S54" s="279"/>
      <c r="T54" s="279"/>
      <c r="U54" s="279"/>
      <c r="V54" s="279"/>
      <c r="W54" s="279"/>
      <c r="X54" s="279"/>
      <c r="Y54" s="279"/>
      <c r="Z54" s="282"/>
      <c r="AA54" s="282"/>
      <c r="AB54" s="282"/>
      <c r="AC54" s="282"/>
      <c r="AD54" s="282"/>
      <c r="AE54" s="282"/>
      <c r="AF54" s="282"/>
      <c r="AG54" s="282"/>
      <c r="AH54" s="282"/>
      <c r="AI54" s="282"/>
      <c r="AJ54" s="282"/>
      <c r="AK54" s="282"/>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c r="BO54" s="284"/>
      <c r="BP54" s="284"/>
      <c r="BQ54" s="284"/>
      <c r="BR54" s="284"/>
      <c r="BS54" s="284"/>
      <c r="BT54" s="284"/>
      <c r="BU54" s="284"/>
      <c r="BV54" s="284"/>
      <c r="BW54" s="284"/>
      <c r="BX54" s="284"/>
      <c r="BY54" s="284"/>
      <c r="BZ54" s="284"/>
      <c r="CA54" s="284"/>
      <c r="CB54" s="284"/>
      <c r="CC54" s="284"/>
      <c r="CD54" s="279"/>
      <c r="CE54" s="279"/>
      <c r="CF54" s="279"/>
      <c r="CG54" s="279"/>
      <c r="CH54" s="279"/>
      <c r="CI54" s="279"/>
      <c r="CJ54" s="279"/>
      <c r="CK54" s="279"/>
      <c r="CL54" s="279"/>
      <c r="CM54" s="279"/>
      <c r="CN54" s="279"/>
      <c r="CO54" s="279"/>
      <c r="CP54" s="279"/>
    </row>
    <row r="55" spans="2:94" ht="15.75" hidden="1" x14ac:dyDescent="0.25">
      <c r="H55" s="276"/>
      <c r="I55" s="276"/>
      <c r="J55" s="276"/>
      <c r="Q55" s="279"/>
      <c r="R55" s="279"/>
      <c r="S55" s="279"/>
      <c r="T55" s="279"/>
      <c r="U55" s="279"/>
      <c r="V55" s="279"/>
      <c r="W55" s="279"/>
      <c r="X55" s="279"/>
      <c r="Y55" s="279"/>
      <c r="Z55" s="282"/>
      <c r="AA55" s="282"/>
      <c r="AB55" s="282"/>
      <c r="AC55" s="282"/>
      <c r="AD55" s="282"/>
      <c r="AE55" s="282"/>
      <c r="AF55" s="282"/>
      <c r="AG55" s="282"/>
      <c r="AH55" s="282"/>
      <c r="AI55" s="282"/>
      <c r="AJ55" s="282"/>
      <c r="AK55" s="282"/>
      <c r="AL55" s="835" t="e">
        <f ca="1">PRCP_y11</f>
        <v>#NAME?</v>
      </c>
      <c r="AM55" s="835"/>
      <c r="AN55" s="835"/>
      <c r="AO55" s="835"/>
      <c r="AP55" s="835"/>
      <c r="AQ55" s="835"/>
      <c r="AR55" s="835"/>
      <c r="AS55" s="835"/>
      <c r="AT55" s="288"/>
      <c r="AU55" s="835" t="e">
        <f ca="1">PRCP_y12</f>
        <v>#NAME?</v>
      </c>
      <c r="AV55" s="835"/>
      <c r="AW55" s="835"/>
      <c r="AX55" s="835"/>
      <c r="AY55" s="835"/>
      <c r="AZ55" s="835"/>
      <c r="BA55" s="835"/>
      <c r="BB55" s="835"/>
      <c r="BC55" s="289"/>
      <c r="BD55" s="835" t="e">
        <f ca="1">PRCP_y13</f>
        <v>#NAME?</v>
      </c>
      <c r="BE55" s="835"/>
      <c r="BF55" s="835"/>
      <c r="BG55" s="835"/>
      <c r="BH55" s="835"/>
      <c r="BI55" s="835"/>
      <c r="BJ55" s="835"/>
      <c r="BK55" s="835"/>
      <c r="BL55" s="289"/>
      <c r="BM55" s="835" t="e">
        <f ca="1">PRCP_y14</f>
        <v>#NAME?</v>
      </c>
      <c r="BN55" s="835"/>
      <c r="BO55" s="835"/>
      <c r="BP55" s="835"/>
      <c r="BQ55" s="835"/>
      <c r="BR55" s="835"/>
      <c r="BS55" s="835"/>
      <c r="BT55" s="835"/>
      <c r="BU55" s="289"/>
      <c r="BV55" s="835" t="e">
        <f ca="1">PRCP_y15</f>
        <v>#NAME?</v>
      </c>
      <c r="BW55" s="835"/>
      <c r="BX55" s="835"/>
      <c r="BY55" s="835"/>
      <c r="BZ55" s="835"/>
      <c r="CA55" s="835"/>
      <c r="CB55" s="835"/>
      <c r="CC55" s="835"/>
      <c r="CD55" s="279"/>
      <c r="CE55" s="279"/>
      <c r="CF55" s="279"/>
      <c r="CG55" s="279"/>
      <c r="CH55" s="279"/>
      <c r="CI55" s="279"/>
      <c r="CJ55" s="279"/>
      <c r="CK55" s="279"/>
      <c r="CL55" s="279"/>
      <c r="CM55" s="279"/>
      <c r="CN55" s="279"/>
      <c r="CO55" s="279"/>
      <c r="CP55" s="279"/>
    </row>
    <row r="56" spans="2:94" hidden="1" x14ac:dyDescent="0.25">
      <c r="E56" s="291"/>
      <c r="H56" s="276"/>
      <c r="I56" s="276"/>
      <c r="J56" s="276"/>
      <c r="Q56" s="279"/>
      <c r="R56" s="279"/>
      <c r="S56" s="279"/>
      <c r="T56" s="279"/>
      <c r="U56" s="279"/>
      <c r="V56" s="279"/>
      <c r="W56" s="279"/>
      <c r="X56" s="279"/>
      <c r="Y56" s="279"/>
      <c r="Z56" s="282"/>
      <c r="AA56" s="282"/>
      <c r="AB56" s="282"/>
      <c r="AC56" s="282"/>
      <c r="AD56" s="282"/>
      <c r="AE56" s="282"/>
      <c r="AF56" s="282"/>
      <c r="AG56" s="282"/>
      <c r="AH56" s="282"/>
      <c r="AI56" s="282"/>
      <c r="AJ56" s="282"/>
      <c r="AK56" s="282"/>
      <c r="AL56" s="282"/>
      <c r="AM56" s="282"/>
      <c r="AN56" s="282"/>
      <c r="AO56" s="282"/>
      <c r="AP56" s="282"/>
      <c r="AQ56" s="282"/>
      <c r="AR56" s="282"/>
      <c r="AS56" s="279"/>
      <c r="AT56" s="279"/>
      <c r="AU56" s="279"/>
      <c r="AV56" s="279"/>
      <c r="AW56" s="279"/>
      <c r="AX56" s="279"/>
      <c r="AY56" s="279"/>
      <c r="AZ56" s="279"/>
      <c r="BA56" s="279"/>
      <c r="BB56" s="279"/>
      <c r="BC56" s="279"/>
      <c r="BD56" s="279"/>
      <c r="BE56" s="279"/>
      <c r="BF56" s="279"/>
      <c r="BG56" s="279"/>
      <c r="BH56" s="279"/>
      <c r="BI56" s="279"/>
      <c r="BJ56" s="279"/>
      <c r="BK56" s="279"/>
      <c r="BL56" s="279"/>
      <c r="BM56" s="279"/>
      <c r="BN56" s="279"/>
      <c r="BO56" s="279"/>
      <c r="BP56" s="279"/>
      <c r="BQ56" s="279"/>
      <c r="BR56" s="279"/>
      <c r="BS56" s="279"/>
      <c r="BT56" s="279"/>
      <c r="BU56" s="279"/>
      <c r="BV56" s="279"/>
      <c r="BW56" s="279"/>
      <c r="BX56" s="279"/>
      <c r="BY56" s="279"/>
      <c r="BZ56" s="279"/>
      <c r="CA56" s="279"/>
      <c r="CB56" s="279"/>
      <c r="CC56" s="279"/>
      <c r="CD56" s="279"/>
      <c r="CE56" s="279"/>
      <c r="CF56" s="279"/>
      <c r="CG56" s="279"/>
      <c r="CH56" s="279"/>
      <c r="CI56" s="279"/>
      <c r="CJ56" s="279"/>
      <c r="CK56" s="279"/>
      <c r="CL56" s="279"/>
      <c r="CM56" s="279"/>
      <c r="CN56" s="279"/>
      <c r="CO56" s="279"/>
      <c r="CP56" s="279"/>
    </row>
    <row r="57" spans="2:94" ht="15.75" hidden="1" customHeight="1" x14ac:dyDescent="0.25">
      <c r="H57" s="276"/>
      <c r="I57" s="276"/>
      <c r="J57" s="276"/>
      <c r="Q57" s="296"/>
      <c r="R57" s="296"/>
      <c r="S57" s="296"/>
      <c r="T57" s="296"/>
      <c r="U57" s="296"/>
      <c r="V57" s="296"/>
      <c r="W57" s="292"/>
      <c r="X57" s="296"/>
      <c r="Y57" s="279"/>
      <c r="Z57" s="832" t="s">
        <v>375</v>
      </c>
      <c r="AA57" s="832"/>
      <c r="AB57" s="832"/>
      <c r="AC57" s="832"/>
      <c r="AD57" s="832"/>
      <c r="AE57" s="832"/>
      <c r="AF57" s="832"/>
      <c r="AG57" s="832"/>
      <c r="AH57" s="832"/>
      <c r="AI57" s="832"/>
      <c r="AJ57" s="282"/>
      <c r="AK57" s="282"/>
      <c r="AL57" s="833" t="s">
        <v>33</v>
      </c>
      <c r="AM57" s="833"/>
      <c r="AN57" s="833"/>
      <c r="AO57" s="833"/>
      <c r="AP57" s="833"/>
      <c r="AQ57" s="833"/>
      <c r="AR57" s="833"/>
      <c r="AS57" s="833"/>
      <c r="AT57" s="279"/>
      <c r="AU57" s="279"/>
      <c r="AV57" s="279"/>
      <c r="AW57" s="279"/>
      <c r="AX57" s="279"/>
      <c r="AY57" s="279"/>
      <c r="AZ57" s="279"/>
      <c r="BA57" s="279"/>
      <c r="BB57" s="279"/>
      <c r="BC57" s="279"/>
      <c r="BD57" s="279"/>
      <c r="BE57" s="279"/>
      <c r="BF57" s="279"/>
      <c r="BG57" s="279"/>
      <c r="BH57" s="279"/>
      <c r="BI57" s="279"/>
      <c r="BJ57" s="279"/>
      <c r="BK57" s="279"/>
      <c r="BL57" s="279"/>
      <c r="BM57" s="279"/>
      <c r="BN57" s="279"/>
      <c r="BO57" s="279"/>
      <c r="BP57" s="279"/>
      <c r="BQ57" s="279"/>
      <c r="BR57" s="279"/>
      <c r="BS57" s="279"/>
      <c r="BT57" s="279"/>
      <c r="BU57" s="279"/>
      <c r="BV57" s="279"/>
      <c r="BW57" s="279"/>
      <c r="BX57" s="279"/>
      <c r="BY57" s="279"/>
      <c r="BZ57" s="279"/>
      <c r="CA57" s="279"/>
      <c r="CB57" s="279"/>
      <c r="CC57" s="279"/>
      <c r="CD57" s="279"/>
      <c r="CE57" s="279"/>
      <c r="CF57" s="279"/>
      <c r="CG57" s="279"/>
      <c r="CH57" s="279"/>
      <c r="CI57" s="279"/>
      <c r="CJ57" s="279"/>
      <c r="CK57" s="279"/>
      <c r="CL57" s="279"/>
      <c r="CM57" s="279"/>
      <c r="CN57" s="279"/>
      <c r="CO57" s="279"/>
      <c r="CP57" s="279"/>
    </row>
    <row r="58" spans="2:94" ht="15.75" hidden="1" customHeight="1" x14ac:dyDescent="0.25">
      <c r="H58" s="276"/>
      <c r="I58" s="276"/>
      <c r="J58" s="276"/>
      <c r="Q58" s="296"/>
      <c r="R58" s="296"/>
      <c r="S58" s="296"/>
      <c r="T58" s="296"/>
      <c r="U58" s="296"/>
      <c r="V58" s="296"/>
      <c r="W58" s="292"/>
      <c r="X58" s="296" t="s">
        <v>376</v>
      </c>
      <c r="Y58" s="279"/>
      <c r="Z58" s="282"/>
      <c r="AA58" s="282"/>
      <c r="AB58" s="282"/>
      <c r="AC58" s="282"/>
      <c r="AD58" s="282"/>
      <c r="AE58" s="282"/>
      <c r="AF58" s="282"/>
      <c r="AG58" s="282"/>
      <c r="AH58" s="282"/>
      <c r="AI58" s="282"/>
      <c r="AJ58" s="282"/>
      <c r="AK58" s="282"/>
      <c r="AL58" s="282"/>
      <c r="AM58" s="282"/>
      <c r="AN58" s="282"/>
      <c r="AO58" s="282"/>
      <c r="AP58" s="282"/>
      <c r="AQ58" s="282"/>
      <c r="AR58" s="282"/>
      <c r="AS58" s="279"/>
      <c r="AT58" s="279"/>
      <c r="AU58" s="279"/>
      <c r="AV58" s="279"/>
      <c r="AW58" s="279"/>
      <c r="AX58" s="279"/>
      <c r="AY58" s="279"/>
      <c r="AZ58" s="279"/>
      <c r="BA58" s="279"/>
      <c r="BB58" s="279"/>
      <c r="BC58" s="279"/>
      <c r="BD58" s="279"/>
      <c r="BE58" s="279"/>
      <c r="BF58" s="279"/>
      <c r="BG58" s="279"/>
      <c r="BH58" s="279"/>
      <c r="BI58" s="279"/>
      <c r="BJ58" s="279"/>
      <c r="BK58" s="279"/>
      <c r="BL58" s="279"/>
      <c r="BM58" s="279"/>
      <c r="BN58" s="279"/>
      <c r="BO58" s="279"/>
      <c r="BP58" s="279"/>
      <c r="BQ58" s="279"/>
      <c r="BR58" s="279"/>
      <c r="BS58" s="279"/>
      <c r="BT58" s="279"/>
      <c r="BU58" s="279"/>
      <c r="BV58" s="279"/>
      <c r="BW58" s="279"/>
      <c r="BX58" s="279"/>
      <c r="BY58" s="279"/>
      <c r="BZ58" s="279"/>
      <c r="CA58" s="279"/>
      <c r="CB58" s="279"/>
      <c r="CC58" s="279"/>
      <c r="CD58" s="279"/>
      <c r="CE58" s="279"/>
      <c r="CF58" s="279"/>
      <c r="CG58" s="279"/>
      <c r="CH58" s="279"/>
      <c r="CI58" s="279"/>
      <c r="CJ58" s="279"/>
      <c r="CK58" s="279"/>
      <c r="CL58" s="279"/>
      <c r="CM58" s="279"/>
      <c r="CN58" s="279"/>
      <c r="CO58" s="279"/>
      <c r="CP58" s="279"/>
    </row>
    <row r="59" spans="2:94" ht="15.75" hidden="1" customHeight="1" x14ac:dyDescent="0.25">
      <c r="H59" s="276"/>
      <c r="I59" s="276"/>
      <c r="J59" s="276"/>
      <c r="Q59" s="296"/>
      <c r="R59" s="296"/>
      <c r="S59" s="296"/>
      <c r="T59" s="296"/>
      <c r="U59" s="296"/>
      <c r="V59" s="296"/>
      <c r="W59" s="292"/>
      <c r="X59" s="292"/>
      <c r="Y59" s="279"/>
      <c r="Z59" s="832" t="s">
        <v>377</v>
      </c>
      <c r="AA59" s="832"/>
      <c r="AB59" s="832"/>
      <c r="AC59" s="832"/>
      <c r="AD59" s="832"/>
      <c r="AE59" s="832"/>
      <c r="AF59" s="832"/>
      <c r="AG59" s="832"/>
      <c r="AH59" s="832"/>
      <c r="AI59" s="832"/>
      <c r="AJ59" s="282"/>
      <c r="AK59" s="282"/>
      <c r="AL59" s="833" t="s">
        <v>308</v>
      </c>
      <c r="AM59" s="833"/>
      <c r="AN59" s="833"/>
      <c r="AO59" s="833"/>
      <c r="AP59" s="833"/>
      <c r="AQ59" s="833"/>
      <c r="AR59" s="833"/>
      <c r="AS59" s="833"/>
      <c r="AT59" s="279"/>
      <c r="AU59" s="279"/>
      <c r="AV59" s="279"/>
      <c r="AW59" s="279"/>
      <c r="AX59" s="279"/>
      <c r="AY59" s="279"/>
      <c r="AZ59" s="279"/>
      <c r="BA59" s="279"/>
      <c r="BB59" s="279"/>
      <c r="BC59" s="279"/>
      <c r="BD59" s="279"/>
      <c r="BE59" s="279"/>
      <c r="BF59" s="279"/>
      <c r="BG59" s="279"/>
      <c r="BH59" s="279"/>
      <c r="BI59" s="279"/>
      <c r="BJ59" s="279"/>
      <c r="BK59" s="279"/>
      <c r="BL59" s="279"/>
      <c r="BM59" s="279"/>
      <c r="BN59" s="279"/>
      <c r="BO59" s="279"/>
      <c r="BP59" s="279"/>
      <c r="BQ59" s="279"/>
      <c r="BR59" s="279"/>
      <c r="BS59" s="279"/>
      <c r="BT59" s="279"/>
      <c r="BU59" s="279"/>
      <c r="BV59" s="279"/>
      <c r="BW59" s="279"/>
      <c r="BX59" s="279"/>
      <c r="BY59" s="279"/>
      <c r="BZ59" s="279"/>
      <c r="CA59" s="279"/>
      <c r="CB59" s="279"/>
      <c r="CC59" s="279"/>
      <c r="CD59" s="279"/>
      <c r="CE59" s="279"/>
      <c r="CF59" s="279"/>
      <c r="CG59" s="279"/>
      <c r="CH59" s="279"/>
      <c r="CI59" s="279"/>
      <c r="CJ59" s="279"/>
      <c r="CK59" s="279"/>
      <c r="CL59" s="279"/>
      <c r="CM59" s="279"/>
      <c r="CN59" s="279"/>
      <c r="CO59" s="279"/>
      <c r="CP59" s="296"/>
    </row>
    <row r="60" spans="2:94" hidden="1" x14ac:dyDescent="0.25">
      <c r="H60" s="276"/>
      <c r="I60" s="276"/>
      <c r="J60" s="276"/>
      <c r="Q60" s="279"/>
      <c r="R60" s="279"/>
      <c r="S60" s="279"/>
      <c r="T60" s="279"/>
      <c r="U60" s="279"/>
      <c r="V60" s="279"/>
      <c r="W60" s="279"/>
      <c r="X60" s="279"/>
      <c r="Y60" s="279"/>
      <c r="Z60" s="282"/>
      <c r="AA60" s="282"/>
      <c r="AB60" s="282"/>
      <c r="AC60" s="282"/>
      <c r="AD60" s="282"/>
      <c r="AE60" s="282"/>
      <c r="AF60" s="282"/>
      <c r="AG60" s="282"/>
      <c r="AH60" s="282"/>
      <c r="AI60" s="282"/>
      <c r="AJ60" s="282"/>
      <c r="AK60" s="282"/>
      <c r="AL60" s="282"/>
      <c r="AM60" s="282"/>
      <c r="AN60" s="282"/>
      <c r="AO60" s="282"/>
      <c r="AP60" s="282"/>
      <c r="AQ60" s="282"/>
      <c r="AR60" s="282"/>
      <c r="AS60" s="279"/>
      <c r="AT60" s="279"/>
      <c r="AU60" s="279"/>
      <c r="AV60" s="279"/>
      <c r="AW60" s="279"/>
      <c r="AX60" s="279"/>
      <c r="AY60" s="279"/>
      <c r="AZ60" s="279"/>
      <c r="BA60" s="279"/>
      <c r="BB60" s="279"/>
      <c r="BC60" s="279"/>
      <c r="BD60" s="279"/>
      <c r="BE60" s="279"/>
      <c r="BF60" s="279"/>
      <c r="BG60" s="279"/>
      <c r="BH60" s="279"/>
      <c r="BI60" s="279"/>
      <c r="BJ60" s="279"/>
      <c r="BK60" s="279"/>
      <c r="BL60" s="279"/>
      <c r="BM60" s="279"/>
      <c r="BN60" s="279"/>
      <c r="BO60" s="279"/>
      <c r="BP60" s="279"/>
      <c r="BQ60" s="279"/>
      <c r="BR60" s="279"/>
      <c r="BS60" s="279"/>
      <c r="BT60" s="279"/>
      <c r="BU60" s="279"/>
      <c r="BV60" s="279"/>
      <c r="BW60" s="279"/>
      <c r="BX60" s="279"/>
      <c r="BY60" s="279"/>
      <c r="BZ60" s="279"/>
      <c r="CA60" s="279"/>
      <c r="CB60" s="279"/>
      <c r="CC60" s="279"/>
      <c r="CD60" s="279"/>
      <c r="CE60" s="279"/>
      <c r="CF60" s="279"/>
      <c r="CG60" s="279"/>
      <c r="CH60" s="279"/>
      <c r="CI60" s="279"/>
      <c r="CJ60" s="279"/>
      <c r="CK60" s="279"/>
      <c r="CL60" s="279"/>
      <c r="CM60" s="279"/>
      <c r="CN60" s="279"/>
      <c r="CO60" s="279"/>
      <c r="CP60" s="279"/>
    </row>
    <row r="61" spans="2:94" x14ac:dyDescent="0.25">
      <c r="H61" s="276"/>
      <c r="I61" s="276"/>
      <c r="J61" s="276"/>
      <c r="Q61" s="276"/>
      <c r="R61" s="276"/>
      <c r="S61" s="276"/>
      <c r="T61" s="276"/>
      <c r="U61" s="276"/>
      <c r="V61" s="276"/>
      <c r="W61" s="276"/>
      <c r="X61" s="276"/>
      <c r="Y61" s="276"/>
      <c r="Z61" s="277"/>
      <c r="AA61" s="277"/>
      <c r="AB61" s="277"/>
      <c r="AC61" s="277"/>
      <c r="AD61" s="277"/>
      <c r="AE61" s="277"/>
      <c r="AF61" s="277"/>
      <c r="AG61" s="277"/>
      <c r="AH61" s="277"/>
      <c r="AI61" s="277"/>
      <c r="AJ61" s="277"/>
      <c r="AK61" s="277"/>
      <c r="AL61" s="277"/>
      <c r="AM61" s="277"/>
      <c r="AN61" s="277"/>
      <c r="AO61" s="277"/>
      <c r="AP61" s="277"/>
      <c r="AQ61" s="277"/>
      <c r="AR61" s="277"/>
      <c r="AS61" s="276"/>
      <c r="AT61" s="276"/>
      <c r="AU61" s="276"/>
      <c r="AV61" s="276"/>
      <c r="AW61" s="276"/>
      <c r="AX61" s="276"/>
      <c r="AY61" s="276"/>
      <c r="AZ61" s="276"/>
      <c r="BA61" s="276"/>
      <c r="BB61" s="276"/>
      <c r="BC61" s="276"/>
      <c r="BD61" s="276"/>
      <c r="BE61" s="276"/>
      <c r="BF61" s="276"/>
      <c r="BG61" s="276"/>
      <c r="BH61" s="276"/>
      <c r="BI61" s="276"/>
      <c r="BJ61" s="276"/>
      <c r="BK61" s="276"/>
      <c r="BL61" s="276"/>
      <c r="BM61" s="276"/>
      <c r="BN61" s="276"/>
      <c r="BO61" s="276"/>
      <c r="BP61" s="276"/>
      <c r="BQ61" s="276"/>
      <c r="BR61" s="276"/>
      <c r="BS61" s="276"/>
      <c r="BT61" s="276"/>
      <c r="BU61" s="276"/>
      <c r="BV61" s="276"/>
      <c r="BW61" s="276"/>
      <c r="BX61" s="276"/>
      <c r="BY61" s="276"/>
      <c r="BZ61" s="276"/>
      <c r="CA61" s="276"/>
      <c r="CB61" s="276"/>
      <c r="CC61" s="276"/>
      <c r="CD61" s="276"/>
      <c r="CE61" s="276"/>
      <c r="CF61" s="276"/>
      <c r="CG61" s="276"/>
      <c r="CH61" s="276"/>
      <c r="CI61" s="276"/>
      <c r="CJ61" s="276"/>
      <c r="CK61" s="276"/>
      <c r="CL61" s="276"/>
      <c r="CM61" s="276"/>
      <c r="CN61" s="276"/>
      <c r="CO61" s="276"/>
      <c r="CP61" s="276"/>
    </row>
    <row r="62" spans="2:94" ht="15.75" customHeight="1" x14ac:dyDescent="0.25">
      <c r="H62" s="276"/>
      <c r="I62" s="276"/>
      <c r="J62" s="276"/>
      <c r="Q62" s="279"/>
      <c r="R62" s="279"/>
      <c r="S62" s="279"/>
      <c r="T62" s="279"/>
      <c r="U62" s="292"/>
      <c r="V62" s="292"/>
      <c r="W62" s="292"/>
      <c r="X62" s="292"/>
      <c r="Y62" s="279"/>
      <c r="Z62" s="282"/>
      <c r="AA62" s="282"/>
      <c r="AB62" s="282"/>
      <c r="AC62" s="282"/>
      <c r="AD62" s="282"/>
      <c r="AE62" s="282"/>
      <c r="AF62" s="282"/>
      <c r="AG62" s="282"/>
      <c r="AH62" s="282"/>
      <c r="AI62" s="282"/>
      <c r="AJ62" s="282"/>
      <c r="AK62" s="282"/>
      <c r="AL62" s="282"/>
      <c r="AM62" s="282"/>
      <c r="AN62" s="282"/>
      <c r="AO62" s="282"/>
      <c r="AP62" s="282"/>
      <c r="AQ62" s="282"/>
      <c r="AR62" s="282"/>
      <c r="AS62" s="279"/>
      <c r="AT62" s="279"/>
      <c r="AU62" s="279"/>
      <c r="AV62" s="279"/>
      <c r="AW62" s="279"/>
      <c r="AX62" s="279"/>
      <c r="AY62" s="279"/>
      <c r="AZ62" s="279"/>
      <c r="BA62" s="279"/>
      <c r="BB62" s="279"/>
      <c r="BC62" s="279"/>
      <c r="BD62" s="279"/>
      <c r="BE62" s="279"/>
      <c r="BF62" s="279"/>
      <c r="BG62" s="279"/>
      <c r="BH62" s="279"/>
      <c r="BI62" s="279"/>
      <c r="BJ62" s="279"/>
      <c r="BK62" s="279"/>
      <c r="BL62" s="279"/>
      <c r="BM62" s="279"/>
      <c r="BN62" s="279"/>
      <c r="BO62" s="279"/>
      <c r="BP62" s="279"/>
      <c r="BQ62" s="279"/>
      <c r="BR62" s="279"/>
      <c r="BS62" s="279"/>
      <c r="BT62" s="279"/>
      <c r="BU62" s="279"/>
      <c r="BV62" s="279"/>
      <c r="BW62" s="279"/>
      <c r="BX62" s="279"/>
      <c r="BY62" s="279"/>
      <c r="BZ62" s="279"/>
      <c r="CA62" s="279"/>
      <c r="CB62" s="279"/>
      <c r="CC62" s="279"/>
      <c r="CD62" s="279"/>
      <c r="CE62" s="279"/>
      <c r="CF62" s="279"/>
      <c r="CG62" s="279"/>
      <c r="CH62" s="279"/>
      <c r="CI62" s="279"/>
      <c r="CJ62" s="279"/>
      <c r="CK62" s="279"/>
      <c r="CL62" s="279"/>
      <c r="CM62" s="279"/>
      <c r="CN62" s="279"/>
      <c r="CO62" s="279"/>
      <c r="CP62" s="279"/>
    </row>
    <row r="63" spans="2:94" ht="30" x14ac:dyDescent="0.25">
      <c r="H63" s="278"/>
      <c r="I63" s="278"/>
      <c r="J63" s="278"/>
      <c r="Q63" s="260" t="s">
        <v>378</v>
      </c>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c r="AS63" s="260"/>
      <c r="AT63" s="260"/>
      <c r="AU63" s="260"/>
      <c r="AV63" s="260"/>
      <c r="AW63" s="260"/>
      <c r="AX63" s="260"/>
      <c r="AY63" s="260"/>
      <c r="AZ63" s="260"/>
      <c r="BA63" s="260"/>
      <c r="BB63" s="260"/>
      <c r="BC63" s="260"/>
      <c r="BD63" s="260"/>
      <c r="BE63" s="260"/>
      <c r="BF63" s="260"/>
      <c r="BG63" s="260"/>
      <c r="BH63" s="260"/>
      <c r="BI63" s="260"/>
      <c r="BJ63" s="260"/>
      <c r="BK63" s="260"/>
      <c r="BL63" s="260"/>
      <c r="BM63" s="260"/>
      <c r="BN63" s="260"/>
      <c r="BO63" s="260"/>
      <c r="BP63" s="260"/>
      <c r="BQ63" s="260"/>
      <c r="BR63" s="260"/>
      <c r="BS63" s="260"/>
      <c r="BT63" s="260"/>
      <c r="BU63" s="260"/>
      <c r="BV63" s="260"/>
      <c r="BW63" s="260"/>
      <c r="BX63" s="260"/>
      <c r="BY63" s="260"/>
      <c r="BZ63" s="260"/>
      <c r="CA63" s="260"/>
      <c r="CB63" s="260"/>
      <c r="CC63" s="260"/>
      <c r="CD63" s="260"/>
      <c r="CE63" s="260"/>
      <c r="CF63" s="260"/>
      <c r="CG63" s="260"/>
      <c r="CH63" s="260"/>
      <c r="CI63" s="260"/>
      <c r="CJ63" s="260"/>
      <c r="CK63" s="260"/>
      <c r="CL63" s="260"/>
      <c r="CM63" s="260"/>
      <c r="CN63" s="260"/>
      <c r="CO63" s="260"/>
      <c r="CP63" s="260"/>
    </row>
    <row r="64" spans="2:94" ht="18" x14ac:dyDescent="0.25">
      <c r="Q64" s="279"/>
      <c r="R64" s="279"/>
      <c r="S64" s="279"/>
      <c r="T64" s="279"/>
      <c r="U64" s="292"/>
      <c r="V64" s="292"/>
      <c r="W64" s="292"/>
      <c r="X64" s="292"/>
      <c r="Y64" s="279"/>
      <c r="Z64" s="282"/>
      <c r="AA64" s="282"/>
      <c r="AB64" s="282"/>
      <c r="AC64" s="282"/>
      <c r="AD64" s="282"/>
      <c r="AE64" s="282"/>
      <c r="AF64" s="282"/>
      <c r="AG64" s="282"/>
      <c r="AH64" s="282"/>
      <c r="AI64" s="282"/>
      <c r="AJ64" s="282"/>
      <c r="AK64" s="282"/>
      <c r="AL64" s="282"/>
      <c r="AM64" s="282"/>
      <c r="AN64" s="282"/>
      <c r="AO64" s="282"/>
      <c r="AP64" s="282"/>
      <c r="AQ64" s="282"/>
      <c r="AR64" s="282"/>
      <c r="AS64" s="279"/>
      <c r="AT64" s="279"/>
      <c r="AU64" s="279"/>
      <c r="AV64" s="279"/>
      <c r="AW64" s="279"/>
      <c r="AX64" s="279"/>
      <c r="AY64" s="279"/>
      <c r="AZ64" s="279"/>
      <c r="BA64" s="279"/>
      <c r="BB64" s="279"/>
      <c r="BC64" s="279"/>
      <c r="BD64" s="279"/>
      <c r="BE64" s="279"/>
      <c r="BF64" s="279"/>
      <c r="BG64" s="279"/>
      <c r="BH64" s="279"/>
      <c r="BI64" s="279"/>
      <c r="BJ64" s="279"/>
      <c r="BK64" s="279"/>
      <c r="BL64" s="279"/>
      <c r="BM64" s="279"/>
      <c r="BN64" s="279"/>
      <c r="BO64" s="279"/>
      <c r="BP64" s="279"/>
      <c r="BQ64" s="279"/>
      <c r="BR64" s="279"/>
      <c r="BS64" s="279"/>
      <c r="BT64" s="279"/>
      <c r="BU64" s="279"/>
      <c r="BV64" s="279"/>
      <c r="BW64" s="279"/>
      <c r="BX64" s="279"/>
      <c r="BY64" s="279"/>
      <c r="BZ64" s="279"/>
      <c r="CA64" s="279"/>
      <c r="CB64" s="279"/>
      <c r="CC64" s="279"/>
      <c r="CD64" s="279"/>
      <c r="CE64" s="279"/>
      <c r="CF64" s="279"/>
      <c r="CG64" s="279"/>
      <c r="CH64" s="279"/>
      <c r="CI64" s="279"/>
      <c r="CJ64" s="279"/>
      <c r="CK64" s="279"/>
      <c r="CL64" s="279"/>
      <c r="CM64" s="279"/>
      <c r="CN64" s="279"/>
      <c r="CO64" s="279"/>
      <c r="CP64" s="279"/>
    </row>
    <row r="65" spans="8:94" ht="18" x14ac:dyDescent="0.25">
      <c r="Q65" s="279"/>
      <c r="R65" s="279"/>
      <c r="S65" s="279"/>
      <c r="T65" s="279"/>
      <c r="U65" s="292"/>
      <c r="V65" s="292"/>
      <c r="W65" s="292"/>
      <c r="X65" s="292"/>
      <c r="Y65" s="279"/>
      <c r="Z65" s="832" t="s">
        <v>379</v>
      </c>
      <c r="AA65" s="832"/>
      <c r="AB65" s="832"/>
      <c r="AC65" s="832"/>
      <c r="AD65" s="832"/>
      <c r="AE65" s="832"/>
      <c r="AF65" s="832"/>
      <c r="AG65" s="832"/>
      <c r="AH65" s="832"/>
      <c r="AI65" s="832"/>
      <c r="AJ65" s="279"/>
      <c r="AK65" s="279"/>
      <c r="AL65" s="836" t="str">
        <f ca="1">INDIRECT(dms_MODEL)</f>
        <v>Regulatory Reporting (Reset)</v>
      </c>
      <c r="AM65" s="836"/>
      <c r="AN65" s="836"/>
      <c r="AO65" s="836"/>
      <c r="AP65" s="836"/>
      <c r="AQ65" s="836"/>
      <c r="AR65" s="836"/>
      <c r="AS65" s="836"/>
      <c r="AT65" s="836"/>
      <c r="AU65" s="836"/>
      <c r="AV65" s="836"/>
      <c r="AW65" s="836"/>
      <c r="AX65" s="836"/>
      <c r="AY65" s="836"/>
      <c r="AZ65" s="836"/>
      <c r="BA65" s="836"/>
      <c r="BB65" s="279"/>
      <c r="BC65" s="279"/>
      <c r="BD65" s="279"/>
      <c r="BE65" s="279"/>
      <c r="BF65" s="279"/>
      <c r="BG65" s="279"/>
      <c r="BH65" s="279"/>
      <c r="BI65" s="279"/>
      <c r="BJ65" s="279"/>
      <c r="BK65" s="279"/>
      <c r="BL65" s="279"/>
      <c r="BM65" s="279"/>
      <c r="BN65" s="279"/>
      <c r="BO65" s="279"/>
      <c r="BP65" s="279"/>
      <c r="BQ65" s="279"/>
      <c r="BR65" s="279"/>
      <c r="BS65" s="279"/>
      <c r="BT65" s="279"/>
      <c r="BU65" s="279"/>
      <c r="BV65" s="279"/>
      <c r="BW65" s="279"/>
      <c r="BX65" s="279"/>
      <c r="BY65" s="279"/>
      <c r="BZ65" s="279"/>
      <c r="CA65" s="279"/>
      <c r="CB65" s="279"/>
      <c r="CC65" s="279"/>
      <c r="CD65" s="279"/>
      <c r="CE65" s="279"/>
      <c r="CF65" s="279"/>
      <c r="CG65" s="279"/>
      <c r="CH65" s="279"/>
      <c r="CI65" s="279"/>
      <c r="CJ65" s="279"/>
      <c r="CK65" s="279"/>
      <c r="CL65" s="279"/>
      <c r="CM65" s="279"/>
      <c r="CN65" s="279"/>
      <c r="CO65" s="279"/>
      <c r="CP65" s="279"/>
    </row>
    <row r="66" spans="8:94" ht="18" x14ac:dyDescent="0.25">
      <c r="Q66" s="279"/>
      <c r="R66" s="279"/>
      <c r="S66" s="279"/>
      <c r="T66" s="279"/>
      <c r="U66" s="292"/>
      <c r="V66" s="292"/>
      <c r="W66" s="292"/>
      <c r="X66" s="292"/>
      <c r="Y66" s="279"/>
      <c r="Z66" s="282"/>
      <c r="AA66" s="282"/>
      <c r="AB66" s="282"/>
      <c r="AC66" s="282"/>
      <c r="AD66" s="282"/>
      <c r="AE66" s="282"/>
      <c r="AF66" s="282"/>
      <c r="AG66" s="282"/>
      <c r="AH66" s="282"/>
      <c r="AI66" s="282"/>
      <c r="AJ66" s="282"/>
      <c r="AK66" s="282"/>
      <c r="AL66" s="282"/>
      <c r="AM66" s="282"/>
      <c r="AN66" s="282"/>
      <c r="AO66" s="282"/>
      <c r="AP66" s="282"/>
      <c r="AQ66" s="282"/>
      <c r="AR66" s="282"/>
      <c r="AS66" s="279"/>
      <c r="AT66" s="279"/>
      <c r="AU66" s="279"/>
      <c r="AV66" s="279"/>
      <c r="AW66" s="279"/>
      <c r="AX66" s="279"/>
      <c r="AY66" s="279"/>
      <c r="AZ66" s="279"/>
      <c r="BA66" s="279"/>
      <c r="BB66" s="279"/>
      <c r="BC66" s="279"/>
      <c r="BD66" s="279"/>
      <c r="BE66" s="279"/>
      <c r="BF66" s="279"/>
      <c r="BG66" s="279"/>
      <c r="BH66" s="279"/>
      <c r="BI66" s="279"/>
      <c r="BJ66" s="279"/>
      <c r="BK66" s="279"/>
      <c r="BL66" s="279"/>
      <c r="BM66" s="279"/>
      <c r="BN66" s="279"/>
      <c r="BO66" s="279"/>
      <c r="BP66" s="279"/>
      <c r="BQ66" s="279"/>
      <c r="BR66" s="279"/>
      <c r="BS66" s="279"/>
      <c r="BT66" s="279"/>
      <c r="BU66" s="279"/>
      <c r="BV66" s="279"/>
      <c r="BW66" s="279"/>
      <c r="BX66" s="279"/>
      <c r="BY66" s="279"/>
      <c r="BZ66" s="279"/>
      <c r="CA66" s="279"/>
      <c r="CB66" s="279"/>
      <c r="CC66" s="279"/>
      <c r="CD66" s="279"/>
      <c r="CE66" s="279"/>
      <c r="CF66" s="279"/>
      <c r="CG66" s="279"/>
      <c r="CH66" s="279"/>
      <c r="CI66" s="279"/>
      <c r="CJ66" s="279"/>
      <c r="CK66" s="279"/>
      <c r="CL66" s="279"/>
      <c r="CM66" s="279"/>
      <c r="CN66" s="279"/>
      <c r="CO66" s="279"/>
      <c r="CP66" s="279"/>
    </row>
    <row r="67" spans="8:94" ht="15.75" customHeight="1" x14ac:dyDescent="0.25">
      <c r="H67" s="276"/>
      <c r="I67" s="276"/>
      <c r="J67" s="276"/>
      <c r="Q67" s="296"/>
      <c r="R67" s="296"/>
      <c r="S67" s="296"/>
      <c r="T67" s="296"/>
      <c r="U67" s="296"/>
      <c r="V67" s="296"/>
      <c r="W67" s="282"/>
      <c r="X67" s="282"/>
      <c r="Y67" s="282"/>
      <c r="Z67" s="832" t="s">
        <v>380</v>
      </c>
      <c r="AA67" s="832"/>
      <c r="AB67" s="832"/>
      <c r="AC67" s="832"/>
      <c r="AD67" s="832"/>
      <c r="AE67" s="832"/>
      <c r="AF67" s="832"/>
      <c r="AG67" s="832"/>
      <c r="AH67" s="832"/>
      <c r="AI67" s="832"/>
      <c r="AJ67" s="279"/>
      <c r="AK67" s="279"/>
      <c r="AL67" s="841" t="s">
        <v>704</v>
      </c>
      <c r="AM67" s="841"/>
      <c r="AN67" s="841"/>
      <c r="AO67" s="841"/>
      <c r="AP67" s="841"/>
      <c r="AQ67" s="841"/>
      <c r="AR67" s="841"/>
      <c r="AS67" s="841"/>
      <c r="AT67" s="841"/>
      <c r="AU67" s="841"/>
      <c r="AV67" s="841"/>
      <c r="AW67" s="841"/>
      <c r="AX67" s="841"/>
      <c r="AY67" s="841"/>
      <c r="AZ67" s="841"/>
      <c r="BA67" s="841"/>
      <c r="BB67" s="279"/>
      <c r="BC67" s="279"/>
      <c r="BD67" s="279"/>
      <c r="BE67" s="279"/>
      <c r="BF67" s="279"/>
      <c r="BG67" s="279"/>
      <c r="BH67" s="279"/>
      <c r="BI67" s="279"/>
      <c r="BJ67" s="279"/>
      <c r="BK67" s="279"/>
      <c r="BL67" s="279"/>
      <c r="BM67" s="279"/>
      <c r="BN67" s="279"/>
      <c r="BO67" s="279"/>
      <c r="BP67" s="279"/>
      <c r="BQ67" s="279"/>
      <c r="BR67" s="279"/>
      <c r="BS67" s="279"/>
      <c r="BT67" s="279"/>
      <c r="BU67" s="279"/>
      <c r="BV67" s="279"/>
      <c r="BW67" s="279"/>
      <c r="BX67" s="279"/>
      <c r="BY67" s="279"/>
      <c r="BZ67" s="279"/>
      <c r="CA67" s="279"/>
      <c r="CB67" s="279"/>
      <c r="CC67" s="279"/>
      <c r="CD67" s="279"/>
      <c r="CE67" s="279"/>
      <c r="CF67" s="279"/>
      <c r="CG67" s="279"/>
      <c r="CH67" s="279"/>
      <c r="CI67" s="279"/>
      <c r="CJ67" s="279"/>
      <c r="CK67" s="279"/>
      <c r="CL67" s="279"/>
      <c r="CM67" s="279"/>
      <c r="CN67" s="279"/>
      <c r="CO67" s="279"/>
      <c r="CP67" s="279"/>
    </row>
    <row r="68" spans="8:94" ht="15" customHeight="1" x14ac:dyDescent="0.25">
      <c r="H68" s="276"/>
      <c r="I68" s="276"/>
      <c r="J68" s="276"/>
      <c r="Q68" s="296"/>
      <c r="R68" s="296"/>
      <c r="S68" s="296"/>
      <c r="T68" s="296"/>
      <c r="U68" s="296"/>
      <c r="V68" s="296"/>
      <c r="W68" s="282"/>
      <c r="X68" s="282"/>
      <c r="Y68" s="282"/>
      <c r="Z68" s="282"/>
      <c r="AA68" s="282"/>
      <c r="AB68" s="282"/>
      <c r="AC68" s="282"/>
      <c r="AD68" s="282"/>
      <c r="AE68" s="282"/>
      <c r="AF68" s="282"/>
      <c r="AG68" s="282"/>
      <c r="AH68" s="282"/>
      <c r="AI68" s="279"/>
      <c r="AJ68" s="279"/>
      <c r="AK68" s="279"/>
      <c r="AL68" s="279"/>
      <c r="AM68" s="279"/>
      <c r="AN68" s="279"/>
      <c r="AO68" s="279"/>
      <c r="AP68" s="279"/>
      <c r="AQ68" s="279"/>
      <c r="AR68" s="279"/>
      <c r="AS68" s="279"/>
      <c r="AT68" s="279"/>
      <c r="AU68" s="279"/>
      <c r="AV68" s="279"/>
      <c r="AW68" s="279"/>
      <c r="AX68" s="279"/>
      <c r="AY68" s="279"/>
      <c r="AZ68" s="279"/>
      <c r="BA68" s="279"/>
      <c r="BB68" s="279"/>
      <c r="BC68" s="279"/>
      <c r="BD68" s="279"/>
      <c r="BE68" s="279"/>
      <c r="BF68" s="279"/>
      <c r="BG68" s="279"/>
      <c r="BH68" s="279"/>
      <c r="BI68" s="279"/>
      <c r="BJ68" s="279"/>
      <c r="BK68" s="279"/>
      <c r="BL68" s="279"/>
      <c r="BM68" s="279"/>
      <c r="BN68" s="279"/>
      <c r="BO68" s="279"/>
      <c r="BP68" s="279"/>
      <c r="BQ68" s="279"/>
      <c r="BR68" s="279"/>
      <c r="BS68" s="279"/>
      <c r="BT68" s="279"/>
      <c r="BU68" s="279"/>
      <c r="BV68" s="279"/>
      <c r="BW68" s="279"/>
      <c r="BX68" s="279"/>
      <c r="BY68" s="279"/>
      <c r="BZ68" s="279"/>
      <c r="CA68" s="279"/>
      <c r="CB68" s="279"/>
      <c r="CC68" s="279"/>
      <c r="CD68" s="279"/>
      <c r="CE68" s="279"/>
      <c r="CF68" s="279"/>
      <c r="CG68" s="279"/>
      <c r="CH68" s="279"/>
      <c r="CI68" s="279"/>
      <c r="CJ68" s="279"/>
      <c r="CK68" s="279"/>
      <c r="CL68" s="279"/>
      <c r="CM68" s="279"/>
      <c r="CN68" s="279"/>
      <c r="CO68" s="279"/>
      <c r="CP68" s="279"/>
    </row>
    <row r="69" spans="8:94" ht="15.75" customHeight="1" x14ac:dyDescent="0.25">
      <c r="H69" s="276"/>
      <c r="I69" s="276"/>
      <c r="J69" s="276"/>
      <c r="Q69" s="296"/>
      <c r="R69" s="296"/>
      <c r="S69" s="296"/>
      <c r="T69" s="296"/>
      <c r="U69" s="296"/>
      <c r="V69" s="296"/>
      <c r="W69" s="296"/>
      <c r="X69" s="296" t="s">
        <v>381</v>
      </c>
      <c r="Y69" s="282"/>
      <c r="Z69" s="832" t="s">
        <v>382</v>
      </c>
      <c r="AA69" s="832"/>
      <c r="AB69" s="832"/>
      <c r="AC69" s="832"/>
      <c r="AD69" s="832"/>
      <c r="AE69" s="832"/>
      <c r="AF69" s="832"/>
      <c r="AG69" s="832"/>
      <c r="AH69" s="832"/>
      <c r="AI69" s="832"/>
      <c r="AJ69" s="279"/>
      <c r="AK69" s="279"/>
      <c r="AL69" s="841" t="s">
        <v>383</v>
      </c>
      <c r="AM69" s="841"/>
      <c r="AN69" s="841"/>
      <c r="AO69" s="841"/>
      <c r="AP69" s="841"/>
      <c r="AQ69" s="841"/>
      <c r="AR69" s="841"/>
      <c r="AS69" s="841"/>
      <c r="AT69" s="841"/>
      <c r="AU69" s="841"/>
      <c r="AV69" s="841"/>
      <c r="AW69" s="841"/>
      <c r="AX69" s="841"/>
      <c r="AY69" s="841"/>
      <c r="AZ69" s="841"/>
      <c r="BA69" s="841"/>
      <c r="BB69" s="279"/>
      <c r="BC69" s="279"/>
      <c r="BD69" s="279"/>
      <c r="BE69" s="279"/>
      <c r="BF69" s="279"/>
      <c r="BG69" s="279"/>
      <c r="BH69" s="279"/>
      <c r="BI69" s="279"/>
      <c r="BJ69" s="279"/>
      <c r="BK69" s="279"/>
      <c r="BL69" s="279"/>
      <c r="BM69" s="279"/>
      <c r="BN69" s="279"/>
      <c r="BO69" s="279"/>
      <c r="BP69" s="279"/>
      <c r="BQ69" s="279"/>
      <c r="BR69" s="279"/>
      <c r="BS69" s="279"/>
      <c r="BT69" s="279"/>
      <c r="BU69" s="279"/>
      <c r="BV69" s="279"/>
      <c r="BW69" s="279"/>
      <c r="BX69" s="279"/>
      <c r="BY69" s="279"/>
      <c r="BZ69" s="279"/>
      <c r="CA69" s="279"/>
      <c r="CB69" s="279"/>
      <c r="CC69" s="279"/>
      <c r="CD69" s="279"/>
      <c r="CE69" s="279"/>
      <c r="CF69" s="279"/>
      <c r="CG69" s="279"/>
      <c r="CH69" s="279"/>
      <c r="CI69" s="279"/>
      <c r="CJ69" s="279"/>
      <c r="CK69" s="279"/>
      <c r="CL69" s="279"/>
      <c r="CM69" s="279"/>
      <c r="CN69" s="279"/>
      <c r="CO69" s="282"/>
      <c r="CP69" s="296"/>
    </row>
    <row r="70" spans="8:94" ht="15" customHeight="1" x14ac:dyDescent="0.25">
      <c r="H70" s="276"/>
      <c r="I70" s="276"/>
      <c r="J70" s="276"/>
      <c r="Q70" s="296"/>
      <c r="R70" s="296"/>
      <c r="S70" s="296"/>
      <c r="T70" s="296"/>
      <c r="U70" s="296"/>
      <c r="V70" s="296"/>
      <c r="W70" s="282"/>
      <c r="X70" s="282"/>
      <c r="Y70" s="282"/>
      <c r="Z70" s="282"/>
      <c r="AA70" s="282"/>
      <c r="AB70" s="282"/>
      <c r="AC70" s="282"/>
      <c r="AD70" s="282"/>
      <c r="AE70" s="282"/>
      <c r="AF70" s="282"/>
      <c r="AG70" s="282"/>
      <c r="AH70" s="282"/>
      <c r="AI70" s="279"/>
      <c r="AJ70" s="279"/>
      <c r="AK70" s="279"/>
      <c r="AL70" s="279"/>
      <c r="AM70" s="279"/>
      <c r="AN70" s="279"/>
      <c r="AO70" s="279"/>
      <c r="AP70" s="279"/>
      <c r="AQ70" s="279"/>
      <c r="AR70" s="279"/>
      <c r="AS70" s="279"/>
      <c r="AT70" s="279"/>
      <c r="AU70" s="279"/>
      <c r="AV70" s="279"/>
      <c r="AW70" s="279"/>
      <c r="AX70" s="279"/>
      <c r="AY70" s="279"/>
      <c r="AZ70" s="279"/>
      <c r="BA70" s="279"/>
      <c r="BB70" s="279"/>
      <c r="BC70" s="279"/>
      <c r="BD70" s="279"/>
      <c r="BE70" s="279"/>
      <c r="BF70" s="279"/>
      <c r="BG70" s="279"/>
      <c r="BH70" s="279"/>
      <c r="BI70" s="279"/>
      <c r="BJ70" s="279"/>
      <c r="BK70" s="279"/>
      <c r="BL70" s="279"/>
      <c r="BM70" s="279"/>
      <c r="BN70" s="279"/>
      <c r="BO70" s="279"/>
      <c r="BP70" s="279"/>
      <c r="BQ70" s="279"/>
      <c r="BR70" s="279"/>
      <c r="BS70" s="279"/>
      <c r="BT70" s="279"/>
      <c r="BU70" s="279"/>
      <c r="BV70" s="279"/>
      <c r="BW70" s="279"/>
      <c r="BX70" s="279"/>
      <c r="BY70" s="279"/>
      <c r="BZ70" s="279"/>
      <c r="CA70" s="279"/>
      <c r="CB70" s="279"/>
      <c r="CC70" s="279"/>
      <c r="CD70" s="279"/>
      <c r="CE70" s="279"/>
      <c r="CF70" s="279"/>
      <c r="CG70" s="279"/>
      <c r="CH70" s="279"/>
      <c r="CI70" s="279"/>
      <c r="CJ70" s="279"/>
      <c r="CK70" s="279"/>
      <c r="CL70" s="279"/>
      <c r="CM70" s="279"/>
      <c r="CN70" s="279"/>
      <c r="CO70" s="282"/>
      <c r="CP70" s="296"/>
    </row>
    <row r="71" spans="8:94" ht="15.75" customHeight="1" x14ac:dyDescent="0.25">
      <c r="H71" s="276"/>
      <c r="I71" s="276"/>
      <c r="J71" s="276"/>
      <c r="Q71" s="296"/>
      <c r="R71" s="296"/>
      <c r="S71" s="296"/>
      <c r="T71" s="296"/>
      <c r="U71" s="296"/>
      <c r="V71" s="296"/>
      <c r="W71" s="282"/>
      <c r="X71" s="282"/>
      <c r="Y71" s="282"/>
      <c r="Z71" s="832" t="s">
        <v>384</v>
      </c>
      <c r="AA71" s="832"/>
      <c r="AB71" s="832"/>
      <c r="AC71" s="832"/>
      <c r="AD71" s="832"/>
      <c r="AE71" s="832"/>
      <c r="AF71" s="832"/>
      <c r="AG71" s="832"/>
      <c r="AH71" s="832"/>
      <c r="AI71" s="832"/>
      <c r="AJ71" s="279"/>
      <c r="AK71" s="279"/>
      <c r="AL71" s="841" t="s">
        <v>385</v>
      </c>
      <c r="AM71" s="841"/>
      <c r="AN71" s="841"/>
      <c r="AO71" s="841"/>
      <c r="AP71" s="841"/>
      <c r="AQ71" s="841"/>
      <c r="AR71" s="841"/>
      <c r="AS71" s="841"/>
      <c r="AT71" s="841"/>
      <c r="AU71" s="841"/>
      <c r="AV71" s="841"/>
      <c r="AW71" s="841"/>
      <c r="AX71" s="841"/>
      <c r="AY71" s="841"/>
      <c r="AZ71" s="841"/>
      <c r="BA71" s="841"/>
      <c r="BB71" s="279"/>
      <c r="BC71" s="279"/>
      <c r="BD71" s="279"/>
      <c r="BE71" s="279"/>
      <c r="BF71" s="279"/>
      <c r="BG71" s="279"/>
      <c r="BH71" s="279"/>
      <c r="BI71" s="279"/>
      <c r="BJ71" s="279"/>
      <c r="BK71" s="279"/>
      <c r="BL71" s="279"/>
      <c r="BM71" s="279"/>
      <c r="BN71" s="279"/>
      <c r="BO71" s="279"/>
      <c r="BP71" s="279"/>
      <c r="BQ71" s="279"/>
      <c r="BR71" s="279"/>
      <c r="BS71" s="279"/>
      <c r="BT71" s="279"/>
      <c r="BU71" s="279"/>
      <c r="BV71" s="279"/>
      <c r="BW71" s="279"/>
      <c r="BX71" s="279"/>
      <c r="BY71" s="279"/>
      <c r="BZ71" s="279"/>
      <c r="CA71" s="279"/>
      <c r="CB71" s="279"/>
      <c r="CC71" s="279"/>
      <c r="CD71" s="279"/>
      <c r="CE71" s="279"/>
      <c r="CF71" s="279"/>
      <c r="CG71" s="279"/>
      <c r="CH71" s="279"/>
      <c r="CI71" s="279"/>
      <c r="CJ71" s="279"/>
      <c r="CK71" s="279"/>
      <c r="CL71" s="279"/>
      <c r="CM71" s="279"/>
      <c r="CN71" s="279"/>
      <c r="CO71" s="282"/>
      <c r="CP71" s="296"/>
    </row>
    <row r="72" spans="8:94" ht="15" customHeight="1" x14ac:dyDescent="0.25">
      <c r="H72" s="276"/>
      <c r="I72" s="276"/>
      <c r="J72" s="276"/>
      <c r="Q72" s="296"/>
      <c r="R72" s="296"/>
      <c r="S72" s="296"/>
      <c r="T72" s="296"/>
      <c r="U72" s="296"/>
      <c r="V72" s="296"/>
      <c r="W72" s="282"/>
      <c r="X72" s="282"/>
      <c r="Y72" s="282"/>
      <c r="Z72" s="282"/>
      <c r="AA72" s="282"/>
      <c r="AB72" s="282"/>
      <c r="AC72" s="282"/>
      <c r="AD72" s="282"/>
      <c r="AE72" s="282"/>
      <c r="AF72" s="282"/>
      <c r="AG72" s="282"/>
      <c r="AH72" s="282"/>
      <c r="AI72" s="279"/>
      <c r="AJ72" s="279"/>
      <c r="AK72" s="279"/>
      <c r="AL72" s="279"/>
      <c r="AM72" s="279"/>
      <c r="AN72" s="279"/>
      <c r="AO72" s="279"/>
      <c r="AP72" s="279"/>
      <c r="AQ72" s="279"/>
      <c r="AR72" s="279"/>
      <c r="AS72" s="279"/>
      <c r="AT72" s="279"/>
      <c r="AU72" s="279"/>
      <c r="AV72" s="279"/>
      <c r="AW72" s="279"/>
      <c r="AX72" s="279"/>
      <c r="AY72" s="279"/>
      <c r="AZ72" s="279"/>
      <c r="BA72" s="279"/>
      <c r="BB72" s="279"/>
      <c r="BC72" s="279"/>
      <c r="BD72" s="279"/>
      <c r="BE72" s="279"/>
      <c r="BF72" s="279"/>
      <c r="BG72" s="279"/>
      <c r="BH72" s="279"/>
      <c r="BI72" s="279"/>
      <c r="BJ72" s="279"/>
      <c r="BK72" s="279"/>
      <c r="BL72" s="279"/>
      <c r="BM72" s="279"/>
      <c r="BN72" s="279"/>
      <c r="BO72" s="279"/>
      <c r="BP72" s="279"/>
      <c r="BQ72" s="279"/>
      <c r="BR72" s="279"/>
      <c r="BS72" s="279"/>
      <c r="BT72" s="279"/>
      <c r="BU72" s="279"/>
      <c r="BV72" s="279"/>
      <c r="BW72" s="279"/>
      <c r="BX72" s="279"/>
      <c r="BY72" s="279"/>
      <c r="BZ72" s="279"/>
      <c r="CA72" s="279"/>
      <c r="CB72" s="279"/>
      <c r="CC72" s="279"/>
      <c r="CD72" s="279"/>
      <c r="CE72" s="279"/>
      <c r="CF72" s="279"/>
      <c r="CG72" s="279"/>
      <c r="CH72" s="279"/>
      <c r="CI72" s="279"/>
      <c r="CJ72" s="279"/>
      <c r="CK72" s="279"/>
      <c r="CL72" s="279"/>
      <c r="CM72" s="279"/>
      <c r="CN72" s="279"/>
      <c r="CO72" s="282"/>
      <c r="CP72" s="296"/>
    </row>
    <row r="73" spans="8:94" ht="15" customHeight="1" x14ac:dyDescent="0.25">
      <c r="H73" s="276"/>
      <c r="I73" s="276"/>
      <c r="J73" s="276"/>
      <c r="Q73" s="296"/>
      <c r="R73" s="296"/>
      <c r="S73" s="296"/>
      <c r="T73" s="296"/>
      <c r="U73" s="296"/>
      <c r="V73" s="296"/>
      <c r="W73" s="282"/>
      <c r="X73" s="282"/>
      <c r="Y73" s="282"/>
      <c r="Z73" s="837" t="s">
        <v>386</v>
      </c>
      <c r="AA73" s="837"/>
      <c r="AB73" s="837"/>
      <c r="AC73" s="837"/>
      <c r="AD73" s="837"/>
      <c r="AE73" s="837"/>
      <c r="AF73" s="837"/>
      <c r="AG73" s="837"/>
      <c r="AH73" s="837"/>
      <c r="AI73" s="837"/>
      <c r="AJ73" s="279"/>
      <c r="AK73" s="279"/>
      <c r="AL73" s="838" t="s">
        <v>387</v>
      </c>
      <c r="AM73" s="838"/>
      <c r="AN73" s="838"/>
      <c r="AO73" s="838"/>
      <c r="AP73" s="838"/>
      <c r="AQ73" s="838"/>
      <c r="AR73" s="838"/>
      <c r="AS73" s="838"/>
      <c r="AT73" s="838"/>
      <c r="AU73" s="838"/>
      <c r="AV73" s="838"/>
      <c r="AW73" s="838"/>
      <c r="AX73" s="838"/>
      <c r="AY73" s="838"/>
      <c r="AZ73" s="838"/>
      <c r="BA73" s="838"/>
      <c r="BB73" s="838"/>
      <c r="BC73" s="838"/>
      <c r="BD73" s="838"/>
      <c r="BE73" s="838"/>
      <c r="BF73" s="838"/>
      <c r="BG73" s="838"/>
      <c r="BH73" s="838"/>
      <c r="BI73" s="838"/>
      <c r="BJ73" s="838"/>
      <c r="BK73" s="838"/>
      <c r="BL73" s="838"/>
      <c r="BM73" s="838"/>
      <c r="BN73" s="838"/>
      <c r="BO73" s="838"/>
      <c r="BP73" s="838"/>
      <c r="BQ73" s="838"/>
      <c r="BR73" s="838"/>
      <c r="BS73" s="838"/>
      <c r="BT73" s="838"/>
      <c r="BU73" s="838"/>
      <c r="BV73" s="838"/>
      <c r="BW73" s="838"/>
      <c r="BX73" s="838"/>
      <c r="BY73" s="838"/>
      <c r="BZ73" s="838"/>
      <c r="CA73" s="838"/>
      <c r="CB73" s="838"/>
      <c r="CC73" s="838"/>
      <c r="CD73" s="838"/>
      <c r="CE73" s="279"/>
      <c r="CF73" s="279"/>
      <c r="CG73" s="279"/>
      <c r="CH73" s="279"/>
      <c r="CI73" s="279"/>
      <c r="CJ73" s="279"/>
      <c r="CK73" s="279"/>
      <c r="CL73" s="279"/>
      <c r="CM73" s="279"/>
      <c r="CN73" s="279"/>
      <c r="CO73" s="282"/>
      <c r="CP73" s="296"/>
    </row>
    <row r="74" spans="8:94" ht="15" customHeight="1" x14ac:dyDescent="0.25">
      <c r="H74" s="276"/>
      <c r="I74" s="276"/>
      <c r="J74" s="276"/>
      <c r="Q74" s="296"/>
      <c r="R74" s="296"/>
      <c r="S74" s="296"/>
      <c r="T74" s="296"/>
      <c r="U74" s="296"/>
      <c r="V74" s="296"/>
      <c r="W74" s="282"/>
      <c r="X74" s="282"/>
      <c r="Y74" s="282"/>
      <c r="Z74" s="837"/>
      <c r="AA74" s="837"/>
      <c r="AB74" s="837"/>
      <c r="AC74" s="837"/>
      <c r="AD74" s="837"/>
      <c r="AE74" s="837"/>
      <c r="AF74" s="837"/>
      <c r="AG74" s="837"/>
      <c r="AH74" s="837"/>
      <c r="AI74" s="837"/>
      <c r="AJ74" s="279"/>
      <c r="AK74" s="279"/>
      <c r="AL74" s="838"/>
      <c r="AM74" s="838"/>
      <c r="AN74" s="838"/>
      <c r="AO74" s="838"/>
      <c r="AP74" s="838"/>
      <c r="AQ74" s="838"/>
      <c r="AR74" s="838"/>
      <c r="AS74" s="838"/>
      <c r="AT74" s="838"/>
      <c r="AU74" s="838"/>
      <c r="AV74" s="838"/>
      <c r="AW74" s="838"/>
      <c r="AX74" s="838"/>
      <c r="AY74" s="838"/>
      <c r="AZ74" s="838"/>
      <c r="BA74" s="838"/>
      <c r="BB74" s="838"/>
      <c r="BC74" s="838"/>
      <c r="BD74" s="838"/>
      <c r="BE74" s="838"/>
      <c r="BF74" s="838"/>
      <c r="BG74" s="838"/>
      <c r="BH74" s="838"/>
      <c r="BI74" s="838"/>
      <c r="BJ74" s="838"/>
      <c r="BK74" s="838"/>
      <c r="BL74" s="838"/>
      <c r="BM74" s="838"/>
      <c r="BN74" s="838"/>
      <c r="BO74" s="838"/>
      <c r="BP74" s="838"/>
      <c r="BQ74" s="838"/>
      <c r="BR74" s="838"/>
      <c r="BS74" s="838"/>
      <c r="BT74" s="838"/>
      <c r="BU74" s="838"/>
      <c r="BV74" s="838"/>
      <c r="BW74" s="838"/>
      <c r="BX74" s="838"/>
      <c r="BY74" s="838"/>
      <c r="BZ74" s="838"/>
      <c r="CA74" s="838"/>
      <c r="CB74" s="838"/>
      <c r="CC74" s="838"/>
      <c r="CD74" s="838"/>
      <c r="CE74" s="279"/>
      <c r="CF74" s="279"/>
      <c r="CG74" s="279"/>
      <c r="CH74" s="279"/>
      <c r="CI74" s="279"/>
      <c r="CJ74" s="279"/>
      <c r="CK74" s="279"/>
      <c r="CL74" s="279"/>
      <c r="CM74" s="279"/>
      <c r="CN74" s="279"/>
      <c r="CO74" s="282"/>
      <c r="CP74" s="296"/>
    </row>
    <row r="75" spans="8:94" ht="15" customHeight="1" x14ac:dyDescent="0.25">
      <c r="H75" s="276"/>
      <c r="I75" s="276"/>
      <c r="J75" s="276"/>
      <c r="Q75" s="296"/>
      <c r="R75" s="296"/>
      <c r="S75" s="296"/>
      <c r="T75" s="296"/>
      <c r="U75" s="296"/>
      <c r="V75" s="296"/>
      <c r="W75" s="282"/>
      <c r="X75" s="282"/>
      <c r="Y75" s="282"/>
      <c r="Z75" s="837"/>
      <c r="AA75" s="837"/>
      <c r="AB75" s="837"/>
      <c r="AC75" s="837"/>
      <c r="AD75" s="837"/>
      <c r="AE75" s="837"/>
      <c r="AF75" s="837"/>
      <c r="AG75" s="837"/>
      <c r="AH75" s="837"/>
      <c r="AI75" s="837"/>
      <c r="AJ75" s="279"/>
      <c r="AK75" s="279"/>
      <c r="AL75" s="838"/>
      <c r="AM75" s="838"/>
      <c r="AN75" s="838"/>
      <c r="AO75" s="838"/>
      <c r="AP75" s="838"/>
      <c r="AQ75" s="838"/>
      <c r="AR75" s="838"/>
      <c r="AS75" s="838"/>
      <c r="AT75" s="838"/>
      <c r="AU75" s="838"/>
      <c r="AV75" s="838"/>
      <c r="AW75" s="838"/>
      <c r="AX75" s="838"/>
      <c r="AY75" s="838"/>
      <c r="AZ75" s="838"/>
      <c r="BA75" s="838"/>
      <c r="BB75" s="838"/>
      <c r="BC75" s="838"/>
      <c r="BD75" s="838"/>
      <c r="BE75" s="838"/>
      <c r="BF75" s="838"/>
      <c r="BG75" s="838"/>
      <c r="BH75" s="838"/>
      <c r="BI75" s="838"/>
      <c r="BJ75" s="838"/>
      <c r="BK75" s="838"/>
      <c r="BL75" s="838"/>
      <c r="BM75" s="838"/>
      <c r="BN75" s="838"/>
      <c r="BO75" s="838"/>
      <c r="BP75" s="838"/>
      <c r="BQ75" s="838"/>
      <c r="BR75" s="838"/>
      <c r="BS75" s="838"/>
      <c r="BT75" s="838"/>
      <c r="BU75" s="838"/>
      <c r="BV75" s="838"/>
      <c r="BW75" s="838"/>
      <c r="BX75" s="838"/>
      <c r="BY75" s="838"/>
      <c r="BZ75" s="838"/>
      <c r="CA75" s="838"/>
      <c r="CB75" s="838"/>
      <c r="CC75" s="838"/>
      <c r="CD75" s="838"/>
      <c r="CE75" s="279"/>
      <c r="CF75" s="279"/>
      <c r="CG75" s="279"/>
      <c r="CH75" s="279"/>
      <c r="CI75" s="279"/>
      <c r="CJ75" s="279"/>
      <c r="CK75" s="279"/>
      <c r="CL75" s="279"/>
      <c r="CM75" s="279"/>
      <c r="CN75" s="279"/>
      <c r="CO75" s="282"/>
      <c r="CP75" s="296"/>
    </row>
    <row r="76" spans="8:94" ht="15" customHeight="1" x14ac:dyDescent="0.25">
      <c r="H76" s="276"/>
      <c r="I76" s="276"/>
      <c r="J76" s="276"/>
      <c r="Q76" s="296"/>
      <c r="R76" s="296"/>
      <c r="S76" s="296"/>
      <c r="T76" s="296"/>
      <c r="U76" s="296"/>
      <c r="V76" s="296"/>
      <c r="W76" s="282"/>
      <c r="X76" s="282"/>
      <c r="Y76" s="282"/>
      <c r="Z76" s="282"/>
      <c r="AA76" s="282"/>
      <c r="AB76" s="282"/>
      <c r="AC76" s="282"/>
      <c r="AD76" s="282"/>
      <c r="AE76" s="282"/>
      <c r="AF76" s="282"/>
      <c r="AG76" s="282"/>
      <c r="AH76" s="282"/>
      <c r="AI76" s="279"/>
      <c r="AJ76" s="279"/>
      <c r="AK76" s="279"/>
      <c r="AL76" s="279"/>
      <c r="AM76" s="279"/>
      <c r="AN76" s="279"/>
      <c r="AO76" s="279"/>
      <c r="AP76" s="279"/>
      <c r="AQ76" s="279"/>
      <c r="AR76" s="279"/>
      <c r="AS76" s="279"/>
      <c r="AT76" s="279"/>
      <c r="AU76" s="279"/>
      <c r="AV76" s="279"/>
      <c r="AW76" s="279"/>
      <c r="AX76" s="279"/>
      <c r="AY76" s="279"/>
      <c r="AZ76" s="279"/>
      <c r="BA76" s="279"/>
      <c r="BB76" s="279"/>
      <c r="BC76" s="279"/>
      <c r="BD76" s="279"/>
      <c r="BE76" s="279"/>
      <c r="BF76" s="279"/>
      <c r="BG76" s="279"/>
      <c r="BH76" s="279"/>
      <c r="BI76" s="279"/>
      <c r="BJ76" s="279"/>
      <c r="BK76" s="279"/>
      <c r="BL76" s="279"/>
      <c r="BM76" s="279"/>
      <c r="BN76" s="279"/>
      <c r="BO76" s="279"/>
      <c r="BP76" s="279"/>
      <c r="BQ76" s="279"/>
      <c r="BR76" s="279"/>
      <c r="BS76" s="279"/>
      <c r="BT76" s="279"/>
      <c r="BU76" s="279"/>
      <c r="BV76" s="279"/>
      <c r="BW76" s="279"/>
      <c r="BX76" s="279"/>
      <c r="BY76" s="279"/>
      <c r="BZ76" s="279"/>
      <c r="CA76" s="279"/>
      <c r="CB76" s="279"/>
      <c r="CC76" s="279"/>
      <c r="CD76" s="279"/>
      <c r="CE76" s="279"/>
      <c r="CF76" s="279"/>
      <c r="CG76" s="279"/>
      <c r="CH76" s="279"/>
      <c r="CI76" s="279"/>
      <c r="CJ76" s="279"/>
      <c r="CK76" s="279"/>
      <c r="CL76" s="279"/>
      <c r="CM76" s="279"/>
      <c r="CN76" s="279"/>
      <c r="CO76" s="282"/>
      <c r="CP76" s="296"/>
    </row>
    <row r="77" spans="8:94" ht="15.75" customHeight="1" x14ac:dyDescent="0.25">
      <c r="H77" s="276"/>
      <c r="I77" s="276"/>
      <c r="J77" s="276"/>
      <c r="Q77" s="296"/>
      <c r="R77" s="296"/>
      <c r="S77" s="296"/>
      <c r="T77" s="296"/>
      <c r="U77" s="296"/>
      <c r="V77" s="296"/>
      <c r="W77" s="282"/>
      <c r="X77" s="282"/>
      <c r="Y77" s="282"/>
      <c r="Z77" s="832" t="s">
        <v>388</v>
      </c>
      <c r="AA77" s="832"/>
      <c r="AB77" s="832"/>
      <c r="AC77" s="832"/>
      <c r="AD77" s="832"/>
      <c r="AE77" s="832"/>
      <c r="AF77" s="832"/>
      <c r="AG77" s="832"/>
      <c r="AH77" s="832"/>
      <c r="AI77" s="832"/>
      <c r="AJ77" s="279"/>
      <c r="AK77" s="279"/>
      <c r="AL77" s="839" t="s">
        <v>389</v>
      </c>
      <c r="AM77" s="840"/>
      <c r="AN77" s="840"/>
      <c r="AO77" s="840"/>
      <c r="AP77" s="840"/>
      <c r="AQ77" s="840"/>
      <c r="AR77" s="840"/>
      <c r="AS77" s="840"/>
      <c r="AT77" s="840"/>
      <c r="AU77" s="840"/>
      <c r="AV77" s="840"/>
      <c r="AW77" s="840"/>
      <c r="AX77" s="840"/>
      <c r="AY77" s="840"/>
      <c r="AZ77" s="840"/>
      <c r="BA77" s="840"/>
      <c r="BB77" s="279"/>
      <c r="BC77" s="279"/>
      <c r="BD77" s="293" t="s">
        <v>390</v>
      </c>
      <c r="BE77" s="279"/>
      <c r="BF77" s="279"/>
      <c r="BG77" s="279"/>
      <c r="BH77" s="279"/>
      <c r="BI77" s="279"/>
      <c r="BJ77" s="279"/>
      <c r="BK77" s="279"/>
      <c r="BL77" s="279"/>
      <c r="BM77" s="279"/>
      <c r="BN77" s="279"/>
      <c r="BO77" s="279"/>
      <c r="BP77" s="279"/>
      <c r="BQ77" s="279"/>
      <c r="BR77" s="279"/>
      <c r="BS77" s="279"/>
      <c r="BT77" s="279"/>
      <c r="BU77" s="279"/>
      <c r="BV77" s="279"/>
      <c r="BW77" s="279"/>
      <c r="BX77" s="279"/>
      <c r="BY77" s="279"/>
      <c r="BZ77" s="279"/>
      <c r="CA77" s="279"/>
      <c r="CB77" s="279"/>
      <c r="CC77" s="279"/>
      <c r="CD77" s="279"/>
      <c r="CE77" s="279"/>
      <c r="CF77" s="279"/>
      <c r="CG77" s="279"/>
      <c r="CH77" s="279"/>
      <c r="CI77" s="279"/>
      <c r="CJ77" s="279"/>
      <c r="CK77" s="279"/>
      <c r="CL77" s="279"/>
      <c r="CM77" s="279"/>
      <c r="CN77" s="279"/>
      <c r="CO77" s="282"/>
      <c r="CP77" s="296"/>
    </row>
    <row r="78" spans="8:94" x14ac:dyDescent="0.25">
      <c r="H78" s="276"/>
      <c r="I78" s="276"/>
      <c r="J78" s="276"/>
      <c r="Q78" s="282"/>
      <c r="R78" s="282"/>
      <c r="S78" s="282"/>
      <c r="T78" s="282"/>
      <c r="U78" s="282"/>
      <c r="V78" s="282"/>
      <c r="W78" s="282"/>
      <c r="X78" s="282"/>
      <c r="Y78" s="282"/>
      <c r="Z78" s="282"/>
      <c r="AA78" s="282"/>
      <c r="AB78" s="282"/>
      <c r="AC78" s="282"/>
      <c r="AD78" s="282"/>
      <c r="AE78" s="282"/>
      <c r="AF78" s="282"/>
      <c r="AG78" s="282"/>
      <c r="AH78" s="282"/>
      <c r="AI78" s="279"/>
      <c r="AJ78" s="279"/>
      <c r="AK78" s="279"/>
      <c r="AL78" s="279"/>
      <c r="AM78" s="279"/>
      <c r="AN78" s="279"/>
      <c r="AO78" s="279"/>
      <c r="AP78" s="279"/>
      <c r="AQ78" s="279"/>
      <c r="AR78" s="279"/>
      <c r="AS78" s="279"/>
      <c r="AT78" s="279"/>
      <c r="AU78" s="279"/>
      <c r="AV78" s="279"/>
      <c r="AW78" s="279"/>
      <c r="AX78" s="279"/>
      <c r="AY78" s="279"/>
      <c r="AZ78" s="279"/>
      <c r="BA78" s="279"/>
      <c r="BB78" s="279"/>
      <c r="BC78" s="279"/>
      <c r="BD78" s="279"/>
      <c r="BE78" s="279"/>
      <c r="BF78" s="279"/>
      <c r="BG78" s="279"/>
      <c r="BH78" s="279"/>
      <c r="BI78" s="279"/>
      <c r="BJ78" s="279"/>
      <c r="BK78" s="279"/>
      <c r="BL78" s="279"/>
      <c r="BM78" s="279"/>
      <c r="BN78" s="279"/>
      <c r="BO78" s="279"/>
      <c r="BP78" s="279"/>
      <c r="BQ78" s="279"/>
      <c r="BR78" s="279"/>
      <c r="BS78" s="279"/>
      <c r="BT78" s="279"/>
      <c r="BU78" s="279"/>
      <c r="BV78" s="279"/>
      <c r="BW78" s="279"/>
      <c r="BX78" s="279"/>
      <c r="BY78" s="279"/>
      <c r="BZ78" s="279"/>
      <c r="CA78" s="279"/>
      <c r="CB78" s="279"/>
      <c r="CC78" s="279"/>
      <c r="CD78" s="279"/>
      <c r="CE78" s="279"/>
      <c r="CF78" s="279"/>
      <c r="CG78" s="279"/>
      <c r="CH78" s="279"/>
      <c r="CI78" s="279"/>
      <c r="CJ78" s="279"/>
      <c r="CK78" s="279"/>
      <c r="CL78" s="279"/>
      <c r="CM78" s="279"/>
      <c r="CN78" s="279"/>
      <c r="CO78" s="282"/>
      <c r="CP78" s="282"/>
    </row>
    <row r="79" spans="8:94" x14ac:dyDescent="0.25">
      <c r="H79" s="276"/>
      <c r="I79" s="276"/>
      <c r="J79" s="276"/>
      <c r="Q79" s="282"/>
      <c r="R79" s="282"/>
      <c r="S79" s="282"/>
      <c r="T79" s="282"/>
      <c r="U79" s="282"/>
      <c r="V79" s="282"/>
      <c r="W79" s="282"/>
      <c r="X79" s="282"/>
      <c r="Y79" s="282"/>
      <c r="Z79" s="282"/>
      <c r="AA79" s="282"/>
      <c r="AB79" s="282"/>
      <c r="AC79" s="282"/>
      <c r="AD79" s="282"/>
      <c r="AE79" s="282"/>
      <c r="AF79" s="282"/>
      <c r="AG79" s="282"/>
      <c r="AH79" s="282"/>
      <c r="AI79" s="279"/>
      <c r="AJ79" s="279"/>
      <c r="AK79" s="279"/>
      <c r="AL79" s="279"/>
      <c r="AM79" s="279"/>
      <c r="AN79" s="279"/>
      <c r="AO79" s="279"/>
      <c r="AP79" s="279"/>
      <c r="AQ79" s="279"/>
      <c r="AR79" s="279"/>
      <c r="AS79" s="279"/>
      <c r="AT79" s="279"/>
      <c r="AU79" s="279"/>
      <c r="AV79" s="279"/>
      <c r="AW79" s="279"/>
      <c r="AX79" s="279"/>
      <c r="AY79" s="279"/>
      <c r="AZ79" s="279"/>
      <c r="BA79" s="279"/>
      <c r="BB79" s="279"/>
      <c r="BC79" s="279"/>
      <c r="BD79" s="279"/>
      <c r="BE79" s="279"/>
      <c r="BF79" s="279"/>
      <c r="BG79" s="279"/>
      <c r="BH79" s="279"/>
      <c r="BI79" s="279"/>
      <c r="BJ79" s="279"/>
      <c r="BK79" s="279"/>
      <c r="BL79" s="279"/>
      <c r="BM79" s="279"/>
      <c r="BN79" s="279"/>
      <c r="BO79" s="279"/>
      <c r="BP79" s="279"/>
      <c r="BQ79" s="279"/>
      <c r="BR79" s="279"/>
      <c r="BS79" s="279"/>
      <c r="BT79" s="279"/>
      <c r="BU79" s="279"/>
      <c r="BV79" s="279"/>
      <c r="BW79" s="279"/>
      <c r="BX79" s="279"/>
      <c r="BY79" s="279"/>
      <c r="BZ79" s="279"/>
      <c r="CA79" s="279"/>
      <c r="CB79" s="279"/>
      <c r="CC79" s="279"/>
      <c r="CD79" s="279"/>
      <c r="CE79" s="279"/>
      <c r="CF79" s="279"/>
      <c r="CG79" s="279"/>
      <c r="CH79" s="279"/>
      <c r="CI79" s="279"/>
      <c r="CJ79" s="279"/>
      <c r="CK79" s="279"/>
      <c r="CL79" s="279"/>
      <c r="CM79" s="279"/>
      <c r="CN79" s="279"/>
      <c r="CO79" s="282"/>
      <c r="CP79" s="282"/>
    </row>
    <row r="80" spans="8:94" ht="15.75" x14ac:dyDescent="0.25">
      <c r="H80" s="30"/>
      <c r="I80" s="30"/>
      <c r="J80" s="30"/>
      <c r="Q80" s="294"/>
      <c r="R80" s="294"/>
      <c r="S80" s="294"/>
      <c r="T80" s="294"/>
      <c r="U80" s="294"/>
      <c r="V80" s="294"/>
      <c r="W80" s="294"/>
      <c r="X80" s="294"/>
      <c r="Y80" s="294"/>
      <c r="Z80" s="294"/>
      <c r="AA80" s="294"/>
      <c r="AB80" s="294"/>
      <c r="AC80" s="294"/>
      <c r="AD80" s="294"/>
      <c r="AE80" s="294"/>
      <c r="AF80" s="294"/>
      <c r="AG80" s="294"/>
      <c r="AH80" s="294"/>
      <c r="AI80" s="263"/>
      <c r="AJ80" s="263"/>
      <c r="AK80" s="263"/>
      <c r="AL80" s="263"/>
      <c r="AM80" s="263"/>
      <c r="AN80" s="263"/>
      <c r="AO80" s="263"/>
      <c r="AP80" s="263"/>
      <c r="AQ80" s="263"/>
      <c r="AR80" s="263"/>
      <c r="AS80" s="263"/>
      <c r="AT80" s="263"/>
      <c r="AU80" s="263"/>
      <c r="AV80" s="263"/>
      <c r="AW80" s="263"/>
      <c r="AX80" s="263"/>
      <c r="AY80" s="263"/>
      <c r="AZ80" s="263"/>
      <c r="BA80" s="263"/>
      <c r="BB80" s="263"/>
      <c r="BC80" s="263"/>
      <c r="BD80" s="263"/>
      <c r="BE80" s="263"/>
      <c r="BF80" s="263"/>
      <c r="BG80" s="263"/>
      <c r="BH80" s="263"/>
      <c r="BI80" s="263"/>
      <c r="BJ80" s="263"/>
      <c r="BK80" s="263"/>
      <c r="BL80" s="263"/>
      <c r="BM80" s="263"/>
      <c r="BN80" s="263"/>
      <c r="BO80" s="263"/>
      <c r="BP80" s="263"/>
      <c r="BQ80" s="263"/>
      <c r="BR80" s="263"/>
      <c r="BS80" s="263"/>
      <c r="BT80" s="263"/>
      <c r="BU80" s="263"/>
      <c r="BV80" s="263"/>
      <c r="BW80" s="263"/>
      <c r="BX80" s="263"/>
      <c r="BY80" s="263"/>
      <c r="BZ80" s="263"/>
      <c r="CA80" s="263"/>
      <c r="CB80" s="263"/>
      <c r="CC80" s="263"/>
      <c r="CD80" s="263"/>
      <c r="CE80" s="263"/>
      <c r="CF80" s="263"/>
      <c r="CG80" s="263"/>
      <c r="CH80" s="263"/>
      <c r="CI80" s="263"/>
      <c r="CJ80" s="263"/>
      <c r="CK80" s="263"/>
      <c r="CL80" s="263"/>
      <c r="CM80" s="263"/>
      <c r="CN80" s="263"/>
      <c r="CO80" s="294"/>
      <c r="CP80" s="294"/>
    </row>
  </sheetData>
  <mergeCells count="81">
    <mergeCell ref="Z73:AI75"/>
    <mergeCell ref="AL73:CD75"/>
    <mergeCell ref="Z77:AI77"/>
    <mergeCell ref="AL77:BA77"/>
    <mergeCell ref="Z67:AI67"/>
    <mergeCell ref="AL67:BA67"/>
    <mergeCell ref="Z69:AI69"/>
    <mergeCell ref="AL69:BA69"/>
    <mergeCell ref="Z71:AI71"/>
    <mergeCell ref="AL71:BA71"/>
    <mergeCell ref="Z57:AI57"/>
    <mergeCell ref="AL57:AS57"/>
    <mergeCell ref="Z59:AI59"/>
    <mergeCell ref="AL59:AS59"/>
    <mergeCell ref="Z65:AI65"/>
    <mergeCell ref="AL65:BA65"/>
    <mergeCell ref="AL55:AS55"/>
    <mergeCell ref="AU55:BB55"/>
    <mergeCell ref="BD55:BK55"/>
    <mergeCell ref="BM55:BT55"/>
    <mergeCell ref="BV55:CC55"/>
    <mergeCell ref="BV53:CC53"/>
    <mergeCell ref="Z49:AI49"/>
    <mergeCell ref="AL49:AS49"/>
    <mergeCell ref="AU49:BB49"/>
    <mergeCell ref="BD49:BK49"/>
    <mergeCell ref="BM49:BT49"/>
    <mergeCell ref="BV49:CC49"/>
    <mergeCell ref="Z53:AI53"/>
    <mergeCell ref="AL53:AS53"/>
    <mergeCell ref="AU53:BB53"/>
    <mergeCell ref="BD53:BK53"/>
    <mergeCell ref="BM53:BT53"/>
    <mergeCell ref="V37:AJ37"/>
    <mergeCell ref="AL37:BG37"/>
    <mergeCell ref="BI37:BO37"/>
    <mergeCell ref="BQ37:CL37"/>
    <mergeCell ref="Z45:AI45"/>
    <mergeCell ref="AL45:AS45"/>
    <mergeCell ref="AU45:BB45"/>
    <mergeCell ref="BD45:BK45"/>
    <mergeCell ref="BM45:BT45"/>
    <mergeCell ref="BV45:CC45"/>
    <mergeCell ref="V35:AJ35"/>
    <mergeCell ref="AL35:BG35"/>
    <mergeCell ref="BI35:BO35"/>
    <mergeCell ref="BQ35:CL35"/>
    <mergeCell ref="V36:AJ36"/>
    <mergeCell ref="AL36:BG36"/>
    <mergeCell ref="BI36:BO36"/>
    <mergeCell ref="BQ36:CL36"/>
    <mergeCell ref="V28:AJ28"/>
    <mergeCell ref="AL28:AZ28"/>
    <mergeCell ref="BI28:BO28"/>
    <mergeCell ref="BQ28:CE28"/>
    <mergeCell ref="V29:AJ29"/>
    <mergeCell ref="AL29:AO29"/>
    <mergeCell ref="AX29:AZ29"/>
    <mergeCell ref="BI29:BO29"/>
    <mergeCell ref="BQ29:BT29"/>
    <mergeCell ref="CC29:CE29"/>
    <mergeCell ref="V26:AJ26"/>
    <mergeCell ref="AL26:BG26"/>
    <mergeCell ref="BI26:BO26"/>
    <mergeCell ref="BQ26:CL26"/>
    <mergeCell ref="V27:AJ27"/>
    <mergeCell ref="AL27:BG27"/>
    <mergeCell ref="BI27:BO27"/>
    <mergeCell ref="BQ27:CL27"/>
    <mergeCell ref="V19:AJ19"/>
    <mergeCell ref="AL19:BG19"/>
    <mergeCell ref="V20:AJ20"/>
    <mergeCell ref="AL20:AW20"/>
    <mergeCell ref="V21:AJ21"/>
    <mergeCell ref="AL21:AW21"/>
    <mergeCell ref="Q12:CP12"/>
    <mergeCell ref="H1:P3"/>
    <mergeCell ref="V4:BF4"/>
    <mergeCell ref="V7:BX7"/>
    <mergeCell ref="Q9:CP9"/>
    <mergeCell ref="Q11:CP11"/>
  </mergeCells>
  <conditionalFormatting sqref="AL55">
    <cfRule type="expression" dxfId="33" priority="12">
      <formula>dms_PRCPlength_Num&lt;11</formula>
    </cfRule>
  </conditionalFormatting>
  <conditionalFormatting sqref="AL45:AS45">
    <cfRule type="expression" dxfId="32" priority="30" stopIfTrue="1">
      <formula>(INDEX(dms_Model_Span_List,MATCH(dms_MODEL,dms_Model_List))&gt;1)</formula>
    </cfRule>
  </conditionalFormatting>
  <conditionalFormatting sqref="AL57:AS57">
    <cfRule type="expression" dxfId="31" priority="31" stopIfTrue="1">
      <formula>(INDEX(dms_Model_Span_List,MATCH(dms_MODEL,dms_Model_List))=1)</formula>
    </cfRule>
  </conditionalFormatting>
  <conditionalFormatting sqref="AL71:BA71">
    <cfRule type="cellIs" dxfId="30" priority="29" operator="equal">
      <formula>"Confidential"</formula>
    </cfRule>
  </conditionalFormatting>
  <conditionalFormatting sqref="AU55">
    <cfRule type="expression" dxfId="29" priority="7">
      <formula>dms_PRCPlength_Num&lt;12</formula>
    </cfRule>
  </conditionalFormatting>
  <conditionalFormatting sqref="BD55">
    <cfRule type="expression" dxfId="28" priority="6">
      <formula>dms_PRCPlength_Num&lt;13</formula>
    </cfRule>
  </conditionalFormatting>
  <conditionalFormatting sqref="BM55">
    <cfRule type="expression" dxfId="27" priority="5">
      <formula>dms_PRCPlength_Num&lt;14</formula>
    </cfRule>
  </conditionalFormatting>
  <conditionalFormatting sqref="BV45">
    <cfRule type="expression" dxfId="26" priority="3">
      <formula>dms_FRCPlength_Num&lt;5</formula>
    </cfRule>
  </conditionalFormatting>
  <conditionalFormatting sqref="BV55">
    <cfRule type="expression" dxfId="25" priority="4">
      <formula>dms_PRCPlength_Num&lt;15</formula>
    </cfRule>
  </conditionalFormatting>
  <conditionalFormatting sqref="BV49:CC49">
    <cfRule type="expression" dxfId="24" priority="2">
      <formula>dms_CRCPlength_Num&lt;5</formula>
    </cfRule>
  </conditionalFormatting>
  <conditionalFormatting sqref="BV53:CC53">
    <cfRule type="expression" dxfId="23" priority="1">
      <formula>dms_PRCPlength_Num&lt;5</formula>
    </cfRule>
  </conditionalFormatting>
  <dataValidations count="6">
    <dataValidation type="list" allowBlank="1" showInputMessage="1" showErrorMessage="1" sqref="AL45:AS45 AL57:AS57 AL59:AS59" xr:uid="{01A4D35C-A3B9-4A81-B570-DCAB7C9D0808}">
      <formula1>INDIRECT(dms_RPT)</formula1>
    </dataValidation>
    <dataValidation allowBlank="1" showInputMessage="1" showErrorMessage="1" promptTitle="Submission Date" prompt="-- enter date file submitted to AER -- " sqref="AL77:BA77" xr:uid="{2B315474-57E7-4DAB-AFBB-342300A73D39}"/>
    <dataValidation type="list" allowBlank="1" showInputMessage="1" showErrorMessage="1" sqref="AL71:BA71" xr:uid="{4CC4AFB7-9785-4312-8291-6C82D1443BE4}">
      <formula1>dms_Confid_status_List</formula1>
    </dataValidation>
    <dataValidation type="list" allowBlank="1" showInputMessage="1" showErrorMessage="1" sqref="AL69:BA69" xr:uid="{40F61FA5-81B5-4947-8A1F-B7D9574ED948}">
      <formula1>dms_DataQuality_List</formula1>
    </dataValidation>
    <dataValidation type="list" allowBlank="1" showInputMessage="1" showErrorMessage="1" sqref="AL67:BA67" xr:uid="{E0FB8587-2093-4C76-A315-C8CDAAABEC53}">
      <formula1>dms_SourceList</formula1>
    </dataValidation>
    <dataValidation type="list" operator="lessThanOrEqual" showInputMessage="1" showErrorMessage="1" prompt="Please use drop down to select correct business name. ABN will auto populate." sqref="AL19:AN19" xr:uid="{38EBA8B9-5B3D-4AA0-A3C5-F33F2CBB6E97}">
      <formula1>dms_TradingName_List</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539DA-9ADB-4524-9E07-124A157566E7}">
  <sheetPr codeName="Sheet1"/>
  <dimension ref="A1:KA86"/>
  <sheetViews>
    <sheetView showGridLines="0" tabSelected="1" zoomScale="70" zoomScaleNormal="70" workbookViewId="0"/>
  </sheetViews>
  <sheetFormatPr defaultColWidth="0" defaultRowHeight="0" customHeight="1" zeroHeight="1" x14ac:dyDescent="0.25"/>
  <cols>
    <col min="1" max="1" width="8.28515625" style="1" customWidth="1"/>
    <col min="2" max="2" width="70.140625" style="4" customWidth="1"/>
    <col min="3" max="25" width="12.28515625" style="4" customWidth="1"/>
    <col min="26" max="26" width="12.140625" customWidth="1"/>
    <col min="27" max="27" width="12.28515625" customWidth="1"/>
    <col min="28" max="30" width="12.28515625" hidden="1" customWidth="1"/>
    <col min="31" max="31" width="0" hidden="1" customWidth="1"/>
    <col min="32" max="287" width="0" style="4" hidden="1" customWidth="1"/>
    <col min="288" max="16384" width="9.140625" style="4" hidden="1"/>
  </cols>
  <sheetData>
    <row r="1" spans="1:35" ht="30.2" customHeight="1" x14ac:dyDescent="0.25">
      <c r="B1" s="2" t="str" cm="1">
        <f t="array" ref="B1">INDEX(dms_Worksheet_List,MATCH(dms_MODEL,dms_Model_List))</f>
        <v>REGULATORY REPORTING STATEMENT</v>
      </c>
      <c r="C1" s="2"/>
      <c r="D1" s="2"/>
      <c r="E1" s="2"/>
      <c r="F1" s="2"/>
      <c r="G1" s="2"/>
      <c r="H1" s="3"/>
      <c r="I1" s="3"/>
      <c r="J1" s="3"/>
      <c r="K1" s="3"/>
      <c r="L1" s="3"/>
      <c r="M1" s="3"/>
      <c r="N1" s="3"/>
      <c r="O1" s="3"/>
      <c r="P1" s="3"/>
      <c r="Q1" s="3"/>
      <c r="R1" s="3"/>
      <c r="S1" s="3"/>
      <c r="T1" s="3"/>
      <c r="U1" s="3"/>
      <c r="V1" s="3"/>
      <c r="W1" s="3"/>
      <c r="X1" s="3"/>
      <c r="Y1" s="3"/>
    </row>
    <row r="2" spans="1:35" ht="30.2" customHeight="1" x14ac:dyDescent="0.25">
      <c r="B2" s="5" t="str">
        <f>_xlfn.SINGLE(INDEX(dms_TradingNameFull_List,MATCH(_xlfn.SINGLE(dms_TradingName),dms_TradingName_List)))</f>
        <v>United Energy</v>
      </c>
      <c r="C2" s="6"/>
      <c r="D2" s="6"/>
      <c r="E2" s="6"/>
      <c r="F2" s="6"/>
      <c r="G2" s="6"/>
      <c r="H2" s="3"/>
      <c r="I2" s="3"/>
      <c r="J2" s="3"/>
      <c r="K2" s="3"/>
      <c r="L2" s="3"/>
      <c r="M2" s="3"/>
      <c r="N2" s="3"/>
      <c r="O2" s="3"/>
      <c r="P2" s="3"/>
      <c r="Q2" s="3"/>
      <c r="R2" s="3"/>
      <c r="S2" s="3"/>
      <c r="T2" s="3"/>
      <c r="U2" s="3"/>
      <c r="V2" s="3"/>
      <c r="W2" s="3"/>
      <c r="X2" s="3"/>
      <c r="Y2" s="3"/>
    </row>
    <row r="3" spans="1:35" ht="30.2" customHeight="1" x14ac:dyDescent="0.25">
      <c r="B3" s="7" t="str">
        <f>'Business &amp; other details'!V3</f>
        <v>REGULATORY PERIOD FROM 2026-27 TO 2030-31</v>
      </c>
      <c r="C3" s="2"/>
      <c r="D3" s="2"/>
      <c r="E3" s="2"/>
      <c r="F3" s="2"/>
      <c r="G3" s="2"/>
      <c r="H3" s="3"/>
      <c r="I3" s="3"/>
      <c r="J3" s="3"/>
      <c r="K3" s="3"/>
      <c r="L3" s="3"/>
      <c r="M3" s="3"/>
      <c r="N3" s="3"/>
      <c r="O3" s="3"/>
      <c r="P3" s="3"/>
      <c r="Q3" s="3"/>
      <c r="R3" s="3"/>
      <c r="S3" s="3"/>
      <c r="T3" s="3"/>
      <c r="U3" s="3"/>
      <c r="V3" s="3"/>
      <c r="W3" s="3"/>
      <c r="X3" s="3"/>
      <c r="Y3" s="3"/>
    </row>
    <row r="4" spans="1:35" ht="30.2" customHeight="1" x14ac:dyDescent="0.25">
      <c r="B4" s="8" t="s">
        <v>0</v>
      </c>
      <c r="C4" s="8"/>
      <c r="D4" s="8"/>
      <c r="E4" s="8"/>
      <c r="F4" s="8"/>
      <c r="G4" s="8"/>
      <c r="H4" s="8"/>
      <c r="I4" s="8"/>
      <c r="J4" s="8"/>
      <c r="K4" s="8"/>
      <c r="L4" s="8"/>
      <c r="M4" s="8"/>
      <c r="N4" s="8"/>
      <c r="O4" s="8"/>
      <c r="P4" s="8"/>
      <c r="Q4" s="8"/>
      <c r="R4" s="8"/>
      <c r="S4" s="8"/>
      <c r="T4" s="8"/>
      <c r="U4" s="8"/>
      <c r="V4" s="8"/>
      <c r="W4" s="8"/>
      <c r="X4" s="8"/>
      <c r="Y4" s="8"/>
    </row>
    <row r="5" spans="1:35" ht="15" x14ac:dyDescent="0.25"/>
    <row r="6" spans="1:35" ht="25.5" customHeight="1" x14ac:dyDescent="0.25">
      <c r="B6" s="9" t="s">
        <v>1</v>
      </c>
      <c r="C6" s="9"/>
      <c r="D6" s="9"/>
      <c r="E6" s="9"/>
      <c r="F6" s="9"/>
      <c r="G6" s="9"/>
      <c r="H6" s="9"/>
      <c r="I6" s="9"/>
      <c r="J6" s="9"/>
      <c r="K6" s="9"/>
      <c r="L6" s="9"/>
      <c r="M6" s="9"/>
      <c r="N6" s="9"/>
      <c r="O6" s="9"/>
      <c r="P6" s="9"/>
      <c r="Q6" s="9"/>
      <c r="R6" s="9"/>
      <c r="S6" s="9"/>
      <c r="T6" s="9"/>
      <c r="U6" s="9"/>
      <c r="V6" s="9"/>
      <c r="W6" s="9"/>
      <c r="X6" s="9"/>
      <c r="Y6" s="9"/>
    </row>
    <row r="7" spans="1:35" ht="21.75" customHeight="1" x14ac:dyDescent="0.25">
      <c r="A7" s="10"/>
      <c r="B7" s="11" t="str">
        <f>CONCATENATE(_xlfn.SINGLE(dms_TradingName), " is required to populate all input cells (yellow) in this worksheet.")</f>
        <v>United Energy is required to populate all input cells (yellow) in this worksheet.</v>
      </c>
      <c r="C7" s="12"/>
      <c r="D7" s="12"/>
      <c r="E7" s="12"/>
      <c r="F7" s="12"/>
      <c r="G7" s="12"/>
      <c r="H7" s="12"/>
      <c r="I7" s="12"/>
      <c r="J7" s="12"/>
      <c r="K7" s="12"/>
      <c r="L7" s="12"/>
      <c r="M7" s="12"/>
      <c r="N7" s="13"/>
      <c r="O7"/>
      <c r="P7"/>
      <c r="Q7"/>
      <c r="R7"/>
      <c r="S7" s="9"/>
      <c r="T7" s="9"/>
      <c r="U7" s="9"/>
      <c r="V7" s="9"/>
      <c r="W7" s="9"/>
      <c r="X7" s="9"/>
      <c r="Y7" s="9"/>
      <c r="Z7" s="9"/>
      <c r="AA7" s="9"/>
      <c r="AB7" s="9"/>
      <c r="AC7" s="4"/>
      <c r="AD7" s="4"/>
      <c r="AE7" s="4"/>
    </row>
    <row r="8" spans="1:35" ht="45.6" customHeight="1" x14ac:dyDescent="0.25">
      <c r="A8" s="10"/>
      <c r="B8" s="842" t="s">
        <v>703</v>
      </c>
      <c r="C8" s="843"/>
      <c r="D8" s="843"/>
      <c r="E8" s="843"/>
      <c r="F8" s="843"/>
      <c r="G8" s="843"/>
      <c r="H8" s="843"/>
      <c r="I8" s="843"/>
      <c r="J8" s="843"/>
      <c r="K8" s="843"/>
      <c r="L8" s="843"/>
      <c r="M8" s="843"/>
      <c r="N8" s="844"/>
      <c r="O8"/>
      <c r="P8"/>
      <c r="Q8"/>
      <c r="R8"/>
      <c r="S8"/>
      <c r="T8" s="14"/>
      <c r="U8"/>
      <c r="V8"/>
      <c r="W8"/>
      <c r="X8"/>
      <c r="Y8"/>
      <c r="AC8" s="4"/>
      <c r="AD8" s="4"/>
      <c r="AE8" s="4"/>
    </row>
    <row r="9" spans="1:35" ht="15" x14ac:dyDescent="0.25">
      <c r="B9" s="15"/>
      <c r="C9" s="15"/>
      <c r="D9" s="15"/>
      <c r="E9" s="15"/>
      <c r="F9" s="15"/>
      <c r="G9" s="15"/>
      <c r="H9" s="15"/>
      <c r="I9" s="15"/>
      <c r="J9" s="15"/>
      <c r="K9" s="15"/>
      <c r="L9" s="15"/>
      <c r="M9" s="15"/>
      <c r="N9" s="15"/>
      <c r="O9" s="15"/>
      <c r="P9" s="15"/>
      <c r="Q9" s="15"/>
      <c r="R9" s="15"/>
      <c r="S9" s="15"/>
      <c r="T9" s="15"/>
      <c r="U9" s="15"/>
      <c r="V9" s="15"/>
      <c r="W9" s="15"/>
      <c r="X9" s="15"/>
      <c r="Y9" s="15"/>
    </row>
    <row r="10" spans="1:35" ht="15" x14ac:dyDescent="0.25">
      <c r="B10" s="15"/>
      <c r="C10" s="15"/>
      <c r="D10" s="15"/>
      <c r="E10" s="15"/>
      <c r="F10" s="15"/>
      <c r="G10" s="15"/>
      <c r="H10" s="15"/>
      <c r="I10" s="15"/>
      <c r="J10" s="15"/>
      <c r="K10" s="15"/>
      <c r="L10" s="15"/>
      <c r="M10" s="15"/>
      <c r="N10" s="15"/>
      <c r="O10" s="15"/>
      <c r="P10" s="15"/>
      <c r="Q10" s="15"/>
      <c r="R10" s="15"/>
      <c r="S10" s="15"/>
      <c r="T10" s="15"/>
      <c r="U10" s="15"/>
      <c r="V10" s="15"/>
      <c r="W10" s="15"/>
      <c r="X10" s="15"/>
      <c r="Y10" s="15"/>
    </row>
    <row r="11" spans="1:35" customFormat="1" ht="15.75" thickBot="1" x14ac:dyDescent="0.3">
      <c r="A11" s="1"/>
    </row>
    <row r="12" spans="1:35" customFormat="1" ht="16.5" thickBot="1" x14ac:dyDescent="0.3">
      <c r="A12" s="1"/>
      <c r="B12" s="16" t="s">
        <v>2</v>
      </c>
      <c r="C12" s="16"/>
      <c r="D12" s="17"/>
      <c r="E12" s="17"/>
      <c r="F12" s="17"/>
      <c r="G12" s="17"/>
      <c r="H12" s="17"/>
      <c r="I12" s="17"/>
      <c r="J12" s="17"/>
      <c r="K12" s="17"/>
      <c r="L12" s="17"/>
      <c r="M12" s="17"/>
      <c r="N12" s="18"/>
      <c r="O12" s="4"/>
    </row>
    <row r="13" spans="1:35" s="20" customFormat="1" ht="15.75" x14ac:dyDescent="0.25">
      <c r="A13" s="1"/>
      <c r="B13" s="19"/>
      <c r="C13" s="311" t="s">
        <v>3</v>
      </c>
      <c r="D13" s="312"/>
      <c r="E13" s="312"/>
      <c r="F13" s="312"/>
      <c r="G13" s="312"/>
      <c r="H13" s="312"/>
      <c r="I13" s="312"/>
      <c r="J13" s="312"/>
      <c r="K13" s="312"/>
      <c r="L13" s="312"/>
      <c r="M13" s="312" t="s">
        <v>4</v>
      </c>
      <c r="N13" s="313"/>
      <c r="P13"/>
      <c r="Q13"/>
      <c r="R13"/>
      <c r="S13"/>
      <c r="T13"/>
      <c r="U13"/>
      <c r="V13"/>
      <c r="W13"/>
      <c r="X13"/>
      <c r="Y13"/>
      <c r="Z13"/>
      <c r="AA13"/>
      <c r="AB13"/>
      <c r="AC13"/>
      <c r="AD13"/>
      <c r="AE13"/>
    </row>
    <row r="14" spans="1:35" ht="16.5" thickBot="1" x14ac:dyDescent="0.3">
      <c r="B14" s="19"/>
      <c r="C14" s="307">
        <v>2015</v>
      </c>
      <c r="D14" s="308">
        <v>2016</v>
      </c>
      <c r="E14" s="309">
        <v>2017</v>
      </c>
      <c r="F14" s="309">
        <v>2018</v>
      </c>
      <c r="G14" s="309">
        <v>2019</v>
      </c>
      <c r="H14" s="309">
        <v>2020</v>
      </c>
      <c r="I14" s="309" t="s">
        <v>26</v>
      </c>
      <c r="J14" s="309" t="s">
        <v>293</v>
      </c>
      <c r="K14" s="309" t="s">
        <v>295</v>
      </c>
      <c r="L14" s="309" t="s">
        <v>33</v>
      </c>
      <c r="M14" s="309" t="s">
        <v>298</v>
      </c>
      <c r="N14" s="310" t="s">
        <v>300</v>
      </c>
      <c r="P14"/>
      <c r="Q14"/>
      <c r="R14"/>
      <c r="S14"/>
      <c r="T14"/>
      <c r="U14"/>
      <c r="V14"/>
      <c r="W14"/>
      <c r="X14"/>
      <c r="Y14"/>
      <c r="AH14"/>
    </row>
    <row r="15" spans="1:35" ht="15" x14ac:dyDescent="0.25">
      <c r="B15" s="21" t="s">
        <v>27</v>
      </c>
      <c r="C15" s="299">
        <v>108.4</v>
      </c>
      <c r="D15" s="300">
        <v>110</v>
      </c>
      <c r="E15" s="300">
        <v>112.1</v>
      </c>
      <c r="F15" s="300">
        <v>114.1</v>
      </c>
      <c r="G15" s="300">
        <v>116.2</v>
      </c>
      <c r="H15" s="300">
        <v>117.2</v>
      </c>
      <c r="I15" s="300">
        <v>118.8</v>
      </c>
      <c r="J15" s="300">
        <v>126.1</v>
      </c>
      <c r="K15" s="300">
        <v>133.69999999999999</v>
      </c>
      <c r="L15" s="691">
        <v>138.80000000000001</v>
      </c>
      <c r="M15" s="691">
        <v>141.69999999999999</v>
      </c>
      <c r="N15" s="692">
        <v>146.09269999999998</v>
      </c>
      <c r="P15"/>
      <c r="Q15"/>
      <c r="R15"/>
      <c r="S15"/>
      <c r="T15"/>
      <c r="U15"/>
      <c r="V15"/>
      <c r="W15"/>
      <c r="X15"/>
      <c r="Y15"/>
      <c r="AH15"/>
      <c r="AI15"/>
    </row>
    <row r="16" spans="1:35" ht="15" x14ac:dyDescent="0.25">
      <c r="B16" s="22" t="s">
        <v>5</v>
      </c>
      <c r="C16" s="23">
        <v>0</v>
      </c>
      <c r="D16" s="301">
        <v>1.4760147601476037E-2</v>
      </c>
      <c r="E16" s="301">
        <v>1.9090909090909047E-2</v>
      </c>
      <c r="F16" s="301">
        <v>1.7841213202497874E-2</v>
      </c>
      <c r="G16" s="301">
        <v>1.8404907975460238E-2</v>
      </c>
      <c r="H16" s="301">
        <v>8.6058519793459354E-3</v>
      </c>
      <c r="I16" s="301">
        <v>1.3651877133105783E-2</v>
      </c>
      <c r="J16" s="301">
        <v>6.1447811447811418E-2</v>
      </c>
      <c r="K16" s="301">
        <v>6.0269627279936566E-2</v>
      </c>
      <c r="L16" s="301">
        <v>3.8145100972326373E-2</v>
      </c>
      <c r="M16" s="301">
        <v>2.0893371757924939E-2</v>
      </c>
      <c r="N16" s="302">
        <v>3.0999999999999917E-2</v>
      </c>
      <c r="P16"/>
      <c r="Q16"/>
      <c r="R16"/>
      <c r="S16"/>
      <c r="T16"/>
      <c r="U16"/>
      <c r="V16"/>
      <c r="W16"/>
      <c r="X16"/>
      <c r="Y16"/>
    </row>
    <row r="17" spans="1:287" ht="15.75" thickBot="1" x14ac:dyDescent="0.3">
      <c r="B17" s="24" t="s">
        <v>697</v>
      </c>
      <c r="C17" s="303">
        <v>0.74199463765129947</v>
      </c>
      <c r="D17" s="304">
        <v>0.75294658802253633</v>
      </c>
      <c r="E17" s="305">
        <v>0.76732102288478476</v>
      </c>
      <c r="F17" s="305">
        <v>0.78101096084883093</v>
      </c>
      <c r="G17" s="305">
        <v>0.79538539571107947</v>
      </c>
      <c r="H17" s="305">
        <v>0.80223036469310249</v>
      </c>
      <c r="I17" s="305">
        <v>0.81318231506433936</v>
      </c>
      <c r="J17" s="305">
        <v>0.86315058863310767</v>
      </c>
      <c r="K17" s="305">
        <v>0.91517235289648291</v>
      </c>
      <c r="L17" s="305">
        <v>0.95008169470480075</v>
      </c>
      <c r="M17" s="305">
        <v>0.96993210475266745</v>
      </c>
      <c r="N17" s="306">
        <v>1</v>
      </c>
      <c r="P17"/>
      <c r="Q17"/>
      <c r="R17"/>
      <c r="S17"/>
      <c r="T17"/>
      <c r="U17"/>
      <c r="V17"/>
      <c r="W17"/>
      <c r="X17"/>
      <c r="Y17"/>
    </row>
    <row r="18" spans="1:287" ht="15" x14ac:dyDescent="0.25">
      <c r="B18" s="25"/>
      <c r="C18" s="26"/>
      <c r="D18" s="26"/>
      <c r="E18" s="26"/>
      <c r="F18" s="27"/>
      <c r="G18" s="27"/>
      <c r="H18" s="27"/>
      <c r="I18" s="27"/>
      <c r="J18" s="27"/>
      <c r="K18" s="28"/>
      <c r="L18" s="29"/>
      <c r="M18" s="28"/>
      <c r="N18" s="30"/>
      <c r="O18" s="29"/>
      <c r="P18" s="28"/>
      <c r="Q18" s="28"/>
      <c r="R18" s="28"/>
      <c r="S18" s="28"/>
      <c r="T18" s="29"/>
      <c r="U18" s="29"/>
      <c r="V18" s="29"/>
      <c r="W18" s="29"/>
      <c r="X18" s="29"/>
    </row>
    <row r="19" spans="1:287" ht="15" x14ac:dyDescent="0.25">
      <c r="B19" s="25"/>
      <c r="C19" s="26"/>
      <c r="D19" s="26"/>
      <c r="E19" s="26"/>
      <c r="F19" s="26"/>
      <c r="G19" s="26"/>
      <c r="H19" s="26"/>
      <c r="I19" s="26"/>
      <c r="J19" s="26"/>
      <c r="K19" s="28"/>
      <c r="L19"/>
      <c r="M19"/>
      <c r="N19"/>
      <c r="O19"/>
      <c r="P19"/>
      <c r="Q19"/>
      <c r="R19"/>
      <c r="S19" s="28"/>
      <c r="T19" s="29"/>
      <c r="U19" s="29"/>
      <c r="V19" s="29"/>
      <c r="W19" s="29"/>
      <c r="X19" s="29"/>
    </row>
    <row r="20" spans="1:287" ht="15" x14ac:dyDescent="0.25">
      <c r="B20" s="25"/>
      <c r="C20" s="26"/>
      <c r="D20" s="26"/>
      <c r="E20" s="26"/>
      <c r="F20" s="26"/>
      <c r="G20" s="26"/>
      <c r="H20" s="26"/>
      <c r="I20" s="26"/>
      <c r="J20" s="26"/>
      <c r="K20" s="28"/>
      <c r="L20" s="29"/>
      <c r="M20" s="28"/>
      <c r="N20" s="30"/>
      <c r="O20" s="29"/>
      <c r="P20" s="28"/>
      <c r="Q20" s="28"/>
      <c r="R20" s="28"/>
      <c r="S20" s="28"/>
      <c r="T20" s="29"/>
      <c r="U20" s="29"/>
      <c r="V20" s="29"/>
      <c r="W20" s="29"/>
      <c r="X20" s="29"/>
    </row>
    <row r="21" spans="1:287" s="33" customFormat="1" ht="18.75" x14ac:dyDescent="0.3">
      <c r="A21" s="1"/>
      <c r="B21" s="31" t="s">
        <v>6</v>
      </c>
      <c r="C21" s="32"/>
      <c r="D21" s="32"/>
      <c r="E21" s="32"/>
      <c r="F21" s="32"/>
      <c r="G21" s="32"/>
      <c r="H21" s="32"/>
      <c r="I21" s="32"/>
      <c r="J21" s="32"/>
      <c r="K21" s="32"/>
      <c r="L21" s="32"/>
      <c r="M21" s="32"/>
      <c r="N21" s="32"/>
      <c r="O21" s="32"/>
      <c r="P21" s="32"/>
      <c r="Q21" s="32"/>
      <c r="R21" s="32"/>
      <c r="S21" s="32"/>
      <c r="T21" s="32"/>
      <c r="U21" s="32"/>
      <c r="V21" s="32"/>
      <c r="W21" s="32"/>
      <c r="X21" s="32"/>
      <c r="Y21" s="32"/>
      <c r="Z21"/>
      <c r="AA21"/>
      <c r="AB21"/>
      <c r="AC21"/>
      <c r="AD21"/>
      <c r="AE21"/>
    </row>
    <row r="22" spans="1:287" customFormat="1" ht="15.75" thickBot="1" x14ac:dyDescent="0.3">
      <c r="A22" s="1"/>
    </row>
    <row r="23" spans="1:287" customFormat="1" ht="15.75" thickBot="1" x14ac:dyDescent="0.3">
      <c r="A23" s="1"/>
      <c r="B23" s="690" t="s">
        <v>7</v>
      </c>
      <c r="C23" s="34">
        <v>2019</v>
      </c>
      <c r="F23" s="30"/>
      <c r="G23" s="30"/>
      <c r="H23" s="30"/>
      <c r="I23" s="30"/>
      <c r="J23" s="30"/>
      <c r="K23" s="30"/>
      <c r="L23" s="30"/>
      <c r="M23" s="30"/>
      <c r="N23" s="30"/>
      <c r="O23" s="30"/>
      <c r="P23" s="30"/>
      <c r="Q23" s="30"/>
      <c r="R23" s="30"/>
      <c r="S23" s="30"/>
      <c r="T23" s="30"/>
      <c r="U23" s="30"/>
      <c r="V23" s="30"/>
      <c r="W23" s="30"/>
      <c r="X23" s="30"/>
      <c r="Y23" s="30"/>
      <c r="Z23" s="30"/>
      <c r="AA23" s="30"/>
      <c r="AB23" s="30"/>
      <c r="AC23" s="30"/>
      <c r="AD23" s="30"/>
      <c r="AE23" s="30"/>
      <c r="AF23" s="30"/>
      <c r="AG23" s="30"/>
      <c r="AH23" s="30"/>
      <c r="AI23" s="30"/>
      <c r="AJ23" s="30"/>
      <c r="AK23" s="30"/>
      <c r="AL23" s="30"/>
      <c r="AM23" s="30"/>
      <c r="AN23" s="30"/>
      <c r="AO23" s="30"/>
      <c r="AP23" s="30"/>
      <c r="AQ23" s="30"/>
      <c r="AR23" s="30"/>
      <c r="AS23" s="30"/>
      <c r="AT23" s="30"/>
      <c r="AU23" s="30"/>
      <c r="AV23" s="30"/>
      <c r="AW23" s="30"/>
      <c r="AX23" s="30"/>
      <c r="AY23" s="30"/>
      <c r="AZ23" s="30"/>
      <c r="BA23" s="30"/>
      <c r="BB23" s="30"/>
      <c r="BC23" s="30"/>
      <c r="BD23" s="30"/>
      <c r="BE23" s="30"/>
      <c r="BF23" s="30"/>
      <c r="BG23" s="30"/>
      <c r="BH23" s="30"/>
      <c r="BI23" s="30"/>
      <c r="BJ23" s="30"/>
      <c r="BK23" s="30"/>
      <c r="BL23" s="30"/>
      <c r="BM23" s="30"/>
      <c r="BN23" s="30"/>
      <c r="BO23" s="30"/>
      <c r="BP23" s="30"/>
      <c r="BQ23" s="30"/>
      <c r="BR23" s="30"/>
      <c r="BS23" s="30"/>
      <c r="BT23" s="30"/>
      <c r="BU23" s="30"/>
      <c r="BV23" s="30"/>
      <c r="BW23" s="30"/>
      <c r="BX23" s="30"/>
      <c r="BY23" s="30"/>
      <c r="BZ23" s="30"/>
      <c r="CA23" s="30"/>
      <c r="CB23" s="30"/>
      <c r="CC23" s="30"/>
      <c r="CD23" s="30"/>
      <c r="CE23" s="30"/>
      <c r="CF23" s="30"/>
      <c r="CG23" s="30"/>
      <c r="CH23" s="30"/>
      <c r="CI23" s="30"/>
      <c r="CJ23" s="30"/>
      <c r="CK23" s="30"/>
      <c r="CL23" s="30"/>
      <c r="CM23" s="30"/>
      <c r="CN23" s="30"/>
      <c r="CO23" s="30"/>
      <c r="CP23" s="30"/>
      <c r="CQ23" s="30"/>
      <c r="CR23" s="30"/>
      <c r="CS23" s="30"/>
      <c r="CT23" s="30"/>
      <c r="CU23" s="30"/>
      <c r="CV23" s="30"/>
      <c r="CW23" s="30"/>
      <c r="CX23" s="30"/>
      <c r="CY23" s="30"/>
      <c r="CZ23" s="30"/>
      <c r="DA23" s="30"/>
      <c r="DB23" s="30"/>
      <c r="DC23" s="30"/>
      <c r="DD23" s="30"/>
      <c r="DE23" s="30"/>
      <c r="DF23" s="30"/>
      <c r="DG23" s="30"/>
      <c r="DH23" s="30"/>
      <c r="DI23" s="30"/>
      <c r="DJ23" s="30"/>
      <c r="DK23" s="30"/>
      <c r="DL23" s="30"/>
      <c r="DM23" s="30"/>
      <c r="DN23" s="30"/>
      <c r="DO23" s="30"/>
      <c r="DP23" s="30"/>
      <c r="DQ23" s="30"/>
      <c r="DR23" s="30"/>
      <c r="DS23" s="30"/>
      <c r="DT23" s="30"/>
      <c r="DU23" s="30"/>
      <c r="DV23" s="30"/>
      <c r="DW23" s="30"/>
      <c r="DX23" s="30"/>
      <c r="DY23" s="30"/>
      <c r="DZ23" s="30"/>
      <c r="EA23" s="30"/>
      <c r="EB23" s="30"/>
      <c r="EC23" s="30"/>
      <c r="ED23" s="30"/>
      <c r="EE23" s="30"/>
      <c r="EF23" s="30"/>
      <c r="EG23" s="30"/>
      <c r="EH23" s="30"/>
      <c r="EI23" s="30"/>
      <c r="EJ23" s="30"/>
      <c r="EK23" s="30"/>
      <c r="EL23" s="30"/>
      <c r="EM23" s="30"/>
      <c r="EN23" s="30"/>
      <c r="EO23" s="30"/>
      <c r="EP23" s="30"/>
      <c r="EQ23" s="30"/>
      <c r="ER23" s="30"/>
      <c r="ES23" s="30"/>
      <c r="ET23" s="30"/>
      <c r="EU23" s="30"/>
      <c r="EV23" s="30"/>
      <c r="EW23" s="30"/>
      <c r="EX23" s="30"/>
      <c r="EY23" s="30"/>
      <c r="EZ23" s="30"/>
      <c r="FA23" s="30"/>
      <c r="FB23" s="30"/>
      <c r="FC23" s="30"/>
      <c r="FD23" s="30"/>
      <c r="FE23" s="30"/>
      <c r="FF23" s="30"/>
      <c r="FG23" s="30"/>
      <c r="FH23" s="30"/>
      <c r="FI23" s="30"/>
      <c r="FJ23" s="30"/>
      <c r="FK23" s="30"/>
      <c r="FL23" s="30"/>
      <c r="FM23" s="30"/>
      <c r="FN23" s="30"/>
      <c r="FO23" s="30"/>
      <c r="FP23" s="30"/>
      <c r="FQ23" s="30"/>
      <c r="FR23" s="30"/>
      <c r="FS23" s="30"/>
      <c r="FT23" s="30"/>
      <c r="FU23" s="30"/>
      <c r="FV23" s="30"/>
      <c r="FW23" s="30"/>
      <c r="FX23" s="30"/>
      <c r="FY23" s="30"/>
      <c r="FZ23" s="30"/>
      <c r="GA23" s="30"/>
      <c r="GB23" s="30"/>
      <c r="GC23" s="30"/>
      <c r="GD23" s="30"/>
      <c r="GE23" s="30"/>
      <c r="GF23" s="30"/>
      <c r="GG23" s="30"/>
      <c r="GH23" s="30"/>
      <c r="GI23" s="30"/>
      <c r="GJ23" s="30"/>
      <c r="GK23" s="30"/>
      <c r="GL23" s="30"/>
      <c r="GM23" s="30"/>
      <c r="GN23" s="30"/>
      <c r="GO23" s="30"/>
      <c r="GP23" s="30"/>
      <c r="GQ23" s="30"/>
      <c r="GR23" s="30"/>
      <c r="GS23" s="30"/>
      <c r="GT23" s="30"/>
      <c r="GU23" s="30"/>
      <c r="GV23" s="30"/>
      <c r="GW23" s="30"/>
      <c r="GX23" s="30"/>
      <c r="GY23" s="30"/>
      <c r="GZ23" s="30"/>
      <c r="HA23" s="30"/>
      <c r="HB23" s="30"/>
      <c r="HC23" s="30"/>
      <c r="HD23" s="30"/>
      <c r="HE23" s="30"/>
      <c r="HF23" s="30"/>
      <c r="HG23" s="30"/>
      <c r="HH23" s="30"/>
      <c r="HI23" s="30"/>
      <c r="HJ23" s="30"/>
      <c r="HK23" s="30"/>
      <c r="HL23" s="30"/>
      <c r="HM23" s="30"/>
      <c r="HN23" s="30"/>
      <c r="HO23" s="30"/>
      <c r="HP23" s="30"/>
      <c r="HQ23" s="30"/>
      <c r="HR23" s="30"/>
      <c r="HS23" s="30"/>
      <c r="HT23" s="30"/>
      <c r="HU23" s="30"/>
      <c r="HV23" s="30"/>
      <c r="HW23" s="30"/>
      <c r="HX23" s="30"/>
      <c r="HY23" s="30"/>
      <c r="HZ23" s="30"/>
      <c r="IA23" s="30"/>
      <c r="IB23" s="30"/>
      <c r="IC23" s="30"/>
      <c r="ID23" s="30"/>
      <c r="IE23" s="30"/>
      <c r="IF23" s="30"/>
      <c r="IG23" s="30"/>
      <c r="IH23" s="30"/>
      <c r="II23" s="30"/>
      <c r="IJ23" s="30"/>
      <c r="IK23" s="30"/>
      <c r="IL23" s="30"/>
      <c r="IM23" s="30"/>
      <c r="IN23" s="30"/>
      <c r="IO23" s="30"/>
      <c r="IP23" s="30"/>
      <c r="IQ23" s="30"/>
      <c r="IR23" s="30"/>
      <c r="IS23" s="30"/>
      <c r="IT23" s="30"/>
      <c r="IU23" s="30"/>
      <c r="IV23" s="30"/>
      <c r="IW23" s="30"/>
      <c r="IX23" s="30"/>
      <c r="IY23" s="30"/>
      <c r="IZ23" s="30"/>
      <c r="JA23" s="30"/>
      <c r="JB23" s="30"/>
      <c r="JC23" s="30"/>
      <c r="JD23" s="30"/>
      <c r="JE23" s="30"/>
      <c r="JF23" s="30"/>
      <c r="JG23" s="30"/>
      <c r="JH23" s="30"/>
      <c r="JI23" s="30"/>
      <c r="JJ23" s="30"/>
      <c r="JK23" s="30"/>
      <c r="JL23" s="30"/>
      <c r="JM23" s="30"/>
      <c r="JN23" s="30"/>
      <c r="JO23" s="30"/>
      <c r="JP23" s="30"/>
      <c r="JQ23" s="30"/>
      <c r="JR23" s="30"/>
      <c r="JS23" s="30"/>
      <c r="JT23" s="30"/>
      <c r="JU23" s="30"/>
      <c r="JV23" s="30"/>
      <c r="JW23" s="30"/>
      <c r="JX23" s="30"/>
      <c r="JY23" s="30"/>
      <c r="JZ23" s="30"/>
      <c r="KA23" s="30"/>
    </row>
    <row r="24" spans="1:287" customFormat="1" ht="15.75" thickBot="1" x14ac:dyDescent="0.3">
      <c r="A24" s="1"/>
      <c r="B24" s="690" t="str">
        <f>"Non-recurrent efficiency adjustment made to "&amp;dms_PRCP_BaseYear&amp;" opex, "&amp;"$m, real June 2021"</f>
        <v>Non-recurrent efficiency adjustment made to 2019 opex, $m, real June 2021</v>
      </c>
      <c r="C24" s="35"/>
      <c r="F24" s="30"/>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c r="AK24" s="30"/>
      <c r="AL24" s="30"/>
      <c r="AM24" s="30"/>
      <c r="AN24" s="30"/>
      <c r="AO24" s="30"/>
      <c r="AP24" s="30"/>
      <c r="AQ24" s="30"/>
      <c r="AR24" s="30"/>
      <c r="AS24" s="30"/>
      <c r="AT24" s="30"/>
      <c r="AU24" s="30"/>
      <c r="AV24" s="30"/>
      <c r="AW24" s="30"/>
      <c r="AX24" s="30"/>
      <c r="AY24" s="30"/>
      <c r="AZ24" s="30"/>
      <c r="BA24" s="30"/>
      <c r="BB24" s="30"/>
      <c r="BC24" s="30"/>
      <c r="BD24" s="30"/>
      <c r="BE24" s="30"/>
      <c r="BF24" s="30"/>
      <c r="BG24" s="30"/>
      <c r="BH24" s="30"/>
      <c r="BI24" s="30"/>
      <c r="BJ24" s="30"/>
      <c r="BK24" s="30"/>
      <c r="BL24" s="30"/>
      <c r="BM24" s="30"/>
      <c r="BN24" s="30"/>
      <c r="BO24" s="30"/>
      <c r="BP24" s="30"/>
      <c r="BQ24" s="30"/>
      <c r="BR24" s="30"/>
      <c r="BS24" s="30"/>
      <c r="BT24" s="30"/>
      <c r="BU24" s="30"/>
      <c r="BV24" s="30"/>
      <c r="BW24" s="30"/>
      <c r="BX24" s="30"/>
      <c r="BY24" s="30"/>
      <c r="BZ24" s="30"/>
      <c r="CA24" s="30"/>
      <c r="CB24" s="30"/>
      <c r="CC24" s="30"/>
      <c r="CD24" s="30"/>
      <c r="CE24" s="30"/>
      <c r="CF24" s="30"/>
      <c r="CG24" s="30"/>
      <c r="CH24" s="30"/>
      <c r="CI24" s="30"/>
      <c r="CJ24" s="30"/>
      <c r="CK24" s="30"/>
      <c r="CL24" s="30"/>
      <c r="CM24" s="30"/>
      <c r="CN24" s="30"/>
      <c r="CO24" s="30"/>
      <c r="CP24" s="30"/>
      <c r="CQ24" s="30"/>
      <c r="CR24" s="30"/>
      <c r="CS24" s="30"/>
      <c r="CT24" s="30"/>
      <c r="CU24" s="30"/>
      <c r="CV24" s="30"/>
      <c r="CW24" s="30"/>
      <c r="CX24" s="30"/>
      <c r="CY24" s="30"/>
      <c r="CZ24" s="30"/>
      <c r="DA24" s="30"/>
      <c r="DB24" s="30"/>
      <c r="DC24" s="30"/>
      <c r="DD24" s="30"/>
      <c r="DE24" s="30"/>
      <c r="DF24" s="30"/>
      <c r="DG24" s="30"/>
      <c r="DH24" s="30"/>
      <c r="DI24" s="30"/>
      <c r="DJ24" s="30"/>
      <c r="DK24" s="30"/>
      <c r="DL24" s="30"/>
      <c r="DM24" s="30"/>
      <c r="DN24" s="30"/>
      <c r="DO24" s="30"/>
      <c r="DP24" s="30"/>
      <c r="DQ24" s="30"/>
      <c r="DR24" s="30"/>
      <c r="DS24" s="30"/>
      <c r="DT24" s="30"/>
      <c r="DU24" s="30"/>
      <c r="DV24" s="30"/>
      <c r="DW24" s="30"/>
      <c r="DX24" s="30"/>
      <c r="DY24" s="30"/>
      <c r="DZ24" s="30"/>
      <c r="EA24" s="30"/>
      <c r="EB24" s="30"/>
      <c r="EC24" s="30"/>
      <c r="ED24" s="30"/>
      <c r="EE24" s="30"/>
      <c r="EF24" s="30"/>
      <c r="EG24" s="30"/>
      <c r="EH24" s="30"/>
      <c r="EI24" s="30"/>
      <c r="EJ24" s="30"/>
      <c r="EK24" s="30"/>
      <c r="EL24" s="30"/>
      <c r="EM24" s="30"/>
      <c r="EN24" s="30"/>
      <c r="EO24" s="30"/>
      <c r="EP24" s="30"/>
      <c r="EQ24" s="30"/>
      <c r="ER24" s="30"/>
      <c r="ES24" s="30"/>
      <c r="ET24" s="30"/>
      <c r="EU24" s="30"/>
      <c r="EV24" s="30"/>
      <c r="EW24" s="30"/>
      <c r="EX24" s="30"/>
      <c r="EY24" s="30"/>
      <c r="EZ24" s="30"/>
      <c r="FA24" s="30"/>
      <c r="FB24" s="30"/>
      <c r="FC24" s="30"/>
      <c r="FD24" s="30"/>
      <c r="FE24" s="30"/>
      <c r="FF24" s="30"/>
      <c r="FG24" s="30"/>
      <c r="FH24" s="30"/>
      <c r="FI24" s="30"/>
      <c r="FJ24" s="30"/>
      <c r="FK24" s="30"/>
      <c r="FL24" s="30"/>
      <c r="FM24" s="30"/>
      <c r="FN24" s="30"/>
      <c r="FO24" s="30"/>
      <c r="FP24" s="30"/>
      <c r="FQ24" s="30"/>
      <c r="FR24" s="30"/>
      <c r="FS24" s="30"/>
      <c r="FT24" s="30"/>
      <c r="FU24" s="30"/>
      <c r="FV24" s="30"/>
      <c r="FW24" s="30"/>
      <c r="FX24" s="30"/>
      <c r="FY24" s="30"/>
      <c r="FZ24" s="30"/>
      <c r="GA24" s="30"/>
      <c r="GB24" s="30"/>
      <c r="GC24" s="30"/>
      <c r="GD24" s="30"/>
      <c r="GE24" s="30"/>
      <c r="GF24" s="30"/>
      <c r="GG24" s="30"/>
      <c r="GH24" s="30"/>
      <c r="GI24" s="30"/>
      <c r="GJ24" s="30"/>
      <c r="GK24" s="30"/>
      <c r="GL24" s="30"/>
      <c r="GM24" s="30"/>
      <c r="GN24" s="30"/>
      <c r="GO24" s="30"/>
      <c r="GP24" s="30"/>
      <c r="GQ24" s="30"/>
      <c r="GR24" s="30"/>
      <c r="GS24" s="30"/>
      <c r="GT24" s="30"/>
      <c r="GU24" s="30"/>
      <c r="GV24" s="30"/>
      <c r="GW24" s="30"/>
      <c r="GX24" s="30"/>
      <c r="GY24" s="30"/>
      <c r="GZ24" s="30"/>
      <c r="HA24" s="30"/>
      <c r="HB24" s="30"/>
      <c r="HC24" s="30"/>
      <c r="HD24" s="30"/>
      <c r="HE24" s="30"/>
      <c r="HF24" s="30"/>
      <c r="HG24" s="30"/>
      <c r="HH24" s="30"/>
      <c r="HI24" s="30"/>
      <c r="HJ24" s="30"/>
      <c r="HK24" s="30"/>
      <c r="HL24" s="30"/>
      <c r="HM24" s="30"/>
      <c r="HN24" s="30"/>
      <c r="HO24" s="30"/>
      <c r="HP24" s="30"/>
      <c r="HQ24" s="30"/>
      <c r="HR24" s="30"/>
      <c r="HS24" s="30"/>
      <c r="HT24" s="30"/>
      <c r="HU24" s="30"/>
      <c r="HV24" s="30"/>
      <c r="HW24" s="30"/>
      <c r="HX24" s="30"/>
      <c r="HY24" s="30"/>
      <c r="HZ24" s="30"/>
      <c r="IA24" s="30"/>
      <c r="IB24" s="30"/>
      <c r="IC24" s="30"/>
      <c r="ID24" s="30"/>
      <c r="IE24" s="30"/>
      <c r="IF24" s="30"/>
      <c r="IG24" s="30"/>
      <c r="IH24" s="30"/>
      <c r="II24" s="30"/>
      <c r="IJ24" s="30"/>
      <c r="IK24" s="30"/>
      <c r="IL24" s="30"/>
      <c r="IM24" s="30"/>
      <c r="IN24" s="30"/>
      <c r="IO24" s="30"/>
      <c r="IP24" s="30"/>
      <c r="IQ24" s="30"/>
      <c r="IR24" s="30"/>
      <c r="IS24" s="30"/>
      <c r="IT24" s="30"/>
      <c r="IU24" s="30"/>
      <c r="IV24" s="30"/>
      <c r="IW24" s="30"/>
      <c r="IX24" s="30"/>
      <c r="IY24" s="30"/>
      <c r="IZ24" s="30"/>
      <c r="JA24" s="30"/>
      <c r="JB24" s="30"/>
      <c r="JC24" s="30"/>
      <c r="JD24" s="30"/>
      <c r="JE24" s="30"/>
      <c r="JF24" s="30"/>
      <c r="JG24" s="30"/>
      <c r="JH24" s="30"/>
      <c r="JI24" s="30"/>
      <c r="JJ24" s="30"/>
      <c r="JK24" s="30"/>
      <c r="JL24" s="30"/>
      <c r="JM24" s="30"/>
      <c r="JN24" s="30"/>
      <c r="JO24" s="30"/>
      <c r="JP24" s="30"/>
      <c r="JQ24" s="30"/>
      <c r="JR24" s="30"/>
      <c r="JS24" s="30"/>
      <c r="JT24" s="30"/>
      <c r="JU24" s="30"/>
      <c r="JV24" s="30"/>
      <c r="JW24" s="30"/>
      <c r="JX24" s="30"/>
      <c r="JY24" s="30"/>
      <c r="JZ24" s="30"/>
      <c r="KA24" s="30"/>
    </row>
    <row r="25" spans="1:287" s="40" customFormat="1" ht="21" customHeight="1" thickBot="1" x14ac:dyDescent="0.3">
      <c r="A25" s="1"/>
      <c r="B25" s="36" t="s">
        <v>8</v>
      </c>
      <c r="C25" s="37"/>
      <c r="D25" s="37"/>
      <c r="E25" s="37"/>
      <c r="F25" s="37"/>
      <c r="G25" s="37"/>
      <c r="H25" s="37"/>
      <c r="I25" s="37"/>
      <c r="J25" s="37"/>
      <c r="K25" s="38"/>
      <c r="L25" s="38"/>
      <c r="M25" s="38"/>
      <c r="N25" s="38"/>
      <c r="O25" s="38"/>
      <c r="P25" s="38"/>
      <c r="Q25" s="38"/>
      <c r="R25" s="38"/>
      <c r="S25" s="39"/>
      <c r="T25"/>
      <c r="U25"/>
      <c r="V25"/>
      <c r="W25"/>
      <c r="X25"/>
      <c r="Z25"/>
      <c r="AA25"/>
      <c r="AB25"/>
      <c r="AC25"/>
      <c r="AD25"/>
      <c r="AE25"/>
    </row>
    <row r="26" spans="1:287" ht="30" customHeight="1" x14ac:dyDescent="0.25">
      <c r="B26"/>
      <c r="C26" s="845" t="s">
        <v>28</v>
      </c>
      <c r="D26" s="846"/>
      <c r="E26" s="689" t="s">
        <v>696</v>
      </c>
      <c r="F26" s="847" t="s">
        <v>29</v>
      </c>
      <c r="G26" s="847"/>
      <c r="H26" s="847"/>
      <c r="I26" s="847"/>
      <c r="J26" s="848"/>
      <c r="K26" s="30"/>
      <c r="L26" s="852" t="s">
        <v>695</v>
      </c>
      <c r="M26" s="853"/>
      <c r="N26" s="853"/>
      <c r="O26" s="853"/>
      <c r="P26" s="853"/>
      <c r="Q26" s="853"/>
      <c r="R26" s="853"/>
      <c r="S26" s="854"/>
      <c r="T26"/>
      <c r="U26"/>
      <c r="V26"/>
      <c r="W26"/>
      <c r="X26"/>
      <c r="Y26"/>
    </row>
    <row r="27" spans="1:287" ht="21.75" customHeight="1" x14ac:dyDescent="0.25">
      <c r="B27"/>
      <c r="C27" s="861" t="s">
        <v>9</v>
      </c>
      <c r="D27" s="862"/>
      <c r="E27" s="863"/>
      <c r="F27" s="849" t="s">
        <v>10</v>
      </c>
      <c r="G27" s="850"/>
      <c r="H27" s="850"/>
      <c r="I27" s="850"/>
      <c r="J27" s="851"/>
      <c r="K27" s="30"/>
      <c r="L27" s="855" t="s">
        <v>9</v>
      </c>
      <c r="M27" s="856"/>
      <c r="N27" s="857"/>
      <c r="O27" s="858" t="s">
        <v>10</v>
      </c>
      <c r="P27" s="859"/>
      <c r="Q27" s="859"/>
      <c r="R27" s="859"/>
      <c r="S27" s="860"/>
      <c r="T27"/>
      <c r="U27"/>
      <c r="V27"/>
      <c r="W27"/>
      <c r="X27"/>
      <c r="Y27"/>
    </row>
    <row r="28" spans="1:287" ht="21.75" customHeight="1" thickBot="1" x14ac:dyDescent="0.3">
      <c r="B28"/>
      <c r="C28" s="41">
        <f>dms_PRCP_BaseYear</f>
        <v>2019</v>
      </c>
      <c r="D28" s="42">
        <v>2020</v>
      </c>
      <c r="E28" s="108" t="s">
        <v>26</v>
      </c>
      <c r="F28" s="43" t="s">
        <v>293</v>
      </c>
      <c r="G28" s="44" t="s">
        <v>295</v>
      </c>
      <c r="H28" s="44" t="s">
        <v>33</v>
      </c>
      <c r="I28" s="44" t="s">
        <v>298</v>
      </c>
      <c r="J28" s="45" t="s">
        <v>300</v>
      </c>
      <c r="K28" s="30"/>
      <c r="L28" s="41">
        <f>dms_PRCP_BaseYear</f>
        <v>2019</v>
      </c>
      <c r="M28" s="42">
        <f>D28</f>
        <v>2020</v>
      </c>
      <c r="N28" s="42" t="str">
        <f>E28</f>
        <v>HY2021</v>
      </c>
      <c r="O28" s="43" t="s">
        <v>293</v>
      </c>
      <c r="P28" s="44" t="s">
        <v>295</v>
      </c>
      <c r="Q28" s="44" t="s">
        <v>33</v>
      </c>
      <c r="R28" s="44" t="s">
        <v>298</v>
      </c>
      <c r="S28" s="45" t="s">
        <v>300</v>
      </c>
      <c r="T28"/>
      <c r="U28"/>
      <c r="V28"/>
      <c r="W28"/>
      <c r="X28"/>
      <c r="Y28"/>
    </row>
    <row r="29" spans="1:287" ht="15" x14ac:dyDescent="0.25">
      <c r="B29" s="46" t="s">
        <v>11</v>
      </c>
      <c r="C29" s="699">
        <v>147.27768629191789</v>
      </c>
      <c r="D29" s="700">
        <v>149.19893000615727</v>
      </c>
      <c r="E29" s="701">
        <v>81.715146350353251</v>
      </c>
      <c r="F29" s="699">
        <v>143.20227092350197</v>
      </c>
      <c r="G29" s="702">
        <v>142.79224346653396</v>
      </c>
      <c r="H29" s="702">
        <v>145.67432606877517</v>
      </c>
      <c r="I29" s="702">
        <v>148.76118396332734</v>
      </c>
      <c r="J29" s="703">
        <v>152.92407096399506</v>
      </c>
      <c r="K29" s="30"/>
      <c r="L29" s="732">
        <f>+C29/$C$17</f>
        <v>198.48888228910769</v>
      </c>
      <c r="M29" s="733">
        <f>+D29/$C$17</f>
        <v>201.07817824456211</v>
      </c>
      <c r="N29" s="733">
        <f>+E29/$H$17</f>
        <v>101.85995188752774</v>
      </c>
      <c r="O29" s="734">
        <f>+F29/$I$17</f>
        <v>176.10106401806308</v>
      </c>
      <c r="P29" s="735">
        <f>+G29/$I$17</f>
        <v>175.59683827511199</v>
      </c>
      <c r="Q29" s="735">
        <f>+H29/$I$17</f>
        <v>179.14104053929083</v>
      </c>
      <c r="R29" s="735">
        <f>+I29/$I$17</f>
        <v>182.93706246127263</v>
      </c>
      <c r="S29" s="736">
        <f>+J29/$I$17</f>
        <v>188.0563166845256</v>
      </c>
      <c r="T29"/>
      <c r="U29"/>
      <c r="V29"/>
      <c r="W29"/>
      <c r="X29"/>
      <c r="Y29"/>
    </row>
    <row r="30" spans="1:287" ht="15" x14ac:dyDescent="0.25">
      <c r="B30" s="47" t="s">
        <v>12</v>
      </c>
      <c r="C30" s="704"/>
      <c r="D30" s="705"/>
      <c r="E30" s="706"/>
      <c r="F30" s="704"/>
      <c r="G30" s="707"/>
      <c r="H30" s="707"/>
      <c r="I30" s="707"/>
      <c r="J30" s="708"/>
      <c r="K30" s="26"/>
      <c r="L30" s="737"/>
      <c r="M30" s="738"/>
      <c r="N30" s="738"/>
      <c r="O30" s="739"/>
      <c r="P30" s="740"/>
      <c r="Q30" s="740"/>
      <c r="R30" s="740"/>
      <c r="S30" s="741"/>
      <c r="T30"/>
      <c r="U30"/>
      <c r="V30"/>
      <c r="W30"/>
      <c r="X30"/>
      <c r="Y30"/>
    </row>
    <row r="31" spans="1:287" ht="15" x14ac:dyDescent="0.25">
      <c r="B31" s="114" t="s">
        <v>705</v>
      </c>
      <c r="C31" s="709">
        <v>-1.1832342104280602</v>
      </c>
      <c r="D31" s="710">
        <v>-1.2026524402945185</v>
      </c>
      <c r="E31" s="694">
        <v>-0.60714455901382403</v>
      </c>
      <c r="F31" s="695">
        <v>-1.164155181838364</v>
      </c>
      <c r="G31" s="696">
        <v>-1.2101134294221569</v>
      </c>
      <c r="H31" s="696">
        <v>-1.2278434917550098</v>
      </c>
      <c r="I31" s="696">
        <v>-1.2336562852214705</v>
      </c>
      <c r="J31" s="697">
        <v>-1.2373546668026421</v>
      </c>
      <c r="K31" s="26"/>
      <c r="L31" s="742">
        <f t="shared" ref="L31:M35" si="0">+C31/$C$17</f>
        <v>-1.594666794592283</v>
      </c>
      <c r="M31" s="743">
        <f t="shared" si="0"/>
        <v>-1.6208371048359318</v>
      </c>
      <c r="N31" s="743">
        <f t="shared" ref="N31:N35" si="1">+E31/$H$17</f>
        <v>-0.75682071601227707</v>
      </c>
      <c r="O31" s="744">
        <f t="shared" ref="O31:S35" si="2">F31/$I$17</f>
        <v>-1.4316041560080601</v>
      </c>
      <c r="P31" s="744">
        <f t="shared" si="2"/>
        <v>-1.4881206920079322</v>
      </c>
      <c r="Q31" s="744">
        <f t="shared" si="2"/>
        <v>-1.5099239973730396</v>
      </c>
      <c r="R31" s="744">
        <f t="shared" si="2"/>
        <v>-1.5170722018516389</v>
      </c>
      <c r="S31" s="745">
        <f t="shared" si="2"/>
        <v>-1.5216202367912317</v>
      </c>
      <c r="T31"/>
      <c r="U31"/>
      <c r="V31"/>
      <c r="W31"/>
      <c r="X31"/>
      <c r="Y31"/>
    </row>
    <row r="32" spans="1:287" ht="15" x14ac:dyDescent="0.25">
      <c r="B32" s="115" t="s">
        <v>706</v>
      </c>
      <c r="C32" s="709">
        <v>-0.60413753969717288</v>
      </c>
      <c r="D32" s="710">
        <v>-0.60413753969717288</v>
      </c>
      <c r="E32" s="694">
        <v>-0.32785189985803337</v>
      </c>
      <c r="F32" s="695">
        <v>-0.81501189500464466</v>
      </c>
      <c r="G32" s="696">
        <v>-0.81501189500464466</v>
      </c>
      <c r="H32" s="696">
        <v>-0.81501189500464466</v>
      </c>
      <c r="I32" s="696">
        <v>-0.81501189500464466</v>
      </c>
      <c r="J32" s="697">
        <v>-0.81501189500464466</v>
      </c>
      <c r="K32" s="26"/>
      <c r="L32" s="742">
        <f t="shared" si="0"/>
        <v>-0.8142074201634425</v>
      </c>
      <c r="M32" s="743">
        <f t="shared" si="0"/>
        <v>-0.8142074201634425</v>
      </c>
      <c r="N32" s="743">
        <f t="shared" si="1"/>
        <v>-0.40867550554940024</v>
      </c>
      <c r="O32" s="744">
        <f t="shared" si="2"/>
        <v>-1.0022499012907831</v>
      </c>
      <c r="P32" s="744">
        <f t="shared" si="2"/>
        <v>-1.0022499012907831</v>
      </c>
      <c r="Q32" s="744">
        <f t="shared" si="2"/>
        <v>-1.0022499012907831</v>
      </c>
      <c r="R32" s="744">
        <f t="shared" si="2"/>
        <v>-1.0022499012907831</v>
      </c>
      <c r="S32" s="745">
        <f t="shared" si="2"/>
        <v>-1.0022499012907831</v>
      </c>
      <c r="T32"/>
      <c r="U32"/>
      <c r="V32"/>
      <c r="W32"/>
      <c r="X32"/>
      <c r="Y32"/>
    </row>
    <row r="33" spans="1:31" ht="15" x14ac:dyDescent="0.25">
      <c r="B33" s="116" t="s">
        <v>707</v>
      </c>
      <c r="C33" s="709">
        <v>0</v>
      </c>
      <c r="D33" s="710">
        <v>0</v>
      </c>
      <c r="E33" s="694">
        <v>0</v>
      </c>
      <c r="F33" s="695">
        <v>0</v>
      </c>
      <c r="G33" s="696">
        <v>0</v>
      </c>
      <c r="H33" s="696">
        <v>0</v>
      </c>
      <c r="I33" s="696">
        <v>0</v>
      </c>
      <c r="J33" s="697">
        <v>0</v>
      </c>
      <c r="K33" s="26"/>
      <c r="L33" s="742">
        <f t="shared" si="0"/>
        <v>0</v>
      </c>
      <c r="M33" s="743">
        <f t="shared" si="0"/>
        <v>0</v>
      </c>
      <c r="N33" s="743">
        <f t="shared" si="1"/>
        <v>0</v>
      </c>
      <c r="O33" s="744">
        <f t="shared" si="2"/>
        <v>0</v>
      </c>
      <c r="P33" s="744">
        <f t="shared" si="2"/>
        <v>0</v>
      </c>
      <c r="Q33" s="744">
        <f t="shared" si="2"/>
        <v>0</v>
      </c>
      <c r="R33" s="744">
        <f t="shared" si="2"/>
        <v>0</v>
      </c>
      <c r="S33" s="745">
        <f t="shared" si="2"/>
        <v>0</v>
      </c>
      <c r="T33"/>
      <c r="U33"/>
      <c r="V33"/>
      <c r="W33"/>
      <c r="X33"/>
      <c r="Y33"/>
    </row>
    <row r="34" spans="1:31" ht="15" x14ac:dyDescent="0.25">
      <c r="B34" s="48" t="s">
        <v>13</v>
      </c>
      <c r="C34" s="709"/>
      <c r="D34" s="710"/>
      <c r="E34" s="694"/>
      <c r="F34" s="695"/>
      <c r="G34" s="696"/>
      <c r="H34" s="696"/>
      <c r="I34" s="696"/>
      <c r="J34" s="697"/>
      <c r="K34" s="49"/>
      <c r="L34" s="742">
        <f t="shared" si="0"/>
        <v>0</v>
      </c>
      <c r="M34" s="743">
        <f t="shared" si="0"/>
        <v>0</v>
      </c>
      <c r="N34" s="743">
        <f t="shared" si="1"/>
        <v>0</v>
      </c>
      <c r="O34" s="744">
        <f t="shared" si="2"/>
        <v>0</v>
      </c>
      <c r="P34" s="744">
        <f t="shared" si="2"/>
        <v>0</v>
      </c>
      <c r="Q34" s="744">
        <f t="shared" si="2"/>
        <v>0</v>
      </c>
      <c r="R34" s="744">
        <f t="shared" si="2"/>
        <v>0</v>
      </c>
      <c r="S34" s="745">
        <f t="shared" si="2"/>
        <v>0</v>
      </c>
      <c r="T34"/>
      <c r="U34"/>
      <c r="V34"/>
      <c r="W34"/>
      <c r="X34"/>
      <c r="Y34"/>
    </row>
    <row r="35" spans="1:31" ht="15.75" thickBot="1" x14ac:dyDescent="0.3">
      <c r="B35" s="50" t="s">
        <v>14</v>
      </c>
      <c r="C35" s="711"/>
      <c r="D35" s="712"/>
      <c r="E35" s="713"/>
      <c r="F35" s="711"/>
      <c r="G35" s="714"/>
      <c r="H35" s="714"/>
      <c r="I35" s="714"/>
      <c r="J35" s="715"/>
      <c r="K35" s="26"/>
      <c r="L35" s="746">
        <f t="shared" si="0"/>
        <v>0</v>
      </c>
      <c r="M35" s="747">
        <f t="shared" si="0"/>
        <v>0</v>
      </c>
      <c r="N35" s="747">
        <f t="shared" si="1"/>
        <v>0</v>
      </c>
      <c r="O35" s="748">
        <f t="shared" si="2"/>
        <v>0</v>
      </c>
      <c r="P35" s="748">
        <f t="shared" si="2"/>
        <v>0</v>
      </c>
      <c r="Q35" s="748">
        <f t="shared" si="2"/>
        <v>0</v>
      </c>
      <c r="R35" s="748">
        <f t="shared" si="2"/>
        <v>0</v>
      </c>
      <c r="S35" s="749">
        <f t="shared" si="2"/>
        <v>0</v>
      </c>
      <c r="T35"/>
      <c r="U35"/>
      <c r="V35"/>
      <c r="W35"/>
      <c r="X35"/>
      <c r="Y35"/>
    </row>
    <row r="36" spans="1:31" ht="15.75" thickBot="1" x14ac:dyDescent="0.3">
      <c r="B36" s="51" t="s">
        <v>15</v>
      </c>
      <c r="C36" s="716">
        <f t="shared" ref="C36:J36" si="3">SUM(C29:C35)</f>
        <v>145.49031454179266</v>
      </c>
      <c r="D36" s="716">
        <f t="shared" si="3"/>
        <v>147.39214002616558</v>
      </c>
      <c r="E36" s="716">
        <f t="shared" si="3"/>
        <v>80.7801498914814</v>
      </c>
      <c r="F36" s="716">
        <f t="shared" si="3"/>
        <v>141.22310384665897</v>
      </c>
      <c r="G36" s="716">
        <f t="shared" si="3"/>
        <v>140.76711814210717</v>
      </c>
      <c r="H36" s="716">
        <f t="shared" si="3"/>
        <v>143.63147068201553</v>
      </c>
      <c r="I36" s="716">
        <f t="shared" si="3"/>
        <v>146.71251578310125</v>
      </c>
      <c r="J36" s="717">
        <f t="shared" si="3"/>
        <v>150.87170440218779</v>
      </c>
      <c r="K36" s="26"/>
      <c r="L36" s="750">
        <f t="shared" ref="L36:M36" si="4">+SUM(L29:L35)</f>
        <v>196.08000807435195</v>
      </c>
      <c r="M36" s="751">
        <f t="shared" si="4"/>
        <v>198.64313371956271</v>
      </c>
      <c r="N36" s="751">
        <f t="shared" ref="N36:S36" si="5">+SUM(N29:N35)</f>
        <v>100.69445566596607</v>
      </c>
      <c r="O36" s="751">
        <f t="shared" si="5"/>
        <v>173.66720996076424</v>
      </c>
      <c r="P36" s="751">
        <f t="shared" si="5"/>
        <v>173.10646768181329</v>
      </c>
      <c r="Q36" s="751">
        <f t="shared" si="5"/>
        <v>176.628866640627</v>
      </c>
      <c r="R36" s="751">
        <f t="shared" si="5"/>
        <v>180.4177403581302</v>
      </c>
      <c r="S36" s="752">
        <f t="shared" si="5"/>
        <v>185.53244654644359</v>
      </c>
      <c r="T36"/>
      <c r="U36"/>
      <c r="V36"/>
      <c r="W36"/>
      <c r="X36"/>
      <c r="Y36"/>
    </row>
    <row r="37" spans="1:31" ht="15.75" thickBot="1" x14ac:dyDescent="0.3">
      <c r="B37" s="52"/>
      <c r="C37" s="53"/>
      <c r="D37" s="54"/>
      <c r="E37" s="54"/>
      <c r="F37" s="54"/>
      <c r="G37" s="54"/>
      <c r="H37" s="54"/>
      <c r="I37" s="54"/>
      <c r="J37" s="54"/>
      <c r="K37" s="55"/>
      <c r="L37" s="53"/>
      <c r="N37" s="53"/>
      <c r="O37" s="53"/>
      <c r="P37" s="53"/>
      <c r="Q37" s="53"/>
      <c r="R37" s="53"/>
      <c r="S37" s="53"/>
      <c r="T37"/>
      <c r="U37"/>
      <c r="V37"/>
      <c r="W37"/>
      <c r="X37"/>
      <c r="Y37"/>
    </row>
    <row r="38" spans="1:31" s="40" customFormat="1" ht="16.5" thickBot="1" x14ac:dyDescent="0.3">
      <c r="A38" s="1"/>
      <c r="B38" s="36" t="s">
        <v>16</v>
      </c>
      <c r="C38" s="38"/>
      <c r="D38" s="38"/>
      <c r="E38" s="38"/>
      <c r="F38" s="38"/>
      <c r="G38" s="38"/>
      <c r="H38" s="38"/>
      <c r="I38" s="38"/>
      <c r="J38" s="38"/>
      <c r="K38" s="38"/>
      <c r="L38" s="38"/>
      <c r="M38" s="38"/>
      <c r="N38" s="38"/>
      <c r="O38" s="38"/>
      <c r="P38" s="38"/>
      <c r="Q38" s="38"/>
      <c r="R38" s="38"/>
      <c r="S38" s="39"/>
      <c r="T38"/>
      <c r="U38"/>
      <c r="V38"/>
      <c r="W38"/>
      <c r="X38"/>
      <c r="Y38"/>
      <c r="Z38"/>
      <c r="AA38"/>
      <c r="AB38"/>
      <c r="AC38"/>
      <c r="AD38"/>
      <c r="AE38"/>
    </row>
    <row r="39" spans="1:31" ht="15" x14ac:dyDescent="0.25">
      <c r="B39" s="56"/>
      <c r="C39" s="864" t="s">
        <v>702</v>
      </c>
      <c r="D39" s="865"/>
      <c r="E39" s="865"/>
      <c r="F39" s="865"/>
      <c r="G39" s="865"/>
      <c r="H39" s="865"/>
      <c r="I39" s="865"/>
      <c r="J39" s="866"/>
      <c r="K39" s="57"/>
      <c r="L39" s="852" t="s">
        <v>695</v>
      </c>
      <c r="M39" s="853"/>
      <c r="N39" s="853"/>
      <c r="O39" s="853"/>
      <c r="P39" s="853"/>
      <c r="Q39" s="853"/>
      <c r="R39" s="853"/>
      <c r="S39" s="854"/>
      <c r="T39"/>
      <c r="U39"/>
      <c r="V39"/>
      <c r="W39"/>
      <c r="X39"/>
      <c r="Y39"/>
    </row>
    <row r="40" spans="1:31" ht="15" x14ac:dyDescent="0.25">
      <c r="B40" s="56"/>
      <c r="C40" s="861" t="s">
        <v>9</v>
      </c>
      <c r="D40" s="862"/>
      <c r="E40" s="863"/>
      <c r="F40" s="849" t="s">
        <v>10</v>
      </c>
      <c r="G40" s="850"/>
      <c r="H40" s="850"/>
      <c r="I40" s="850"/>
      <c r="J40" s="851"/>
      <c r="K40" s="57"/>
      <c r="L40" s="861" t="s">
        <v>9</v>
      </c>
      <c r="M40" s="862"/>
      <c r="N40" s="863"/>
      <c r="O40" s="858" t="s">
        <v>10</v>
      </c>
      <c r="P40" s="859"/>
      <c r="Q40" s="859"/>
      <c r="R40" s="859"/>
      <c r="S40" s="860"/>
      <c r="T40"/>
      <c r="U40"/>
      <c r="V40"/>
      <c r="W40"/>
      <c r="X40"/>
      <c r="Y40"/>
    </row>
    <row r="41" spans="1:31" ht="15.75" thickBot="1" x14ac:dyDescent="0.3">
      <c r="B41" s="58"/>
      <c r="C41" s="41">
        <f>dms_PRCP_BaseYear</f>
        <v>2019</v>
      </c>
      <c r="D41" s="42">
        <v>2020</v>
      </c>
      <c r="E41" s="108" t="s">
        <v>26</v>
      </c>
      <c r="F41" s="43" t="s">
        <v>293</v>
      </c>
      <c r="G41" s="44" t="s">
        <v>295</v>
      </c>
      <c r="H41" s="44" t="s">
        <v>33</v>
      </c>
      <c r="I41" s="44" t="s">
        <v>298</v>
      </c>
      <c r="J41" s="45" t="s">
        <v>300</v>
      </c>
      <c r="K41" s="49"/>
      <c r="L41" s="41">
        <f>dms_PRCP_BaseYear</f>
        <v>2019</v>
      </c>
      <c r="M41" s="42">
        <f>D41</f>
        <v>2020</v>
      </c>
      <c r="N41" s="42" t="str">
        <f>E41</f>
        <v>HY2021</v>
      </c>
      <c r="O41" s="43" t="s">
        <v>293</v>
      </c>
      <c r="P41" s="44" t="s">
        <v>295</v>
      </c>
      <c r="Q41" s="44" t="s">
        <v>33</v>
      </c>
      <c r="R41" s="44" t="s">
        <v>298</v>
      </c>
      <c r="S41" s="45" t="s">
        <v>300</v>
      </c>
      <c r="T41"/>
      <c r="U41"/>
      <c r="V41"/>
      <c r="W41"/>
      <c r="X41"/>
      <c r="Y41"/>
    </row>
    <row r="42" spans="1:31" ht="15" x14ac:dyDescent="0.25">
      <c r="B42" s="46" t="s">
        <v>17</v>
      </c>
      <c r="C42" s="718">
        <v>112.279599</v>
      </c>
      <c r="D42" s="719">
        <v>120.377107</v>
      </c>
      <c r="E42" s="720">
        <v>61.559704508168785</v>
      </c>
      <c r="F42" s="718">
        <v>128.98467199999999</v>
      </c>
      <c r="G42" s="721">
        <v>134.95891499999999</v>
      </c>
      <c r="H42" s="721">
        <v>150.88790670999998</v>
      </c>
      <c r="I42" s="721">
        <v>152.20196999999999</v>
      </c>
      <c r="J42" s="59"/>
      <c r="K42" s="49"/>
      <c r="L42" s="753">
        <f>+C42/LOOKUP(dms_PRCP_BaseYear,$D$14:$N$14,$D$17:$N$17)*(1+LOOKUP(dms_PRCP_BaseYear,$D$14:$N$14,$D$16:$N$16))^0.5</f>
        <v>142.45689762495843</v>
      </c>
      <c r="M42" s="754">
        <f t="shared" ref="M42:R42" si="6">+D42/H$17*(1+H$16)^0.5</f>
        <v>150.69732644269237</v>
      </c>
      <c r="N42" s="755">
        <f>+E42/I$17*(1+I$16)^0.5</f>
        <v>76.217204541524211</v>
      </c>
      <c r="O42" s="756">
        <f t="shared" si="6"/>
        <v>153.95750185954793</v>
      </c>
      <c r="P42" s="757">
        <f t="shared" si="6"/>
        <v>151.84722048508269</v>
      </c>
      <c r="Q42" s="757">
        <f t="shared" si="6"/>
        <v>161.81639157349173</v>
      </c>
      <c r="R42" s="754">
        <f t="shared" si="6"/>
        <v>158.55105312456939</v>
      </c>
      <c r="S42" s="758"/>
      <c r="T42"/>
      <c r="U42"/>
      <c r="V42"/>
      <c r="W42"/>
      <c r="X42"/>
      <c r="Y42"/>
    </row>
    <row r="43" spans="1:31" ht="15" x14ac:dyDescent="0.25">
      <c r="B43" s="47" t="s">
        <v>18</v>
      </c>
      <c r="C43" s="722"/>
      <c r="D43" s="723"/>
      <c r="E43" s="724"/>
      <c r="F43" s="722"/>
      <c r="G43" s="725"/>
      <c r="H43" s="725"/>
      <c r="I43" s="726"/>
      <c r="J43" s="60"/>
      <c r="K43" s="26"/>
      <c r="L43" s="759"/>
      <c r="M43" s="760"/>
      <c r="N43" s="761"/>
      <c r="O43" s="762"/>
      <c r="P43" s="763"/>
      <c r="Q43" s="763"/>
      <c r="R43" s="760"/>
      <c r="S43" s="764"/>
      <c r="T43"/>
      <c r="U43"/>
      <c r="V43"/>
      <c r="W43"/>
      <c r="X43"/>
      <c r="Y43"/>
    </row>
    <row r="44" spans="1:31" ht="15" x14ac:dyDescent="0.25">
      <c r="B44" s="61" t="str">
        <f>IF(ISBLANK(B31),"",B31)</f>
        <v>Debt raising costs</v>
      </c>
      <c r="C44" s="107">
        <v>0</v>
      </c>
      <c r="D44" s="698">
        <v>0</v>
      </c>
      <c r="E44" s="693">
        <v>0</v>
      </c>
      <c r="F44" s="106">
        <v>0</v>
      </c>
      <c r="G44" s="107">
        <v>0</v>
      </c>
      <c r="H44" s="107">
        <v>0</v>
      </c>
      <c r="I44" s="107">
        <v>0</v>
      </c>
      <c r="J44" s="60"/>
      <c r="K44" s="49"/>
      <c r="L44" s="765">
        <f t="shared" ref="L44:L49" si="7">+C44/LOOKUP(dms_PRCP_BaseYear,$D$14:$N$14,$D$17:$N$17)*(1+LOOKUP(dms_PRCP_BaseYear,$D$14:$N$14,$D$16:$N$16))^0.5</f>
        <v>0</v>
      </c>
      <c r="M44" s="766">
        <f t="shared" ref="M44:M49" si="8">+D44/H$17*(1+H$16)^0.5</f>
        <v>0</v>
      </c>
      <c r="N44" s="767">
        <f t="shared" ref="N44:N49" si="9">+E44/I$17*(1+I$16)^0.5</f>
        <v>0</v>
      </c>
      <c r="O44" s="768">
        <f t="shared" ref="O44:R49" si="10">F44/J$17*(1+J$16)^0.5</f>
        <v>0</v>
      </c>
      <c r="P44" s="768">
        <f t="shared" si="10"/>
        <v>0</v>
      </c>
      <c r="Q44" s="768">
        <f t="shared" si="10"/>
        <v>0</v>
      </c>
      <c r="R44" s="766">
        <f t="shared" si="10"/>
        <v>0</v>
      </c>
      <c r="S44" s="764"/>
      <c r="T44"/>
      <c r="U44"/>
      <c r="V44"/>
      <c r="W44"/>
      <c r="X44"/>
      <c r="Y44"/>
    </row>
    <row r="45" spans="1:31" ht="15" x14ac:dyDescent="0.25">
      <c r="B45" s="61" t="str">
        <f t="shared" ref="B45:B46" si="11">IF(ISBLANK(B32),"",B32)</f>
        <v>GSL payments</v>
      </c>
      <c r="C45" s="107">
        <v>0</v>
      </c>
      <c r="D45" s="698">
        <v>-0.38665300000000002</v>
      </c>
      <c r="E45" s="693">
        <v>-1.89334</v>
      </c>
      <c r="F45" s="106">
        <v>-2.3464100000000001</v>
      </c>
      <c r="G45" s="107">
        <v>-0.43728850000000002</v>
      </c>
      <c r="H45" s="107">
        <v>-3.6531907799999996</v>
      </c>
      <c r="I45" s="107">
        <v>-1.7425690395361566</v>
      </c>
      <c r="J45" s="60"/>
      <c r="K45" s="26"/>
      <c r="L45" s="765">
        <f t="shared" si="7"/>
        <v>0</v>
      </c>
      <c r="M45" s="766">
        <f t="shared" si="8"/>
        <v>-0.4840419811804112</v>
      </c>
      <c r="N45" s="767">
        <f t="shared" si="9"/>
        <v>-2.3441483873188607</v>
      </c>
      <c r="O45" s="768">
        <f t="shared" si="10"/>
        <v>-2.8007003959219432</v>
      </c>
      <c r="P45" s="768">
        <f t="shared" si="10"/>
        <v>-0.49200931465024805</v>
      </c>
      <c r="Q45" s="768">
        <f t="shared" si="10"/>
        <v>-3.9177834900003408</v>
      </c>
      <c r="R45" s="766">
        <f t="shared" si="10"/>
        <v>-1.815260054523125</v>
      </c>
      <c r="S45" s="764"/>
      <c r="T45"/>
      <c r="U45"/>
      <c r="V45"/>
      <c r="W45"/>
      <c r="X45"/>
      <c r="Y45"/>
    </row>
    <row r="46" spans="1:31" ht="15" customHeight="1" x14ac:dyDescent="0.25">
      <c r="B46" s="61" t="str">
        <f t="shared" si="11"/>
        <v>DMIA</v>
      </c>
      <c r="C46" s="107">
        <v>-0.452822</v>
      </c>
      <c r="D46" s="698">
        <v>-5.4540000000000003E-4</v>
      </c>
      <c r="E46" s="693">
        <v>0</v>
      </c>
      <c r="F46" s="106">
        <v>-7.4630000000000002E-2</v>
      </c>
      <c r="G46" s="107">
        <v>0</v>
      </c>
      <c r="H46" s="107">
        <v>0</v>
      </c>
      <c r="I46" s="107">
        <v>0</v>
      </c>
      <c r="J46" s="60"/>
      <c r="K46" s="26"/>
      <c r="L46" s="765">
        <f t="shared" si="7"/>
        <v>-0.57452660920465992</v>
      </c>
      <c r="M46" s="766">
        <f t="shared" si="8"/>
        <v>-6.8277369252481236E-4</v>
      </c>
      <c r="N46" s="767">
        <f t="shared" si="9"/>
        <v>0</v>
      </c>
      <c r="O46" s="768">
        <f t="shared" si="10"/>
        <v>-8.9079176506942359E-2</v>
      </c>
      <c r="P46" s="768">
        <f t="shared" si="10"/>
        <v>0</v>
      </c>
      <c r="Q46" s="768">
        <f t="shared" si="10"/>
        <v>0</v>
      </c>
      <c r="R46" s="766">
        <f t="shared" si="10"/>
        <v>0</v>
      </c>
      <c r="S46" s="764"/>
      <c r="T46"/>
      <c r="W46"/>
      <c r="X46"/>
      <c r="Y46"/>
    </row>
    <row r="47" spans="1:31" ht="15" customHeight="1" x14ac:dyDescent="0.25">
      <c r="B47" s="62" t="s">
        <v>19</v>
      </c>
      <c r="C47" s="107"/>
      <c r="D47" s="698"/>
      <c r="E47" s="693"/>
      <c r="F47" s="106"/>
      <c r="G47" s="107"/>
      <c r="H47" s="107"/>
      <c r="I47" s="107"/>
      <c r="J47" s="60"/>
      <c r="K47" s="63"/>
      <c r="L47" s="765">
        <f t="shared" si="7"/>
        <v>0</v>
      </c>
      <c r="M47" s="766">
        <f t="shared" si="8"/>
        <v>0</v>
      </c>
      <c r="N47" s="767">
        <f t="shared" si="9"/>
        <v>0</v>
      </c>
      <c r="O47" s="768">
        <f t="shared" si="10"/>
        <v>0</v>
      </c>
      <c r="P47" s="768">
        <f t="shared" si="10"/>
        <v>0</v>
      </c>
      <c r="Q47" s="768">
        <f t="shared" si="10"/>
        <v>0</v>
      </c>
      <c r="R47" s="766">
        <f t="shared" si="10"/>
        <v>0</v>
      </c>
      <c r="S47" s="769"/>
      <c r="T47"/>
      <c r="U47"/>
      <c r="V47"/>
      <c r="W47"/>
      <c r="X47"/>
      <c r="Y47"/>
    </row>
    <row r="48" spans="1:31" ht="15" customHeight="1" x14ac:dyDescent="0.25">
      <c r="B48" s="62" t="s">
        <v>20</v>
      </c>
      <c r="C48" s="107">
        <v>5.2018579999999996</v>
      </c>
      <c r="D48" s="698">
        <v>0.557199</v>
      </c>
      <c r="E48" s="693">
        <v>-0.19255074</v>
      </c>
      <c r="F48" s="106">
        <v>-0.42033803999999991</v>
      </c>
      <c r="G48" s="107">
        <v>-3.0109300000000001</v>
      </c>
      <c r="H48" s="107">
        <v>0.57122061000000013</v>
      </c>
      <c r="I48" s="107">
        <v>3.705E-2</v>
      </c>
      <c r="J48" s="60"/>
      <c r="K48" s="63"/>
      <c r="L48" s="765">
        <f t="shared" si="7"/>
        <v>6.5999572421484247</v>
      </c>
      <c r="M48" s="766">
        <f t="shared" si="8"/>
        <v>0.69754458874428471</v>
      </c>
      <c r="N48" s="767">
        <f t="shared" si="9"/>
        <v>-0.23839749154829729</v>
      </c>
      <c r="O48" s="768">
        <f t="shared" si="10"/>
        <v>-0.50172003829213707</v>
      </c>
      <c r="P48" s="768">
        <f t="shared" si="10"/>
        <v>-3.3877076707022287</v>
      </c>
      <c r="Q48" s="768">
        <f t="shared" si="10"/>
        <v>0.61259288380387422</v>
      </c>
      <c r="R48" s="766">
        <f t="shared" si="10"/>
        <v>3.8595535381475657E-2</v>
      </c>
      <c r="S48" s="769"/>
      <c r="T48"/>
      <c r="U48"/>
      <c r="V48"/>
      <c r="W48"/>
      <c r="X48"/>
      <c r="Y48"/>
    </row>
    <row r="49" spans="1:31" ht="15.75" customHeight="1" thickBot="1" x14ac:dyDescent="0.3">
      <c r="B49" s="50" t="s">
        <v>14</v>
      </c>
      <c r="C49" s="727"/>
      <c r="D49" s="728"/>
      <c r="E49" s="729"/>
      <c r="F49" s="730"/>
      <c r="G49" s="727"/>
      <c r="H49" s="727"/>
      <c r="I49" s="727"/>
      <c r="J49" s="65"/>
      <c r="K49" s="63"/>
      <c r="L49" s="770">
        <f t="shared" si="7"/>
        <v>0</v>
      </c>
      <c r="M49" s="771">
        <f t="shared" si="8"/>
        <v>0</v>
      </c>
      <c r="N49" s="771">
        <f t="shared" si="9"/>
        <v>0</v>
      </c>
      <c r="O49" s="772">
        <f t="shared" si="10"/>
        <v>0</v>
      </c>
      <c r="P49" s="772">
        <f t="shared" si="10"/>
        <v>0</v>
      </c>
      <c r="Q49" s="772">
        <f t="shared" si="10"/>
        <v>0</v>
      </c>
      <c r="R49" s="773">
        <f t="shared" si="10"/>
        <v>0</v>
      </c>
      <c r="S49" s="774"/>
      <c r="T49"/>
      <c r="U49"/>
      <c r="V49"/>
      <c r="W49"/>
      <c r="X49"/>
      <c r="Y49"/>
    </row>
    <row r="50" spans="1:31" ht="43.5" customHeight="1" thickBot="1" x14ac:dyDescent="0.3">
      <c r="B50" s="66" t="s">
        <v>21</v>
      </c>
      <c r="C50" s="731">
        <f t="shared" ref="C50:E50" si="12">SUM(C42:C49)</f>
        <v>117.02863500000001</v>
      </c>
      <c r="D50" s="731">
        <f t="shared" si="12"/>
        <v>120.5471076</v>
      </c>
      <c r="E50" s="731">
        <f t="shared" si="12"/>
        <v>59.473813768168782</v>
      </c>
      <c r="F50" s="731">
        <f>SUM(F42:F49)</f>
        <v>126.14329395999998</v>
      </c>
      <c r="G50" s="731">
        <f>SUM(G42:G49)</f>
        <v>131.51069649999999</v>
      </c>
      <c r="H50" s="731">
        <f>SUM(H42:H49)</f>
        <v>147.80593654</v>
      </c>
      <c r="I50" s="731">
        <f>SUM(I42:I49)</f>
        <v>150.49645096046382</v>
      </c>
      <c r="J50" s="67"/>
      <c r="K50" s="26"/>
      <c r="L50" s="775">
        <f t="shared" ref="L50" si="13">L42+SUM(L44:L49)</f>
        <v>148.4823282579022</v>
      </c>
      <c r="M50" s="776">
        <f t="shared" ref="M50" si="14">M42+SUM(M44:M49)</f>
        <v>150.91014627656372</v>
      </c>
      <c r="N50" s="776">
        <f t="shared" ref="N50" si="15">N42+SUM(N44:N49)</f>
        <v>73.63465866265706</v>
      </c>
      <c r="O50" s="776">
        <f t="shared" ref="O50:R50" si="16">O42+SUM(O44:O49)</f>
        <v>150.56600224882692</v>
      </c>
      <c r="P50" s="776">
        <f t="shared" si="16"/>
        <v>147.96750349973021</v>
      </c>
      <c r="Q50" s="776">
        <f t="shared" si="16"/>
        <v>158.51120096729525</v>
      </c>
      <c r="R50" s="776">
        <f t="shared" si="16"/>
        <v>156.77438860542773</v>
      </c>
      <c r="S50" s="777">
        <f>S36-(LOOKUP($T$50,O28:R28,O36:R36)-LOOKUP($T$50,O41:R41,O50:R50))+T51</f>
        <v>161.88909479374112</v>
      </c>
      <c r="T50" s="314" t="s">
        <v>298</v>
      </c>
      <c r="U50" s="867" t="str">
        <f>CONCATENATE(dms_TradingName," to nominate base year used to forecast opex 
(drop down menu)")</f>
        <v>United Energy to nominate base year used to forecast opex 
(drop down menu)</v>
      </c>
      <c r="V50" s="868"/>
      <c r="W50" s="868"/>
      <c r="X50" s="868"/>
      <c r="Y50" s="868"/>
      <c r="Z50" s="869"/>
    </row>
    <row r="51" spans="1:31" customFormat="1" ht="15.6" customHeight="1" thickBot="1" x14ac:dyDescent="0.3">
      <c r="A51" s="1"/>
      <c r="M51" s="4"/>
      <c r="T51" s="68">
        <v>0</v>
      </c>
      <c r="U51" s="870" t="str">
        <f>"Base year non-recurrent efficiency gain "&amp;(CONCATENATE("$m, real June 2026 "))</f>
        <v xml:space="preserve">Base year non-recurrent efficiency gain $m, real June 2026 </v>
      </c>
      <c r="V51" s="871"/>
      <c r="W51" s="871"/>
      <c r="X51" s="871"/>
      <c r="Y51" s="871"/>
      <c r="Z51" s="871"/>
    </row>
    <row r="52" spans="1:31" s="75" customFormat="1" ht="18.75" thickBot="1" x14ac:dyDescent="0.3">
      <c r="A52" s="1"/>
      <c r="B52" s="69"/>
      <c r="C52" s="69"/>
      <c r="D52" s="69"/>
      <c r="E52" s="69"/>
      <c r="F52" s="69"/>
      <c r="G52" s="69"/>
      <c r="H52" s="70"/>
      <c r="I52" s="70"/>
      <c r="J52" s="70"/>
      <c r="K52" s="70"/>
      <c r="L52" s="71" t="s">
        <v>698</v>
      </c>
      <c r="M52" s="109"/>
      <c r="N52" s="72"/>
      <c r="O52" s="73"/>
      <c r="P52" s="72"/>
      <c r="Q52" s="72"/>
      <c r="R52" s="72"/>
      <c r="S52" s="74"/>
      <c r="U52"/>
      <c r="V52"/>
      <c r="W52"/>
      <c r="X52"/>
      <c r="Y52"/>
      <c r="Z52"/>
      <c r="AA52"/>
      <c r="AB52"/>
      <c r="AC52"/>
      <c r="AD52"/>
      <c r="AE52"/>
    </row>
    <row r="53" spans="1:31" ht="15.75" thickBot="1" x14ac:dyDescent="0.3">
      <c r="B53" s="69"/>
      <c r="C53" s="69"/>
      <c r="D53" s="69"/>
      <c r="E53" s="69"/>
      <c r="F53" s="69"/>
      <c r="G53" s="69"/>
      <c r="H53" s="70"/>
      <c r="I53" s="70"/>
      <c r="J53" s="70"/>
      <c r="K53" s="70"/>
      <c r="L53" s="76"/>
      <c r="M53" s="778">
        <f>(M36-M50)-(L36-L50)+C24/$I$17</f>
        <v>0.13530762654923478</v>
      </c>
      <c r="N53" s="779">
        <f>(N36-N50)-(M36-M50)/2</f>
        <v>3.1933032818095199</v>
      </c>
      <c r="O53" s="778">
        <f>(O36-O50)-(2*(N36-N50)-(L36-L50))-C24/$I$17</f>
        <v>16.579293521769046</v>
      </c>
      <c r="P53" s="779">
        <f>(P36-P50)-(O36-O50)</f>
        <v>2.0377564701457516</v>
      </c>
      <c r="Q53" s="779">
        <f>(Q36-Q50)-(P36-P50)</f>
        <v>-7.0212985087513289</v>
      </c>
      <c r="R53" s="779">
        <f>(R36-R50)-(Q36-Q50)</f>
        <v>5.525686079370729</v>
      </c>
      <c r="S53" s="780">
        <f>(S36-S50)-(R36-R50)</f>
        <v>0</v>
      </c>
      <c r="T53"/>
      <c r="U53"/>
      <c r="V53"/>
      <c r="W53"/>
      <c r="X53"/>
      <c r="Y53"/>
    </row>
    <row r="54" spans="1:31" ht="23.25" customHeight="1" thickBot="1" x14ac:dyDescent="0.3">
      <c r="B54" s="69"/>
      <c r="C54" s="69"/>
      <c r="D54" s="69"/>
      <c r="E54" s="69"/>
      <c r="F54" s="69"/>
      <c r="G54" s="69"/>
      <c r="H54" s="70"/>
      <c r="I54" s="70"/>
      <c r="J54" s="70"/>
      <c r="K54" s="70"/>
      <c r="L54" s="77"/>
      <c r="N54" s="77"/>
      <c r="O54" s="77"/>
      <c r="P54" s="77"/>
      <c r="Q54" s="77"/>
      <c r="R54" s="77"/>
      <c r="S54" s="77"/>
      <c r="T54"/>
      <c r="U54"/>
      <c r="V54"/>
      <c r="W54"/>
      <c r="X54"/>
      <c r="Y54"/>
    </row>
    <row r="55" spans="1:31" s="75" customFormat="1" ht="18.75" thickBot="1" x14ac:dyDescent="0.3">
      <c r="A55" s="1"/>
      <c r="B55" s="69"/>
      <c r="C55" s="69"/>
      <c r="D55" s="69"/>
      <c r="E55" s="69"/>
      <c r="F55" s="69"/>
      <c r="G55" s="69"/>
      <c r="H55" s="70"/>
      <c r="I55" s="70"/>
      <c r="J55" s="70"/>
      <c r="K55" s="70"/>
      <c r="L55" s="78" t="s">
        <v>22</v>
      </c>
      <c r="M55" s="79"/>
      <c r="N55" s="79"/>
      <c r="O55" s="72"/>
      <c r="P55" s="72"/>
      <c r="Q55" s="72"/>
      <c r="R55" s="72"/>
      <c r="S55" s="72"/>
      <c r="T55" s="72"/>
      <c r="U55" s="72"/>
      <c r="V55" s="72"/>
      <c r="W55" s="72"/>
      <c r="X55" s="80"/>
      <c r="Y55" s="81"/>
      <c r="Z55"/>
      <c r="AA55"/>
      <c r="AB55"/>
      <c r="AC55"/>
    </row>
    <row r="56" spans="1:31" ht="30.2" customHeight="1" x14ac:dyDescent="0.25">
      <c r="B56" s="69"/>
      <c r="C56" s="69"/>
      <c r="D56" s="69"/>
      <c r="E56" s="69"/>
      <c r="F56" s="69"/>
      <c r="G56" s="69"/>
      <c r="H56" s="70"/>
      <c r="I56" s="70"/>
      <c r="J56" s="70"/>
      <c r="K56" s="70"/>
      <c r="L56" s="82"/>
      <c r="N56" s="83"/>
      <c r="O56" s="875" t="s">
        <v>10</v>
      </c>
      <c r="P56" s="876"/>
      <c r="Q56" s="876"/>
      <c r="R56" s="876"/>
      <c r="S56" s="877"/>
      <c r="T56" s="878" t="s">
        <v>23</v>
      </c>
      <c r="U56" s="879"/>
      <c r="V56" s="879"/>
      <c r="W56" s="879"/>
      <c r="X56" s="879"/>
      <c r="Y56" s="84"/>
    </row>
    <row r="57" spans="1:31" ht="15" x14ac:dyDescent="0.25">
      <c r="B57" s="69"/>
      <c r="C57" s="69"/>
      <c r="D57" s="69"/>
      <c r="E57" s="69"/>
      <c r="F57" s="69"/>
      <c r="G57" s="69"/>
      <c r="H57" s="70"/>
      <c r="I57" s="70"/>
      <c r="J57" s="70"/>
      <c r="K57" s="70"/>
      <c r="L57" s="85"/>
      <c r="N57" s="86"/>
      <c r="O57" s="880" t="s">
        <v>695</v>
      </c>
      <c r="P57" s="881"/>
      <c r="Q57" s="881"/>
      <c r="R57" s="881"/>
      <c r="S57" s="881"/>
      <c r="T57" s="881"/>
      <c r="U57" s="881"/>
      <c r="V57" s="881"/>
      <c r="W57" s="881"/>
      <c r="X57" s="881"/>
      <c r="Y57" s="882"/>
    </row>
    <row r="58" spans="1:31" ht="15.75" thickBot="1" x14ac:dyDescent="0.3">
      <c r="B58" s="69"/>
      <c r="C58" s="69"/>
      <c r="D58" s="69"/>
      <c r="E58" s="69"/>
      <c r="F58" s="69"/>
      <c r="G58" s="69"/>
      <c r="H58" s="70"/>
      <c r="I58" s="70"/>
      <c r="J58" s="70"/>
      <c r="K58" s="70"/>
      <c r="L58" s="85"/>
      <c r="N58" s="86"/>
      <c r="O58" s="87" t="s">
        <v>293</v>
      </c>
      <c r="P58" s="88" t="s">
        <v>295</v>
      </c>
      <c r="Q58" s="88" t="s">
        <v>33</v>
      </c>
      <c r="R58" s="88" t="s">
        <v>298</v>
      </c>
      <c r="S58" s="88" t="s">
        <v>300</v>
      </c>
      <c r="T58" s="89" t="str">
        <f>_xlfn.SINGLE(FRCP_y1)</f>
        <v>2026-27</v>
      </c>
      <c r="U58" s="89" t="s">
        <v>304</v>
      </c>
      <c r="V58" s="89" t="s">
        <v>306</v>
      </c>
      <c r="W58" s="89" t="s">
        <v>308</v>
      </c>
      <c r="X58" s="89" t="s">
        <v>310</v>
      </c>
      <c r="Y58" s="90" t="s">
        <v>24</v>
      </c>
    </row>
    <row r="59" spans="1:31" ht="15.75" thickBot="1" x14ac:dyDescent="0.3">
      <c r="B59" s="69"/>
      <c r="C59" s="69"/>
      <c r="D59" s="69"/>
      <c r="E59" s="69"/>
      <c r="F59" s="69"/>
      <c r="G59" s="69"/>
      <c r="H59" s="70"/>
      <c r="I59" s="70"/>
      <c r="J59" s="70"/>
      <c r="K59" s="70"/>
      <c r="L59" s="872" t="s">
        <v>31</v>
      </c>
      <c r="M59" s="873"/>
      <c r="N59" s="874"/>
      <c r="O59" s="781"/>
      <c r="P59" s="782"/>
      <c r="Q59" s="782"/>
      <c r="R59" s="782"/>
      <c r="S59" s="783">
        <f>-M53/2</f>
        <v>-6.7653813274617391E-2</v>
      </c>
      <c r="T59" s="782"/>
      <c r="U59" s="782"/>
      <c r="V59" s="782"/>
      <c r="W59" s="782"/>
      <c r="X59" s="782"/>
      <c r="Y59" s="784"/>
    </row>
    <row r="60" spans="1:31" ht="15.75" thickBot="1" x14ac:dyDescent="0.3">
      <c r="B60" s="69"/>
      <c r="C60" s="69"/>
      <c r="D60" s="69"/>
      <c r="E60" s="69"/>
      <c r="F60" s="69"/>
      <c r="G60" s="69"/>
      <c r="H60" s="70"/>
      <c r="I60" s="70"/>
      <c r="J60" s="70"/>
      <c r="K60" s="70"/>
      <c r="L60" s="872" t="s">
        <v>32</v>
      </c>
      <c r="M60" s="873"/>
      <c r="N60" s="874"/>
      <c r="O60" s="785"/>
      <c r="P60" s="786"/>
      <c r="Q60" s="787"/>
      <c r="R60" s="787"/>
      <c r="S60" s="787"/>
      <c r="T60" s="788">
        <f>N53</f>
        <v>3.1933032818095199</v>
      </c>
      <c r="U60" s="782"/>
      <c r="V60" s="782"/>
      <c r="W60" s="782"/>
      <c r="X60" s="782"/>
      <c r="Y60" s="784"/>
    </row>
    <row r="61" spans="1:31" ht="15.75" thickBot="1" x14ac:dyDescent="0.3">
      <c r="B61" s="69"/>
      <c r="C61" s="69"/>
      <c r="D61" s="69"/>
      <c r="E61" s="69"/>
      <c r="F61" s="69"/>
      <c r="G61" s="69"/>
      <c r="H61" s="70"/>
      <c r="I61" s="70"/>
      <c r="J61" s="70"/>
      <c r="K61" s="70"/>
      <c r="L61" s="872" t="s">
        <v>293</v>
      </c>
      <c r="M61" s="873"/>
      <c r="N61" s="874"/>
      <c r="O61" s="786"/>
      <c r="P61" s="789">
        <f>$O$53</f>
        <v>16.579293521769046</v>
      </c>
      <c r="Q61" s="790">
        <f>$O$53</f>
        <v>16.579293521769046</v>
      </c>
      <c r="R61" s="791">
        <f>$O$53</f>
        <v>16.579293521769046</v>
      </c>
      <c r="S61" s="790">
        <f>$O$53</f>
        <v>16.579293521769046</v>
      </c>
      <c r="T61" s="792">
        <f>$O$53</f>
        <v>16.579293521769046</v>
      </c>
      <c r="U61" s="793"/>
      <c r="V61" s="782"/>
      <c r="W61" s="782"/>
      <c r="X61" s="782"/>
      <c r="Y61" s="794"/>
      <c r="AD61" s="4"/>
      <c r="AE61" s="4"/>
    </row>
    <row r="62" spans="1:31" ht="15.75" thickBot="1" x14ac:dyDescent="0.3">
      <c r="B62" s="69"/>
      <c r="C62" s="69"/>
      <c r="D62" s="69"/>
      <c r="E62" s="69"/>
      <c r="F62" s="69"/>
      <c r="G62" s="69"/>
      <c r="H62" s="70"/>
      <c r="I62" s="70"/>
      <c r="J62" s="70"/>
      <c r="K62" s="70"/>
      <c r="L62" s="872" t="s">
        <v>295</v>
      </c>
      <c r="M62" s="873"/>
      <c r="N62" s="874"/>
      <c r="O62" s="786"/>
      <c r="P62" s="786"/>
      <c r="Q62" s="795">
        <f>$P$53</f>
        <v>2.0377564701457516</v>
      </c>
      <c r="R62" s="796">
        <f>$P$53</f>
        <v>2.0377564701457516</v>
      </c>
      <c r="S62" s="797">
        <f>$P$53</f>
        <v>2.0377564701457516</v>
      </c>
      <c r="T62" s="796">
        <f>$P$53</f>
        <v>2.0377564701457516</v>
      </c>
      <c r="U62" s="798">
        <f>$P$53</f>
        <v>2.0377564701457516</v>
      </c>
      <c r="V62" s="782"/>
      <c r="W62" s="782"/>
      <c r="X62" s="782"/>
      <c r="Y62" s="794"/>
      <c r="AD62" s="4"/>
      <c r="AE62" s="4"/>
    </row>
    <row r="63" spans="1:31" ht="15.75" thickBot="1" x14ac:dyDescent="0.3">
      <c r="B63" s="69"/>
      <c r="C63" s="69"/>
      <c r="D63" s="69"/>
      <c r="E63" s="69"/>
      <c r="F63" s="69"/>
      <c r="G63" s="69"/>
      <c r="H63" s="70"/>
      <c r="I63" s="70"/>
      <c r="J63" s="70"/>
      <c r="K63" s="70"/>
      <c r="L63" s="872" t="s">
        <v>33</v>
      </c>
      <c r="M63" s="873"/>
      <c r="N63" s="874"/>
      <c r="O63" s="782"/>
      <c r="P63" s="782"/>
      <c r="Q63" s="786"/>
      <c r="R63" s="799">
        <f>$Q$53</f>
        <v>-7.0212985087513289</v>
      </c>
      <c r="S63" s="797">
        <f>$Q$53</f>
        <v>-7.0212985087513289</v>
      </c>
      <c r="T63" s="796">
        <f>$Q$53</f>
        <v>-7.0212985087513289</v>
      </c>
      <c r="U63" s="797">
        <f>$Q$53</f>
        <v>-7.0212985087513289</v>
      </c>
      <c r="V63" s="800">
        <f>$Q$53</f>
        <v>-7.0212985087513289</v>
      </c>
      <c r="W63" s="793"/>
      <c r="X63" s="782"/>
      <c r="Y63" s="794"/>
      <c r="AD63" s="4"/>
      <c r="AE63" s="4"/>
    </row>
    <row r="64" spans="1:31" ht="15.75" thickBot="1" x14ac:dyDescent="0.3">
      <c r="B64" s="69"/>
      <c r="C64" s="69"/>
      <c r="D64" s="69"/>
      <c r="E64" s="69"/>
      <c r="F64" s="69"/>
      <c r="G64" s="69"/>
      <c r="H64" s="70"/>
      <c r="I64" s="70"/>
      <c r="J64" s="70"/>
      <c r="K64" s="70"/>
      <c r="L64" s="872" t="s">
        <v>298</v>
      </c>
      <c r="M64" s="873"/>
      <c r="N64" s="874"/>
      <c r="O64" s="782"/>
      <c r="P64" s="782"/>
      <c r="Q64" s="782"/>
      <c r="R64" s="786"/>
      <c r="S64" s="795">
        <f>$R$53</f>
        <v>5.525686079370729</v>
      </c>
      <c r="T64" s="797">
        <f>$R$53</f>
        <v>5.525686079370729</v>
      </c>
      <c r="U64" s="801">
        <f>$R$53</f>
        <v>5.525686079370729</v>
      </c>
      <c r="V64" s="796">
        <f>$R$53</f>
        <v>5.525686079370729</v>
      </c>
      <c r="W64" s="802">
        <f>$R$53</f>
        <v>5.525686079370729</v>
      </c>
      <c r="X64" s="793"/>
      <c r="Y64" s="794"/>
      <c r="AD64" s="4"/>
      <c r="AE64" s="4"/>
    </row>
    <row r="65" spans="1:31" ht="15.75" thickBot="1" x14ac:dyDescent="0.3">
      <c r="B65" s="69"/>
      <c r="C65" s="69"/>
      <c r="D65" s="69"/>
      <c r="E65" s="69"/>
      <c r="F65" s="69"/>
      <c r="G65" s="69"/>
      <c r="H65" s="70"/>
      <c r="I65" s="70"/>
      <c r="J65" s="70"/>
      <c r="K65" s="70"/>
      <c r="L65" s="872" t="s">
        <v>300</v>
      </c>
      <c r="M65" s="873"/>
      <c r="N65" s="874"/>
      <c r="O65" s="782"/>
      <c r="P65" s="782"/>
      <c r="Q65" s="782"/>
      <c r="R65" s="782"/>
      <c r="S65" s="786"/>
      <c r="T65" s="803">
        <f>+$S$53</f>
        <v>0</v>
      </c>
      <c r="U65" s="801">
        <f>+$S$53</f>
        <v>0</v>
      </c>
      <c r="V65" s="804">
        <f>+$S$53</f>
        <v>0</v>
      </c>
      <c r="W65" s="805">
        <f>+$S$53</f>
        <v>0</v>
      </c>
      <c r="X65" s="806">
        <f>+$S$53</f>
        <v>0</v>
      </c>
      <c r="Y65" s="794"/>
      <c r="AD65" s="4"/>
      <c r="AE65" s="4"/>
    </row>
    <row r="66" spans="1:31" ht="15.75" thickBot="1" x14ac:dyDescent="0.3">
      <c r="B66" s="69"/>
      <c r="C66" s="69"/>
      <c r="D66" s="69"/>
      <c r="E66" s="69"/>
      <c r="F66" s="69"/>
      <c r="G66" s="69"/>
      <c r="H66" s="70"/>
      <c r="I66" s="70"/>
      <c r="J66" s="70"/>
      <c r="K66" s="70"/>
      <c r="L66" s="91" t="s">
        <v>700</v>
      </c>
      <c r="M66" s="92"/>
      <c r="N66" s="92"/>
      <c r="O66" s="807"/>
      <c r="P66" s="807"/>
      <c r="Q66" s="807"/>
      <c r="R66" s="807"/>
      <c r="S66" s="808">
        <f>S59</f>
        <v>-6.7653813274617391E-2</v>
      </c>
      <c r="T66" s="808">
        <f>+SUM(T60:T65)</f>
        <v>20.314740844343717</v>
      </c>
      <c r="U66" s="808">
        <f>+SUM(U62:U65)</f>
        <v>0.54214404076515166</v>
      </c>
      <c r="V66" s="808">
        <f>+SUM(V63:V65)</f>
        <v>-1.4956124293805999</v>
      </c>
      <c r="W66" s="808">
        <f>+SUM(W64:W65)</f>
        <v>5.525686079370729</v>
      </c>
      <c r="X66" s="808">
        <f>+SUM(X65)</f>
        <v>0</v>
      </c>
      <c r="Y66" s="809">
        <f>+SUM(T66:X66)</f>
        <v>24.886958535098998</v>
      </c>
      <c r="AE66" s="4"/>
    </row>
    <row r="67" spans="1:31" ht="18.75" thickBot="1" x14ac:dyDescent="0.3">
      <c r="B67" s="69"/>
      <c r="C67" s="69"/>
      <c r="D67" s="69"/>
      <c r="E67" s="69"/>
      <c r="F67" s="69"/>
      <c r="G67" s="69"/>
      <c r="H67" s="70"/>
      <c r="I67" s="70"/>
      <c r="J67" s="70"/>
      <c r="K67" s="101"/>
      <c r="L67" s="101"/>
      <c r="M67" s="101"/>
      <c r="N67" s="101"/>
      <c r="O67" s="101"/>
      <c r="P67" s="101"/>
      <c r="Q67" s="101"/>
      <c r="R67" s="101"/>
      <c r="S67" s="101"/>
      <c r="T67" s="93"/>
      <c r="U67" s="93"/>
      <c r="V67" s="93"/>
      <c r="W67" s="93"/>
      <c r="X67" s="93"/>
      <c r="Y67"/>
      <c r="AE67" s="4"/>
    </row>
    <row r="68" spans="1:31" ht="18.75" thickBot="1" x14ac:dyDescent="0.3">
      <c r="B68" s="69"/>
      <c r="C68" s="69"/>
      <c r="D68" s="69"/>
      <c r="E68" s="69"/>
      <c r="F68" s="69"/>
      <c r="G68" s="69"/>
      <c r="H68" s="70"/>
      <c r="I68" s="70"/>
      <c r="J68" s="70"/>
      <c r="K68" s="101"/>
      <c r="L68" s="94" t="s">
        <v>30</v>
      </c>
      <c r="M68" s="95"/>
      <c r="N68" s="96"/>
      <c r="O68" s="110"/>
      <c r="P68" s="111"/>
      <c r="Q68" s="111"/>
      <c r="R68" s="112"/>
      <c r="S68" s="810">
        <v>2.6776805162318285E-2</v>
      </c>
      <c r="T68" s="810">
        <v>3.3024266962367002E-2</v>
      </c>
      <c r="U68" s="111"/>
      <c r="V68" s="111"/>
      <c r="W68" s="111"/>
      <c r="X68" s="111"/>
      <c r="Y68" s="113"/>
      <c r="AE68" s="4"/>
    </row>
    <row r="69" spans="1:31" ht="18.75" thickBot="1" x14ac:dyDescent="0.3">
      <c r="B69" s="69"/>
      <c r="C69" s="69"/>
      <c r="D69" s="69"/>
      <c r="E69" s="69"/>
      <c r="F69" s="69"/>
      <c r="G69" s="69"/>
      <c r="H69" s="70"/>
      <c r="I69" s="70"/>
      <c r="J69" s="70"/>
      <c r="K69" s="101"/>
      <c r="L69" s="101"/>
      <c r="M69" s="101"/>
      <c r="N69" s="101"/>
      <c r="O69" s="101"/>
      <c r="P69" s="101"/>
      <c r="Q69" s="101"/>
      <c r="R69" s="101"/>
      <c r="S69" s="101"/>
      <c r="T69" s="93"/>
      <c r="U69" s="93"/>
      <c r="V69" s="93"/>
      <c r="W69" s="93"/>
      <c r="X69" s="93"/>
      <c r="Y69"/>
      <c r="AE69" s="4"/>
    </row>
    <row r="70" spans="1:31" ht="15.75" thickBot="1" x14ac:dyDescent="0.3">
      <c r="B70" s="69"/>
      <c r="C70" s="69"/>
      <c r="D70" s="69"/>
      <c r="E70" s="69"/>
      <c r="F70" s="69"/>
      <c r="G70" s="69"/>
      <c r="H70" s="70"/>
      <c r="I70" s="70"/>
      <c r="J70" s="69"/>
      <c r="K70" s="69"/>
      <c r="L70" s="94" t="s">
        <v>699</v>
      </c>
      <c r="M70" s="95"/>
      <c r="N70" s="95"/>
      <c r="O70" s="96"/>
      <c r="P70" s="96"/>
      <c r="Q70" s="96"/>
      <c r="R70" s="96"/>
      <c r="S70" s="96"/>
      <c r="T70" s="811">
        <f>T66+S66*(1+S68)^(6/12)*(1+T68)^(6/12)</f>
        <v>20.245064466276077</v>
      </c>
      <c r="U70" s="811">
        <f>U66</f>
        <v>0.54214404076515166</v>
      </c>
      <c r="V70" s="811">
        <f>V66</f>
        <v>-1.4956124293805999</v>
      </c>
      <c r="W70" s="811">
        <f>W66</f>
        <v>5.525686079370729</v>
      </c>
      <c r="X70" s="811">
        <f>X66</f>
        <v>0</v>
      </c>
      <c r="Y70" s="812">
        <f>+SUM(T70:X70)</f>
        <v>24.817282157031357</v>
      </c>
      <c r="AE70" s="4"/>
    </row>
    <row r="71" spans="1:31" ht="15" x14ac:dyDescent="0.25">
      <c r="B71" s="69"/>
      <c r="C71" s="69"/>
      <c r="D71" s="69"/>
      <c r="E71" s="69"/>
      <c r="F71" s="69"/>
      <c r="G71" s="69"/>
      <c r="H71" s="70"/>
      <c r="I71" s="70"/>
      <c r="J71" s="97"/>
      <c r="K71" s="97"/>
      <c r="L71" s="97"/>
      <c r="M71" s="97"/>
      <c r="N71" s="98"/>
      <c r="O71" s="97"/>
      <c r="P71" s="97"/>
      <c r="Q71" s="97"/>
      <c r="R71" s="98"/>
      <c r="S71" s="98"/>
      <c r="T71" s="98"/>
      <c r="U71" s="99"/>
      <c r="V71" s="99"/>
      <c r="W71"/>
      <c r="X71"/>
      <c r="Y71"/>
    </row>
    <row r="72" spans="1:31" s="102" customFormat="1" ht="18" x14ac:dyDescent="0.25">
      <c r="A72" s="1"/>
      <c r="B72" s="69"/>
      <c r="C72" s="69"/>
      <c r="D72" s="69"/>
      <c r="E72" s="69"/>
      <c r="F72" s="69"/>
      <c r="G72" s="69"/>
      <c r="H72" s="70"/>
      <c r="I72" s="70"/>
      <c r="K72" s="100"/>
      <c r="L72" s="100"/>
      <c r="M72" s="100"/>
      <c r="N72" s="101"/>
      <c r="O72" s="101"/>
      <c r="P72" s="101"/>
      <c r="Q72" s="101"/>
      <c r="R72" s="101"/>
      <c r="S72" s="101"/>
      <c r="T72" s="101"/>
      <c r="U72" s="101"/>
      <c r="V72" s="101"/>
      <c r="W72" s="101"/>
      <c r="X72" s="101"/>
      <c r="Y72"/>
      <c r="Z72"/>
      <c r="AA72"/>
      <c r="AB72"/>
      <c r="AC72"/>
      <c r="AD72"/>
      <c r="AE72"/>
    </row>
    <row r="73" spans="1:31" ht="15" x14ac:dyDescent="0.25">
      <c r="B73" s="69"/>
      <c r="C73" s="69"/>
      <c r="D73" s="69"/>
      <c r="E73" s="69"/>
      <c r="F73" s="69"/>
      <c r="G73" s="69"/>
      <c r="H73" s="70"/>
      <c r="I73" s="70"/>
      <c r="K73" s="97"/>
      <c r="L73" s="97"/>
      <c r="M73" s="97"/>
      <c r="N73" s="103"/>
      <c r="O73" s="104"/>
      <c r="P73" s="104"/>
      <c r="Q73" s="104"/>
      <c r="R73" s="103"/>
      <c r="S73" s="103"/>
      <c r="T73" s="103"/>
      <c r="U73" s="99"/>
      <c r="V73" s="99"/>
      <c r="W73"/>
      <c r="X73"/>
      <c r="Y73"/>
    </row>
    <row r="74" spans="1:31" s="20" customFormat="1" ht="15" x14ac:dyDescent="0.25">
      <c r="A74" s="1"/>
      <c r="B74" s="69"/>
      <c r="C74" s="69"/>
      <c r="D74" s="69"/>
      <c r="E74" s="69"/>
      <c r="F74" s="69"/>
      <c r="G74" s="69"/>
      <c r="H74" s="70"/>
      <c r="I74" s="70"/>
      <c r="Z74"/>
      <c r="AA74"/>
      <c r="AB74"/>
      <c r="AC74"/>
      <c r="AD74"/>
      <c r="AE74"/>
    </row>
    <row r="75" spans="1:31" ht="15" x14ac:dyDescent="0.25">
      <c r="B75" s="69"/>
      <c r="C75" s="69"/>
      <c r="D75" s="69"/>
      <c r="E75" s="69"/>
      <c r="F75" s="69"/>
      <c r="G75" s="69"/>
      <c r="H75" s="70"/>
      <c r="I75" s="70"/>
      <c r="K75" s="103"/>
      <c r="L75" s="103"/>
      <c r="M75" s="103"/>
      <c r="N75" s="64"/>
      <c r="O75" s="64"/>
      <c r="P75" s="64"/>
      <c r="Q75" s="99"/>
      <c r="R75" s="99"/>
      <c r="S75"/>
      <c r="T75"/>
      <c r="U75"/>
      <c r="V75"/>
      <c r="W75"/>
      <c r="X75"/>
      <c r="Y75"/>
    </row>
    <row r="76" spans="1:31" ht="15" x14ac:dyDescent="0.25">
      <c r="B76" s="69"/>
      <c r="C76" s="69"/>
      <c r="D76" s="69"/>
      <c r="E76" s="69"/>
      <c r="F76" s="69"/>
      <c r="G76" s="69"/>
      <c r="H76" s="70"/>
      <c r="I76" s="70"/>
      <c r="K76" s="97"/>
      <c r="L76" s="97"/>
      <c r="M76" s="97"/>
      <c r="N76" s="104"/>
      <c r="O76" s="104"/>
      <c r="P76" s="104"/>
      <c r="Q76" s="99"/>
      <c r="R76" s="99"/>
      <c r="S76"/>
      <c r="T76"/>
      <c r="U76"/>
      <c r="V76"/>
      <c r="W76"/>
      <c r="X76"/>
      <c r="Y76"/>
    </row>
    <row r="77" spans="1:31" ht="15" x14ac:dyDescent="0.25">
      <c r="B77" s="69"/>
      <c r="C77" s="69"/>
      <c r="D77" s="69"/>
      <c r="E77" s="69"/>
      <c r="F77" s="69"/>
      <c r="G77" s="69"/>
      <c r="H77" s="70"/>
      <c r="I77" s="70"/>
      <c r="K77" s="97"/>
      <c r="L77" s="97"/>
      <c r="M77" s="97"/>
      <c r="N77" s="103"/>
      <c r="O77" s="103"/>
      <c r="P77" s="103"/>
      <c r="Q77" s="105"/>
      <c r="R77" s="99"/>
      <c r="S77"/>
      <c r="T77"/>
      <c r="U77"/>
      <c r="V77"/>
      <c r="W77"/>
      <c r="X77"/>
      <c r="Y77"/>
    </row>
    <row r="78" spans="1:31" ht="15" x14ac:dyDescent="0.25">
      <c r="B78" s="69"/>
      <c r="C78" s="69"/>
      <c r="D78" s="69"/>
      <c r="E78" s="69"/>
      <c r="F78" s="69"/>
      <c r="G78" s="69"/>
      <c r="H78" s="70"/>
      <c r="I78" s="70"/>
      <c r="K78" s="97"/>
      <c r="L78" s="97"/>
      <c r="M78" s="97"/>
      <c r="N78" s="97"/>
      <c r="O78" s="97"/>
      <c r="P78" s="97"/>
      <c r="Q78" s="99"/>
      <c r="R78" s="105"/>
      <c r="S78"/>
      <c r="T78"/>
      <c r="U78"/>
      <c r="V78"/>
      <c r="W78"/>
      <c r="X78"/>
      <c r="Y78"/>
    </row>
    <row r="79" spans="1:31" ht="15" x14ac:dyDescent="0.25">
      <c r="B79" s="69"/>
      <c r="C79" s="69"/>
      <c r="D79" s="69"/>
      <c r="E79" s="69"/>
      <c r="F79" s="69"/>
      <c r="G79" s="69"/>
      <c r="H79" s="70"/>
      <c r="I79" s="70"/>
      <c r="N79" s="97"/>
      <c r="O79" s="97"/>
      <c r="P79" s="97"/>
      <c r="Q79" s="99"/>
      <c r="R79" s="99"/>
      <c r="S79"/>
      <c r="T79"/>
      <c r="U79"/>
      <c r="V79"/>
      <c r="W79"/>
      <c r="X79"/>
      <c r="Y79"/>
    </row>
    <row r="80" spans="1:31" ht="15" x14ac:dyDescent="0.25">
      <c r="B80" s="69"/>
      <c r="C80" s="69"/>
      <c r="D80" s="69"/>
      <c r="E80" s="69"/>
      <c r="F80" s="69"/>
      <c r="G80" s="69"/>
      <c r="H80" s="70"/>
      <c r="I80" s="70"/>
      <c r="N80" s="97"/>
      <c r="O80" s="97"/>
      <c r="P80" s="97"/>
      <c r="Q80" s="99"/>
      <c r="R80" s="99"/>
      <c r="S80"/>
      <c r="T80"/>
      <c r="U80"/>
      <c r="V80"/>
      <c r="W80"/>
      <c r="X80"/>
      <c r="Y80"/>
    </row>
    <row r="81" spans="2:25" ht="15" x14ac:dyDescent="0.25">
      <c r="B81" s="69"/>
      <c r="C81" s="69"/>
      <c r="D81" s="69"/>
      <c r="E81" s="69"/>
      <c r="F81" s="69"/>
      <c r="G81" s="69"/>
      <c r="H81" s="70"/>
      <c r="I81" s="70"/>
      <c r="R81" s="99"/>
      <c r="S81"/>
      <c r="T81"/>
      <c r="U81"/>
      <c r="V81"/>
      <c r="W81"/>
      <c r="X81"/>
      <c r="Y81"/>
    </row>
    <row r="82" spans="2:25" ht="15" x14ac:dyDescent="0.25">
      <c r="B82" s="69"/>
      <c r="C82" s="69"/>
      <c r="D82" s="69"/>
      <c r="E82" s="69"/>
      <c r="F82" s="69"/>
      <c r="G82" s="69"/>
      <c r="H82" s="70"/>
      <c r="I82" s="70"/>
      <c r="X82"/>
      <c r="Y82"/>
    </row>
    <row r="83" spans="2:25" ht="15" x14ac:dyDescent="0.25">
      <c r="B83" s="69"/>
      <c r="C83" s="69"/>
      <c r="D83" s="69"/>
      <c r="E83" s="69"/>
      <c r="F83" s="69"/>
      <c r="G83" s="69"/>
      <c r="H83" s="70"/>
      <c r="I83" s="70"/>
    </row>
    <row r="84" spans="2:25" ht="15" x14ac:dyDescent="0.25">
      <c r="B84" s="69"/>
      <c r="C84" s="69"/>
      <c r="D84" s="69"/>
      <c r="E84" s="69"/>
      <c r="F84" s="69"/>
      <c r="G84" s="69"/>
      <c r="H84" s="70"/>
      <c r="I84" s="70"/>
    </row>
    <row r="85" spans="2:25" ht="15" x14ac:dyDescent="0.25"/>
    <row r="86" spans="2:25" ht="15" x14ac:dyDescent="0.25"/>
  </sheetData>
  <sheetProtection formatColumns="0"/>
  <mergeCells count="26">
    <mergeCell ref="O56:S56"/>
    <mergeCell ref="T56:X56"/>
    <mergeCell ref="O57:Y57"/>
    <mergeCell ref="L60:N60"/>
    <mergeCell ref="L59:N59"/>
    <mergeCell ref="L61:N61"/>
    <mergeCell ref="L62:N62"/>
    <mergeCell ref="L63:N63"/>
    <mergeCell ref="L64:N64"/>
    <mergeCell ref="L65:N65"/>
    <mergeCell ref="C39:J39"/>
    <mergeCell ref="F40:J40"/>
    <mergeCell ref="C40:E40"/>
    <mergeCell ref="U50:Z50"/>
    <mergeCell ref="U51:Z51"/>
    <mergeCell ref="O40:S40"/>
    <mergeCell ref="L39:S39"/>
    <mergeCell ref="L40:N40"/>
    <mergeCell ref="B8:N8"/>
    <mergeCell ref="C26:D26"/>
    <mergeCell ref="F26:J26"/>
    <mergeCell ref="F27:J27"/>
    <mergeCell ref="L26:S26"/>
    <mergeCell ref="L27:N27"/>
    <mergeCell ref="O27:S27"/>
    <mergeCell ref="C27:E27"/>
  </mergeCells>
  <conditionalFormatting sqref="C29:J29">
    <cfRule type="expression" dxfId="22" priority="3">
      <formula>dms_TradingName = "Endeavour Energy"</formula>
    </cfRule>
    <cfRule type="expression" dxfId="21" priority="4">
      <formula>dms_TradingName = "TasNetworks (T)"</formula>
    </cfRule>
  </conditionalFormatting>
  <conditionalFormatting sqref="C31:J35 C42:I42 C44:I49">
    <cfRule type="expression" dxfId="20" priority="5">
      <formula>dms_TradingName = "Endeavour Energy"</formula>
    </cfRule>
    <cfRule type="expression" dxfId="19" priority="6">
      <formula>dms_TradingName = "TasNetworks (T)"</formula>
    </cfRule>
  </conditionalFormatting>
  <conditionalFormatting sqref="S68:T68">
    <cfRule type="expression" dxfId="18" priority="1">
      <formula>dms_TradingName = "Endeavour Energy"</formula>
    </cfRule>
    <cfRule type="expression" dxfId="17" priority="2">
      <formula>dms_TradingName = "TasNetworks (T)"</formula>
    </cfRule>
  </conditionalFormatting>
  <dataValidations count="3">
    <dataValidation type="list" allowBlank="1" showInputMessage="1" showErrorMessage="1" sqref="T50" xr:uid="{A50B6EFE-13DC-4C86-AEBA-1A3467A97E38}">
      <formula1>$O$41:$R$41</formula1>
    </dataValidation>
    <dataValidation type="custom" allowBlank="1" showInputMessage="1" showErrorMessage="1" error="Must be a number" promptTitle="Opex allowance" prompt="Enter value. _x000a__x000a_As set out in the approved PTRM for the current regulatory control period." sqref="C29:J29" xr:uid="{D3657B13-850F-4079-846F-18C2E24856E3}">
      <formula1>ISNUMBER(C29)</formula1>
    </dataValidation>
    <dataValidation type="list" allowBlank="1" showInputMessage="1" showErrorMessage="1" sqref="C23" xr:uid="{8E409B76-E854-4800-B34A-E30059B0B8A1}">
      <formula1>$D$14:$H$14</formula1>
    </dataValidation>
  </dataValidations>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0EB88A-2934-446D-914E-74AFFC387658}">
  <sheetPr codeName="Sheet3">
    <tabColor theme="1"/>
  </sheetPr>
  <dimension ref="A1:AL106"/>
  <sheetViews>
    <sheetView showGridLines="0" zoomScaleNormal="100" workbookViewId="0">
      <pane xSplit="2" topLeftCell="E1" activePane="topRight" state="frozen"/>
      <selection activeCell="C32" sqref="C32"/>
      <selection pane="topRight" activeCell="C32" sqref="C32"/>
    </sheetView>
  </sheetViews>
  <sheetFormatPr defaultColWidth="9.140625" defaultRowHeight="15" x14ac:dyDescent="0.25"/>
  <cols>
    <col min="1" max="1" width="16.7109375" customWidth="1"/>
    <col min="2" max="2" width="33.85546875" style="30" customWidth="1"/>
    <col min="3" max="3" width="60.5703125" style="30" customWidth="1"/>
    <col min="4" max="4" width="38.85546875" customWidth="1"/>
    <col min="5" max="5" width="27" style="104" customWidth="1"/>
    <col min="6" max="6" width="22.140625" customWidth="1"/>
    <col min="7" max="7" width="27.28515625" customWidth="1"/>
    <col min="8" max="8" width="28.28515625" style="30" customWidth="1"/>
    <col min="9" max="9" width="19" style="198" customWidth="1"/>
    <col min="10" max="10" width="25.7109375" style="30" customWidth="1"/>
    <col min="11" max="11" width="27.85546875" style="30" customWidth="1"/>
    <col min="12" max="12" width="27.5703125" style="199" customWidth="1"/>
    <col min="13" max="13" width="27.85546875" customWidth="1"/>
    <col min="14" max="14" width="21" customWidth="1"/>
    <col min="15" max="15" width="21" style="75" customWidth="1"/>
    <col min="16" max="17" width="22.28515625" style="75" customWidth="1"/>
    <col min="18" max="19" width="25" style="75" customWidth="1"/>
    <col min="20" max="20" width="22.5703125" style="75" customWidth="1"/>
    <col min="21" max="22" width="23.85546875" style="75" customWidth="1"/>
    <col min="23" max="23" width="26.42578125" customWidth="1"/>
    <col min="24" max="24" width="37.85546875" customWidth="1"/>
    <col min="25" max="25" width="21.28515625" customWidth="1"/>
    <col min="26" max="27" width="27" customWidth="1"/>
    <col min="28" max="29" width="30.140625" customWidth="1"/>
    <col min="30" max="30" width="25.140625" customWidth="1"/>
    <col min="31" max="31" width="28.85546875" customWidth="1"/>
    <col min="32" max="32" width="28.5703125" customWidth="1"/>
    <col min="33" max="33" width="25.140625" customWidth="1"/>
    <col min="34" max="35" width="30" customWidth="1"/>
    <col min="36" max="36" width="32" customWidth="1"/>
    <col min="37" max="37" width="28.5703125" customWidth="1"/>
  </cols>
  <sheetData>
    <row r="1" spans="1:38" ht="51" customHeight="1" x14ac:dyDescent="0.25">
      <c r="B1" s="117" t="s">
        <v>34</v>
      </c>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c r="AF1" s="118"/>
      <c r="AG1" s="118"/>
      <c r="AH1" s="118"/>
      <c r="AI1" s="118"/>
      <c r="AJ1" s="118"/>
      <c r="AK1" s="118"/>
    </row>
    <row r="2" spans="1:38" ht="24.75" customHeight="1" thickBot="1" x14ac:dyDescent="0.3">
      <c r="B2"/>
      <c r="C2"/>
      <c r="E2"/>
      <c r="H2"/>
      <c r="I2"/>
      <c r="J2"/>
      <c r="K2"/>
      <c r="L2"/>
      <c r="O2"/>
      <c r="P2"/>
      <c r="Q2"/>
      <c r="R2"/>
      <c r="S2"/>
      <c r="T2"/>
      <c r="U2"/>
      <c r="V2"/>
    </row>
    <row r="3" spans="1:38" ht="24.75" customHeight="1" thickBot="1" x14ac:dyDescent="0.3">
      <c r="B3" s="119" t="s">
        <v>35</v>
      </c>
      <c r="C3" s="120">
        <v>5</v>
      </c>
      <c r="E3"/>
      <c r="H3"/>
      <c r="I3"/>
      <c r="J3"/>
      <c r="K3"/>
      <c r="L3"/>
      <c r="O3"/>
      <c r="P3"/>
      <c r="Q3"/>
      <c r="R3"/>
      <c r="S3"/>
      <c r="T3"/>
      <c r="U3"/>
      <c r="V3"/>
    </row>
    <row r="4" spans="1:38" ht="24.75" customHeight="1" thickBot="1" x14ac:dyDescent="0.3">
      <c r="B4" s="121"/>
      <c r="C4" s="122"/>
      <c r="D4" s="122"/>
      <c r="E4" s="122"/>
      <c r="F4" s="122"/>
      <c r="G4" s="122"/>
      <c r="H4" s="122"/>
      <c r="I4" s="122"/>
      <c r="J4" s="122"/>
      <c r="K4" s="122"/>
      <c r="L4" s="122"/>
      <c r="M4" s="122"/>
      <c r="N4" s="122"/>
      <c r="O4" s="122"/>
      <c r="P4" s="122"/>
      <c r="Q4" s="122"/>
      <c r="R4" s="122"/>
      <c r="S4" s="122"/>
      <c r="T4" s="122"/>
      <c r="U4" s="122"/>
      <c r="V4" s="122"/>
      <c r="W4" s="122"/>
      <c r="X4" s="122"/>
    </row>
    <row r="5" spans="1:38" ht="16.5" thickBot="1" x14ac:dyDescent="0.3">
      <c r="B5" s="123"/>
      <c r="C5" s="124"/>
      <c r="D5" s="124"/>
      <c r="E5" s="124"/>
      <c r="F5" s="124"/>
      <c r="G5" s="124"/>
      <c r="H5" s="124"/>
      <c r="I5" s="124"/>
      <c r="J5" s="124"/>
      <c r="K5" s="124"/>
      <c r="L5" s="124"/>
      <c r="M5" s="124"/>
      <c r="N5" s="124"/>
      <c r="O5" s="124"/>
      <c r="P5" s="124"/>
      <c r="Q5" s="124"/>
      <c r="R5" s="124"/>
      <c r="S5" s="124"/>
      <c r="T5" s="124"/>
      <c r="U5" s="124"/>
      <c r="V5" s="124"/>
      <c r="W5" s="124"/>
      <c r="X5" s="124"/>
      <c r="Y5" s="125"/>
      <c r="Z5" s="888" t="s">
        <v>36</v>
      </c>
      <c r="AA5" s="888"/>
      <c r="AB5" s="888"/>
      <c r="AC5" s="888"/>
      <c r="AD5" s="888"/>
      <c r="AE5" s="888"/>
      <c r="AF5" s="888"/>
      <c r="AG5" s="888"/>
      <c r="AH5" s="888"/>
      <c r="AI5" s="888"/>
      <c r="AJ5" s="888"/>
      <c r="AK5" s="888"/>
      <c r="AL5" s="126"/>
    </row>
    <row r="6" spans="1:38" x14ac:dyDescent="0.25">
      <c r="B6" s="127"/>
      <c r="C6" s="128"/>
      <c r="D6" s="128"/>
      <c r="E6" s="128"/>
      <c r="F6" s="128"/>
      <c r="G6" s="128"/>
      <c r="H6" s="128"/>
      <c r="I6" s="128"/>
      <c r="J6" s="128"/>
      <c r="K6" s="128"/>
      <c r="L6" s="128"/>
      <c r="M6" s="128"/>
      <c r="N6" s="128"/>
      <c r="O6" s="128"/>
      <c r="P6" s="128"/>
      <c r="Q6" s="128"/>
      <c r="R6" s="128"/>
      <c r="S6" s="128"/>
      <c r="T6" s="128"/>
      <c r="U6" s="128"/>
      <c r="V6" s="128"/>
      <c r="W6" s="128"/>
      <c r="X6" s="128"/>
      <c r="Y6" s="129"/>
      <c r="Z6" s="889" t="s">
        <v>37</v>
      </c>
      <c r="AA6" s="889"/>
      <c r="AB6" s="889"/>
      <c r="AC6" s="889"/>
      <c r="AD6" s="130" t="s">
        <v>38</v>
      </c>
      <c r="AE6" s="890" t="s">
        <v>39</v>
      </c>
      <c r="AF6" s="891"/>
      <c r="AG6" s="891"/>
      <c r="AH6" s="891"/>
      <c r="AI6" s="892"/>
      <c r="AJ6" s="899"/>
      <c r="AK6" s="899"/>
      <c r="AL6" s="883"/>
    </row>
    <row r="7" spans="1:38" x14ac:dyDescent="0.25">
      <c r="B7" s="127"/>
      <c r="C7" s="128"/>
      <c r="D7" s="128"/>
      <c r="E7" s="128"/>
      <c r="F7" s="128"/>
      <c r="G7" s="128"/>
      <c r="H7" s="128"/>
      <c r="I7" s="128"/>
      <c r="J7" s="128"/>
      <c r="K7" s="128"/>
      <c r="L7" s="128"/>
      <c r="M7" s="128"/>
      <c r="N7" s="128"/>
      <c r="O7" s="128"/>
      <c r="P7" s="128"/>
      <c r="Q7" s="128"/>
      <c r="R7" s="128"/>
      <c r="S7" s="128"/>
      <c r="T7" s="128"/>
      <c r="U7" s="128"/>
      <c r="V7" s="128"/>
      <c r="W7" s="128"/>
      <c r="X7" s="128"/>
      <c r="Y7" s="129"/>
      <c r="Z7" s="131"/>
      <c r="AA7" s="131"/>
      <c r="AB7" s="131"/>
      <c r="AC7" s="131"/>
      <c r="AD7" s="132"/>
      <c r="AE7" s="893"/>
      <c r="AF7" s="894"/>
      <c r="AG7" s="894"/>
      <c r="AH7" s="894"/>
      <c r="AI7" s="895"/>
      <c r="AJ7" s="900"/>
      <c r="AK7" s="900"/>
      <c r="AL7" s="884"/>
    </row>
    <row r="8" spans="1:38" ht="15.75" thickBot="1" x14ac:dyDescent="0.3">
      <c r="B8" s="76"/>
      <c r="C8" s="133"/>
      <c r="D8" s="133"/>
      <c r="E8" s="133"/>
      <c r="F8" s="133"/>
      <c r="G8" s="133"/>
      <c r="H8" s="133"/>
      <c r="I8" s="133"/>
      <c r="J8" s="133"/>
      <c r="K8" s="133"/>
      <c r="L8" s="133"/>
      <c r="M8" s="133"/>
      <c r="N8" s="133"/>
      <c r="O8" s="133"/>
      <c r="P8" s="133"/>
      <c r="Q8" s="133"/>
      <c r="R8" s="133"/>
      <c r="S8" s="133"/>
      <c r="T8" s="133"/>
      <c r="U8" s="133"/>
      <c r="V8" s="133"/>
      <c r="W8" s="133"/>
      <c r="X8" s="133"/>
      <c r="Y8" s="134"/>
      <c r="Z8" s="135" t="s">
        <v>40</v>
      </c>
      <c r="AA8" s="135" t="s">
        <v>41</v>
      </c>
      <c r="AB8" s="135" t="s">
        <v>42</v>
      </c>
      <c r="AC8" s="135" t="s">
        <v>43</v>
      </c>
      <c r="AD8" s="136" t="s">
        <v>44</v>
      </c>
      <c r="AE8" s="896"/>
      <c r="AF8" s="897"/>
      <c r="AG8" s="897"/>
      <c r="AH8" s="897"/>
      <c r="AI8" s="898"/>
      <c r="AJ8" s="901"/>
      <c r="AK8" s="901"/>
      <c r="AL8" s="885"/>
    </row>
    <row r="9" spans="1:38" s="156" customFormat="1" ht="40.5" customHeight="1" x14ac:dyDescent="0.25">
      <c r="A9" s="137"/>
      <c r="B9" s="138" t="s">
        <v>45</v>
      </c>
      <c r="C9" s="139" t="s">
        <v>46</v>
      </c>
      <c r="D9" s="140" t="s">
        <v>47</v>
      </c>
      <c r="E9" s="141" t="s">
        <v>48</v>
      </c>
      <c r="F9" s="142" t="s">
        <v>49</v>
      </c>
      <c r="G9" s="143" t="s">
        <v>50</v>
      </c>
      <c r="H9" s="143" t="s">
        <v>51</v>
      </c>
      <c r="I9" s="143" t="s">
        <v>52</v>
      </c>
      <c r="J9" s="143" t="s">
        <v>53</v>
      </c>
      <c r="K9" s="143" t="s">
        <v>54</v>
      </c>
      <c r="L9" s="144" t="s">
        <v>55</v>
      </c>
      <c r="M9" s="145" t="s">
        <v>56</v>
      </c>
      <c r="N9" s="145" t="s">
        <v>57</v>
      </c>
      <c r="O9" s="146" t="s">
        <v>58</v>
      </c>
      <c r="P9" s="147" t="s">
        <v>59</v>
      </c>
      <c r="Q9" s="148" t="s">
        <v>60</v>
      </c>
      <c r="R9" s="148" t="s">
        <v>61</v>
      </c>
      <c r="S9" s="148" t="s">
        <v>62</v>
      </c>
      <c r="T9" s="148" t="s">
        <v>63</v>
      </c>
      <c r="U9" s="149" t="s">
        <v>64</v>
      </c>
      <c r="V9" s="149" t="s">
        <v>65</v>
      </c>
      <c r="W9" s="149" t="s">
        <v>66</v>
      </c>
      <c r="X9" s="149" t="s">
        <v>67</v>
      </c>
      <c r="Y9" s="149" t="s">
        <v>68</v>
      </c>
      <c r="Z9" s="150" t="s">
        <v>69</v>
      </c>
      <c r="AA9" s="150" t="s">
        <v>70</v>
      </c>
      <c r="AB9" s="150" t="s">
        <v>71</v>
      </c>
      <c r="AC9" s="150" t="s">
        <v>72</v>
      </c>
      <c r="AD9" s="150" t="s">
        <v>73</v>
      </c>
      <c r="AE9" s="151" t="s">
        <v>74</v>
      </c>
      <c r="AF9" s="152" t="s">
        <v>75</v>
      </c>
      <c r="AG9" s="152" t="s">
        <v>76</v>
      </c>
      <c r="AH9" s="152" t="s">
        <v>77</v>
      </c>
      <c r="AI9" s="153" t="s">
        <v>78</v>
      </c>
      <c r="AJ9" s="154" t="s">
        <v>79</v>
      </c>
      <c r="AK9" s="154" t="s">
        <v>80</v>
      </c>
      <c r="AL9" s="155" t="s">
        <v>81</v>
      </c>
    </row>
    <row r="10" spans="1:38" x14ac:dyDescent="0.25">
      <c r="B10" s="162" t="s">
        <v>93</v>
      </c>
      <c r="C10" s="163" t="s">
        <v>94</v>
      </c>
      <c r="D10" s="176">
        <v>91064651118</v>
      </c>
      <c r="E10" s="164" t="s">
        <v>95</v>
      </c>
      <c r="F10" s="165" t="s">
        <v>82</v>
      </c>
      <c r="G10" s="166" t="s">
        <v>83</v>
      </c>
      <c r="H10" s="166" t="s">
        <v>89</v>
      </c>
      <c r="I10" s="167" t="s">
        <v>92</v>
      </c>
      <c r="J10" s="168" t="s">
        <v>84</v>
      </c>
      <c r="K10" s="167" t="s">
        <v>90</v>
      </c>
      <c r="L10" s="169">
        <v>5</v>
      </c>
      <c r="M10" s="170">
        <v>5</v>
      </c>
      <c r="N10" s="171">
        <v>5</v>
      </c>
      <c r="O10" s="172">
        <v>2</v>
      </c>
      <c r="P10" s="173" t="s">
        <v>96</v>
      </c>
      <c r="Q10" s="174" t="s">
        <v>97</v>
      </c>
      <c r="R10" s="174" t="s">
        <v>98</v>
      </c>
      <c r="S10" s="174" t="s">
        <v>82</v>
      </c>
      <c r="T10" s="175">
        <v>3006</v>
      </c>
      <c r="U10" s="177" t="s">
        <v>99</v>
      </c>
      <c r="V10" s="174"/>
      <c r="W10" s="174" t="s">
        <v>100</v>
      </c>
      <c r="X10" s="174" t="s">
        <v>82</v>
      </c>
      <c r="Y10" s="175">
        <v>8001</v>
      </c>
      <c r="Z10" s="157" t="s">
        <v>86</v>
      </c>
      <c r="AA10" s="158" t="s">
        <v>88</v>
      </c>
      <c r="AB10" s="158" t="s">
        <v>88</v>
      </c>
      <c r="AC10" s="158" t="s">
        <v>88</v>
      </c>
      <c r="AD10" s="158" t="s">
        <v>86</v>
      </c>
      <c r="AE10" s="157" t="s">
        <v>40</v>
      </c>
      <c r="AF10" s="158" t="s">
        <v>41</v>
      </c>
      <c r="AG10" s="158" t="s">
        <v>42</v>
      </c>
      <c r="AH10" s="158" t="s">
        <v>87</v>
      </c>
      <c r="AI10" s="158"/>
      <c r="AJ10" s="159" t="s">
        <v>88</v>
      </c>
      <c r="AK10" s="160" t="s">
        <v>88</v>
      </c>
      <c r="AL10" s="161" t="str">
        <f t="shared" ref="AL10:AL15" si="0">B10</f>
        <v>AusNet (D)</v>
      </c>
    </row>
    <row r="11" spans="1:38" x14ac:dyDescent="0.25">
      <c r="B11" s="180" t="s">
        <v>104</v>
      </c>
      <c r="C11" s="181" t="s">
        <v>105</v>
      </c>
      <c r="D11" s="182">
        <v>11222333444</v>
      </c>
      <c r="E11" s="183" t="s">
        <v>101</v>
      </c>
      <c r="F11" s="190" t="s">
        <v>82</v>
      </c>
      <c r="G11" s="184" t="s">
        <v>83</v>
      </c>
      <c r="H11" s="184" t="s">
        <v>89</v>
      </c>
      <c r="I11" s="184" t="s">
        <v>92</v>
      </c>
      <c r="J11" s="191" t="s">
        <v>84</v>
      </c>
      <c r="K11" s="184" t="s">
        <v>90</v>
      </c>
      <c r="L11" s="192">
        <v>5</v>
      </c>
      <c r="M11" s="193">
        <v>5</v>
      </c>
      <c r="N11" s="194">
        <v>5</v>
      </c>
      <c r="O11" s="185">
        <v>2</v>
      </c>
      <c r="P11" s="186" t="s">
        <v>102</v>
      </c>
      <c r="Q11" s="187"/>
      <c r="R11" s="187" t="s">
        <v>85</v>
      </c>
      <c r="S11" s="187" t="s">
        <v>82</v>
      </c>
      <c r="T11" s="188">
        <v>3000</v>
      </c>
      <c r="U11" s="186" t="s">
        <v>103</v>
      </c>
      <c r="V11" s="187"/>
      <c r="W11" s="187" t="s">
        <v>85</v>
      </c>
      <c r="X11" s="187" t="s">
        <v>82</v>
      </c>
      <c r="Y11" s="188">
        <v>3000</v>
      </c>
      <c r="Z11" s="157" t="s">
        <v>86</v>
      </c>
      <c r="AA11" s="158" t="s">
        <v>86</v>
      </c>
      <c r="AB11" s="158" t="s">
        <v>86</v>
      </c>
      <c r="AC11" s="158" t="s">
        <v>86</v>
      </c>
      <c r="AD11" s="158" t="s">
        <v>86</v>
      </c>
      <c r="AE11" s="157" t="s">
        <v>40</v>
      </c>
      <c r="AF11" s="158" t="s">
        <v>41</v>
      </c>
      <c r="AG11" s="158" t="s">
        <v>42</v>
      </c>
      <c r="AH11" s="158" t="s">
        <v>87</v>
      </c>
      <c r="AI11" s="158"/>
      <c r="AJ11" s="159" t="s">
        <v>88</v>
      </c>
      <c r="AK11" s="160" t="s">
        <v>88</v>
      </c>
      <c r="AL11" s="189" t="str">
        <f t="shared" si="0"/>
        <v>Australian Distribution Co. (Vic)</v>
      </c>
    </row>
    <row r="12" spans="1:38" x14ac:dyDescent="0.25">
      <c r="B12" s="162" t="s">
        <v>106</v>
      </c>
      <c r="C12" s="163" t="s">
        <v>106</v>
      </c>
      <c r="D12" s="176">
        <v>76064651056</v>
      </c>
      <c r="E12" s="164" t="s">
        <v>107</v>
      </c>
      <c r="F12" s="165" t="s">
        <v>82</v>
      </c>
      <c r="G12" s="166" t="s">
        <v>83</v>
      </c>
      <c r="H12" s="166" t="s">
        <v>89</v>
      </c>
      <c r="I12" s="167" t="s">
        <v>92</v>
      </c>
      <c r="J12" s="168" t="s">
        <v>84</v>
      </c>
      <c r="K12" s="167" t="s">
        <v>90</v>
      </c>
      <c r="L12" s="169">
        <v>5</v>
      </c>
      <c r="M12" s="170">
        <v>5</v>
      </c>
      <c r="N12" s="171">
        <v>5</v>
      </c>
      <c r="O12" s="172">
        <v>2</v>
      </c>
      <c r="P12" s="173" t="s">
        <v>108</v>
      </c>
      <c r="Q12" s="174"/>
      <c r="R12" s="174" t="s">
        <v>85</v>
      </c>
      <c r="S12" s="174" t="s">
        <v>82</v>
      </c>
      <c r="T12" s="175">
        <v>3000</v>
      </c>
      <c r="U12" s="173" t="s">
        <v>109</v>
      </c>
      <c r="V12" s="174"/>
      <c r="W12" s="174" t="s">
        <v>85</v>
      </c>
      <c r="X12" s="174" t="s">
        <v>82</v>
      </c>
      <c r="Y12" s="195">
        <v>8001</v>
      </c>
      <c r="Z12" s="157" t="s">
        <v>88</v>
      </c>
      <c r="AA12" s="158" t="s">
        <v>88</v>
      </c>
      <c r="AB12" s="158" t="s">
        <v>86</v>
      </c>
      <c r="AC12" s="158" t="s">
        <v>86</v>
      </c>
      <c r="AD12" s="158" t="s">
        <v>86</v>
      </c>
      <c r="AE12" s="157" t="s">
        <v>40</v>
      </c>
      <c r="AF12" s="158" t="s">
        <v>41</v>
      </c>
      <c r="AG12" s="158" t="s">
        <v>42</v>
      </c>
      <c r="AH12" s="158" t="s">
        <v>87</v>
      </c>
      <c r="AI12" s="158"/>
      <c r="AJ12" s="159" t="s">
        <v>88</v>
      </c>
      <c r="AK12" s="160" t="s">
        <v>88</v>
      </c>
      <c r="AL12" s="161" t="str">
        <f t="shared" si="0"/>
        <v>CitiPower</v>
      </c>
    </row>
    <row r="13" spans="1:38" x14ac:dyDescent="0.25">
      <c r="B13" s="162" t="s">
        <v>110</v>
      </c>
      <c r="C13" s="163" t="s">
        <v>110</v>
      </c>
      <c r="D13" s="176">
        <v>82064651083</v>
      </c>
      <c r="E13" s="164" t="s">
        <v>111</v>
      </c>
      <c r="F13" s="165" t="s">
        <v>82</v>
      </c>
      <c r="G13" s="166" t="s">
        <v>83</v>
      </c>
      <c r="H13" s="166" t="s">
        <v>89</v>
      </c>
      <c r="I13" s="167" t="s">
        <v>92</v>
      </c>
      <c r="J13" s="168" t="s">
        <v>84</v>
      </c>
      <c r="K13" s="167" t="s">
        <v>90</v>
      </c>
      <c r="L13" s="169">
        <v>5</v>
      </c>
      <c r="M13" s="170">
        <v>5</v>
      </c>
      <c r="N13" s="171">
        <v>5</v>
      </c>
      <c r="O13" s="172">
        <v>2</v>
      </c>
      <c r="P13" s="173" t="s">
        <v>112</v>
      </c>
      <c r="Q13" s="174" t="s">
        <v>113</v>
      </c>
      <c r="R13" s="174" t="s">
        <v>85</v>
      </c>
      <c r="S13" s="174" t="s">
        <v>82</v>
      </c>
      <c r="T13" s="175">
        <v>3000</v>
      </c>
      <c r="U13" s="173" t="s">
        <v>114</v>
      </c>
      <c r="V13" s="174"/>
      <c r="W13" s="174" t="s">
        <v>85</v>
      </c>
      <c r="X13" s="174" t="s">
        <v>82</v>
      </c>
      <c r="Y13" s="195">
        <v>8001</v>
      </c>
      <c r="Z13" s="157" t="s">
        <v>86</v>
      </c>
      <c r="AA13" s="158" t="s">
        <v>88</v>
      </c>
      <c r="AB13" s="158" t="s">
        <v>88</v>
      </c>
      <c r="AC13" s="158" t="s">
        <v>86</v>
      </c>
      <c r="AD13" s="158" t="s">
        <v>86</v>
      </c>
      <c r="AE13" s="157" t="s">
        <v>40</v>
      </c>
      <c r="AF13" s="158" t="s">
        <v>41</v>
      </c>
      <c r="AG13" s="158" t="s">
        <v>42</v>
      </c>
      <c r="AH13" s="158" t="s">
        <v>87</v>
      </c>
      <c r="AI13" s="158"/>
      <c r="AJ13" s="159" t="s">
        <v>88</v>
      </c>
      <c r="AK13" s="160" t="s">
        <v>88</v>
      </c>
      <c r="AL13" s="161" t="str">
        <f t="shared" si="0"/>
        <v>Jemena Electricity</v>
      </c>
    </row>
    <row r="14" spans="1:38" x14ac:dyDescent="0.25">
      <c r="B14" s="162" t="s">
        <v>116</v>
      </c>
      <c r="C14" s="163" t="s">
        <v>116</v>
      </c>
      <c r="D14" s="176">
        <v>89064651109</v>
      </c>
      <c r="E14" s="164" t="s">
        <v>117</v>
      </c>
      <c r="F14" s="165" t="s">
        <v>82</v>
      </c>
      <c r="G14" s="166" t="s">
        <v>83</v>
      </c>
      <c r="H14" s="166" t="s">
        <v>89</v>
      </c>
      <c r="I14" s="167" t="s">
        <v>92</v>
      </c>
      <c r="J14" s="168" t="s">
        <v>84</v>
      </c>
      <c r="K14" s="167" t="s">
        <v>90</v>
      </c>
      <c r="L14" s="169">
        <v>5</v>
      </c>
      <c r="M14" s="170">
        <v>5</v>
      </c>
      <c r="N14" s="171">
        <v>5</v>
      </c>
      <c r="O14" s="172">
        <v>2</v>
      </c>
      <c r="P14" s="173" t="s">
        <v>108</v>
      </c>
      <c r="Q14" s="174"/>
      <c r="R14" s="174" t="s">
        <v>85</v>
      </c>
      <c r="S14" s="174" t="s">
        <v>82</v>
      </c>
      <c r="T14" s="175">
        <v>3000</v>
      </c>
      <c r="U14" s="173" t="s">
        <v>118</v>
      </c>
      <c r="V14" s="174"/>
      <c r="W14" s="174" t="s">
        <v>85</v>
      </c>
      <c r="X14" s="174" t="s">
        <v>82</v>
      </c>
      <c r="Y14" s="175">
        <v>8001</v>
      </c>
      <c r="Z14" s="157" t="s">
        <v>86</v>
      </c>
      <c r="AA14" s="158" t="s">
        <v>88</v>
      </c>
      <c r="AB14" s="158" t="s">
        <v>88</v>
      </c>
      <c r="AC14" s="158" t="s">
        <v>88</v>
      </c>
      <c r="AD14" s="158" t="s">
        <v>86</v>
      </c>
      <c r="AE14" s="157" t="s">
        <v>40</v>
      </c>
      <c r="AF14" s="158" t="s">
        <v>41</v>
      </c>
      <c r="AG14" s="158" t="s">
        <v>42</v>
      </c>
      <c r="AH14" s="158" t="s">
        <v>87</v>
      </c>
      <c r="AI14" s="158"/>
      <c r="AJ14" s="159" t="s">
        <v>88</v>
      </c>
      <c r="AK14" s="160" t="s">
        <v>88</v>
      </c>
      <c r="AL14" s="161" t="str">
        <f t="shared" si="0"/>
        <v>Powercor Australia</v>
      </c>
    </row>
    <row r="15" spans="1:38" x14ac:dyDescent="0.25">
      <c r="B15" s="162" t="s">
        <v>119</v>
      </c>
      <c r="C15" s="163" t="s">
        <v>119</v>
      </c>
      <c r="D15" s="176">
        <v>70064651029</v>
      </c>
      <c r="E15" s="164" t="s">
        <v>120</v>
      </c>
      <c r="F15" s="165" t="s">
        <v>82</v>
      </c>
      <c r="G15" s="166" t="s">
        <v>83</v>
      </c>
      <c r="H15" s="166" t="s">
        <v>89</v>
      </c>
      <c r="I15" s="167" t="s">
        <v>92</v>
      </c>
      <c r="J15" s="168" t="s">
        <v>84</v>
      </c>
      <c r="K15" s="167" t="s">
        <v>90</v>
      </c>
      <c r="L15" s="169">
        <v>5</v>
      </c>
      <c r="M15" s="178">
        <v>5</v>
      </c>
      <c r="N15" s="179">
        <v>5</v>
      </c>
      <c r="O15" s="172">
        <v>2</v>
      </c>
      <c r="P15" s="173" t="s">
        <v>115</v>
      </c>
      <c r="Q15" s="174"/>
      <c r="R15" s="174" t="s">
        <v>121</v>
      </c>
      <c r="S15" s="174" t="s">
        <v>82</v>
      </c>
      <c r="T15" s="175">
        <v>3149</v>
      </c>
      <c r="U15" s="173" t="s">
        <v>122</v>
      </c>
      <c r="V15" s="174"/>
      <c r="W15" s="174" t="s">
        <v>121</v>
      </c>
      <c r="X15" s="174" t="s">
        <v>82</v>
      </c>
      <c r="Y15" s="175">
        <v>3170</v>
      </c>
      <c r="Z15" s="157" t="s">
        <v>86</v>
      </c>
      <c r="AA15" s="158" t="s">
        <v>88</v>
      </c>
      <c r="AB15" s="158" t="s">
        <v>88</v>
      </c>
      <c r="AC15" s="158" t="s">
        <v>86</v>
      </c>
      <c r="AD15" s="158" t="s">
        <v>86</v>
      </c>
      <c r="AE15" s="157" t="s">
        <v>40</v>
      </c>
      <c r="AF15" s="158" t="s">
        <v>41</v>
      </c>
      <c r="AG15" s="158" t="s">
        <v>42</v>
      </c>
      <c r="AH15" s="158" t="s">
        <v>87</v>
      </c>
      <c r="AI15" s="158"/>
      <c r="AJ15" s="159" t="s">
        <v>88</v>
      </c>
      <c r="AK15" s="160" t="s">
        <v>88</v>
      </c>
      <c r="AL15" s="196" t="str">
        <f t="shared" si="0"/>
        <v>United Energy</v>
      </c>
    </row>
    <row r="16" spans="1:38" x14ac:dyDescent="0.25">
      <c r="C16" s="197"/>
      <c r="W16" s="75"/>
    </row>
    <row r="17" spans="2:24" ht="15.75" thickBot="1" x14ac:dyDescent="0.3">
      <c r="C17" s="197"/>
      <c r="H17"/>
      <c r="I17"/>
      <c r="J17"/>
      <c r="K17"/>
      <c r="W17" s="75"/>
    </row>
    <row r="18" spans="2:24" ht="47.25" customHeight="1" thickBot="1" x14ac:dyDescent="0.3">
      <c r="B18" s="886" t="s">
        <v>123</v>
      </c>
      <c r="C18" s="887"/>
      <c r="D18" s="887"/>
      <c r="E18" s="887"/>
      <c r="H18"/>
      <c r="I18"/>
      <c r="J18"/>
      <c r="K18"/>
      <c r="L18" s="30"/>
      <c r="M18" s="30"/>
      <c r="N18" s="199"/>
      <c r="O18"/>
      <c r="W18" s="75"/>
      <c r="X18" s="75"/>
    </row>
    <row r="19" spans="2:24" ht="31.5" customHeight="1" thickBot="1" x14ac:dyDescent="0.3">
      <c r="B19" s="200" t="s">
        <v>124</v>
      </c>
      <c r="C19" s="200" t="s">
        <v>125</v>
      </c>
      <c r="D19" s="201" t="s">
        <v>126</v>
      </c>
      <c r="E19" s="202" t="s">
        <v>127</v>
      </c>
      <c r="H19"/>
      <c r="I19"/>
      <c r="J19"/>
      <c r="K19"/>
      <c r="L19" s="203"/>
      <c r="M19" s="203"/>
      <c r="N19" s="204"/>
      <c r="O19"/>
      <c r="W19" s="75"/>
      <c r="X19" s="75"/>
    </row>
    <row r="20" spans="2:24" x14ac:dyDescent="0.25">
      <c r="B20" s="205" t="s">
        <v>128</v>
      </c>
      <c r="C20" s="206" t="s">
        <v>129</v>
      </c>
      <c r="D20" s="207" t="e">
        <f>IF(dms_MultiYear_ResponseFlag="yes","NEW HISTORICAL ANNUAL REPORTING","ANNUAL REPORTING")</f>
        <v>#NAME?</v>
      </c>
      <c r="E20" s="208">
        <v>1</v>
      </c>
      <c r="H20"/>
      <c r="I20"/>
      <c r="J20"/>
      <c r="K20"/>
      <c r="L20" s="30"/>
      <c r="M20" s="30"/>
      <c r="N20" s="199"/>
      <c r="O20"/>
      <c r="W20" s="75"/>
      <c r="X20" s="75"/>
    </row>
    <row r="21" spans="2:24" x14ac:dyDescent="0.25">
      <c r="B21" s="209" t="s">
        <v>130</v>
      </c>
      <c r="C21" s="210" t="s">
        <v>131</v>
      </c>
      <c r="D21" s="211" t="e">
        <f>IF(dms_MultiYear_ResponseFlag="yes","NEW HISTORICAL CATEGORY ANALYSIS","CATEGORY ANALYSIS")</f>
        <v>#NAME?</v>
      </c>
      <c r="E21" s="212">
        <v>1</v>
      </c>
      <c r="H21"/>
      <c r="I21"/>
      <c r="J21"/>
      <c r="K21"/>
      <c r="L21" s="30"/>
      <c r="M21" s="30"/>
      <c r="N21" s="199"/>
      <c r="O21"/>
      <c r="W21" s="75"/>
      <c r="X21" s="75"/>
    </row>
    <row r="22" spans="2:24" x14ac:dyDescent="0.25">
      <c r="B22" s="209" t="s">
        <v>132</v>
      </c>
      <c r="C22" s="210" t="s">
        <v>133</v>
      </c>
      <c r="D22" s="211" t="s">
        <v>134</v>
      </c>
      <c r="E22" s="212">
        <v>5</v>
      </c>
      <c r="H22"/>
      <c r="I22"/>
      <c r="J22"/>
      <c r="K22"/>
      <c r="L22"/>
      <c r="M22" s="30"/>
      <c r="N22" s="199"/>
      <c r="O22"/>
      <c r="W22" s="75"/>
      <c r="X22" s="75"/>
    </row>
    <row r="23" spans="2:24" x14ac:dyDescent="0.25">
      <c r="B23" s="209" t="s">
        <v>135</v>
      </c>
      <c r="C23" s="210" t="s">
        <v>135</v>
      </c>
      <c r="D23" s="211" t="s">
        <v>135</v>
      </c>
      <c r="E23" s="212">
        <v>5</v>
      </c>
      <c r="H23"/>
      <c r="I23"/>
      <c r="J23"/>
      <c r="K23"/>
      <c r="L23"/>
      <c r="M23" s="30"/>
      <c r="N23" s="199"/>
      <c r="O23"/>
      <c r="W23" s="75"/>
      <c r="X23" s="75"/>
    </row>
    <row r="24" spans="2:24" x14ac:dyDescent="0.25">
      <c r="B24" s="209" t="s">
        <v>136</v>
      </c>
      <c r="C24" s="210" t="s">
        <v>137</v>
      </c>
      <c r="D24" s="211" t="e">
        <f>IF(dms_MultiYear_ResponseFlag="yes","NEW HISTORICAL ECONOMIC BENCHMARKING","ECONOMIC BENCHMARKING")</f>
        <v>#NAME?</v>
      </c>
      <c r="E24" s="213">
        <v>1</v>
      </c>
      <c r="H24"/>
      <c r="I24"/>
      <c r="J24"/>
      <c r="K24"/>
      <c r="L24"/>
      <c r="M24" s="30"/>
      <c r="N24" s="199"/>
      <c r="O24"/>
      <c r="W24" s="75"/>
      <c r="X24" s="75"/>
    </row>
    <row r="25" spans="2:24" x14ac:dyDescent="0.25">
      <c r="B25" s="209" t="s">
        <v>138</v>
      </c>
      <c r="C25" s="210" t="s">
        <v>139</v>
      </c>
      <c r="D25" s="211" t="s">
        <v>140</v>
      </c>
      <c r="E25" s="213">
        <v>5</v>
      </c>
      <c r="H25"/>
      <c r="I25"/>
      <c r="J25"/>
      <c r="K25"/>
      <c r="L25"/>
      <c r="M25" s="30"/>
      <c r="N25" s="199"/>
      <c r="O25"/>
      <c r="W25" s="75"/>
      <c r="X25" s="75"/>
    </row>
    <row r="26" spans="2:24" x14ac:dyDescent="0.25">
      <c r="B26" s="209" t="s">
        <v>141</v>
      </c>
      <c r="C26" s="210" t="s">
        <v>142</v>
      </c>
      <c r="D26" s="211" t="s">
        <v>143</v>
      </c>
      <c r="E26" s="213">
        <v>5</v>
      </c>
      <c r="H26"/>
      <c r="I26"/>
      <c r="J26"/>
      <c r="K26"/>
      <c r="L26"/>
      <c r="M26" s="30"/>
      <c r="N26" s="199"/>
      <c r="O26"/>
      <c r="W26" s="75"/>
      <c r="X26" s="75"/>
    </row>
    <row r="27" spans="2:24" x14ac:dyDescent="0.25">
      <c r="B27" s="209" t="s">
        <v>144</v>
      </c>
      <c r="C27" s="210" t="s">
        <v>144</v>
      </c>
      <c r="D27" s="211" t="s">
        <v>145</v>
      </c>
      <c r="E27" s="213">
        <v>5</v>
      </c>
      <c r="H27"/>
      <c r="I27"/>
      <c r="J27"/>
      <c r="K27"/>
      <c r="L27"/>
      <c r="M27" s="30"/>
      <c r="N27" s="199"/>
      <c r="O27"/>
      <c r="W27" s="75"/>
      <c r="X27" s="75"/>
    </row>
    <row r="28" spans="2:24" x14ac:dyDescent="0.25">
      <c r="B28" s="209" t="s">
        <v>146</v>
      </c>
      <c r="C28" s="210" t="s">
        <v>147</v>
      </c>
      <c r="D28" s="211" t="s">
        <v>148</v>
      </c>
      <c r="E28" s="213">
        <v>5</v>
      </c>
      <c r="H28"/>
      <c r="I28"/>
      <c r="J28"/>
      <c r="K28"/>
      <c r="L28"/>
      <c r="M28" s="30"/>
      <c r="N28" s="199"/>
      <c r="O28"/>
      <c r="W28" s="75"/>
      <c r="X28" s="75"/>
    </row>
    <row r="29" spans="2:24" x14ac:dyDescent="0.25">
      <c r="B29" s="209" t="s">
        <v>149</v>
      </c>
      <c r="C29" s="210" t="s">
        <v>150</v>
      </c>
      <c r="D29" s="211" t="s">
        <v>151</v>
      </c>
      <c r="E29" s="213">
        <v>5</v>
      </c>
      <c r="H29"/>
      <c r="I29"/>
      <c r="J29"/>
      <c r="K29"/>
      <c r="L29"/>
      <c r="M29" s="30"/>
      <c r="N29" s="199"/>
      <c r="O29"/>
      <c r="W29" s="75"/>
      <c r="X29" s="75"/>
    </row>
    <row r="30" spans="2:24" x14ac:dyDescent="0.25">
      <c r="B30" s="209" t="s">
        <v>152</v>
      </c>
      <c r="C30" s="210" t="s">
        <v>153</v>
      </c>
      <c r="D30" s="211" t="s">
        <v>154</v>
      </c>
      <c r="E30" s="213">
        <v>5</v>
      </c>
      <c r="H30"/>
      <c r="I30"/>
      <c r="J30"/>
      <c r="K30"/>
      <c r="L30"/>
      <c r="M30" s="30"/>
      <c r="N30" s="199"/>
      <c r="O30"/>
      <c r="W30" s="75"/>
      <c r="X30" s="75"/>
    </row>
    <row r="31" spans="2:24" x14ac:dyDescent="0.25">
      <c r="B31" s="209" t="s">
        <v>155</v>
      </c>
      <c r="C31" s="210" t="s">
        <v>156</v>
      </c>
      <c r="D31" s="211" t="s">
        <v>157</v>
      </c>
      <c r="E31" s="213">
        <v>5</v>
      </c>
      <c r="H31"/>
      <c r="I31"/>
      <c r="J31"/>
      <c r="K31"/>
      <c r="L31"/>
      <c r="M31" s="30"/>
      <c r="N31" s="199"/>
      <c r="O31"/>
      <c r="W31" s="75"/>
      <c r="X31" s="75"/>
    </row>
    <row r="32" spans="2:24" x14ac:dyDescent="0.25">
      <c r="B32" s="209" t="s">
        <v>30</v>
      </c>
      <c r="C32" s="210" t="s">
        <v>158</v>
      </c>
      <c r="D32" s="211" t="s">
        <v>159</v>
      </c>
      <c r="E32" s="213">
        <v>1</v>
      </c>
      <c r="H32"/>
      <c r="I32"/>
      <c r="J32"/>
      <c r="K32"/>
      <c r="L32"/>
      <c r="M32" s="30"/>
      <c r="N32" s="199"/>
      <c r="O32"/>
      <c r="W32" s="75"/>
      <c r="X32" s="75"/>
    </row>
    <row r="33" spans="2:21" s="75" customFormat="1" x14ac:dyDescent="0.25">
      <c r="E33" s="214"/>
    </row>
    <row r="34" spans="2:21" x14ac:dyDescent="0.25">
      <c r="B34"/>
      <c r="C34" s="75"/>
      <c r="D34" s="75"/>
      <c r="E34" s="214"/>
      <c r="F34" s="75"/>
      <c r="G34" s="75"/>
      <c r="H34" s="75"/>
      <c r="I34" s="75"/>
      <c r="J34" s="75"/>
      <c r="K34" s="75"/>
      <c r="L34" s="75"/>
      <c r="O34"/>
      <c r="P34"/>
      <c r="Q34"/>
      <c r="R34"/>
      <c r="S34"/>
      <c r="T34"/>
      <c r="U34"/>
    </row>
    <row r="35" spans="2:21" x14ac:dyDescent="0.25">
      <c r="C35" s="215"/>
      <c r="E35" s="216"/>
    </row>
    <row r="36" spans="2:21" ht="15.75" thickBot="1" x14ac:dyDescent="0.3">
      <c r="B36" s="217" t="s">
        <v>84</v>
      </c>
      <c r="C36" s="218" t="s">
        <v>91</v>
      </c>
      <c r="E36" s="219" t="s">
        <v>160</v>
      </c>
      <c r="G36" s="219" t="s">
        <v>161</v>
      </c>
      <c r="H36"/>
      <c r="I36" s="220" t="s">
        <v>162</v>
      </c>
    </row>
    <row r="37" spans="2:21" ht="15.75" thickBot="1" x14ac:dyDescent="0.3">
      <c r="B37" s="221" t="s">
        <v>163</v>
      </c>
      <c r="C37" s="222" t="s">
        <v>164</v>
      </c>
      <c r="D37" s="223" t="s">
        <v>165</v>
      </c>
      <c r="E37" s="224" t="e">
        <f ca="1">INDEX(INDIRECT(dms_RPT),dms_PRCP_start_row)</f>
        <v>#NAME?</v>
      </c>
      <c r="F37" s="223" t="s">
        <v>166</v>
      </c>
      <c r="G37" s="224" t="e">
        <f ca="1">INDEX(INDIRECT(dms_RPT),dms_CRCP_start_row)</f>
        <v>#NAME?</v>
      </c>
      <c r="H37" s="225" t="str">
        <f>FRCP_y1</f>
        <v>2026-27</v>
      </c>
      <c r="I37" s="224" t="e">
        <f ca="1">INDEX(INDIRECT(dms_RPT),dms_FRCP_start_row)</f>
        <v>#NAME?</v>
      </c>
    </row>
    <row r="38" spans="2:21" x14ac:dyDescent="0.25">
      <c r="B38" s="226" t="s">
        <v>167</v>
      </c>
      <c r="C38" s="227" t="s">
        <v>168</v>
      </c>
      <c r="D38" s="228" t="s">
        <v>169</v>
      </c>
      <c r="E38" s="229" t="e">
        <f ca="1">INDEX(INDIRECT(dms_RPT),dms_PRCP_start_row+1)</f>
        <v>#NAME?</v>
      </c>
      <c r="F38" s="228" t="s">
        <v>170</v>
      </c>
      <c r="G38" s="230" t="e">
        <f ca="1">INDEX(INDIRECT(dms_RPT),dms_CRCP_start_row+1)</f>
        <v>#NAME?</v>
      </c>
      <c r="H38" s="231" t="s">
        <v>171</v>
      </c>
      <c r="I38" s="230" t="e">
        <f ca="1">INDEX(INDIRECT(dms_RPT),dms_FRCP_start_row+1)</f>
        <v>#NAME?</v>
      </c>
    </row>
    <row r="39" spans="2:21" x14ac:dyDescent="0.25">
      <c r="B39" s="226" t="s">
        <v>172</v>
      </c>
      <c r="C39" s="227" t="s">
        <v>173</v>
      </c>
      <c r="D39" s="228" t="s">
        <v>174</v>
      </c>
      <c r="E39" s="230" t="e">
        <f ca="1">INDEX(INDIRECT(dms_RPT),dms_PRCP_start_row+2)</f>
        <v>#NAME?</v>
      </c>
      <c r="F39" s="228" t="s">
        <v>175</v>
      </c>
      <c r="G39" s="230" t="e">
        <f ca="1">INDEX(INDIRECT(dms_RPT),dms_CRCP_start_row+2)</f>
        <v>#NAME?</v>
      </c>
      <c r="H39" s="228" t="s">
        <v>176</v>
      </c>
      <c r="I39" s="230" t="e">
        <f ca="1">INDEX(INDIRECT(dms_RPT),dms_FRCP_start_row+2)</f>
        <v>#NAME?</v>
      </c>
    </row>
    <row r="40" spans="2:21" x14ac:dyDescent="0.25">
      <c r="B40" s="226" t="s">
        <v>177</v>
      </c>
      <c r="C40" s="227" t="s">
        <v>178</v>
      </c>
      <c r="D40" s="228" t="s">
        <v>179</v>
      </c>
      <c r="E40" s="230" t="e">
        <f ca="1">INDEX(INDIRECT(dms_RPT),dms_PRCP_start_row+3)</f>
        <v>#NAME?</v>
      </c>
      <c r="F40" s="228" t="s">
        <v>180</v>
      </c>
      <c r="G40" s="230" t="e">
        <f ca="1">INDEX(INDIRECT(dms_RPT),dms_CRCP_start_row+3)</f>
        <v>#NAME?</v>
      </c>
      <c r="H40" s="228" t="s">
        <v>181</v>
      </c>
      <c r="I40" s="230" t="e">
        <f ca="1">INDEX(INDIRECT(dms_RPT),dms_FRCP_start_row+3)</f>
        <v>#NAME?</v>
      </c>
    </row>
    <row r="41" spans="2:21" x14ac:dyDescent="0.25">
      <c r="B41" s="226" t="s">
        <v>182</v>
      </c>
      <c r="C41" s="227" t="s">
        <v>183</v>
      </c>
      <c r="D41" s="228" t="s">
        <v>184</v>
      </c>
      <c r="E41" s="230" t="e">
        <f ca="1">INDEX(INDIRECT(dms_RPT),dms_PRCP_start_row+4)</f>
        <v>#NAME?</v>
      </c>
      <c r="F41" s="228" t="s">
        <v>185</v>
      </c>
      <c r="G41" s="230" t="e">
        <f ca="1">INDEX(INDIRECT(dms_RPT),dms_CRCP_start_row+4)</f>
        <v>#NAME?</v>
      </c>
      <c r="H41" s="228" t="s">
        <v>186</v>
      </c>
      <c r="I41" s="230" t="e">
        <f ca="1">INDEX(INDIRECT(dms_RPT),dms_FRCP_start_row+4)</f>
        <v>#NAME?</v>
      </c>
    </row>
    <row r="42" spans="2:21" x14ac:dyDescent="0.25">
      <c r="B42" s="226" t="s">
        <v>187</v>
      </c>
      <c r="C42" s="227" t="s">
        <v>188</v>
      </c>
      <c r="D42" s="228" t="s">
        <v>189</v>
      </c>
      <c r="E42" s="230" t="e">
        <f ca="1">INDEX(INDIRECT(dms_RPT),dms_PRCP_start_row+5)</f>
        <v>#NAME?</v>
      </c>
      <c r="F42" s="228" t="s">
        <v>190</v>
      </c>
      <c r="G42" s="230" t="e">
        <f ca="1">INDEX(INDIRECT(dms_RPT),dms_CRCP_start_row+5)</f>
        <v>#NAME?</v>
      </c>
      <c r="H42" s="228" t="s">
        <v>191</v>
      </c>
      <c r="I42" s="230" t="e">
        <f ca="1">INDEX(INDIRECT(dms_RPT),dms_FRCP_start_row+5)</f>
        <v>#NAME?</v>
      </c>
    </row>
    <row r="43" spans="2:21" x14ac:dyDescent="0.25">
      <c r="B43" s="226" t="s">
        <v>192</v>
      </c>
      <c r="C43" s="227" t="s">
        <v>193</v>
      </c>
      <c r="D43" s="228" t="s">
        <v>194</v>
      </c>
      <c r="E43" s="230" t="e">
        <f ca="1">INDEX(INDIRECT(dms_RPT),dms_PRCP_start_row+6)</f>
        <v>#NAME?</v>
      </c>
      <c r="F43" s="228" t="s">
        <v>195</v>
      </c>
      <c r="G43" s="230" t="e">
        <f ca="1">INDEX(INDIRECT(dms_RPT),dms_CRCP_start_row+6)</f>
        <v>#NAME?</v>
      </c>
      <c r="H43" s="228" t="s">
        <v>196</v>
      </c>
      <c r="I43" s="230" t="e">
        <f ca="1">INDEX(INDIRECT(dms_RPT),dms_FRCP_start_row+6)</f>
        <v>#NAME?</v>
      </c>
    </row>
    <row r="44" spans="2:21" x14ac:dyDescent="0.25">
      <c r="B44" s="226" t="s">
        <v>197</v>
      </c>
      <c r="C44" s="227" t="s">
        <v>198</v>
      </c>
      <c r="D44" s="228" t="s">
        <v>199</v>
      </c>
      <c r="E44" s="230" t="e">
        <f ca="1">INDEX(INDIRECT(dms_RPT),dms_PRCP_start_row+7)</f>
        <v>#NAME?</v>
      </c>
      <c r="F44" s="228" t="s">
        <v>200</v>
      </c>
      <c r="G44" s="230" t="e">
        <f ca="1">INDEX(INDIRECT(dms_RPT),dms_CRCP_start_row+7)</f>
        <v>#NAME?</v>
      </c>
      <c r="H44" s="228" t="s">
        <v>201</v>
      </c>
      <c r="I44" s="230" t="e">
        <f ca="1">INDEX(INDIRECT(dms_RPT),dms_FRCP_start_row+7)</f>
        <v>#NAME?</v>
      </c>
      <c r="J44"/>
      <c r="K44"/>
      <c r="L44"/>
    </row>
    <row r="45" spans="2:21" x14ac:dyDescent="0.25">
      <c r="B45" s="226" t="s">
        <v>202</v>
      </c>
      <c r="C45" s="227" t="s">
        <v>203</v>
      </c>
      <c r="D45" s="228" t="s">
        <v>204</v>
      </c>
      <c r="E45" s="230" t="e">
        <f ca="1">INDEX(INDIRECT(dms_RPT),dms_PRCP_start_row+8)</f>
        <v>#NAME?</v>
      </c>
      <c r="F45" s="228" t="s">
        <v>205</v>
      </c>
      <c r="G45" s="230" t="e">
        <f ca="1">INDEX(INDIRECT(dms_RPT),dms_CRCP_start_row+8)</f>
        <v>#NAME?</v>
      </c>
      <c r="H45" s="228" t="s">
        <v>206</v>
      </c>
      <c r="I45" s="230" t="e">
        <f ca="1">INDEX(INDIRECT(dms_RPT),dms_FRCP_start_row+8)</f>
        <v>#NAME?</v>
      </c>
      <c r="J45"/>
      <c r="K45"/>
      <c r="L45"/>
    </row>
    <row r="46" spans="2:21" x14ac:dyDescent="0.25">
      <c r="B46" s="226" t="s">
        <v>207</v>
      </c>
      <c r="C46" s="227" t="s">
        <v>208</v>
      </c>
      <c r="D46" s="228" t="s">
        <v>209</v>
      </c>
      <c r="E46" s="230" t="e">
        <f ca="1">INDEX(INDIRECT(dms_RPT),dms_PRCP_start_row+9)</f>
        <v>#NAME?</v>
      </c>
      <c r="F46" s="228" t="s">
        <v>210</v>
      </c>
      <c r="G46" s="230" t="e">
        <f ca="1">INDEX(INDIRECT(dms_RPT),dms_CRCP_start_row+9)</f>
        <v>#NAME?</v>
      </c>
      <c r="H46" s="228" t="s">
        <v>211</v>
      </c>
      <c r="I46" s="230" t="e">
        <f ca="1">INDEX(INDIRECT(dms_RPT),dms_FRCP_start_row+9)</f>
        <v>#NAME?</v>
      </c>
      <c r="J46"/>
      <c r="K46"/>
      <c r="L46"/>
    </row>
    <row r="47" spans="2:21" x14ac:dyDescent="0.25">
      <c r="B47" s="226" t="s">
        <v>212</v>
      </c>
      <c r="C47" s="227" t="s">
        <v>213</v>
      </c>
      <c r="D47" s="228" t="s">
        <v>214</v>
      </c>
      <c r="E47" s="230" t="e">
        <f ca="1">INDEX(INDIRECT(dms_RPT),dms_PRCP_start_row+10)</f>
        <v>#NAME?</v>
      </c>
      <c r="F47" s="228" t="s">
        <v>215</v>
      </c>
      <c r="G47" s="230" t="e">
        <f ca="1">INDEX(INDIRECT(dms_RPT),dms_CRCP_start_row+10)</f>
        <v>#NAME?</v>
      </c>
      <c r="H47" s="228" t="s">
        <v>216</v>
      </c>
      <c r="I47" s="230" t="e">
        <f ca="1">INDEX(INDIRECT(dms_RPT),dms_FRCP_start_row+10)</f>
        <v>#NAME?</v>
      </c>
      <c r="J47"/>
      <c r="K47"/>
      <c r="L47"/>
    </row>
    <row r="48" spans="2:21" x14ac:dyDescent="0.25">
      <c r="B48" s="226" t="s">
        <v>217</v>
      </c>
      <c r="C48" s="227" t="s">
        <v>218</v>
      </c>
      <c r="D48" s="228" t="s">
        <v>219</v>
      </c>
      <c r="E48" s="230" t="e">
        <f ca="1">INDEX(INDIRECT(dms_RPT),dms_PRCP_start_row+11)</f>
        <v>#NAME?</v>
      </c>
      <c r="F48" s="228" t="s">
        <v>220</v>
      </c>
      <c r="G48" s="230" t="e">
        <f ca="1">INDEX(INDIRECT(dms_RPT),dms_CRCP_start_row+11)</f>
        <v>#NAME?</v>
      </c>
      <c r="H48" s="228" t="s">
        <v>221</v>
      </c>
      <c r="I48" s="230" t="e">
        <f ca="1">INDEX(INDIRECT(dms_RPT),dms_FRCP_start_row+11)</f>
        <v>#NAME?</v>
      </c>
      <c r="J48"/>
      <c r="K48"/>
      <c r="L48"/>
    </row>
    <row r="49" spans="2:12" x14ac:dyDescent="0.25">
      <c r="B49" s="226" t="s">
        <v>222</v>
      </c>
      <c r="C49" s="227" t="s">
        <v>223</v>
      </c>
      <c r="D49" s="228" t="s">
        <v>224</v>
      </c>
      <c r="E49" s="230" t="e">
        <f ca="1">INDEX(INDIRECT(dms_RPT),dms_PRCP_start_row+12)</f>
        <v>#NAME?</v>
      </c>
      <c r="F49" s="228" t="s">
        <v>225</v>
      </c>
      <c r="G49" s="230" t="e">
        <f ca="1">INDEX(INDIRECT(dms_RPT),dms_CRCP_start_row+12)</f>
        <v>#NAME?</v>
      </c>
      <c r="H49" s="228" t="s">
        <v>226</v>
      </c>
      <c r="I49" s="230" t="e">
        <f ca="1">INDEX(INDIRECT(dms_RPT),dms_FRCP_start_row+12)</f>
        <v>#NAME?</v>
      </c>
      <c r="J49"/>
      <c r="K49"/>
      <c r="L49"/>
    </row>
    <row r="50" spans="2:12" x14ac:dyDescent="0.25">
      <c r="B50" s="226" t="s">
        <v>227</v>
      </c>
      <c r="C50" s="227" t="s">
        <v>228</v>
      </c>
      <c r="D50" s="232" t="s">
        <v>229</v>
      </c>
      <c r="E50" s="230" t="e">
        <f ca="1">INDEX(INDIRECT(dms_RPT),dms_PRCP_start_row+13)</f>
        <v>#NAME?</v>
      </c>
      <c r="F50" s="228" t="s">
        <v>230</v>
      </c>
      <c r="G50" s="230" t="e">
        <f ca="1">INDEX(INDIRECT(dms_RPT),dms_CRCP_start_row+13)</f>
        <v>#NAME?</v>
      </c>
      <c r="H50" s="228" t="s">
        <v>231</v>
      </c>
      <c r="I50" s="230" t="e">
        <f ca="1">INDEX(INDIRECT(dms_RPT),dms_FRCP_start_row+13)</f>
        <v>#NAME?</v>
      </c>
      <c r="J50"/>
      <c r="K50"/>
      <c r="L50"/>
    </row>
    <row r="51" spans="2:12" x14ac:dyDescent="0.25">
      <c r="B51" s="226" t="s">
        <v>232</v>
      </c>
      <c r="C51" s="227" t="s">
        <v>233</v>
      </c>
      <c r="D51" s="232" t="s">
        <v>234</v>
      </c>
      <c r="E51" s="230" t="e">
        <f ca="1">INDEX(INDIRECT(dms_RPT),dms_PRCP_start_row+14)</f>
        <v>#NAME?</v>
      </c>
      <c r="F51" s="228" t="s">
        <v>235</v>
      </c>
      <c r="G51" s="230" t="e">
        <f ca="1">INDEX(INDIRECT(dms_RPT),dms_CRCP_start_row+14)</f>
        <v>#NAME?</v>
      </c>
      <c r="H51" s="228" t="s">
        <v>236</v>
      </c>
      <c r="I51" s="230" t="e">
        <f ca="1">INDEX(INDIRECT(dms_RPT),dms_FRCP_start_row+14)</f>
        <v>#NAME?</v>
      </c>
      <c r="J51"/>
      <c r="K51"/>
      <c r="L51"/>
    </row>
    <row r="52" spans="2:12" x14ac:dyDescent="0.25">
      <c r="B52" s="226" t="s">
        <v>237</v>
      </c>
      <c r="C52" s="227" t="s">
        <v>238</v>
      </c>
      <c r="D52" s="232" t="s">
        <v>239</v>
      </c>
      <c r="E52" s="230" t="e">
        <f ca="1">INDEX(INDIRECT(dms_RPT),dms_PRCP_start_row+15)</f>
        <v>#NAME?</v>
      </c>
      <c r="F52" s="228" t="s">
        <v>240</v>
      </c>
      <c r="G52" s="230" t="e">
        <f ca="1">INDEX(INDIRECT(dms_RPT),dms_CRCP_start_row+15)</f>
        <v>#NAME?</v>
      </c>
      <c r="H52" s="228" t="s">
        <v>241</v>
      </c>
      <c r="I52" s="230" t="e">
        <f ca="1">INDEX(INDIRECT(dms_RPT),dms_FRCP_start_row+15)</f>
        <v>#NAME?</v>
      </c>
      <c r="J52"/>
      <c r="K52"/>
      <c r="L52"/>
    </row>
    <row r="53" spans="2:12" x14ac:dyDescent="0.25">
      <c r="B53" s="226" t="s">
        <v>242</v>
      </c>
      <c r="C53" s="227" t="s">
        <v>243</v>
      </c>
      <c r="D53" s="232" t="s">
        <v>244</v>
      </c>
      <c r="E53" s="230" t="e">
        <f ca="1">INDEX(INDIRECT(dms_RPT),dms_PRCP_start_row+16)</f>
        <v>#NAME?</v>
      </c>
      <c r="F53" s="228" t="s">
        <v>245</v>
      </c>
      <c r="G53" s="230" t="e">
        <f ca="1">INDEX(INDIRECT(dms_RPT),dms_CRCP_start_row+16)</f>
        <v>#NAME?</v>
      </c>
      <c r="H53" s="228" t="s">
        <v>246</v>
      </c>
      <c r="I53" s="230" t="e">
        <f ca="1">INDEX(INDIRECT(dms_RPT),dms_FRCP_start_row+16)</f>
        <v>#NAME?</v>
      </c>
      <c r="J53"/>
      <c r="K53"/>
      <c r="L53"/>
    </row>
    <row r="54" spans="2:12" x14ac:dyDescent="0.25">
      <c r="B54" s="226" t="s">
        <v>247</v>
      </c>
      <c r="C54" s="227" t="s">
        <v>248</v>
      </c>
      <c r="D54" s="232" t="s">
        <v>249</v>
      </c>
      <c r="E54" s="230" t="e">
        <f ca="1">INDEX(INDIRECT(dms_RPT),dms_PRCP_start_row+17)</f>
        <v>#NAME?</v>
      </c>
      <c r="F54" s="228" t="s">
        <v>250</v>
      </c>
      <c r="G54" s="230" t="e">
        <f ca="1">INDEX(INDIRECT(dms_RPT),dms_CRCP_start_row+17)</f>
        <v>#NAME?</v>
      </c>
      <c r="H54" s="228" t="s">
        <v>251</v>
      </c>
      <c r="I54" s="230" t="e">
        <f ca="1">INDEX(INDIRECT(dms_RPT),dms_FRCP_start_row+17)</f>
        <v>#NAME?</v>
      </c>
      <c r="J54"/>
      <c r="K54"/>
      <c r="L54"/>
    </row>
    <row r="55" spans="2:12" x14ac:dyDescent="0.25">
      <c r="B55" s="226" t="s">
        <v>252</v>
      </c>
      <c r="C55" s="227" t="s">
        <v>253</v>
      </c>
      <c r="D55" s="232" t="s">
        <v>254</v>
      </c>
      <c r="E55" s="230" t="e">
        <f ca="1">INDEX(INDIRECT(dms_RPT),dms_PRCP_start_row+18)</f>
        <v>#NAME?</v>
      </c>
      <c r="F55" s="228" t="s">
        <v>255</v>
      </c>
      <c r="G55" s="230" t="e">
        <f ca="1">INDEX(INDIRECT(dms_RPT),dms_CRCP_start_row+18)</f>
        <v>#NAME?</v>
      </c>
      <c r="H55" s="228" t="s">
        <v>256</v>
      </c>
      <c r="I55" s="230" t="e">
        <f ca="1">INDEX(INDIRECT(dms_RPT),dms_FRCP_start_row+18)</f>
        <v>#NAME?</v>
      </c>
      <c r="J55"/>
      <c r="K55"/>
      <c r="L55"/>
    </row>
    <row r="56" spans="2:12" x14ac:dyDescent="0.25">
      <c r="B56" s="226" t="s">
        <v>257</v>
      </c>
      <c r="C56" s="227" t="s">
        <v>258</v>
      </c>
      <c r="D56" s="232" t="s">
        <v>259</v>
      </c>
      <c r="E56" s="230" t="e">
        <f ca="1">INDEX(INDIRECT(dms_RPT),dms_PRCP_start_row+19)</f>
        <v>#NAME?</v>
      </c>
      <c r="F56" s="228" t="s">
        <v>260</v>
      </c>
      <c r="G56" s="230" t="e">
        <f ca="1">INDEX(INDIRECT(dms_RPT),dms_CRCP_start_row+19)</f>
        <v>#NAME?</v>
      </c>
      <c r="H56" s="228" t="s">
        <v>261</v>
      </c>
      <c r="I56" s="230" t="e">
        <f ca="1">INDEX(INDIRECT(dms_RPT),dms_FRCP_start_row+19)</f>
        <v>#NAME?</v>
      </c>
      <c r="J56"/>
      <c r="K56"/>
      <c r="L56"/>
    </row>
    <row r="57" spans="2:12" x14ac:dyDescent="0.25">
      <c r="B57" s="226" t="s">
        <v>262</v>
      </c>
      <c r="C57" s="227" t="s">
        <v>263</v>
      </c>
      <c r="D57" s="232" t="s">
        <v>264</v>
      </c>
      <c r="E57" s="230" t="e">
        <f ca="1">INDEX(INDIRECT(dms_RPT),dms_PRCP_start_row+20)</f>
        <v>#NAME?</v>
      </c>
      <c r="F57" s="228" t="s">
        <v>265</v>
      </c>
      <c r="G57" s="230" t="e">
        <f ca="1">INDEX(INDIRECT(dms_RPT),dms_CRCP_start_row+20)</f>
        <v>#NAME?</v>
      </c>
      <c r="H57" s="228" t="s">
        <v>266</v>
      </c>
      <c r="I57" s="230" t="e">
        <f ca="1">INDEX(INDIRECT(dms_RPT),dms_FRCP_start_row+20)</f>
        <v>#NAME?</v>
      </c>
      <c r="J57"/>
      <c r="K57"/>
      <c r="L57"/>
    </row>
    <row r="58" spans="2:12" x14ac:dyDescent="0.25">
      <c r="B58" s="226" t="s">
        <v>267</v>
      </c>
      <c r="C58" s="227" t="s">
        <v>268</v>
      </c>
      <c r="D58" s="232" t="s">
        <v>269</v>
      </c>
      <c r="E58" s="230" t="e">
        <f ca="1">INDEX(INDIRECT(dms_RPT),dms_PRCP_start_row+21)</f>
        <v>#NAME?</v>
      </c>
      <c r="F58" s="228" t="s">
        <v>270</v>
      </c>
      <c r="G58" s="230" t="e">
        <f ca="1">INDEX(INDIRECT(dms_RPT),dms_CRCP_start_row+21)</f>
        <v>#NAME?</v>
      </c>
      <c r="H58" s="228" t="s">
        <v>271</v>
      </c>
      <c r="I58" s="230" t="e">
        <f ca="1">INDEX(INDIRECT(dms_RPT),dms_FRCP_start_row+21)</f>
        <v>#NAME?</v>
      </c>
      <c r="J58"/>
      <c r="K58"/>
      <c r="L58"/>
    </row>
    <row r="59" spans="2:12" x14ac:dyDescent="0.25">
      <c r="B59" s="226" t="s">
        <v>272</v>
      </c>
      <c r="C59" s="227">
        <v>2010</v>
      </c>
      <c r="D59" s="232" t="s">
        <v>273</v>
      </c>
      <c r="E59" s="230" t="e">
        <f ca="1">INDEX(INDIRECT(dms_RPT),dms_PRCP_start_row+22)</f>
        <v>#NAME?</v>
      </c>
      <c r="F59" s="228" t="s">
        <v>274</v>
      </c>
      <c r="G59" s="230" t="e">
        <f ca="1">INDEX(INDIRECT(dms_RPT),dms_CRCP_start_row+22)</f>
        <v>#NAME?</v>
      </c>
      <c r="H59" s="228" t="s">
        <v>275</v>
      </c>
      <c r="I59" s="230" t="e">
        <f ca="1">INDEX(INDIRECT(dms_RPT),dms_FRCP_start_row+22)</f>
        <v>#NAME?</v>
      </c>
      <c r="J59"/>
      <c r="K59"/>
      <c r="L59"/>
    </row>
    <row r="60" spans="2:12" x14ac:dyDescent="0.25">
      <c r="B60" s="226" t="s">
        <v>276</v>
      </c>
      <c r="C60" s="227">
        <v>2011</v>
      </c>
      <c r="D60" s="232" t="s">
        <v>277</v>
      </c>
      <c r="E60" s="230" t="e">
        <f ca="1">INDEX(INDIRECT(dms_RPT),dms_PRCP_start_row+23)</f>
        <v>#NAME?</v>
      </c>
      <c r="F60" s="228" t="s">
        <v>278</v>
      </c>
      <c r="G60" s="230" t="e">
        <f ca="1">INDEX(INDIRECT(dms_RPT),dms_CRCP_start_row+23)</f>
        <v>#NAME?</v>
      </c>
      <c r="H60" s="228" t="s">
        <v>279</v>
      </c>
      <c r="I60" s="230" t="e">
        <f ca="1">INDEX(INDIRECT(dms_RPT),dms_FRCP_start_row+23)</f>
        <v>#NAME?</v>
      </c>
      <c r="J60"/>
      <c r="K60"/>
      <c r="L60"/>
    </row>
    <row r="61" spans="2:12" ht="15.75" thickBot="1" x14ac:dyDescent="0.3">
      <c r="B61" s="226" t="s">
        <v>280</v>
      </c>
      <c r="C61" s="227">
        <v>2012</v>
      </c>
      <c r="D61" s="233" t="s">
        <v>281</v>
      </c>
      <c r="E61" s="234" t="e">
        <f ca="1">INDEX(INDIRECT(dms_RPT),dms_PRCP_start_row+24)</f>
        <v>#NAME?</v>
      </c>
      <c r="F61" s="235" t="s">
        <v>282</v>
      </c>
      <c r="G61" s="234" t="e">
        <f ca="1">INDEX(INDIRECT(dms_RPT),dms_CRCP_start_row+24)</f>
        <v>#NAME?</v>
      </c>
      <c r="H61" s="235" t="s">
        <v>283</v>
      </c>
      <c r="I61" s="234" t="e">
        <f ca="1">INDEX(INDIRECT(dms_RPT),dms_FRCP_start_row+24)</f>
        <v>#NAME?</v>
      </c>
      <c r="J61"/>
      <c r="K61"/>
      <c r="L61"/>
    </row>
    <row r="62" spans="2:12" x14ac:dyDescent="0.25">
      <c r="B62" s="226" t="s">
        <v>284</v>
      </c>
      <c r="C62" s="227">
        <v>2013</v>
      </c>
      <c r="E62"/>
      <c r="H62"/>
      <c r="I62"/>
      <c r="J62"/>
      <c r="K62"/>
      <c r="L62"/>
    </row>
    <row r="63" spans="2:12" x14ac:dyDescent="0.25">
      <c r="B63" s="226" t="s">
        <v>285</v>
      </c>
      <c r="C63" s="227">
        <v>2014</v>
      </c>
      <c r="E63"/>
      <c r="H63"/>
      <c r="I63"/>
      <c r="J63"/>
      <c r="K63"/>
      <c r="L63"/>
    </row>
    <row r="64" spans="2:12" x14ac:dyDescent="0.25">
      <c r="B64" s="226" t="s">
        <v>286</v>
      </c>
      <c r="C64" s="227">
        <v>2015</v>
      </c>
      <c r="E64"/>
      <c r="I64" s="236"/>
    </row>
    <row r="65" spans="2:9" x14ac:dyDescent="0.25">
      <c r="B65" s="226" t="s">
        <v>287</v>
      </c>
      <c r="C65" s="227">
        <v>2016</v>
      </c>
      <c r="E65"/>
      <c r="I65" s="236"/>
    </row>
    <row r="66" spans="2:9" x14ac:dyDescent="0.25">
      <c r="B66" s="226" t="s">
        <v>288</v>
      </c>
      <c r="C66" s="227">
        <v>2017</v>
      </c>
      <c r="E66"/>
    </row>
    <row r="67" spans="2:9" x14ac:dyDescent="0.25">
      <c r="B67" s="226" t="s">
        <v>289</v>
      </c>
      <c r="C67" s="227">
        <v>2018</v>
      </c>
      <c r="E67"/>
    </row>
    <row r="68" spans="2:9" x14ac:dyDescent="0.25">
      <c r="B68" s="226" t="s">
        <v>290</v>
      </c>
      <c r="C68" s="227">
        <v>2019</v>
      </c>
      <c r="E68"/>
    </row>
    <row r="69" spans="2:9" x14ac:dyDescent="0.25">
      <c r="B69" s="226" t="s">
        <v>291</v>
      </c>
      <c r="C69" s="227">
        <v>2020</v>
      </c>
      <c r="E69"/>
      <c r="H69"/>
      <c r="I69"/>
    </row>
    <row r="70" spans="2:9" ht="15.75" thickBot="1" x14ac:dyDescent="0.3">
      <c r="B70" s="226" t="s">
        <v>292</v>
      </c>
      <c r="C70" s="227">
        <v>2021</v>
      </c>
      <c r="E70"/>
      <c r="H70"/>
      <c r="I70"/>
    </row>
    <row r="71" spans="2:9" x14ac:dyDescent="0.25">
      <c r="B71" s="226" t="s">
        <v>293</v>
      </c>
      <c r="C71" s="227">
        <v>2022</v>
      </c>
      <c r="D71" s="237"/>
      <c r="E71" s="238" t="s">
        <v>294</v>
      </c>
      <c r="H71"/>
      <c r="I71"/>
    </row>
    <row r="72" spans="2:9" x14ac:dyDescent="0.25">
      <c r="B72" s="226" t="s">
        <v>295</v>
      </c>
      <c r="C72" s="227">
        <v>2023</v>
      </c>
      <c r="D72" s="239" t="s">
        <v>296</v>
      </c>
      <c r="E72" s="240">
        <f ca="1">IFERROR(INDEX(INDIRECT(dms_RPT),dms_CRY_start_row),0)</f>
        <v>0</v>
      </c>
      <c r="H72"/>
      <c r="I72"/>
    </row>
    <row r="73" spans="2:9" x14ac:dyDescent="0.25">
      <c r="B73" s="226" t="s">
        <v>33</v>
      </c>
      <c r="C73" s="227">
        <v>2024</v>
      </c>
      <c r="D73" s="239" t="s">
        <v>297</v>
      </c>
      <c r="E73" s="240">
        <f ca="1">IFERROR(INDEX(INDIRECT(dms_RPT),dms_CRY_start_row+1),0)</f>
        <v>0</v>
      </c>
      <c r="H73"/>
      <c r="I73"/>
    </row>
    <row r="74" spans="2:9" x14ac:dyDescent="0.25">
      <c r="B74" s="226" t="s">
        <v>298</v>
      </c>
      <c r="C74" s="227">
        <v>2025</v>
      </c>
      <c r="D74" s="239" t="s">
        <v>299</v>
      </c>
      <c r="E74" s="240">
        <f ca="1">IFERROR(INDEX(INDIRECT(dms_RPT),dms_CRY_start_row+2),0)</f>
        <v>0</v>
      </c>
      <c r="H74"/>
      <c r="I74"/>
    </row>
    <row r="75" spans="2:9" x14ac:dyDescent="0.25">
      <c r="B75" s="226" t="s">
        <v>300</v>
      </c>
      <c r="C75" s="227">
        <v>2026</v>
      </c>
      <c r="D75" s="239" t="s">
        <v>301</v>
      </c>
      <c r="E75" s="240">
        <f ca="1">IFERROR(INDEX(INDIRECT(dms_RPT),dms_CRY_start_row+3),0)</f>
        <v>0</v>
      </c>
      <c r="H75"/>
      <c r="I75"/>
    </row>
    <row r="76" spans="2:9" x14ac:dyDescent="0.25">
      <c r="B76" s="226" t="s">
        <v>302</v>
      </c>
      <c r="C76" s="227">
        <v>2027</v>
      </c>
      <c r="D76" s="239" t="s">
        <v>303</v>
      </c>
      <c r="E76" s="240">
        <f ca="1">IFERROR(INDEX(INDIRECT(dms_RPT),dms_CRY_start_row+4),0)</f>
        <v>0</v>
      </c>
      <c r="H76"/>
      <c r="I76"/>
    </row>
    <row r="77" spans="2:9" x14ac:dyDescent="0.25">
      <c r="B77" s="226" t="s">
        <v>304</v>
      </c>
      <c r="C77" s="227">
        <v>2028</v>
      </c>
      <c r="D77" s="239" t="s">
        <v>305</v>
      </c>
      <c r="E77" s="240">
        <f ca="1">IFERROR(INDEX(INDIRECT(dms_RPT),dms_CRY_start_row+5),0)</f>
        <v>0</v>
      </c>
      <c r="H77"/>
      <c r="I77"/>
    </row>
    <row r="78" spans="2:9" x14ac:dyDescent="0.25">
      <c r="B78" s="226" t="s">
        <v>306</v>
      </c>
      <c r="C78" s="227">
        <v>2029</v>
      </c>
      <c r="D78" s="239" t="s">
        <v>307</v>
      </c>
      <c r="E78" s="240">
        <f ca="1">IFERROR(INDEX(INDIRECT(dms_RPT),dms_CRY_start_row+6),0)</f>
        <v>0</v>
      </c>
      <c r="H78"/>
      <c r="I78"/>
    </row>
    <row r="79" spans="2:9" x14ac:dyDescent="0.25">
      <c r="B79" s="226" t="s">
        <v>308</v>
      </c>
      <c r="C79" s="227">
        <v>2030</v>
      </c>
      <c r="D79" s="239" t="s">
        <v>309</v>
      </c>
      <c r="E79" s="240">
        <f ca="1">IFERROR(INDEX(INDIRECT(dms_RPT),dms_CRY_start_row+7),0)</f>
        <v>0</v>
      </c>
      <c r="H79"/>
      <c r="I79"/>
    </row>
    <row r="80" spans="2:9" x14ac:dyDescent="0.25">
      <c r="B80" s="226" t="s">
        <v>310</v>
      </c>
      <c r="C80" s="227">
        <v>2031</v>
      </c>
      <c r="D80" s="239" t="s">
        <v>311</v>
      </c>
      <c r="E80" s="240">
        <f ca="1">IFERROR(INDEX(INDIRECT(dms_RPT),dms_CRY_start_row+8),0)</f>
        <v>0</v>
      </c>
      <c r="H80"/>
      <c r="I80"/>
    </row>
    <row r="81" spans="2:9" x14ac:dyDescent="0.25">
      <c r="B81" s="226" t="s">
        <v>312</v>
      </c>
      <c r="C81" s="227">
        <v>2032</v>
      </c>
      <c r="D81" s="239" t="s">
        <v>313</v>
      </c>
      <c r="E81" s="240">
        <f ca="1">IFERROR(INDEX(INDIRECT(dms_RPT),dms_CRY_start_row+9),0)</f>
        <v>0</v>
      </c>
      <c r="H81"/>
      <c r="I81"/>
    </row>
    <row r="82" spans="2:9" x14ac:dyDescent="0.25">
      <c r="B82" s="226" t="s">
        <v>314</v>
      </c>
      <c r="C82" s="227">
        <v>2033</v>
      </c>
      <c r="D82" s="239" t="s">
        <v>315</v>
      </c>
      <c r="E82" s="240">
        <f ca="1">IFERROR(INDEX(INDIRECT(dms_RPT),dms_CRY_start_row+10),0)</f>
        <v>0</v>
      </c>
      <c r="H82"/>
      <c r="I82"/>
    </row>
    <row r="83" spans="2:9" x14ac:dyDescent="0.25">
      <c r="B83" s="226" t="s">
        <v>316</v>
      </c>
      <c r="C83" s="227">
        <v>2034</v>
      </c>
      <c r="D83" s="239" t="s">
        <v>317</v>
      </c>
      <c r="E83" s="240">
        <f ca="1">IFERROR(INDEX(INDIRECT(dms_RPT),dms_CRY_start_row+11),0)</f>
        <v>0</v>
      </c>
      <c r="H83"/>
      <c r="I83"/>
    </row>
    <row r="84" spans="2:9" x14ac:dyDescent="0.25">
      <c r="B84" s="226" t="s">
        <v>318</v>
      </c>
      <c r="C84" s="227">
        <v>2035</v>
      </c>
      <c r="D84" s="239" t="s">
        <v>319</v>
      </c>
      <c r="E84" s="240">
        <f ca="1">IFERROR(INDEX(INDIRECT(dms_RPT),dms_CRY_start_row+12),0)</f>
        <v>0</v>
      </c>
      <c r="H84"/>
      <c r="I84"/>
    </row>
    <row r="85" spans="2:9" x14ac:dyDescent="0.25">
      <c r="B85" s="226" t="s">
        <v>320</v>
      </c>
      <c r="C85" s="227">
        <v>2036</v>
      </c>
      <c r="D85" s="239" t="s">
        <v>321</v>
      </c>
      <c r="E85" s="240">
        <f ca="1">IFERROR(INDEX(INDIRECT(dms_RPT),dms_CRY_start_row+13),0)</f>
        <v>0</v>
      </c>
      <c r="H85"/>
      <c r="I85"/>
    </row>
    <row r="86" spans="2:9" x14ac:dyDescent="0.25">
      <c r="B86" s="226" t="s">
        <v>322</v>
      </c>
      <c r="C86" s="227">
        <v>2037</v>
      </c>
      <c r="D86" s="239" t="s">
        <v>323</v>
      </c>
      <c r="E86" s="240">
        <f ca="1">IFERROR(INDEX(INDIRECT(dms_RPT),dms_CRY_start_row+14),0)</f>
        <v>0</v>
      </c>
      <c r="H86"/>
      <c r="I86"/>
    </row>
    <row r="87" spans="2:9" x14ac:dyDescent="0.25">
      <c r="B87" s="226" t="s">
        <v>324</v>
      </c>
      <c r="C87" s="227">
        <v>2038</v>
      </c>
      <c r="D87" s="239" t="s">
        <v>325</v>
      </c>
      <c r="E87" s="240">
        <f ca="1">IFERROR(INDEX(INDIRECT(dms_RPT),dms_CRY_start_row+15),0)</f>
        <v>0</v>
      </c>
      <c r="H87"/>
      <c r="I87"/>
    </row>
    <row r="88" spans="2:9" x14ac:dyDescent="0.25">
      <c r="B88" s="226" t="s">
        <v>326</v>
      </c>
      <c r="C88" s="227">
        <v>2039</v>
      </c>
      <c r="D88" s="239" t="s">
        <v>327</v>
      </c>
      <c r="E88" s="240">
        <f ca="1">IFERROR(INDEX(INDIRECT(dms_RPT),dms_CRY_start_row+16),0)</f>
        <v>0</v>
      </c>
      <c r="H88"/>
      <c r="I88"/>
    </row>
    <row r="89" spans="2:9" x14ac:dyDescent="0.25">
      <c r="B89" s="226" t="s">
        <v>328</v>
      </c>
      <c r="C89" s="227">
        <v>2040</v>
      </c>
      <c r="D89" s="239" t="s">
        <v>329</v>
      </c>
      <c r="E89" s="240">
        <f ca="1">IFERROR(INDEX(INDIRECT(dms_RPT),dms_CRY_start_row+17),0)</f>
        <v>0</v>
      </c>
      <c r="H89"/>
      <c r="I89"/>
    </row>
    <row r="90" spans="2:9" x14ac:dyDescent="0.25">
      <c r="B90" s="226" t="s">
        <v>330</v>
      </c>
      <c r="C90" s="227">
        <v>2041</v>
      </c>
      <c r="D90" s="239" t="s">
        <v>331</v>
      </c>
      <c r="E90" s="240">
        <f ca="1">IFERROR(INDEX(INDIRECT(dms_RPT),dms_CRY_start_row+18),0)</f>
        <v>0</v>
      </c>
      <c r="H90"/>
      <c r="I90"/>
    </row>
    <row r="91" spans="2:9" x14ac:dyDescent="0.25">
      <c r="B91" s="226" t="s">
        <v>332</v>
      </c>
      <c r="C91" s="227">
        <v>2042</v>
      </c>
      <c r="D91" s="239" t="s">
        <v>333</v>
      </c>
      <c r="E91" s="240">
        <f ca="1">IFERROR(INDEX(INDIRECT(dms_RPT),dms_CRY_start_row+19),0)</f>
        <v>0</v>
      </c>
      <c r="H91"/>
      <c r="I91"/>
    </row>
    <row r="92" spans="2:9" x14ac:dyDescent="0.25">
      <c r="B92" s="226" t="s">
        <v>334</v>
      </c>
      <c r="C92" s="227">
        <v>2043</v>
      </c>
      <c r="D92" s="239" t="s">
        <v>335</v>
      </c>
      <c r="E92" s="240">
        <f ca="1">IFERROR(INDEX(INDIRECT(dms_RPT),dms_CRY_start_row+20),0)</f>
        <v>0</v>
      </c>
      <c r="H92"/>
      <c r="I92"/>
    </row>
    <row r="93" spans="2:9" x14ac:dyDescent="0.25">
      <c r="B93" s="226" t="s">
        <v>336</v>
      </c>
      <c r="C93" s="227">
        <v>2044</v>
      </c>
      <c r="D93" s="239" t="s">
        <v>337</v>
      </c>
      <c r="E93" s="240">
        <f ca="1">IFERROR(INDEX(INDIRECT(dms_RPT),dms_CRY_start_row+21),0)</f>
        <v>0</v>
      </c>
      <c r="H93"/>
      <c r="I93"/>
    </row>
    <row r="94" spans="2:9" x14ac:dyDescent="0.25">
      <c r="B94" s="226" t="s">
        <v>338</v>
      </c>
      <c r="C94" s="227">
        <v>2045</v>
      </c>
      <c r="D94" s="239" t="s">
        <v>339</v>
      </c>
      <c r="E94" s="240">
        <f ca="1">IFERROR(INDEX(INDIRECT(dms_RPT),dms_CRY_start_row+22),0)</f>
        <v>0</v>
      </c>
      <c r="H94"/>
      <c r="I94"/>
    </row>
    <row r="95" spans="2:9" x14ac:dyDescent="0.25">
      <c r="B95" s="226" t="s">
        <v>340</v>
      </c>
      <c r="C95" s="227">
        <v>2046</v>
      </c>
      <c r="D95" s="239" t="s">
        <v>341</v>
      </c>
      <c r="E95" s="240">
        <f ca="1">IFERROR(INDEX(INDIRECT(dms_RPT),dms_CRY_start_row+23),0)</f>
        <v>0</v>
      </c>
      <c r="H95"/>
      <c r="I95"/>
    </row>
    <row r="96" spans="2:9" x14ac:dyDescent="0.25">
      <c r="B96" s="241" t="s">
        <v>342</v>
      </c>
      <c r="C96" s="242">
        <v>2047</v>
      </c>
      <c r="D96" s="239" t="s">
        <v>343</v>
      </c>
      <c r="E96" s="240">
        <f ca="1">IFERROR(INDEX(INDIRECT(dms_RPT),dms_CRY_start_row+24),0)</f>
        <v>0</v>
      </c>
      <c r="H96"/>
      <c r="I96"/>
    </row>
    <row r="97" spans="2:21" ht="15.75" thickBot="1" x14ac:dyDescent="0.3">
      <c r="B97" s="241" t="s">
        <v>344</v>
      </c>
      <c r="C97" s="242">
        <v>2048</v>
      </c>
      <c r="D97" s="243" t="s">
        <v>345</v>
      </c>
      <c r="E97" s="244">
        <f ca="1">IFERROR(INDEX(INDIRECT(dms_RPT),dms_CRY_start_row+25),0)</f>
        <v>0</v>
      </c>
    </row>
    <row r="98" spans="2:21" x14ac:dyDescent="0.25">
      <c r="B98" s="241" t="s">
        <v>346</v>
      </c>
      <c r="C98" s="242" t="s">
        <v>347</v>
      </c>
      <c r="E98" s="216"/>
      <c r="O98"/>
      <c r="P98"/>
      <c r="Q98"/>
      <c r="R98"/>
      <c r="S98"/>
      <c r="T98"/>
      <c r="U98"/>
    </row>
    <row r="99" spans="2:21" x14ac:dyDescent="0.25">
      <c r="B99" s="241" t="s">
        <v>348</v>
      </c>
      <c r="C99" s="242" t="s">
        <v>349</v>
      </c>
      <c r="H99"/>
      <c r="I99"/>
      <c r="J99"/>
      <c r="K99"/>
      <c r="L99"/>
      <c r="O99"/>
      <c r="P99"/>
      <c r="Q99"/>
      <c r="R99"/>
      <c r="S99"/>
      <c r="T99"/>
      <c r="U99"/>
    </row>
    <row r="100" spans="2:21" x14ac:dyDescent="0.25">
      <c r="B100" s="241"/>
      <c r="C100" s="242"/>
      <c r="H100"/>
      <c r="I100"/>
      <c r="J100"/>
      <c r="K100"/>
      <c r="L100"/>
      <c r="O100"/>
      <c r="P100"/>
      <c r="Q100"/>
      <c r="R100"/>
      <c r="S100"/>
      <c r="T100"/>
      <c r="U100"/>
    </row>
    <row r="101" spans="2:21" x14ac:dyDescent="0.25">
      <c r="B101" s="241"/>
      <c r="C101" s="242"/>
      <c r="H101"/>
      <c r="I101"/>
      <c r="J101"/>
      <c r="K101"/>
      <c r="L101"/>
    </row>
    <row r="102" spans="2:21" x14ac:dyDescent="0.25">
      <c r="B102" s="241"/>
      <c r="C102" s="242"/>
    </row>
    <row r="103" spans="2:21" x14ac:dyDescent="0.25">
      <c r="B103" s="241"/>
      <c r="C103" s="242"/>
    </row>
    <row r="104" spans="2:21" x14ac:dyDescent="0.25">
      <c r="B104" s="241"/>
      <c r="C104" s="242"/>
    </row>
    <row r="105" spans="2:21" x14ac:dyDescent="0.25">
      <c r="B105" s="241"/>
      <c r="C105" s="242"/>
    </row>
    <row r="106" spans="2:21" ht="15.75" thickBot="1" x14ac:dyDescent="0.3">
      <c r="B106" s="245"/>
      <c r="C106" s="246"/>
    </row>
  </sheetData>
  <mergeCells count="7">
    <mergeCell ref="AL6:AL8"/>
    <mergeCell ref="B18:E18"/>
    <mergeCell ref="Z5:AK5"/>
    <mergeCell ref="Z6:AC6"/>
    <mergeCell ref="AE6:AI8"/>
    <mergeCell ref="AJ6:AJ8"/>
    <mergeCell ref="AK6:AK8"/>
  </mergeCells>
  <conditionalFormatting sqref="Z10:AD15">
    <cfRule type="containsText" dxfId="16" priority="5" operator="containsText" text="YES">
      <formula>NOT(ISERROR(SEARCH("YES",Z10)))</formula>
    </cfRule>
  </conditionalFormatting>
  <conditionalFormatting sqref="AE10:AJ15">
    <cfRule type="expression" dxfId="15" priority="2">
      <formula>Z10="YES"</formula>
    </cfRule>
  </conditionalFormatting>
  <conditionalFormatting sqref="AK10:AK15">
    <cfRule type="cellIs" dxfId="14" priority="4" operator="equal">
      <formula>"YES"</formula>
    </cfRule>
  </conditionalFormatting>
  <pageMargins left="0.7" right="0.7" top="0.75" bottom="0.75" header="0.3" footer="0.3"/>
  <pageSetup paperSize="9" orientation="portrait" r:id="rId1"/>
  <legacyDrawing r:id="rId2"/>
  <tableParts count="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722E8F-7C62-4EF0-97AC-EF9511982283}">
  <sheetPr codeName="Sheet5">
    <tabColor theme="1"/>
    <pageSetUpPr autoPageBreaks="0"/>
  </sheetPr>
  <dimension ref="A1:CL154"/>
  <sheetViews>
    <sheetView showGridLines="0" topLeftCell="A12" zoomScaleNormal="100" workbookViewId="0">
      <selection activeCell="C32" sqref="C32"/>
    </sheetView>
  </sheetViews>
  <sheetFormatPr defaultColWidth="9.140625" defaultRowHeight="15" x14ac:dyDescent="0.25"/>
  <cols>
    <col min="1" max="1" width="36.28515625" customWidth="1"/>
    <col min="2" max="2" width="44.5703125" style="30" customWidth="1"/>
    <col min="3" max="3" width="24.140625" style="30" customWidth="1"/>
    <col min="4" max="4" width="33.42578125" style="30" customWidth="1"/>
    <col min="5" max="7" width="17.28515625" style="30" customWidth="1"/>
    <col min="8" max="9" width="13.28515625" style="30" customWidth="1"/>
    <col min="10" max="12" width="13.7109375" customWidth="1"/>
    <col min="13" max="16384" width="9.140625" style="30"/>
  </cols>
  <sheetData>
    <row r="1" spans="1:51" customFormat="1" ht="51" customHeight="1" x14ac:dyDescent="0.25">
      <c r="B1" s="117" t="s">
        <v>391</v>
      </c>
      <c r="C1" s="118"/>
      <c r="D1" s="118"/>
      <c r="E1" s="118"/>
      <c r="F1" s="118"/>
      <c r="G1" s="118"/>
      <c r="H1" s="118"/>
      <c r="I1" s="118"/>
      <c r="J1" s="118"/>
      <c r="K1" s="118"/>
    </row>
    <row r="2" spans="1:51" customFormat="1" ht="24.75" customHeight="1" x14ac:dyDescent="0.25"/>
    <row r="3" spans="1:51" ht="20.25" x14ac:dyDescent="0.3">
      <c r="B3" s="315" t="s">
        <v>392</v>
      </c>
      <c r="C3" s="316" t="s">
        <v>393</v>
      </c>
      <c r="D3" s="317" t="s">
        <v>394</v>
      </c>
      <c r="E3" s="318"/>
      <c r="F3" s="318"/>
      <c r="G3" s="318"/>
      <c r="H3" s="318"/>
      <c r="I3" s="318"/>
      <c r="J3" s="318"/>
      <c r="K3" s="318"/>
      <c r="M3"/>
      <c r="N3"/>
      <c r="O3"/>
      <c r="P3"/>
      <c r="Q3"/>
      <c r="R3"/>
      <c r="S3"/>
      <c r="T3"/>
      <c r="U3"/>
      <c r="V3"/>
      <c r="W3"/>
      <c r="X3"/>
      <c r="Y3"/>
      <c r="Z3"/>
      <c r="AA3"/>
      <c r="AB3"/>
      <c r="AC3"/>
      <c r="AD3"/>
      <c r="AE3"/>
      <c r="AF3"/>
      <c r="AG3"/>
      <c r="AH3"/>
      <c r="AI3"/>
      <c r="AJ3"/>
      <c r="AK3"/>
      <c r="AL3"/>
      <c r="AM3"/>
      <c r="AN3"/>
      <c r="AO3"/>
      <c r="AP3"/>
      <c r="AQ3"/>
      <c r="AR3"/>
      <c r="AS3"/>
      <c r="AT3"/>
      <c r="AU3"/>
      <c r="AV3"/>
      <c r="AW3"/>
      <c r="AX3"/>
      <c r="AY3"/>
    </row>
    <row r="4" spans="1:51" ht="15.75" thickBot="1" x14ac:dyDescent="0.3">
      <c r="B4" s="319"/>
      <c r="M4"/>
      <c r="N4"/>
      <c r="O4"/>
      <c r="P4"/>
      <c r="Q4"/>
      <c r="R4"/>
      <c r="S4"/>
      <c r="T4"/>
      <c r="U4"/>
      <c r="V4"/>
      <c r="W4"/>
      <c r="X4"/>
      <c r="Y4"/>
      <c r="Z4"/>
      <c r="AA4"/>
      <c r="AB4"/>
      <c r="AC4"/>
      <c r="AD4"/>
      <c r="AE4"/>
      <c r="AF4"/>
      <c r="AG4"/>
      <c r="AH4"/>
      <c r="AI4"/>
      <c r="AJ4"/>
      <c r="AK4"/>
      <c r="AL4"/>
      <c r="AM4"/>
      <c r="AN4"/>
      <c r="AO4"/>
      <c r="AP4"/>
      <c r="AQ4"/>
      <c r="AR4"/>
      <c r="AS4"/>
      <c r="AT4"/>
      <c r="AU4"/>
      <c r="AV4"/>
      <c r="AW4"/>
      <c r="AX4"/>
      <c r="AY4"/>
    </row>
    <row r="5" spans="1:51" customFormat="1" x14ac:dyDescent="0.25">
      <c r="B5" s="320" t="s">
        <v>395</v>
      </c>
      <c r="C5" s="298"/>
      <c r="D5" s="321"/>
      <c r="E5" s="298"/>
      <c r="F5" s="298"/>
      <c r="G5" s="298"/>
      <c r="H5" s="298"/>
      <c r="I5" s="126"/>
    </row>
    <row r="6" spans="1:51" customFormat="1" x14ac:dyDescent="0.25">
      <c r="B6" s="322" t="s">
        <v>396</v>
      </c>
      <c r="D6" s="30"/>
      <c r="E6" s="30"/>
      <c r="F6" s="30"/>
      <c r="G6" s="30"/>
      <c r="H6" s="30"/>
      <c r="I6" s="323"/>
    </row>
    <row r="7" spans="1:51" customFormat="1" ht="15.75" thickBot="1" x14ac:dyDescent="0.3">
      <c r="B7" s="324" t="s">
        <v>397</v>
      </c>
      <c r="C7" s="122"/>
      <c r="D7" s="325"/>
      <c r="E7" s="325"/>
      <c r="F7" s="325"/>
      <c r="G7" s="325"/>
      <c r="H7" s="325"/>
      <c r="I7" s="326"/>
    </row>
    <row r="8" spans="1:51" customFormat="1" ht="15.75" thickBot="1" x14ac:dyDescent="0.3">
      <c r="B8" s="121"/>
      <c r="C8" s="121"/>
      <c r="D8" s="121"/>
      <c r="E8" s="121"/>
      <c r="F8" s="121"/>
      <c r="G8" s="121"/>
      <c r="H8" s="121"/>
      <c r="I8" s="121"/>
    </row>
    <row r="9" spans="1:51" customFormat="1" x14ac:dyDescent="0.25">
      <c r="A9" s="327"/>
      <c r="B9" s="328" t="s">
        <v>398</v>
      </c>
      <c r="C9" s="329" t="str">
        <f>INDEX(dms_TradingNameFull_List,MATCH(dms_TradingName,dms_TradingName_List))</f>
        <v>2003</v>
      </c>
      <c r="D9" s="330"/>
      <c r="E9" s="331" t="s">
        <v>399</v>
      </c>
      <c r="F9" s="332"/>
      <c r="G9" s="332"/>
      <c r="H9" s="332"/>
      <c r="I9" s="333"/>
    </row>
    <row r="10" spans="1:51" customFormat="1" x14ac:dyDescent="0.25">
      <c r="B10" s="328" t="s">
        <v>400</v>
      </c>
      <c r="C10" s="329" t="str">
        <f>dms_TradingName</f>
        <v>United Energy</v>
      </c>
      <c r="D10" s="330"/>
      <c r="E10" s="331"/>
      <c r="F10" s="332"/>
      <c r="G10" s="332"/>
      <c r="H10" s="332"/>
      <c r="I10" s="333"/>
    </row>
    <row r="11" spans="1:51" customFormat="1" x14ac:dyDescent="0.25">
      <c r="B11" s="328" t="s">
        <v>401</v>
      </c>
      <c r="C11" s="329" t="e">
        <f ca="1">INDEX(dms_UID_List,MATCH(dms_TradingName,dms_TradingName_List))</f>
        <v>#NAME?</v>
      </c>
      <c r="D11" s="330"/>
      <c r="E11" s="331"/>
      <c r="F11" s="332"/>
      <c r="G11" s="332"/>
      <c r="H11" s="332"/>
      <c r="I11" s="333"/>
    </row>
    <row r="12" spans="1:51" customFormat="1" x14ac:dyDescent="0.25">
      <c r="A12" s="334" t="s">
        <v>402</v>
      </c>
      <c r="B12" s="335" t="s">
        <v>403</v>
      </c>
      <c r="C12" s="336" t="s">
        <v>149</v>
      </c>
      <c r="D12" s="337" t="s">
        <v>404</v>
      </c>
      <c r="E12" s="338"/>
      <c r="F12" s="339"/>
      <c r="G12" s="339"/>
      <c r="H12" s="339"/>
      <c r="I12" s="340"/>
    </row>
    <row r="13" spans="1:51" customFormat="1" x14ac:dyDescent="0.25">
      <c r="A13" s="902" t="s">
        <v>405</v>
      </c>
      <c r="B13" s="328" t="s">
        <v>380</v>
      </c>
      <c r="C13" s="341" t="s">
        <v>406</v>
      </c>
      <c r="D13" s="331" t="s">
        <v>407</v>
      </c>
      <c r="E13" s="342" t="str">
        <f>IF(dms_MODEL="Reset", "Make sure you have set Reg Proposal as source","")</f>
        <v>Make sure you have set Reg Proposal as source</v>
      </c>
      <c r="F13" s="332"/>
      <c r="G13" s="332"/>
      <c r="H13" s="332"/>
      <c r="I13" s="333"/>
    </row>
    <row r="14" spans="1:51" customFormat="1" x14ac:dyDescent="0.25">
      <c r="A14" s="903"/>
      <c r="B14" s="328" t="s">
        <v>408</v>
      </c>
      <c r="C14" s="329" t="s">
        <v>383</v>
      </c>
      <c r="D14" s="331" t="s">
        <v>409</v>
      </c>
      <c r="E14" s="905"/>
      <c r="F14" s="905"/>
      <c r="G14" s="905"/>
      <c r="H14" s="905"/>
      <c r="I14" s="906"/>
    </row>
    <row r="15" spans="1:51" customFormat="1" x14ac:dyDescent="0.25">
      <c r="A15" s="903"/>
      <c r="B15" s="328" t="s">
        <v>410</v>
      </c>
      <c r="C15" s="329" t="s">
        <v>385</v>
      </c>
      <c r="D15" s="331" t="s">
        <v>411</v>
      </c>
      <c r="E15" s="343"/>
      <c r="F15" s="343"/>
      <c r="G15" s="343"/>
      <c r="H15" s="343"/>
      <c r="I15" s="344"/>
    </row>
    <row r="16" spans="1:51" customFormat="1" ht="39" customHeight="1" x14ac:dyDescent="0.25">
      <c r="A16" s="903"/>
      <c r="B16" s="345" t="s">
        <v>412</v>
      </c>
      <c r="C16" s="907" t="str">
        <f>dms_Amendment_Text</f>
        <v>.</v>
      </c>
      <c r="D16" s="907"/>
      <c r="E16" s="907"/>
      <c r="F16" s="346" t="s">
        <v>413</v>
      </c>
      <c r="G16" s="343"/>
      <c r="H16" s="343"/>
      <c r="I16" s="344"/>
    </row>
    <row r="17" spans="1:11" customFormat="1" ht="15" customHeight="1" thickBot="1" x14ac:dyDescent="0.3">
      <c r="A17" s="904"/>
      <c r="B17" s="347" t="s">
        <v>414</v>
      </c>
      <c r="C17" s="348" t="str">
        <f>dms_Typed_Submission_Date</f>
        <v>dd/mm/yy</v>
      </c>
      <c r="D17" s="349" t="s">
        <v>415</v>
      </c>
      <c r="E17" s="350"/>
      <c r="F17" s="351"/>
      <c r="G17" s="351"/>
      <c r="H17" s="351"/>
      <c r="I17" s="352"/>
    </row>
    <row r="18" spans="1:11" customFormat="1" ht="15" customHeight="1" thickBot="1" x14ac:dyDescent="0.3">
      <c r="B18" s="30"/>
      <c r="C18" s="30"/>
      <c r="D18" s="30"/>
      <c r="E18" s="30"/>
      <c r="F18" s="30"/>
      <c r="G18" s="30"/>
      <c r="H18" s="30"/>
      <c r="I18" s="30"/>
    </row>
    <row r="19" spans="1:11" customFormat="1" ht="15.75" thickBot="1" x14ac:dyDescent="0.3">
      <c r="A19" s="334" t="s">
        <v>416</v>
      </c>
      <c r="B19" s="353" t="s">
        <v>417</v>
      </c>
      <c r="C19" s="354" t="s">
        <v>418</v>
      </c>
      <c r="D19" s="355"/>
      <c r="E19" s="355"/>
      <c r="F19" s="355"/>
      <c r="G19" s="355"/>
      <c r="H19" s="355"/>
      <c r="I19" s="356"/>
      <c r="J19" s="122"/>
      <c r="K19" s="122"/>
    </row>
    <row r="20" spans="1:11" customFormat="1" x14ac:dyDescent="0.25">
      <c r="A20" s="908" t="s">
        <v>419</v>
      </c>
      <c r="B20" s="357" t="s">
        <v>420</v>
      </c>
      <c r="C20" s="358" t="s">
        <v>383</v>
      </c>
      <c r="D20" s="359" t="s">
        <v>421</v>
      </c>
      <c r="E20" s="360" t="s">
        <v>422</v>
      </c>
      <c r="F20" s="361"/>
      <c r="G20" s="361"/>
      <c r="H20" s="361"/>
      <c r="I20" s="361"/>
      <c r="J20" s="362"/>
      <c r="K20" s="363"/>
    </row>
    <row r="21" spans="1:11" s="203" customFormat="1" x14ac:dyDescent="0.25">
      <c r="A21" s="909"/>
      <c r="B21" s="364" t="s">
        <v>423</v>
      </c>
      <c r="C21" s="365" t="e">
        <f ca="1">INDEX(dms_Sector_List,MATCH(dms_TradingName,dms_TradingName_List))</f>
        <v>#NAME?</v>
      </c>
      <c r="D21" s="366" t="s">
        <v>424</v>
      </c>
      <c r="E21" s="367" t="s">
        <v>425</v>
      </c>
      <c r="F21" s="368"/>
      <c r="G21" s="368"/>
      <c r="H21" s="368"/>
      <c r="I21" s="368"/>
      <c r="J21" s="369"/>
      <c r="K21" s="370"/>
    </row>
    <row r="22" spans="1:11" customFormat="1" x14ac:dyDescent="0.25">
      <c r="A22" s="909"/>
      <c r="B22" s="364" t="s">
        <v>426</v>
      </c>
      <c r="C22" s="371" t="str">
        <f>INDEX(dms_Segment_List,MATCH(dms_TradingName,dms_TradingName_List))</f>
        <v>FRCP_y16</v>
      </c>
      <c r="D22" s="366" t="s">
        <v>427</v>
      </c>
      <c r="E22" s="367" t="s">
        <v>428</v>
      </c>
      <c r="F22" s="368"/>
      <c r="G22" s="368"/>
      <c r="H22" s="368"/>
      <c r="I22" s="368"/>
      <c r="J22" s="369"/>
      <c r="K22" s="370"/>
    </row>
    <row r="23" spans="1:11" customFormat="1" x14ac:dyDescent="0.25">
      <c r="A23" s="909"/>
      <c r="B23" s="364" t="s">
        <v>429</v>
      </c>
      <c r="C23" s="365" t="e">
        <f>IF(dms_MultiYear_Flag=1,LEFT(dms_Specified_FinalYear,2)&amp;RIGHT(dms_Specified_FinalYear,2),dms_RYE_result)</f>
        <v>#NAME?</v>
      </c>
      <c r="D23" s="366" t="s">
        <v>430</v>
      </c>
      <c r="E23" s="367" t="s">
        <v>431</v>
      </c>
      <c r="F23" s="368"/>
      <c r="G23" s="368"/>
      <c r="H23" s="368"/>
      <c r="I23" s="368"/>
      <c r="J23" s="369"/>
      <c r="K23" s="370"/>
    </row>
    <row r="24" spans="1:11" customFormat="1" x14ac:dyDescent="0.25">
      <c r="A24" s="909"/>
      <c r="B24" s="364" t="s">
        <v>432</v>
      </c>
      <c r="C24" s="371">
        <f>INDEX(dms_RPT_List,MATCH(dms_TradingName,dms_TradingName_List))</f>
        <v>0</v>
      </c>
      <c r="D24" s="366" t="s">
        <v>433</v>
      </c>
      <c r="E24" s="367" t="s">
        <v>434</v>
      </c>
      <c r="F24" s="368"/>
      <c r="G24" s="368"/>
      <c r="H24" s="368"/>
      <c r="I24" s="368"/>
      <c r="J24" s="369"/>
      <c r="K24" s="370"/>
    </row>
    <row r="25" spans="1:11" ht="18" x14ac:dyDescent="0.25">
      <c r="A25" s="909"/>
      <c r="B25" s="364" t="s">
        <v>435</v>
      </c>
      <c r="C25" s="372" t="s">
        <v>436</v>
      </c>
      <c r="D25" s="366" t="s">
        <v>437</v>
      </c>
      <c r="E25" s="373" t="e">
        <f>IF(dms_SingleYearModel="yes","This is set to an historical template (EB, CA or ARR), apply UOM Named Range to cell !","This is not an historical template, make sure UOM Named Range is not applied")</f>
        <v>#NAME?</v>
      </c>
      <c r="F25" s="374"/>
      <c r="G25" s="374"/>
      <c r="H25" s="374"/>
      <c r="I25" s="374"/>
      <c r="J25" s="375" t="str" cm="1">
        <f t="array" ref="J25">IFERROR(dms_dollar_nom_UOM, "NR not applied")</f>
        <v>NR not applied</v>
      </c>
      <c r="K25" s="376"/>
    </row>
    <row r="26" spans="1:11" customFormat="1" x14ac:dyDescent="0.25">
      <c r="A26" s="909"/>
      <c r="B26" s="364" t="s">
        <v>438</v>
      </c>
      <c r="C26" s="371" t="s">
        <v>385</v>
      </c>
      <c r="D26" s="377" t="s">
        <v>439</v>
      </c>
      <c r="E26" s="378" t="s">
        <v>440</v>
      </c>
      <c r="F26" s="368"/>
      <c r="G26" s="368"/>
      <c r="H26" s="368"/>
      <c r="I26" s="368"/>
      <c r="J26" s="369"/>
      <c r="K26" s="370"/>
    </row>
    <row r="27" spans="1:11" customFormat="1" ht="15.75" customHeight="1" thickBot="1" x14ac:dyDescent="0.3">
      <c r="A27" s="910"/>
      <c r="B27" s="379" t="s">
        <v>441</v>
      </c>
      <c r="C27" s="380" t="str">
        <f>INDEX(dms_JurisdictionList,MATCH(dms_TradingName,dms_TradingName_List))</f>
        <v>CRCP_y16</v>
      </c>
      <c r="D27" s="381" t="s">
        <v>442</v>
      </c>
      <c r="E27" s="382" t="s">
        <v>443</v>
      </c>
      <c r="F27" s="383"/>
      <c r="G27" s="383"/>
      <c r="H27" s="383"/>
      <c r="I27" s="383"/>
      <c r="J27" s="384"/>
      <c r="K27" s="385"/>
    </row>
    <row r="28" spans="1:11" customFormat="1" ht="22.5" customHeight="1" thickBot="1" x14ac:dyDescent="0.3">
      <c r="A28" s="911" t="s">
        <v>444</v>
      </c>
      <c r="B28" s="386" t="s">
        <v>445</v>
      </c>
      <c r="C28" s="387"/>
      <c r="D28" s="387"/>
      <c r="E28" s="388"/>
      <c r="F28" s="389"/>
      <c r="G28" s="389"/>
      <c r="H28" s="389"/>
      <c r="I28" s="389"/>
      <c r="J28" s="389"/>
      <c r="K28" s="390"/>
    </row>
    <row r="29" spans="1:11" s="75" customFormat="1" ht="22.5" customHeight="1" x14ac:dyDescent="0.25">
      <c r="A29" s="912"/>
      <c r="B29" s="391" t="s">
        <v>446</v>
      </c>
      <c r="C29" s="392" t="str">
        <f>IFERROR(CRY,"NO")</f>
        <v>2023-24</v>
      </c>
      <c r="D29" s="393"/>
      <c r="E29" s="394"/>
      <c r="F29" s="394"/>
      <c r="G29" s="394"/>
      <c r="H29" s="394"/>
      <c r="I29" s="394"/>
      <c r="J29" s="394"/>
      <c r="K29" s="395"/>
    </row>
    <row r="30" spans="1:11" customFormat="1" x14ac:dyDescent="0.25">
      <c r="A30" s="912"/>
      <c r="B30" s="396" t="s">
        <v>447</v>
      </c>
      <c r="C30" s="372" t="str">
        <f>IFERROR(IF(dms_RPT="calendar",CRY-1,LEFT(CRY,4)),"CRY not present")</f>
        <v>CRY not present</v>
      </c>
      <c r="D30" s="397" t="s">
        <v>448</v>
      </c>
      <c r="E30" s="398" t="s">
        <v>449</v>
      </c>
      <c r="F30" s="397"/>
      <c r="G30" s="397"/>
      <c r="H30" s="397"/>
      <c r="I30" s="397"/>
      <c r="J30" s="399"/>
      <c r="K30" s="400"/>
    </row>
    <row r="31" spans="1:11" customFormat="1" x14ac:dyDescent="0.25">
      <c r="A31" s="912"/>
      <c r="B31" s="401" t="s">
        <v>450</v>
      </c>
      <c r="C31" s="371">
        <f>INDEX(dms_RPTMonth_List,MATCH(dms_TradingName,dms_TradingName_List))</f>
        <v>0</v>
      </c>
      <c r="D31" s="377" t="s">
        <v>451</v>
      </c>
      <c r="E31" s="366" t="s">
        <v>452</v>
      </c>
      <c r="F31" s="377"/>
      <c r="G31" s="377"/>
      <c r="H31" s="377"/>
      <c r="I31" s="377"/>
      <c r="J31" s="402"/>
      <c r="K31" s="403"/>
    </row>
    <row r="32" spans="1:11" customFormat="1" ht="14.25" customHeight="1" x14ac:dyDescent="0.25">
      <c r="A32" s="912"/>
      <c r="B32" s="401" t="s">
        <v>453</v>
      </c>
      <c r="C32" s="404" t="e">
        <f>IF(dms_MODEL="RFM",dms_DollarReal_Prev, IF(dms_SingleYearModel="yes",CONCATENATE(dms_RPTMonth)&amp;" "&amp;VALUE((LEFT(dms_CRY_start_year,2)&amp;RIGHT(dms_CRY_start_year,2))),CONCATENATE(dms_RPTMonth)&amp;" "&amp;dms_DollarReal_year))</f>
        <v>#NAME?</v>
      </c>
      <c r="D32" s="366" t="s">
        <v>454</v>
      </c>
      <c r="E32" s="366" t="s">
        <v>455</v>
      </c>
      <c r="F32" s="377"/>
      <c r="G32" s="377"/>
      <c r="H32" s="377"/>
      <c r="I32" s="377"/>
      <c r="J32" s="402"/>
      <c r="K32" s="403"/>
    </row>
    <row r="33" spans="1:90" customFormat="1" ht="24" customHeight="1" thickBot="1" x14ac:dyDescent="0.3">
      <c r="A33" s="913"/>
      <c r="B33" s="405" t="s">
        <v>456</v>
      </c>
      <c r="C33" s="406" t="e">
        <f>CONCATENATE(dms_RPTMonth)&amp;" "&amp;dms_Previous_DollarReal_year</f>
        <v>#NAME?</v>
      </c>
      <c r="D33" s="381" t="s">
        <v>457</v>
      </c>
      <c r="E33" s="381" t="s">
        <v>458</v>
      </c>
      <c r="F33" s="407"/>
      <c r="G33" s="407"/>
      <c r="H33" s="407"/>
      <c r="I33" s="407"/>
      <c r="J33" s="408"/>
      <c r="K33" s="409"/>
    </row>
    <row r="34" spans="1:90" customFormat="1" ht="24" customHeight="1" thickBot="1" x14ac:dyDescent="0.3">
      <c r="B34" s="410" t="s">
        <v>459</v>
      </c>
      <c r="C34" s="411"/>
      <c r="D34" s="411"/>
      <c r="E34" s="411"/>
      <c r="F34" s="412"/>
      <c r="G34" s="412"/>
      <c r="H34" s="412"/>
      <c r="I34" s="412"/>
      <c r="J34" s="412"/>
      <c r="K34" s="413"/>
      <c r="AL34" s="916"/>
      <c r="AM34" s="916"/>
      <c r="AN34" s="916"/>
      <c r="AO34" s="916"/>
      <c r="AP34" s="916"/>
      <c r="AQ34" s="916"/>
      <c r="AR34" s="916"/>
      <c r="AS34" s="916"/>
      <c r="AT34" s="916"/>
      <c r="AU34" s="916"/>
      <c r="AV34" s="916"/>
      <c r="AW34" s="916"/>
      <c r="AX34" s="916"/>
      <c r="AY34" s="916"/>
      <c r="AZ34" s="916"/>
      <c r="BA34" s="916"/>
      <c r="BB34" s="916"/>
      <c r="BC34" s="916"/>
      <c r="BD34" s="916"/>
      <c r="BE34" s="916"/>
      <c r="BF34" s="916"/>
      <c r="BG34" s="916"/>
      <c r="BQ34" s="916"/>
      <c r="BR34" s="916"/>
      <c r="BS34" s="916"/>
      <c r="BT34" s="916"/>
      <c r="BU34" s="916"/>
      <c r="BV34" s="916"/>
      <c r="BW34" s="916"/>
      <c r="BX34" s="916"/>
      <c r="BY34" s="916"/>
      <c r="BZ34" s="916"/>
      <c r="CA34" s="916"/>
      <c r="CB34" s="916"/>
      <c r="CC34" s="916"/>
      <c r="CD34" s="916"/>
      <c r="CE34" s="916"/>
      <c r="CF34" s="916"/>
      <c r="CG34" s="916"/>
      <c r="CH34" s="916"/>
      <c r="CI34" s="916"/>
      <c r="CJ34" s="916"/>
      <c r="CK34" s="916"/>
      <c r="CL34" s="916"/>
    </row>
    <row r="35" spans="1:90" s="75" customFormat="1" ht="30.75" customHeight="1" thickBot="1" x14ac:dyDescent="0.3">
      <c r="B35" s="414" t="s">
        <v>460</v>
      </c>
      <c r="C35" s="415" t="e">
        <f ca="1">INDEX(dms_FormControl_List,MATCH(dms_TradingName,dms_TradingName_List))</f>
        <v>#NAME?</v>
      </c>
      <c r="D35" s="398" t="s">
        <v>461</v>
      </c>
      <c r="E35" s="416" t="s">
        <v>462</v>
      </c>
      <c r="F35" s="417"/>
      <c r="G35" s="417"/>
      <c r="H35" s="417"/>
      <c r="I35" s="417"/>
      <c r="J35" s="418"/>
      <c r="K35" s="419"/>
      <c r="AL35" s="916"/>
      <c r="AM35" s="916"/>
      <c r="AN35" s="916"/>
      <c r="AO35" s="916"/>
      <c r="AP35" s="916"/>
      <c r="AQ35" s="916"/>
      <c r="AR35" s="916"/>
      <c r="AS35" s="916"/>
      <c r="AT35" s="916"/>
      <c r="AU35" s="916"/>
      <c r="AV35" s="916"/>
      <c r="AW35" s="916"/>
      <c r="AX35" s="916"/>
      <c r="AY35" s="916"/>
      <c r="AZ35" s="916"/>
      <c r="BA35" s="916"/>
      <c r="BB35" s="916"/>
      <c r="BC35" s="916"/>
      <c r="BD35" s="916"/>
      <c r="BE35" s="916"/>
      <c r="BF35" s="916"/>
      <c r="BG35" s="916"/>
      <c r="BQ35" s="916"/>
      <c r="BR35" s="916"/>
      <c r="BS35" s="916"/>
      <c r="BT35" s="916"/>
      <c r="BU35" s="916"/>
      <c r="BV35" s="916"/>
      <c r="BW35" s="916"/>
      <c r="BX35" s="916"/>
      <c r="BY35" s="916"/>
      <c r="BZ35" s="916"/>
      <c r="CA35" s="916"/>
      <c r="CB35" s="916"/>
      <c r="CC35" s="916"/>
      <c r="CD35" s="916"/>
      <c r="CE35" s="916"/>
      <c r="CF35" s="916"/>
      <c r="CG35" s="916"/>
      <c r="CH35" s="916"/>
      <c r="CI35" s="916"/>
      <c r="CJ35" s="916"/>
      <c r="CK35" s="916"/>
      <c r="CL35" s="916"/>
    </row>
    <row r="36" spans="1:90" customFormat="1" ht="24" customHeight="1" thickBot="1" x14ac:dyDescent="0.3">
      <c r="A36" s="917" t="s">
        <v>463</v>
      </c>
      <c r="B36" s="420" t="s">
        <v>464</v>
      </c>
      <c r="C36" s="421"/>
      <c r="D36" s="388"/>
      <c r="E36" s="388"/>
      <c r="F36" s="389"/>
      <c r="G36" s="389"/>
      <c r="H36" s="389"/>
      <c r="I36" s="389"/>
      <c r="J36" s="389"/>
      <c r="K36" s="390"/>
      <c r="AL36" s="916"/>
      <c r="AM36" s="916"/>
      <c r="AN36" s="916"/>
      <c r="AO36" s="916"/>
      <c r="AP36" s="916"/>
      <c r="AQ36" s="916"/>
      <c r="AR36" s="916"/>
      <c r="AS36" s="916"/>
      <c r="AT36" s="916"/>
      <c r="AU36" s="916"/>
      <c r="AV36" s="916"/>
      <c r="AW36" s="916"/>
      <c r="AX36" s="916"/>
      <c r="AY36" s="916"/>
      <c r="AZ36" s="916"/>
      <c r="BA36" s="916"/>
      <c r="BB36" s="916"/>
      <c r="BC36" s="916"/>
      <c r="BD36" s="916"/>
      <c r="BE36" s="916"/>
      <c r="BF36" s="916"/>
      <c r="BG36" s="916"/>
      <c r="BQ36" s="916"/>
      <c r="BR36" s="916"/>
      <c r="BS36" s="916"/>
      <c r="BT36" s="916"/>
      <c r="BU36" s="916"/>
      <c r="BV36" s="916"/>
      <c r="BW36" s="916"/>
      <c r="BX36" s="916"/>
      <c r="BY36" s="916"/>
      <c r="BZ36" s="916"/>
      <c r="CA36" s="916"/>
      <c r="CB36" s="916"/>
      <c r="CC36" s="916"/>
      <c r="CD36" s="916"/>
      <c r="CE36" s="916"/>
      <c r="CF36" s="916"/>
      <c r="CG36" s="916"/>
      <c r="CH36" s="916"/>
      <c r="CI36" s="916"/>
      <c r="CJ36" s="916"/>
      <c r="CK36" s="916"/>
      <c r="CL36" s="916"/>
    </row>
    <row r="37" spans="1:90" customFormat="1" x14ac:dyDescent="0.25">
      <c r="A37" s="918"/>
      <c r="B37" s="422" t="s">
        <v>465</v>
      </c>
      <c r="C37" s="423" t="str">
        <f>FRCP_y1</f>
        <v>2026-27</v>
      </c>
      <c r="D37" s="424" t="s">
        <v>466</v>
      </c>
      <c r="E37" s="425" t="s">
        <v>467</v>
      </c>
      <c r="F37" s="426"/>
      <c r="G37" s="426"/>
      <c r="H37" s="426"/>
      <c r="I37" s="426"/>
      <c r="J37" s="426"/>
      <c r="K37" s="427"/>
    </row>
    <row r="38" spans="1:90" customFormat="1" x14ac:dyDescent="0.25">
      <c r="A38" s="918"/>
      <c r="B38" s="428" t="s">
        <v>468</v>
      </c>
      <c r="C38" s="429" t="str">
        <f>IFERROR(CRY,CRCP_y4)</f>
        <v>2023-24</v>
      </c>
      <c r="D38" s="430" t="s">
        <v>469</v>
      </c>
      <c r="E38" s="431"/>
      <c r="F38" s="432"/>
      <c r="G38" s="432"/>
      <c r="H38" s="432"/>
      <c r="I38" s="432"/>
      <c r="J38" s="432"/>
      <c r="K38" s="433"/>
    </row>
    <row r="39" spans="1:90" customFormat="1" x14ac:dyDescent="0.25">
      <c r="A39" s="918"/>
      <c r="B39" s="428" t="s">
        <v>470</v>
      </c>
      <c r="C39" s="429">
        <f ca="1">IFERROR(MATCH(dms_CRY_start_year,INDIRECT(dms_RPT),0),0)</f>
        <v>0</v>
      </c>
      <c r="D39" s="430" t="s">
        <v>471</v>
      </c>
      <c r="E39" s="431"/>
      <c r="F39" s="432"/>
      <c r="G39" s="432"/>
      <c r="H39" s="432"/>
      <c r="I39" s="432"/>
      <c r="J39" s="432"/>
      <c r="K39" s="433"/>
    </row>
    <row r="40" spans="1:90" customFormat="1" x14ac:dyDescent="0.25">
      <c r="A40" s="918"/>
      <c r="B40" s="434" t="s">
        <v>472</v>
      </c>
      <c r="C40" s="435" t="e">
        <f ca="1">MATCH(dms_start_year,INDIRECT(dms_RPT),0)</f>
        <v>#NAME?</v>
      </c>
      <c r="D40" s="436" t="s">
        <v>473</v>
      </c>
      <c r="E40" s="437" t="s">
        <v>474</v>
      </c>
      <c r="F40" s="438"/>
      <c r="G40" s="438"/>
      <c r="H40" s="438"/>
      <c r="I40" s="438"/>
      <c r="J40" s="438"/>
      <c r="K40" s="439"/>
    </row>
    <row r="41" spans="1:90" customFormat="1" x14ac:dyDescent="0.25">
      <c r="A41" s="918"/>
      <c r="B41" s="440" t="s">
        <v>475</v>
      </c>
      <c r="C41" s="441" t="e">
        <f>dms_FRCP_start_row-dms_CRCPlength_Num</f>
        <v>#NAME?</v>
      </c>
      <c r="D41" s="442" t="s">
        <v>476</v>
      </c>
      <c r="E41" s="443" t="s">
        <v>477</v>
      </c>
      <c r="F41" s="444"/>
      <c r="G41" s="444"/>
      <c r="H41" s="444"/>
      <c r="I41" s="444"/>
      <c r="J41" s="444"/>
      <c r="K41" s="445"/>
    </row>
    <row r="42" spans="1:90" customFormat="1" x14ac:dyDescent="0.25">
      <c r="A42" s="918"/>
      <c r="B42" s="440" t="s">
        <v>478</v>
      </c>
      <c r="C42" s="441" t="e">
        <f>dms_FRCP_start_row-dms_CRCPlength_Num-dms_PRCPlength_Num</f>
        <v>#NAME?</v>
      </c>
      <c r="D42" s="442" t="s">
        <v>479</v>
      </c>
      <c r="E42" s="443" t="s">
        <v>480</v>
      </c>
      <c r="F42" s="444"/>
      <c r="G42" s="444"/>
      <c r="H42" s="444"/>
      <c r="I42" s="444"/>
      <c r="J42" s="444"/>
      <c r="K42" s="445"/>
    </row>
    <row r="43" spans="1:90" customFormat="1" x14ac:dyDescent="0.25">
      <c r="A43" s="918"/>
      <c r="B43" s="446" t="s">
        <v>481</v>
      </c>
      <c r="C43" s="447" t="e">
        <f>dms_FRCP_start_row+(dms_FRCPlength_Num-1)</f>
        <v>#NAME?</v>
      </c>
      <c r="D43" s="448" t="s">
        <v>482</v>
      </c>
      <c r="E43" s="449" t="s">
        <v>483</v>
      </c>
      <c r="F43" s="450"/>
      <c r="G43" s="450"/>
      <c r="H43" s="450"/>
      <c r="I43" s="450"/>
      <c r="J43" s="450"/>
      <c r="K43" s="451"/>
    </row>
    <row r="44" spans="1:90" customFormat="1" x14ac:dyDescent="0.25">
      <c r="A44" s="918"/>
      <c r="B44" s="434" t="s">
        <v>484</v>
      </c>
      <c r="C44" s="452" t="e">
        <f ca="1">INDEX(INDIRECT(dms_RPT),dms_FRCP_start_row)</f>
        <v>#NAME?</v>
      </c>
      <c r="D44" s="436" t="s">
        <v>485</v>
      </c>
      <c r="E44" s="437" t="s">
        <v>486</v>
      </c>
      <c r="F44" s="438"/>
      <c r="G44" s="438"/>
      <c r="H44" s="438"/>
      <c r="I44" s="438"/>
      <c r="J44" s="438"/>
      <c r="K44" s="439"/>
    </row>
    <row r="45" spans="1:90" customFormat="1" x14ac:dyDescent="0.25">
      <c r="A45" s="918"/>
      <c r="B45" s="440" t="s">
        <v>487</v>
      </c>
      <c r="C45" s="441" t="e">
        <f ca="1">INDEX(INDIRECT(dms_RPT),dms_CRCP_start_row)</f>
        <v>#NAME?</v>
      </c>
      <c r="D45" s="442" t="s">
        <v>488</v>
      </c>
      <c r="E45" s="443" t="s">
        <v>489</v>
      </c>
      <c r="F45" s="444"/>
      <c r="G45" s="444"/>
      <c r="H45" s="444"/>
      <c r="I45" s="444"/>
      <c r="J45" s="444"/>
      <c r="K45" s="445"/>
    </row>
    <row r="46" spans="1:90" customFormat="1" x14ac:dyDescent="0.25">
      <c r="A46" s="918"/>
      <c r="B46" s="453" t="s">
        <v>490</v>
      </c>
      <c r="C46" s="454" t="e">
        <f ca="1">INDEX(INDIRECT(dms_RPT),dms_PRCP_start_row)</f>
        <v>#NAME?</v>
      </c>
      <c r="D46" s="455" t="s">
        <v>491</v>
      </c>
      <c r="E46" s="449" t="s">
        <v>492</v>
      </c>
      <c r="F46" s="450"/>
      <c r="G46" s="450"/>
      <c r="H46" s="450"/>
      <c r="I46" s="450"/>
      <c r="J46" s="450"/>
      <c r="K46" s="451"/>
    </row>
    <row r="47" spans="1:90" customFormat="1" x14ac:dyDescent="0.25">
      <c r="A47" s="918"/>
      <c r="B47" s="434" t="s">
        <v>493</v>
      </c>
      <c r="C47" s="452" t="e">
        <f ca="1">INDEX(INDIRECT(dms_RPT),dms_FRCP_start_row+dms_FRCPlength_Num-1)</f>
        <v>#NAME?</v>
      </c>
      <c r="D47" s="436" t="s">
        <v>494</v>
      </c>
      <c r="E47" s="443" t="s">
        <v>495</v>
      </c>
      <c r="F47" s="444"/>
      <c r="G47" s="444"/>
      <c r="H47" s="444"/>
      <c r="I47" s="444"/>
      <c r="J47" s="444"/>
      <c r="K47" s="445"/>
    </row>
    <row r="48" spans="1:90" customFormat="1" x14ac:dyDescent="0.25">
      <c r="A48" s="918"/>
      <c r="B48" s="440" t="s">
        <v>496</v>
      </c>
      <c r="C48" s="441" t="e">
        <f ca="1">INDEX(INDIRECT(dms_RPT),dms_CRCP_start_row+dms_CRCPlength_Num-1)</f>
        <v>#NAME?</v>
      </c>
      <c r="D48" s="442" t="s">
        <v>497</v>
      </c>
      <c r="E48" s="443" t="s">
        <v>498</v>
      </c>
      <c r="F48" s="444"/>
      <c r="G48" s="444"/>
      <c r="H48" s="444"/>
      <c r="I48" s="444"/>
      <c r="J48" s="444"/>
      <c r="K48" s="445"/>
    </row>
    <row r="49" spans="1:11" customFormat="1" x14ac:dyDescent="0.25">
      <c r="A49" s="918"/>
      <c r="B49" s="453" t="s">
        <v>499</v>
      </c>
      <c r="C49" s="454" t="e">
        <f ca="1">INDEX(INDIRECT(dms_RPT),dms_PRCP_start_row+dms_FRCPlength_Num-1)</f>
        <v>#NAME?</v>
      </c>
      <c r="D49" s="455" t="s">
        <v>500</v>
      </c>
      <c r="E49" s="449" t="s">
        <v>501</v>
      </c>
      <c r="F49" s="450"/>
      <c r="G49" s="450"/>
      <c r="H49" s="450"/>
      <c r="I49" s="450"/>
      <c r="J49" s="450"/>
      <c r="K49" s="451"/>
    </row>
    <row r="50" spans="1:11" customFormat="1" x14ac:dyDescent="0.25">
      <c r="A50" s="918"/>
      <c r="B50" s="434" t="s">
        <v>502</v>
      </c>
      <c r="C50" s="452" t="e">
        <f ca="1">INDEX(INDIRECT(dms_RPT),dms_RYE_start_row)</f>
        <v>#NAME?</v>
      </c>
      <c r="D50" s="436" t="s">
        <v>503</v>
      </c>
      <c r="E50" s="443" t="s">
        <v>504</v>
      </c>
      <c r="F50" s="444"/>
      <c r="G50" s="444"/>
      <c r="H50" s="444"/>
      <c r="I50" s="444"/>
      <c r="J50" s="444"/>
      <c r="K50" s="445"/>
    </row>
    <row r="51" spans="1:11" customFormat="1" x14ac:dyDescent="0.25">
      <c r="A51" s="918"/>
      <c r="B51" s="453" t="s">
        <v>505</v>
      </c>
      <c r="C51" s="456" t="str">
        <f>FRY</f>
        <v>2029-30</v>
      </c>
      <c r="D51" s="455" t="s">
        <v>506</v>
      </c>
      <c r="E51" s="449" t="s">
        <v>507</v>
      </c>
      <c r="F51" s="450"/>
      <c r="G51" s="450"/>
      <c r="H51" s="450"/>
      <c r="I51" s="450"/>
      <c r="J51" s="450"/>
      <c r="K51" s="451"/>
    </row>
    <row r="52" spans="1:11" customFormat="1" x14ac:dyDescent="0.25">
      <c r="A52" s="918"/>
      <c r="B52" s="428" t="s">
        <v>508</v>
      </c>
      <c r="C52" s="457" t="e">
        <f>LEFT(CRCP_final_year,2)&amp;RIGHT(CRCP_final_year,2)</f>
        <v>#NAME?</v>
      </c>
      <c r="D52" s="430" t="s">
        <v>509</v>
      </c>
      <c r="E52" s="458" t="s">
        <v>510</v>
      </c>
      <c r="F52" s="459"/>
      <c r="G52" s="459"/>
      <c r="H52" s="459"/>
      <c r="I52" s="459"/>
      <c r="J52" s="459"/>
      <c r="K52" s="460"/>
    </row>
    <row r="53" spans="1:11" customFormat="1" x14ac:dyDescent="0.25">
      <c r="A53" s="918"/>
      <c r="B53" s="461" t="s">
        <v>511</v>
      </c>
      <c r="C53" s="462" t="e">
        <f>LEFT(PRCP_final_year,2)&amp;RIGHT(PRCP_final_year,2)</f>
        <v>#NAME?</v>
      </c>
      <c r="D53" s="463" t="s">
        <v>512</v>
      </c>
      <c r="E53" s="449" t="s">
        <v>513</v>
      </c>
      <c r="F53" s="450"/>
      <c r="G53" s="450"/>
      <c r="H53" s="450"/>
      <c r="I53" s="450"/>
      <c r="J53" s="450"/>
      <c r="K53" s="451"/>
    </row>
    <row r="54" spans="1:11" customFormat="1" x14ac:dyDescent="0.25">
      <c r="A54" s="918"/>
      <c r="B54" s="464" t="s">
        <v>514</v>
      </c>
      <c r="C54" s="465" t="str">
        <f>IFERROR(LEFT(CRY,2)&amp;RIGHT(CRY,2),0)</f>
        <v>2024</v>
      </c>
      <c r="D54" s="466" t="s">
        <v>515</v>
      </c>
      <c r="E54" s="437" t="s">
        <v>516</v>
      </c>
      <c r="F54" s="444"/>
      <c r="G54" s="444"/>
      <c r="H54" s="444"/>
      <c r="I54" s="444"/>
      <c r="J54" s="444"/>
      <c r="K54" s="445"/>
    </row>
    <row r="55" spans="1:11" customFormat="1" x14ac:dyDescent="0.25">
      <c r="A55" s="918"/>
      <c r="B55" s="440" t="s">
        <v>517</v>
      </c>
      <c r="C55" s="441" t="e">
        <f>IF(dms_Model_Span&gt;1,IF(dms_MODEL="RFM",(LEFT(dms_DollarReal_year,2)&amp;RIGHT(dms_DollarReal_year,2)),(LEFT(dms_Reset_final_year,2)&amp;RIGHT(dms_Reset_final_year,2))),0)</f>
        <v>#NAME?</v>
      </c>
      <c r="D55" s="442" t="s">
        <v>518</v>
      </c>
      <c r="E55" s="443" t="s">
        <v>519</v>
      </c>
      <c r="F55" s="444"/>
      <c r="G55" s="444"/>
      <c r="H55" s="444"/>
      <c r="I55" s="444"/>
      <c r="J55" s="444"/>
      <c r="K55" s="445"/>
    </row>
    <row r="56" spans="1:11" customFormat="1" x14ac:dyDescent="0.25">
      <c r="A56" s="918"/>
      <c r="B56" s="440" t="s">
        <v>520</v>
      </c>
      <c r="C56" s="441" t="e">
        <f>IF(dms_MultiYear_ResponseFlag="Yes",(LEFT(dms_Specified_FinalYear,2)&amp;RIGHT(dms_Specified_FinalYear,2)),0)</f>
        <v>#NAME?</v>
      </c>
      <c r="D56" s="442" t="s">
        <v>521</v>
      </c>
      <c r="E56" s="443" t="s">
        <v>522</v>
      </c>
      <c r="F56" s="444"/>
      <c r="G56" s="444"/>
      <c r="H56" s="444"/>
      <c r="I56" s="444"/>
      <c r="J56" s="444"/>
      <c r="K56" s="445"/>
    </row>
    <row r="57" spans="1:11" customFormat="1" x14ac:dyDescent="0.25">
      <c r="A57" s="918"/>
      <c r="B57" s="440" t="s">
        <v>523</v>
      </c>
      <c r="C57" s="441">
        <f>INDEX(dms_Model_Span_List,MATCH(dms_MODEL,dms_Model_List))</f>
        <v>0</v>
      </c>
      <c r="D57" s="442" t="s">
        <v>524</v>
      </c>
      <c r="E57" s="443" t="s">
        <v>525</v>
      </c>
      <c r="F57" s="444"/>
      <c r="G57" s="444"/>
      <c r="H57" s="444"/>
      <c r="I57" s="444"/>
      <c r="J57" s="444"/>
      <c r="K57" s="445"/>
    </row>
    <row r="58" spans="1:11" customFormat="1" x14ac:dyDescent="0.25">
      <c r="A58" s="918"/>
      <c r="B58" s="453" t="s">
        <v>526</v>
      </c>
      <c r="C58" s="454" t="e">
        <f>IF(dms_MultiYear_ResponseFlag="yes",dms_Specified_RYE,(IF(dms_Model_Span&gt;1,dms_Reset_RYE,dms_CRY_RYE)))</f>
        <v>#NAME?</v>
      </c>
      <c r="D58" s="455" t="s">
        <v>527</v>
      </c>
      <c r="E58" s="449" t="s">
        <v>528</v>
      </c>
      <c r="F58" s="450"/>
      <c r="G58" s="450"/>
      <c r="H58" s="450"/>
      <c r="I58" s="450"/>
      <c r="J58" s="450"/>
      <c r="K58" s="451"/>
    </row>
    <row r="59" spans="1:11" customFormat="1" x14ac:dyDescent="0.25">
      <c r="A59" s="918"/>
      <c r="B59" s="464" t="s">
        <v>529</v>
      </c>
      <c r="C59" s="465" t="e">
        <f>IF(dms_Reset_RYE&gt;0,CONCATENATE(FRCP_y1," to ",FRCP_final_year),0)</f>
        <v>#NAME?</v>
      </c>
      <c r="D59" s="466" t="s">
        <v>530</v>
      </c>
      <c r="E59" s="443" t="s">
        <v>531</v>
      </c>
      <c r="F59" s="467"/>
      <c r="G59" s="444"/>
      <c r="H59" s="444"/>
      <c r="I59" s="444"/>
      <c r="J59" s="444"/>
      <c r="K59" s="445"/>
    </row>
    <row r="60" spans="1:11" customFormat="1" x14ac:dyDescent="0.25">
      <c r="A60" s="918"/>
      <c r="B60" s="440" t="s">
        <v>532</v>
      </c>
      <c r="C60" s="441" t="e">
        <f>IF(dms_Specified_RYE&gt;0,CONCATENATE(CRY," to ",dms_Specified_FinalYear),0)</f>
        <v>#NAME?</v>
      </c>
      <c r="D60" s="442" t="s">
        <v>533</v>
      </c>
      <c r="E60" s="443" t="s">
        <v>534</v>
      </c>
      <c r="F60" s="444"/>
      <c r="G60" s="444"/>
      <c r="H60" s="444"/>
      <c r="I60" s="444"/>
      <c r="J60" s="444"/>
      <c r="K60" s="445"/>
    </row>
    <row r="61" spans="1:11" customFormat="1" ht="15.75" thickBot="1" x14ac:dyDescent="0.3">
      <c r="A61" s="918"/>
      <c r="B61" s="468" t="s">
        <v>535</v>
      </c>
      <c r="C61" s="469" t="e">
        <f>IF(dms_MultiYear_Flag=1,dms_SpecifiedYear_Span,IF(dms_Model_Span&gt;1,dms_y1&amp;" to "&amp;FRCP_final_year,CRY))</f>
        <v>#NAME?</v>
      </c>
      <c r="D61" s="470" t="s">
        <v>536</v>
      </c>
      <c r="E61" s="471" t="s">
        <v>537</v>
      </c>
      <c r="F61" s="472"/>
      <c r="G61" s="472"/>
      <c r="H61" s="472"/>
      <c r="I61" s="472"/>
      <c r="J61" s="472"/>
      <c r="K61" s="473"/>
    </row>
    <row r="62" spans="1:11" customFormat="1" ht="25.5" customHeight="1" thickBot="1" x14ac:dyDescent="0.3">
      <c r="B62" s="420" t="s">
        <v>538</v>
      </c>
      <c r="C62" s="421"/>
      <c r="D62" s="411"/>
      <c r="E62" s="411"/>
      <c r="F62" s="412"/>
      <c r="G62" s="412"/>
      <c r="H62" s="412"/>
      <c r="I62" s="412"/>
      <c r="J62" s="412"/>
      <c r="K62" s="413"/>
    </row>
    <row r="63" spans="1:11" customFormat="1" ht="18" x14ac:dyDescent="0.25">
      <c r="B63" s="474" t="s">
        <v>539</v>
      </c>
      <c r="C63" s="475" t="s">
        <v>418</v>
      </c>
      <c r="D63" s="476"/>
      <c r="E63" s="477"/>
      <c r="F63" s="478"/>
      <c r="G63" s="478"/>
      <c r="H63" s="478"/>
      <c r="I63" s="478"/>
      <c r="J63" s="479"/>
      <c r="K63" s="480"/>
    </row>
    <row r="64" spans="1:11" customFormat="1" x14ac:dyDescent="0.25">
      <c r="B64" s="481"/>
      <c r="C64" s="482" t="e">
        <f>IF(dms_MultiYear_ResponseFlag="No",0,1)</f>
        <v>#NAME?</v>
      </c>
      <c r="D64" s="483" t="s">
        <v>540</v>
      </c>
      <c r="E64" s="484" t="s">
        <v>541</v>
      </c>
      <c r="F64" s="485"/>
      <c r="G64" s="485"/>
      <c r="H64" s="485"/>
      <c r="I64" s="485"/>
      <c r="J64" s="486"/>
      <c r="K64" s="487"/>
    </row>
    <row r="65" spans="2:11" customFormat="1" x14ac:dyDescent="0.25">
      <c r="B65" s="481"/>
      <c r="C65" s="488" t="e">
        <f>IF(dms_MultiYear_Flag=1,FRY,"not a Multiple year submission")</f>
        <v>#NAME?</v>
      </c>
      <c r="D65" s="483" t="s">
        <v>542</v>
      </c>
      <c r="E65" s="489" t="s">
        <v>543</v>
      </c>
      <c r="F65" s="485"/>
      <c r="G65" s="485"/>
      <c r="H65" s="485"/>
      <c r="I65" s="490"/>
      <c r="J65" s="491"/>
      <c r="K65" s="492"/>
    </row>
    <row r="66" spans="2:11" customFormat="1" ht="15.75" thickBot="1" x14ac:dyDescent="0.3">
      <c r="B66" s="493" t="s">
        <v>544</v>
      </c>
      <c r="C66" s="494" t="str">
        <f>IFERROR(IF(dms_MultiYear_Flag=1,FRY,CRY),"not an ABC")</f>
        <v>not an ABC</v>
      </c>
      <c r="D66" s="495" t="s">
        <v>545</v>
      </c>
      <c r="E66" s="495" t="s">
        <v>546</v>
      </c>
      <c r="F66" s="496"/>
      <c r="G66" s="496" t="s">
        <v>547</v>
      </c>
      <c r="H66" s="496"/>
      <c r="I66" s="496"/>
      <c r="J66" s="497"/>
      <c r="K66" s="498"/>
    </row>
    <row r="67" spans="2:11" customFormat="1" ht="22.5" customHeight="1" thickBot="1" x14ac:dyDescent="0.3">
      <c r="B67" s="420" t="s">
        <v>548</v>
      </c>
      <c r="C67" s="421"/>
      <c r="D67" s="421"/>
      <c r="E67" s="421"/>
      <c r="F67" s="499"/>
      <c r="G67" s="499"/>
      <c r="H67" s="499"/>
      <c r="I67" s="499"/>
      <c r="J67" s="499"/>
      <c r="K67" s="500"/>
    </row>
    <row r="68" spans="2:11" customFormat="1" x14ac:dyDescent="0.25">
      <c r="B68" s="501" t="s">
        <v>549</v>
      </c>
      <c r="C68" s="502"/>
      <c r="D68" s="503"/>
      <c r="E68" s="504"/>
      <c r="F68" s="505"/>
      <c r="G68" s="505"/>
      <c r="H68" s="505"/>
      <c r="I68" s="505"/>
      <c r="J68" s="506"/>
      <c r="K68" s="507"/>
    </row>
    <row r="69" spans="2:11" customFormat="1" x14ac:dyDescent="0.25">
      <c r="B69" s="481" t="s">
        <v>550</v>
      </c>
      <c r="C69" s="508">
        <f>INDEX(dms_PRCPlength_List,MATCH(dms_TradingName,dms_TradingName_List))</f>
        <v>0</v>
      </c>
      <c r="D69" s="476" t="s">
        <v>551</v>
      </c>
      <c r="E69" s="509" t="s">
        <v>552</v>
      </c>
      <c r="F69" s="510"/>
      <c r="G69" s="510"/>
      <c r="H69" s="510"/>
      <c r="I69" s="510"/>
      <c r="J69" s="510"/>
      <c r="K69" s="511"/>
    </row>
    <row r="70" spans="2:11" customFormat="1" x14ac:dyDescent="0.25">
      <c r="B70" s="481" t="s">
        <v>553</v>
      </c>
      <c r="C70" s="482">
        <f>INDEX(dms_CRCPlength_List,MATCH(dms_TradingName,dms_TradingName_List))</f>
        <v>0</v>
      </c>
      <c r="D70" s="512" t="s">
        <v>554</v>
      </c>
      <c r="E70" s="513" t="s">
        <v>555</v>
      </c>
      <c r="F70" s="505"/>
      <c r="G70" s="505"/>
      <c r="H70" s="505"/>
      <c r="I70" s="505"/>
      <c r="J70" s="505"/>
      <c r="K70" s="514"/>
    </row>
    <row r="71" spans="2:11" customFormat="1" x14ac:dyDescent="0.25">
      <c r="B71" s="515" t="s">
        <v>556</v>
      </c>
      <c r="C71" s="516">
        <f>INDEX(dms_FRCPlength_List,MATCH(dms_TradingName,dms_TradingName_List))</f>
        <v>0</v>
      </c>
      <c r="D71" s="517" t="s">
        <v>557</v>
      </c>
      <c r="E71" s="518" t="s">
        <v>558</v>
      </c>
      <c r="F71" s="519"/>
      <c r="G71" s="519"/>
      <c r="H71" s="519"/>
      <c r="I71" s="519"/>
      <c r="J71" s="519"/>
      <c r="K71" s="520"/>
    </row>
    <row r="72" spans="2:11" customFormat="1" x14ac:dyDescent="0.25">
      <c r="B72" s="521" t="s">
        <v>559</v>
      </c>
      <c r="C72" s="503"/>
      <c r="D72" s="503"/>
      <c r="E72" s="504"/>
      <c r="F72" s="505"/>
      <c r="G72" s="505"/>
      <c r="H72" s="505"/>
      <c r="I72" s="505"/>
      <c r="J72" s="506"/>
      <c r="K72" s="507"/>
    </row>
    <row r="73" spans="2:11" customFormat="1" x14ac:dyDescent="0.25">
      <c r="B73" s="914" t="s">
        <v>560</v>
      </c>
      <c r="C73" s="522">
        <f>IF(dms_MODEL="EB",1,0)</f>
        <v>0</v>
      </c>
      <c r="D73" s="503" t="s">
        <v>561</v>
      </c>
      <c r="E73" s="504"/>
      <c r="F73" s="505"/>
      <c r="G73" s="505"/>
      <c r="H73" s="505"/>
      <c r="I73" s="505"/>
      <c r="J73" s="506"/>
      <c r="K73" s="507"/>
    </row>
    <row r="74" spans="2:11" customFormat="1" x14ac:dyDescent="0.25">
      <c r="B74" s="914"/>
      <c r="C74" s="523">
        <f>IF(dms_MODEL="CA",1,0)</f>
        <v>0</v>
      </c>
      <c r="D74" s="524" t="s">
        <v>562</v>
      </c>
      <c r="E74" s="525" t="s">
        <v>563</v>
      </c>
      <c r="F74" s="526"/>
      <c r="G74" s="526"/>
      <c r="H74" s="526"/>
      <c r="I74" s="526"/>
      <c r="J74" s="527"/>
      <c r="K74" s="528"/>
    </row>
    <row r="75" spans="2:11" customFormat="1" x14ac:dyDescent="0.25">
      <c r="B75" s="915"/>
      <c r="C75" s="523">
        <f>IF(dms_MODEL="ARR",1,0)</f>
        <v>0</v>
      </c>
      <c r="D75" s="524" t="s">
        <v>564</v>
      </c>
      <c r="E75" s="525"/>
      <c r="F75" s="526"/>
      <c r="G75" s="526"/>
      <c r="H75" s="526"/>
      <c r="I75" s="526"/>
      <c r="J75" s="527"/>
      <c r="K75" s="528"/>
    </row>
    <row r="76" spans="2:11" customFormat="1" x14ac:dyDescent="0.25">
      <c r="B76" s="529" t="s">
        <v>565</v>
      </c>
      <c r="C76" s="530" t="e">
        <f>IF(SUM(dms_SingleYear_Model)=1,"yes","no")</f>
        <v>#NAME?</v>
      </c>
      <c r="D76" s="525" t="s">
        <v>566</v>
      </c>
      <c r="E76" s="525" t="s">
        <v>567</v>
      </c>
      <c r="F76" s="496"/>
      <c r="G76" s="496"/>
      <c r="H76" s="496"/>
      <c r="I76" s="526"/>
      <c r="J76" s="527"/>
      <c r="K76" s="528"/>
    </row>
    <row r="77" spans="2:11" customFormat="1" x14ac:dyDescent="0.25">
      <c r="B77" s="531" t="s">
        <v>568</v>
      </c>
      <c r="C77" s="532" t="e">
        <f>IF(AND(dms_SingleYearModel="yes",dms_MultiYear_Flag=0),CRY,0)</f>
        <v>#NAME?</v>
      </c>
      <c r="D77" s="517" t="s">
        <v>569</v>
      </c>
      <c r="E77" s="518" t="s">
        <v>570</v>
      </c>
      <c r="F77" s="533"/>
      <c r="G77" s="533"/>
      <c r="H77" s="533"/>
      <c r="I77" s="533"/>
      <c r="J77" s="533"/>
      <c r="K77" s="534"/>
    </row>
    <row r="78" spans="2:11" customFormat="1" x14ac:dyDescent="0.25">
      <c r="B78" s="501" t="s">
        <v>571</v>
      </c>
      <c r="C78" s="494"/>
      <c r="D78" s="512"/>
      <c r="E78" s="513"/>
      <c r="F78" s="505"/>
      <c r="G78" s="505"/>
      <c r="H78" s="505"/>
      <c r="I78" s="505"/>
      <c r="J78" s="505"/>
      <c r="K78" s="514"/>
    </row>
    <row r="79" spans="2:11" customFormat="1" x14ac:dyDescent="0.25">
      <c r="B79" s="481"/>
      <c r="C79" s="494"/>
      <c r="D79" s="512"/>
      <c r="E79" s="513"/>
      <c r="F79" s="505"/>
      <c r="G79" s="505"/>
      <c r="H79" s="505"/>
      <c r="I79" s="505"/>
      <c r="J79" s="505"/>
      <c r="K79" s="514"/>
    </row>
    <row r="80" spans="2:11" customFormat="1" x14ac:dyDescent="0.25">
      <c r="B80" s="481" t="s">
        <v>572</v>
      </c>
      <c r="C80" s="494" t="e">
        <f>IF(dms_Model_Span&gt;1,"yes","no")</f>
        <v>#NAME?</v>
      </c>
      <c r="D80" s="512"/>
      <c r="E80" s="513"/>
      <c r="F80" s="505"/>
      <c r="G80" s="505"/>
      <c r="H80" s="505"/>
      <c r="I80" s="505"/>
      <c r="J80" s="505"/>
      <c r="K80" s="514"/>
    </row>
    <row r="81" spans="2:12" customFormat="1" x14ac:dyDescent="0.25">
      <c r="B81" s="481" t="s">
        <v>573</v>
      </c>
      <c r="C81" s="535" t="e">
        <f>IF(dms_Model_Span&gt;1,dms_Reset_final_year,0)</f>
        <v>#NAME?</v>
      </c>
      <c r="D81" s="512" t="s">
        <v>574</v>
      </c>
      <c r="E81" s="513" t="s">
        <v>575</v>
      </c>
      <c r="F81" s="505"/>
      <c r="G81" s="505"/>
      <c r="H81" s="505"/>
      <c r="I81" s="505"/>
      <c r="J81" s="505"/>
      <c r="K81" s="514"/>
    </row>
    <row r="82" spans="2:12" customFormat="1" x14ac:dyDescent="0.25">
      <c r="B82" s="481"/>
      <c r="C82" s="494"/>
      <c r="D82" s="512"/>
      <c r="E82" s="513"/>
      <c r="F82" s="505"/>
      <c r="G82" s="505"/>
      <c r="H82" s="505"/>
      <c r="I82" s="505"/>
      <c r="J82" s="505"/>
      <c r="K82" s="514"/>
    </row>
    <row r="83" spans="2:12" customFormat="1" x14ac:dyDescent="0.25">
      <c r="B83" s="481" t="s">
        <v>576</v>
      </c>
      <c r="C83" s="494" t="e">
        <f>IF(dms_MultiYear_Flag=1,"yes","no")</f>
        <v>#NAME?</v>
      </c>
      <c r="D83" s="512" t="s">
        <v>577</v>
      </c>
      <c r="E83" s="513"/>
      <c r="F83" s="505"/>
      <c r="G83" s="505"/>
      <c r="H83" s="505"/>
      <c r="I83" s="505"/>
      <c r="J83" s="505"/>
      <c r="K83" s="514"/>
    </row>
    <row r="84" spans="2:12" customFormat="1" x14ac:dyDescent="0.25">
      <c r="B84" s="515" t="s">
        <v>578</v>
      </c>
      <c r="C84" s="536" t="e">
        <f>IF(dms_MultiYear_Flag=1,C51,0)</f>
        <v>#NAME?</v>
      </c>
      <c r="D84" s="537"/>
      <c r="E84" s="538"/>
      <c r="F84" s="519"/>
      <c r="G84" s="519"/>
      <c r="H84" s="519"/>
      <c r="I84" s="519"/>
      <c r="J84" s="519"/>
      <c r="K84" s="520"/>
    </row>
    <row r="85" spans="2:12" customFormat="1" ht="15.75" thickBot="1" x14ac:dyDescent="0.3">
      <c r="B85" s="481"/>
      <c r="C85" s="494"/>
      <c r="D85" s="512"/>
      <c r="E85" s="513"/>
      <c r="F85" s="505"/>
      <c r="G85" s="505"/>
      <c r="H85" s="505"/>
      <c r="I85" s="505"/>
      <c r="J85" s="505"/>
      <c r="K85" s="514"/>
    </row>
    <row r="86" spans="2:12" customFormat="1" ht="28.5" customHeight="1" thickBot="1" x14ac:dyDescent="0.3">
      <c r="B86" s="420" t="s">
        <v>579</v>
      </c>
      <c r="C86" s="421"/>
      <c r="D86" s="421"/>
      <c r="E86" s="421"/>
      <c r="F86" s="499"/>
      <c r="G86" s="499"/>
      <c r="H86" s="499"/>
      <c r="I86" s="499"/>
      <c r="J86" s="499"/>
      <c r="K86" s="500"/>
    </row>
    <row r="87" spans="2:12" s="75" customFormat="1" ht="24.75" customHeight="1" thickBot="1" x14ac:dyDescent="0.3">
      <c r="B87" s="539" t="s">
        <v>580</v>
      </c>
      <c r="C87" s="372" t="str">
        <f>IFERROR(IF(dms_Segment="Transmission",dms_Cal_Year_B4_CRY,CRY),"CRY not present")</f>
        <v>CRY not present</v>
      </c>
      <c r="D87" s="398" t="s">
        <v>581</v>
      </c>
      <c r="E87" s="416" t="s">
        <v>582</v>
      </c>
      <c r="F87" s="417"/>
      <c r="G87" s="417"/>
      <c r="H87" s="417"/>
      <c r="I87" s="417"/>
      <c r="J87" s="418"/>
      <c r="K87" s="419"/>
    </row>
    <row r="88" spans="2:12" customFormat="1" ht="27" customHeight="1" thickBot="1" x14ac:dyDescent="0.3">
      <c r="B88" s="420" t="s">
        <v>583</v>
      </c>
      <c r="C88" s="421"/>
      <c r="D88" s="421"/>
      <c r="E88" s="421"/>
      <c r="F88" s="499"/>
      <c r="G88" s="499"/>
      <c r="H88" s="499"/>
      <c r="I88" s="499"/>
      <c r="J88" s="499"/>
      <c r="K88" s="500"/>
    </row>
    <row r="89" spans="2:12" customFormat="1" x14ac:dyDescent="0.25">
      <c r="B89" s="540" t="s">
        <v>584</v>
      </c>
      <c r="C89" s="541"/>
      <c r="D89" s="542"/>
      <c r="E89" s="378" t="s">
        <v>585</v>
      </c>
      <c r="F89" s="543"/>
      <c r="G89" s="543"/>
      <c r="H89" s="543"/>
      <c r="I89" s="543"/>
      <c r="J89" s="543"/>
      <c r="K89" s="544"/>
    </row>
    <row r="90" spans="2:12" customFormat="1" x14ac:dyDescent="0.25">
      <c r="B90" s="540"/>
      <c r="C90" s="541" t="str">
        <f>IF(dms_MODEL&lt;&gt;"CA","not a CA","Is a CA")</f>
        <v>not a CA</v>
      </c>
      <c r="D90" s="542"/>
      <c r="E90" s="545" t="s">
        <v>586</v>
      </c>
      <c r="F90" s="543"/>
      <c r="G90" s="543"/>
      <c r="H90" s="543"/>
      <c r="I90" s="543"/>
      <c r="J90" s="543"/>
      <c r="K90" s="544"/>
    </row>
    <row r="91" spans="2:12" customFormat="1" x14ac:dyDescent="0.25">
      <c r="B91" s="546" t="s">
        <v>587</v>
      </c>
      <c r="C91" s="541" t="str">
        <f>IFERROR(IF(INDEX(dms_060301_Avg_Duration_Sustained_Int_Values,1,1)&lt;&gt;"","yes","no"),"no")</f>
        <v>no</v>
      </c>
      <c r="D91" s="542" t="s">
        <v>588</v>
      </c>
      <c r="E91" s="547" t="s">
        <v>589</v>
      </c>
      <c r="F91" s="543"/>
      <c r="G91" s="543"/>
      <c r="H91" s="543"/>
      <c r="I91" s="543"/>
      <c r="J91" s="543"/>
      <c r="K91" s="544"/>
    </row>
    <row r="92" spans="2:12" customFormat="1" x14ac:dyDescent="0.25">
      <c r="B92" s="546"/>
      <c r="C92" s="548" t="e">
        <f>IF(AND(dms_MODEL="CA",(dms_060301_checkvalue="no")),"error - NR not present","no errors")</f>
        <v>#NAME?</v>
      </c>
      <c r="D92" s="542"/>
      <c r="E92" s="547" t="s">
        <v>590</v>
      </c>
      <c r="F92" s="543"/>
      <c r="G92" s="543"/>
      <c r="H92" s="543"/>
      <c r="I92" s="543"/>
      <c r="J92" s="543"/>
      <c r="K92" s="544"/>
    </row>
    <row r="93" spans="2:12" customFormat="1" x14ac:dyDescent="0.25">
      <c r="B93" s="549" t="s">
        <v>591</v>
      </c>
      <c r="C93" s="541" t="str">
        <f>IFERROR(IF(dms_MODEL="CA",LOOKUP(2,1/(dms_060301_Avg_Duration_Sustained_Int_Values&lt;&gt;""),(ROW(dms_060301_Avg_Duration_Sustained_Int_Values))),"not a CA"),"6.3 not present")</f>
        <v>not a CA</v>
      </c>
      <c r="D93" s="542" t="s">
        <v>592</v>
      </c>
      <c r="E93" s="547" t="s">
        <v>593</v>
      </c>
      <c r="F93" s="543"/>
      <c r="G93" s="543"/>
      <c r="H93" s="543"/>
      <c r="I93" s="543"/>
      <c r="J93" s="543"/>
      <c r="K93" s="544"/>
    </row>
    <row r="94" spans="2:12" customFormat="1" x14ac:dyDescent="0.25">
      <c r="B94" s="550" t="s">
        <v>594</v>
      </c>
      <c r="C94" s="551" t="str">
        <f>IFERROR(IF(dms_MODEL="CA",(dms_060301_LastRow-15),"not a CA"),"error")</f>
        <v>not a CA</v>
      </c>
      <c r="D94" s="552" t="s">
        <v>595</v>
      </c>
      <c r="E94" s="553" t="s">
        <v>596</v>
      </c>
      <c r="F94" s="554"/>
      <c r="G94" s="554"/>
      <c r="H94" s="554"/>
      <c r="I94" s="554"/>
      <c r="J94" s="554"/>
      <c r="K94" s="555"/>
      <c r="L94" s="275"/>
    </row>
    <row r="95" spans="2:12" ht="15.75" thickBot="1" x14ac:dyDescent="0.3">
      <c r="B95" s="556" t="s">
        <v>597</v>
      </c>
      <c r="C95" s="557">
        <f>INDEX(dms_663_List,MATCH(dms_TradingName,dms_TradingName_List))</f>
        <v>0</v>
      </c>
      <c r="D95" s="558" t="s">
        <v>598</v>
      </c>
      <c r="E95" s="547" t="s">
        <v>599</v>
      </c>
      <c r="F95" s="559"/>
      <c r="G95" s="559"/>
      <c r="H95" s="559"/>
      <c r="I95" s="559"/>
      <c r="J95" s="559"/>
      <c r="K95" s="560"/>
    </row>
    <row r="96" spans="2:12" customFormat="1" ht="21" customHeight="1" thickBot="1" x14ac:dyDescent="0.3">
      <c r="B96" s="420" t="s">
        <v>600</v>
      </c>
      <c r="C96" s="421"/>
      <c r="D96" s="421"/>
      <c r="E96" s="421"/>
      <c r="F96" s="499"/>
      <c r="G96" s="499"/>
      <c r="H96" s="499"/>
      <c r="I96" s="499"/>
      <c r="J96" s="499"/>
      <c r="K96" s="500"/>
    </row>
    <row r="97" spans="2:12" ht="25.5" x14ac:dyDescent="0.25">
      <c r="B97" s="540" t="s">
        <v>601</v>
      </c>
      <c r="C97" s="561" t="s">
        <v>602</v>
      </c>
      <c r="D97" s="562"/>
      <c r="E97" s="563" t="s">
        <v>603</v>
      </c>
      <c r="F97" s="564"/>
      <c r="G97" s="564"/>
      <c r="H97" s="559"/>
      <c r="I97" s="559"/>
      <c r="J97" s="559"/>
      <c r="K97" s="560"/>
    </row>
    <row r="98" spans="2:12" x14ac:dyDescent="0.25">
      <c r="B98" s="549" t="s">
        <v>604</v>
      </c>
      <c r="C98" s="561" t="str">
        <f>IFERROR(IF(dms_LeapYear,"yes"),"no")</f>
        <v>no</v>
      </c>
      <c r="D98" s="562"/>
      <c r="E98" s="565"/>
      <c r="F98" s="564"/>
      <c r="G98" s="564"/>
      <c r="H98" s="559"/>
      <c r="I98" s="559"/>
      <c r="J98" s="559"/>
      <c r="K98" s="560"/>
    </row>
    <row r="99" spans="2:12" x14ac:dyDescent="0.25">
      <c r="B99" s="566" t="s">
        <v>605</v>
      </c>
      <c r="C99" s="567" t="str">
        <f xml:space="preserve">
IFERROR(IF(MONTH(DATE(YEAR(dms_LeapYear),2,29))=2,"is a leap year","not a leap year"),
"dms_LeapYear not present")</f>
        <v>dms_LeapYear not present</v>
      </c>
      <c r="D99" s="558" t="s">
        <v>606</v>
      </c>
      <c r="E99" s="558" t="s">
        <v>607</v>
      </c>
      <c r="F99" s="559"/>
      <c r="G99" s="559"/>
      <c r="H99" s="559"/>
      <c r="I99" s="559"/>
      <c r="J99" s="559"/>
      <c r="K99" s="560"/>
    </row>
    <row r="100" spans="2:12" x14ac:dyDescent="0.25">
      <c r="B100" s="566" t="s">
        <v>608</v>
      </c>
      <c r="C100" s="568" t="e">
        <f>IF(dms_LeapYear_Result="is a leap year",1827,1826)</f>
        <v>#NAME?</v>
      </c>
      <c r="D100" s="558" t="s">
        <v>609</v>
      </c>
      <c r="E100" s="569" t="s">
        <v>610</v>
      </c>
      <c r="F100" s="559"/>
      <c r="G100" s="559"/>
      <c r="H100" s="368" t="s">
        <v>611</v>
      </c>
      <c r="I100" s="559"/>
      <c r="J100" s="559"/>
      <c r="K100" s="560"/>
    </row>
    <row r="101" spans="2:12" x14ac:dyDescent="0.25">
      <c r="B101" s="566" t="s">
        <v>612</v>
      </c>
      <c r="C101" s="568" t="e">
        <f>IF(dms_LeapYear_Result="is a leap year",366,365)</f>
        <v>#NAME?</v>
      </c>
      <c r="D101" s="558" t="s">
        <v>613</v>
      </c>
      <c r="E101" s="569" t="s">
        <v>614</v>
      </c>
      <c r="F101" s="559"/>
      <c r="G101" s="559"/>
      <c r="H101" s="368" t="s">
        <v>615</v>
      </c>
      <c r="I101" s="559"/>
      <c r="J101" s="559"/>
      <c r="K101" s="560"/>
    </row>
    <row r="102" spans="2:12" ht="15.75" thickBot="1" x14ac:dyDescent="0.3">
      <c r="B102" s="570" t="s">
        <v>616</v>
      </c>
      <c r="C102" s="571" t="e">
        <f>IF(dms_MODEL="ARR",dms_060701_ARR_MaxRows,IF(dms_MODEL="Reset",dms_060701_Reset_MaxRows,"not a relevant RIN type"))</f>
        <v>#NAME?</v>
      </c>
      <c r="D102" s="572" t="s">
        <v>617</v>
      </c>
      <c r="E102" s="573" t="s">
        <v>618</v>
      </c>
      <c r="F102" s="574"/>
      <c r="G102" s="574"/>
      <c r="H102" s="574"/>
      <c r="I102" s="574"/>
      <c r="J102" s="574"/>
      <c r="K102" s="575"/>
    </row>
    <row r="103" spans="2:12" ht="24" customHeight="1" x14ac:dyDescent="0.25">
      <c r="B103" s="576" t="s">
        <v>619</v>
      </c>
      <c r="C103" s="577" t="e">
        <f>IF(dms_FifthFeeder_flag_NSP="NO","This NSP has only 4 feeder categories","This NSP has 5 feeder categories")</f>
        <v>#NAME?</v>
      </c>
      <c r="D103" s="578"/>
      <c r="E103" s="579"/>
      <c r="F103" s="580"/>
      <c r="G103" s="580"/>
      <c r="H103" s="580"/>
      <c r="I103" s="580"/>
      <c r="J103" s="580"/>
      <c r="K103" s="581"/>
    </row>
    <row r="104" spans="2:12" x14ac:dyDescent="0.25">
      <c r="B104" s="549" t="s">
        <v>620</v>
      </c>
      <c r="C104" s="582" t="e">
        <f>IF(dms_FifthFeeder_flag_NSP="NO",10,12)</f>
        <v>#NAME?</v>
      </c>
      <c r="D104" s="558" t="s">
        <v>621</v>
      </c>
      <c r="E104" s="547" t="s">
        <v>622</v>
      </c>
      <c r="F104" s="559"/>
      <c r="G104" s="559"/>
      <c r="H104" s="559"/>
      <c r="I104" s="559"/>
      <c r="J104" s="559"/>
      <c r="K104" s="560"/>
    </row>
    <row r="105" spans="2:12" x14ac:dyDescent="0.25">
      <c r="B105" s="550" t="s">
        <v>623</v>
      </c>
      <c r="C105" s="583">
        <f>IF(dms_MODEL="ARR",15,9)</f>
        <v>9</v>
      </c>
      <c r="D105" s="584" t="s">
        <v>624</v>
      </c>
      <c r="E105" s="585" t="s">
        <v>625</v>
      </c>
      <c r="F105" s="586"/>
      <c r="G105" s="586"/>
      <c r="H105" s="586"/>
      <c r="I105" s="586"/>
      <c r="J105" s="586"/>
      <c r="K105" s="587"/>
    </row>
    <row r="106" spans="2:12" x14ac:dyDescent="0.25">
      <c r="B106" s="540" t="s">
        <v>626</v>
      </c>
      <c r="C106" s="588"/>
      <c r="D106" s="589"/>
      <c r="E106" s="378" t="s">
        <v>627</v>
      </c>
      <c r="F106" s="559"/>
      <c r="G106" s="559"/>
      <c r="H106" s="559"/>
      <c r="I106" s="559"/>
      <c r="J106" s="559"/>
      <c r="K106" s="560"/>
    </row>
    <row r="107" spans="2:12" x14ac:dyDescent="0.25">
      <c r="B107" s="549" t="s">
        <v>628</v>
      </c>
      <c r="C107" s="588" t="e">
        <f>IF(dms_SingleYearModel="yes",(CONCATENATE(IF(LEN(CRY)=4,"1-Jan-","1-Jul-"),LEFT(CRY,4))),(CONCATENATE(IF(LEN(PRCP_y4)=4,"1-Jan-","1-Jul-"),LEFT(PRCP_y4,4))))</f>
        <v>#NAME?</v>
      </c>
      <c r="D107" s="558" t="s">
        <v>629</v>
      </c>
      <c r="E107" s="545" t="s">
        <v>630</v>
      </c>
      <c r="F107" s="559"/>
      <c r="G107" s="559"/>
      <c r="H107" s="559"/>
      <c r="I107" s="559"/>
      <c r="J107" s="559"/>
      <c r="K107" s="560"/>
    </row>
    <row r="108" spans="2:12" x14ac:dyDescent="0.25">
      <c r="B108" s="550" t="s">
        <v>631</v>
      </c>
      <c r="C108" s="583" t="e">
        <f>DATEVALUE(dms_060701_StartDateTxt)</f>
        <v>#NAME?</v>
      </c>
      <c r="D108" s="584" t="s">
        <v>632</v>
      </c>
      <c r="E108" s="590" t="s">
        <v>633</v>
      </c>
      <c r="F108" s="586"/>
      <c r="G108" s="586"/>
      <c r="H108" s="586"/>
      <c r="I108" s="586"/>
      <c r="J108" s="586"/>
      <c r="K108" s="587"/>
      <c r="L108" s="275"/>
    </row>
    <row r="109" spans="2:12" ht="15.75" thickBot="1" x14ac:dyDescent="0.3">
      <c r="B109" s="591" t="s">
        <v>634</v>
      </c>
      <c r="C109" s="592" t="s">
        <v>86</v>
      </c>
      <c r="D109" s="593" t="s">
        <v>635</v>
      </c>
      <c r="E109" s="594"/>
      <c r="F109" s="559"/>
      <c r="G109" s="559"/>
      <c r="H109" s="559"/>
      <c r="I109" s="559"/>
      <c r="J109" s="559"/>
      <c r="K109" s="560"/>
      <c r="L109" s="275"/>
    </row>
    <row r="110" spans="2:12" customFormat="1" ht="15.75" thickBot="1" x14ac:dyDescent="0.3">
      <c r="B110" s="420" t="s">
        <v>636</v>
      </c>
      <c r="C110" s="421"/>
      <c r="D110" s="421"/>
      <c r="E110" s="421"/>
      <c r="F110" s="499"/>
      <c r="G110" s="499"/>
      <c r="H110" s="499"/>
      <c r="I110" s="499"/>
      <c r="J110" s="499"/>
      <c r="K110" s="500"/>
    </row>
    <row r="111" spans="2:12" ht="38.25" x14ac:dyDescent="0.25">
      <c r="B111" s="595" t="s">
        <v>637</v>
      </c>
      <c r="C111" s="561" t="s">
        <v>638</v>
      </c>
      <c r="D111" s="378"/>
      <c r="E111" s="378" t="s">
        <v>639</v>
      </c>
      <c r="F111" s="596"/>
      <c r="G111" s="596"/>
      <c r="H111" s="596"/>
      <c r="I111" s="596"/>
      <c r="J111" s="596"/>
      <c r="K111" s="597"/>
      <c r="L111" s="275"/>
    </row>
    <row r="112" spans="2:12" x14ac:dyDescent="0.25">
      <c r="B112" s="540" t="s">
        <v>640</v>
      </c>
      <c r="C112" s="598" t="str">
        <f>IFERROR(IF((ROW(dms_060801_StartCell)-1)=1,"yes","yes"),"no")</f>
        <v>no</v>
      </c>
      <c r="D112" s="599" t="s">
        <v>641</v>
      </c>
      <c r="E112" s="547" t="s">
        <v>642</v>
      </c>
      <c r="F112" s="559"/>
      <c r="G112" s="559"/>
      <c r="H112" s="559"/>
      <c r="I112" s="559"/>
      <c r="J112" s="559"/>
      <c r="K112" s="560"/>
      <c r="L112" s="275"/>
    </row>
    <row r="113" spans="2:11" x14ac:dyDescent="0.25">
      <c r="B113" s="549" t="s">
        <v>643</v>
      </c>
      <c r="C113" s="588">
        <v>12</v>
      </c>
      <c r="D113" s="558" t="s">
        <v>644</v>
      </c>
      <c r="E113" s="547" t="s">
        <v>645</v>
      </c>
      <c r="F113" s="559"/>
      <c r="G113" s="559"/>
      <c r="H113" s="559"/>
      <c r="I113" s="559"/>
      <c r="J113" s="559"/>
      <c r="K113" s="560"/>
    </row>
    <row r="114" spans="2:11" x14ac:dyDescent="0.25">
      <c r="B114" s="549" t="s">
        <v>646</v>
      </c>
      <c r="C114" s="598" t="str">
        <f>IFERROR(IF(dms_060801_StartCell&lt;&gt;"",IF(dms_MODEL="ARR",(LOOKUP(2,1/(dms_060801_01_Values&lt;&gt;""),(ROW(dms_060801_01_Values)))),"not an ARR"),0),"0")</f>
        <v>0</v>
      </c>
      <c r="D114" s="558" t="s">
        <v>647</v>
      </c>
      <c r="E114" s="569" t="s">
        <v>648</v>
      </c>
      <c r="F114" s="559"/>
      <c r="G114" s="559"/>
      <c r="H114" s="559"/>
      <c r="I114" s="559"/>
      <c r="J114" s="559"/>
      <c r="K114" s="560"/>
    </row>
    <row r="115" spans="2:11" ht="15.75" thickBot="1" x14ac:dyDescent="0.3">
      <c r="B115" s="600" t="s">
        <v>649</v>
      </c>
      <c r="C115" s="601" t="str">
        <f>IFERROR(IF(dms_MODEL="ARR",(MAX(0,dms_0608_LastRow-dms_0608_OffsetRows)),"not an ARR"),"0")</f>
        <v>not an ARR</v>
      </c>
      <c r="D115" s="602" t="s">
        <v>650</v>
      </c>
      <c r="E115" s="603" t="s">
        <v>651</v>
      </c>
      <c r="F115" s="604"/>
      <c r="G115" s="605"/>
      <c r="H115" s="605"/>
      <c r="I115" s="605"/>
      <c r="J115" s="605"/>
      <c r="K115" s="606"/>
    </row>
    <row r="116" spans="2:11" customFormat="1" ht="15.75" thickBot="1" x14ac:dyDescent="0.3">
      <c r="B116" s="420" t="s">
        <v>652</v>
      </c>
      <c r="C116" s="421"/>
      <c r="D116" s="421"/>
      <c r="E116" s="421"/>
      <c r="F116" s="499"/>
      <c r="G116" s="499"/>
      <c r="H116" s="499"/>
      <c r="I116" s="499"/>
      <c r="J116" s="499"/>
      <c r="K116" s="500"/>
    </row>
    <row r="117" spans="2:11" x14ac:dyDescent="0.25">
      <c r="B117" s="540" t="s">
        <v>653</v>
      </c>
      <c r="C117" s="607"/>
      <c r="D117" s="558"/>
      <c r="E117" s="547"/>
      <c r="F117" s="608"/>
      <c r="G117" s="559"/>
      <c r="H117" s="559"/>
      <c r="I117" s="559"/>
      <c r="J117" s="559"/>
      <c r="K117" s="560"/>
    </row>
    <row r="118" spans="2:11" x14ac:dyDescent="0.25">
      <c r="B118" s="549" t="s">
        <v>654</v>
      </c>
      <c r="C118" s="588" t="str">
        <f ca="1">LEFT(PRCP_y3,4)</f>
        <v>0</v>
      </c>
      <c r="D118" s="558" t="s">
        <v>655</v>
      </c>
      <c r="E118" s="609" t="s">
        <v>656</v>
      </c>
      <c r="F118" s="559"/>
      <c r="G118" s="559"/>
      <c r="H118" s="559"/>
      <c r="I118" s="559"/>
      <c r="J118" s="559"/>
      <c r="K118" s="560"/>
    </row>
    <row r="119" spans="2:11" ht="15.75" thickBot="1" x14ac:dyDescent="0.3">
      <c r="B119" s="610"/>
      <c r="C119" s="611"/>
      <c r="D119" s="612"/>
      <c r="E119" s="613"/>
      <c r="F119" s="614"/>
      <c r="G119" s="614"/>
      <c r="H119" s="614"/>
      <c r="I119" s="614"/>
      <c r="J119" s="614"/>
      <c r="K119" s="615"/>
    </row>
    <row r="120" spans="2:11" customFormat="1" ht="15.75" thickBot="1" x14ac:dyDescent="0.3">
      <c r="B120" s="420" t="s">
        <v>657</v>
      </c>
      <c r="C120" s="421"/>
      <c r="D120" s="421"/>
      <c r="E120" s="421"/>
      <c r="F120" s="499"/>
      <c r="G120" s="499"/>
      <c r="H120" s="499"/>
      <c r="I120" s="499"/>
      <c r="J120" s="499"/>
      <c r="K120" s="500"/>
    </row>
    <row r="121" spans="2:11" customFormat="1" ht="14.25" customHeight="1" x14ac:dyDescent="0.25">
      <c r="B121" s="616" t="s">
        <v>658</v>
      </c>
      <c r="C121" s="617" t="e">
        <f>INDEX(dms_DeterminationRef_List,MATCH(dms_TradingName,dms_TradingName_List))</f>
        <v>#NAME?</v>
      </c>
      <c r="D121" s="618" t="s">
        <v>659</v>
      </c>
      <c r="E121" s="619"/>
      <c r="F121" s="620"/>
      <c r="G121" s="620"/>
      <c r="H121" s="620"/>
      <c r="I121" s="620"/>
      <c r="J121" s="620"/>
      <c r="K121" s="621"/>
    </row>
    <row r="122" spans="2:11" customFormat="1" ht="14.25" customHeight="1" x14ac:dyDescent="0.25">
      <c r="B122" s="622" t="s">
        <v>660</v>
      </c>
      <c r="C122" s="623">
        <f>INDEX(dms_Public_Lighting_List,MATCH(dms_TradingName,dms_TradingName_List))</f>
        <v>0</v>
      </c>
      <c r="D122" s="624" t="s">
        <v>661</v>
      </c>
      <c r="E122" s="625" t="s">
        <v>662</v>
      </c>
      <c r="F122" s="626"/>
      <c r="G122" s="626"/>
      <c r="H122" s="626"/>
      <c r="I122" s="626"/>
      <c r="J122" s="626"/>
      <c r="K122" s="627"/>
    </row>
    <row r="123" spans="2:11" ht="15" customHeight="1" x14ac:dyDescent="0.25">
      <c r="B123" s="628" t="s">
        <v>663</v>
      </c>
      <c r="C123" s="358">
        <f>INDEX(dms_CBD_flag,MATCH(dms_TradingName,dms_TradingName_List))</f>
        <v>0</v>
      </c>
      <c r="D123" s="359" t="s">
        <v>664</v>
      </c>
      <c r="E123" s="359"/>
      <c r="F123" s="629"/>
      <c r="G123" s="629"/>
      <c r="H123" s="629"/>
      <c r="I123" s="629"/>
      <c r="J123" s="629"/>
      <c r="K123" s="630"/>
    </row>
    <row r="124" spans="2:11" ht="15" customHeight="1" x14ac:dyDescent="0.25">
      <c r="B124" s="631" t="s">
        <v>665</v>
      </c>
      <c r="C124" s="371">
        <f>INDEX(dms_Urban_flag,MATCH(dms_TradingName,dms_TradingName_List))</f>
        <v>0</v>
      </c>
      <c r="D124" s="366" t="s">
        <v>666</v>
      </c>
      <c r="E124" s="366"/>
      <c r="F124" s="377"/>
      <c r="G124" s="377"/>
      <c r="H124" s="377"/>
      <c r="I124" s="377"/>
      <c r="J124" s="377"/>
      <c r="K124" s="632"/>
    </row>
    <row r="125" spans="2:11" ht="15" customHeight="1" x14ac:dyDescent="0.25">
      <c r="B125" s="631" t="s">
        <v>667</v>
      </c>
      <c r="C125" s="371">
        <f>INDEX(dms_ShortRural_flag,MATCH(dms_TradingName,dms_TradingName_List))</f>
        <v>0</v>
      </c>
      <c r="D125" s="366" t="s">
        <v>668</v>
      </c>
      <c r="E125" s="366"/>
      <c r="F125" s="377"/>
      <c r="G125" s="377"/>
      <c r="H125" s="377"/>
      <c r="I125" s="377"/>
      <c r="J125" s="377"/>
      <c r="K125" s="632"/>
    </row>
    <row r="126" spans="2:11" ht="15" customHeight="1" x14ac:dyDescent="0.25">
      <c r="B126" s="633" t="s">
        <v>669</v>
      </c>
      <c r="C126" s="634">
        <f>INDEX(dms_LongRural_flag,MATCH(dms_TradingName,dms_TradingName_List))</f>
        <v>0</v>
      </c>
      <c r="D126" s="635" t="s">
        <v>670</v>
      </c>
      <c r="E126" s="635"/>
      <c r="F126" s="636"/>
      <c r="G126" s="636"/>
      <c r="H126" s="636"/>
      <c r="I126" s="636"/>
      <c r="J126" s="636"/>
      <c r="K126" s="637"/>
    </row>
    <row r="127" spans="2:11" ht="15.75" thickBot="1" x14ac:dyDescent="0.3">
      <c r="B127" s="638" t="s">
        <v>671</v>
      </c>
      <c r="C127" s="639">
        <f>INDEX(dms_FeederType_5_flag,MATCH(dms_TradingName,dms_TradingName_List))</f>
        <v>0</v>
      </c>
      <c r="D127" s="602" t="s">
        <v>672</v>
      </c>
      <c r="E127" s="603" t="s">
        <v>673</v>
      </c>
      <c r="F127" s="640"/>
      <c r="G127" s="640"/>
      <c r="H127" s="640"/>
      <c r="I127" s="640"/>
      <c r="J127" s="640"/>
      <c r="K127" s="641"/>
    </row>
    <row r="128" spans="2:11" ht="15.75" thickBot="1" x14ac:dyDescent="0.3">
      <c r="B128" s="610"/>
      <c r="C128" s="611"/>
      <c r="D128" s="612"/>
      <c r="E128" s="613"/>
      <c r="F128" s="614"/>
      <c r="G128" s="614"/>
      <c r="H128" s="614"/>
      <c r="I128" s="614"/>
      <c r="J128" s="614"/>
      <c r="K128" s="615"/>
    </row>
    <row r="129" spans="2:11" customFormat="1" ht="15.75" thickBot="1" x14ac:dyDescent="0.3">
      <c r="B129" s="642" t="s">
        <v>674</v>
      </c>
      <c r="C129" s="643"/>
      <c r="D129" s="643"/>
      <c r="E129" s="643"/>
      <c r="F129" s="644"/>
      <c r="G129" s="644"/>
      <c r="H129" s="644"/>
      <c r="I129" s="644"/>
      <c r="J129" s="644"/>
      <c r="K129" s="645"/>
    </row>
    <row r="130" spans="2:11" ht="15.75" thickBot="1" x14ac:dyDescent="0.3">
      <c r="B130" s="646" t="s">
        <v>675</v>
      </c>
      <c r="C130" s="647" t="s">
        <v>86</v>
      </c>
      <c r="D130" s="648" t="s">
        <v>676</v>
      </c>
      <c r="E130" s="649" t="s">
        <v>677</v>
      </c>
      <c r="F130" s="650"/>
      <c r="G130" s="650"/>
      <c r="H130" s="650"/>
      <c r="I130" s="650"/>
      <c r="J130" s="650"/>
      <c r="K130" s="651"/>
    </row>
    <row r="131" spans="2:11" customFormat="1" ht="15.75" thickBot="1" x14ac:dyDescent="0.3"/>
    <row r="132" spans="2:11" customFormat="1" ht="15.75" thickBot="1" x14ac:dyDescent="0.3">
      <c r="B132" s="642" t="s">
        <v>678</v>
      </c>
      <c r="C132" s="643"/>
      <c r="D132" s="643"/>
      <c r="E132" s="643"/>
      <c r="F132" s="644"/>
      <c r="G132" s="644"/>
      <c r="H132" s="644"/>
      <c r="I132" s="644"/>
      <c r="J132" s="644"/>
      <c r="K132" s="645"/>
    </row>
    <row r="133" spans="2:11" x14ac:dyDescent="0.25">
      <c r="B133" s="652" t="s">
        <v>679</v>
      </c>
      <c r="C133" s="653" t="s">
        <v>86</v>
      </c>
      <c r="D133" s="366" t="s">
        <v>680</v>
      </c>
      <c r="E133" s="654"/>
      <c r="F133" s="655"/>
      <c r="G133" s="655"/>
      <c r="H133" s="655"/>
      <c r="I133" s="655"/>
      <c r="J133" s="655"/>
      <c r="K133" s="656"/>
    </row>
    <row r="134" spans="2:11" customFormat="1" x14ac:dyDescent="0.25"/>
    <row r="135" spans="2:11" ht="15.75" thickBot="1" x14ac:dyDescent="0.3">
      <c r="B135" s="610"/>
      <c r="C135" s="611"/>
      <c r="D135" s="612"/>
      <c r="E135" s="613"/>
      <c r="F135" s="614"/>
      <c r="G135" s="614"/>
      <c r="H135" s="614"/>
      <c r="I135" s="614"/>
      <c r="J135" s="614"/>
      <c r="K135" s="615"/>
    </row>
    <row r="136" spans="2:11" ht="15.75" thickBot="1" x14ac:dyDescent="0.3">
      <c r="B136" s="657" t="s">
        <v>681</v>
      </c>
      <c r="C136" s="658"/>
      <c r="D136" s="658"/>
      <c r="E136" s="658"/>
      <c r="F136" s="659"/>
      <c r="G136" s="659"/>
      <c r="H136" s="659"/>
      <c r="I136" s="659"/>
      <c r="J136" s="659"/>
      <c r="K136" s="660"/>
    </row>
    <row r="137" spans="2:11" x14ac:dyDescent="0.25">
      <c r="B137" s="661" t="s">
        <v>682</v>
      </c>
      <c r="C137" s="653" t="s">
        <v>86</v>
      </c>
      <c r="D137" s="662" t="s">
        <v>683</v>
      </c>
      <c r="E137" s="663"/>
      <c r="F137" s="664"/>
      <c r="G137" s="664"/>
      <c r="H137" s="664"/>
      <c r="I137" s="664"/>
      <c r="J137" s="664"/>
      <c r="K137" s="665"/>
    </row>
    <row r="138" spans="2:11" x14ac:dyDescent="0.25">
      <c r="B138" s="666"/>
      <c r="C138" s="667" t="s">
        <v>684</v>
      </c>
      <c r="D138" s="668" t="s">
        <v>685</v>
      </c>
      <c r="E138" s="669"/>
      <c r="F138" s="670"/>
      <c r="G138" s="670"/>
      <c r="H138" s="670"/>
      <c r="I138" s="670"/>
      <c r="J138" s="670"/>
      <c r="K138" s="671"/>
    </row>
    <row r="139" spans="2:11" x14ac:dyDescent="0.25">
      <c r="B139" s="666"/>
      <c r="C139" s="672">
        <v>2013</v>
      </c>
      <c r="D139" s="673" t="s">
        <v>686</v>
      </c>
      <c r="E139" s="674"/>
      <c r="F139" s="675"/>
      <c r="G139" s="675"/>
      <c r="H139" s="675"/>
      <c r="I139" s="675"/>
      <c r="J139" s="675"/>
      <c r="K139" s="676"/>
    </row>
    <row r="140" spans="2:11" x14ac:dyDescent="0.25">
      <c r="B140" s="666"/>
      <c r="C140" s="672">
        <v>2014</v>
      </c>
      <c r="D140" s="673" t="s">
        <v>687</v>
      </c>
      <c r="E140" s="674"/>
      <c r="F140" s="675"/>
      <c r="G140" s="675"/>
      <c r="H140" s="675"/>
      <c r="I140" s="675"/>
      <c r="J140" s="675"/>
      <c r="K140" s="676"/>
    </row>
    <row r="141" spans="2:11" x14ac:dyDescent="0.25">
      <c r="B141" s="666"/>
      <c r="C141" s="672">
        <v>2015</v>
      </c>
      <c r="D141" s="673" t="s">
        <v>688</v>
      </c>
      <c r="E141" s="674"/>
      <c r="F141" s="675"/>
      <c r="G141" s="675"/>
      <c r="H141" s="675"/>
      <c r="I141" s="675"/>
      <c r="J141" s="675"/>
      <c r="K141" s="676"/>
    </row>
    <row r="142" spans="2:11" x14ac:dyDescent="0.25">
      <c r="B142" s="666"/>
      <c r="C142" s="672">
        <v>2016</v>
      </c>
      <c r="D142" s="673" t="s">
        <v>689</v>
      </c>
      <c r="E142" s="674"/>
      <c r="F142" s="675"/>
      <c r="G142" s="675"/>
      <c r="H142" s="675"/>
      <c r="I142" s="675"/>
      <c r="J142" s="675"/>
      <c r="K142" s="676"/>
    </row>
    <row r="143" spans="2:11" x14ac:dyDescent="0.25">
      <c r="B143" s="677"/>
      <c r="C143" s="678">
        <v>2017</v>
      </c>
      <c r="D143" s="679" t="s">
        <v>690</v>
      </c>
      <c r="E143" s="680"/>
      <c r="F143" s="681"/>
      <c r="G143" s="681"/>
      <c r="H143" s="681"/>
      <c r="I143" s="681"/>
      <c r="J143" s="681"/>
      <c r="K143" s="682"/>
    </row>
    <row r="144" spans="2:11" x14ac:dyDescent="0.25">
      <c r="B144" s="677"/>
      <c r="C144" s="678">
        <v>2018</v>
      </c>
      <c r="D144" s="679" t="s">
        <v>691</v>
      </c>
      <c r="E144" s="680"/>
      <c r="F144" s="681"/>
      <c r="G144" s="681"/>
      <c r="H144" s="681"/>
      <c r="I144" s="681"/>
      <c r="J144" s="681"/>
      <c r="K144" s="682"/>
    </row>
    <row r="145" spans="2:11" x14ac:dyDescent="0.25">
      <c r="B145" s="677"/>
      <c r="C145" s="678">
        <v>2019</v>
      </c>
      <c r="D145" s="679" t="s">
        <v>692</v>
      </c>
      <c r="E145" s="680"/>
      <c r="F145" s="681"/>
      <c r="G145" s="681"/>
      <c r="H145" s="681"/>
      <c r="I145" s="681"/>
      <c r="J145" s="681"/>
      <c r="K145" s="682"/>
    </row>
    <row r="146" spans="2:11" x14ac:dyDescent="0.25">
      <c r="B146" s="677"/>
      <c r="C146" s="678">
        <v>2020</v>
      </c>
      <c r="D146" s="679" t="s">
        <v>693</v>
      </c>
      <c r="E146" s="680"/>
      <c r="F146" s="681"/>
      <c r="G146" s="681"/>
      <c r="H146" s="681"/>
      <c r="I146" s="681"/>
      <c r="J146" s="681"/>
      <c r="K146" s="682"/>
    </row>
    <row r="147" spans="2:11" ht="15.75" thickBot="1" x14ac:dyDescent="0.3">
      <c r="B147" s="683"/>
      <c r="C147" s="684">
        <v>2021</v>
      </c>
      <c r="D147" s="685" t="s">
        <v>694</v>
      </c>
      <c r="E147" s="686"/>
      <c r="F147" s="687"/>
      <c r="G147" s="687"/>
      <c r="H147" s="687"/>
      <c r="I147" s="687"/>
      <c r="J147" s="687"/>
      <c r="K147" s="688"/>
    </row>
    <row r="148" spans="2:11" x14ac:dyDescent="0.25">
      <c r="B148"/>
      <c r="C148"/>
    </row>
    <row r="149" spans="2:11" x14ac:dyDescent="0.25">
      <c r="B149"/>
      <c r="C149"/>
    </row>
    <row r="150" spans="2:11" x14ac:dyDescent="0.25">
      <c r="B150"/>
      <c r="C150"/>
      <c r="D150"/>
      <c r="E150"/>
      <c r="F150"/>
      <c r="G150"/>
      <c r="H150"/>
      <c r="I150"/>
    </row>
    <row r="151" spans="2:11" x14ac:dyDescent="0.25">
      <c r="B151"/>
      <c r="C151"/>
      <c r="D151"/>
      <c r="E151"/>
      <c r="F151"/>
      <c r="G151"/>
      <c r="H151"/>
      <c r="I151"/>
    </row>
    <row r="152" spans="2:11" x14ac:dyDescent="0.25">
      <c r="B152"/>
      <c r="C152"/>
      <c r="D152"/>
      <c r="E152"/>
      <c r="F152"/>
      <c r="G152"/>
      <c r="H152"/>
      <c r="I152"/>
    </row>
    <row r="153" spans="2:11" x14ac:dyDescent="0.25">
      <c r="B153"/>
      <c r="C153"/>
      <c r="D153"/>
      <c r="E153"/>
      <c r="F153"/>
      <c r="G153"/>
      <c r="H153"/>
      <c r="I153"/>
    </row>
    <row r="154" spans="2:11" x14ac:dyDescent="0.25">
      <c r="B154"/>
      <c r="C154"/>
      <c r="D154"/>
      <c r="E154"/>
      <c r="F154"/>
      <c r="G154"/>
      <c r="H154"/>
      <c r="I154"/>
    </row>
  </sheetData>
  <sheetProtection formatColumns="0" formatRows="0" insertRows="0" autoFilter="0"/>
  <dataConsolidate/>
  <mergeCells count="13">
    <mergeCell ref="B73:B75"/>
    <mergeCell ref="BQ34:CL34"/>
    <mergeCell ref="AL35:BG35"/>
    <mergeCell ref="BQ35:CL35"/>
    <mergeCell ref="A36:A61"/>
    <mergeCell ref="AL36:BG36"/>
    <mergeCell ref="BQ36:CL36"/>
    <mergeCell ref="AL34:BG34"/>
    <mergeCell ref="A13:A17"/>
    <mergeCell ref="E14:I14"/>
    <mergeCell ref="C16:E16"/>
    <mergeCell ref="A20:A27"/>
    <mergeCell ref="A28:A33"/>
  </mergeCells>
  <conditionalFormatting sqref="B86">
    <cfRule type="expression" dxfId="13" priority="11">
      <formula>dms_MODEL="EB"</formula>
    </cfRule>
  </conditionalFormatting>
  <conditionalFormatting sqref="B88">
    <cfRule type="expression" dxfId="12" priority="12">
      <formula>dms_MODEL="CA"</formula>
    </cfRule>
  </conditionalFormatting>
  <conditionalFormatting sqref="B96">
    <cfRule type="expression" dxfId="11" priority="9">
      <formula>IF(OR(dms_MODEL="ARR",dms_MODEL="Reset"),"True")</formula>
    </cfRule>
  </conditionalFormatting>
  <conditionalFormatting sqref="B110">
    <cfRule type="expression" dxfId="10" priority="10">
      <formula>dms_MODEL="ARR"</formula>
    </cfRule>
  </conditionalFormatting>
  <conditionalFormatting sqref="B116">
    <cfRule type="expression" dxfId="9" priority="4">
      <formula>AND(dms_MODEL="Reset",dms_Segment="Transmission")</formula>
    </cfRule>
  </conditionalFormatting>
  <conditionalFormatting sqref="C25">
    <cfRule type="expression" dxfId="8" priority="14">
      <formula>SUM(dms_SingleYear_Model)&gt;0</formula>
    </cfRule>
  </conditionalFormatting>
  <conditionalFormatting sqref="C63">
    <cfRule type="cellIs" dxfId="7" priority="5" operator="equal">
      <formula>"YES"</formula>
    </cfRule>
  </conditionalFormatting>
  <conditionalFormatting sqref="C65">
    <cfRule type="expression" dxfId="6" priority="13">
      <formula>dms_MultiYear_Flag=1</formula>
    </cfRule>
  </conditionalFormatting>
  <conditionalFormatting sqref="C77">
    <cfRule type="cellIs" dxfId="5" priority="2" operator="greaterThan">
      <formula>0</formula>
    </cfRule>
  </conditionalFormatting>
  <conditionalFormatting sqref="C81 C84">
    <cfRule type="cellIs" dxfId="4" priority="3" operator="greaterThan">
      <formula>0</formula>
    </cfRule>
  </conditionalFormatting>
  <conditionalFormatting sqref="C94">
    <cfRule type="cellIs" dxfId="2" priority="8" operator="equal">
      <formula>"error"</formula>
    </cfRule>
  </conditionalFormatting>
  <conditionalFormatting sqref="C112">
    <cfRule type="cellIs" dxfId="1" priority="1" operator="equal">
      <formula>"no"</formula>
    </cfRule>
  </conditionalFormatting>
  <conditionalFormatting sqref="C133 C137">
    <cfRule type="cellIs" dxfId="0" priority="6" operator="equal">
      <formula>"YES"</formula>
    </cfRule>
  </conditionalFormatting>
  <dataValidations count="9">
    <dataValidation type="list" allowBlank="1" showInputMessage="1" showErrorMessage="1" sqref="C15" xr:uid="{7845023E-8617-485A-84B6-F073263EE3E5}">
      <formula1>dms_Confid_status_List</formula1>
    </dataValidation>
    <dataValidation type="list" allowBlank="1" showInputMessage="1" showErrorMessage="1" sqref="C130 C137 C133" xr:uid="{4B9F23FE-065C-4B94-9F6D-043FC6A14325}">
      <formula1>"YES, NO"</formula1>
    </dataValidation>
    <dataValidation allowBlank="1" showInputMessage="1" showErrorMessage="1" prompt="If this is a MultiRYE historical ABC RIN then this value is set from the value specified in cell C75 - otherwise it is taken from the values calculated in FRCP_y5 (or whichever is last relevant year)." sqref="C85" xr:uid="{311E8ADC-4EE2-4287-9AA2-75D95932DBF9}"/>
    <dataValidation type="list" allowBlank="1" showInputMessage="1" showErrorMessage="1" promptTitle="Model" prompt="Make sure corresponding Source type is correctly selected !!!_x000a__x000a_eg: ABC=Reporting, Reset=Regulatory proposal  etc" sqref="C12" xr:uid="{5E890B3A-0E2F-4FF2-96DC-36A6C040BEA2}">
      <formula1>dms_Model_List</formula1>
    </dataValidation>
    <dataValidation type="list" allowBlank="1" showInputMessage="1" showErrorMessage="1" sqref="C14" xr:uid="{04A4ABC3-C50A-46C5-86DA-0DF3AC88126B}">
      <formula1>dms_DataQuality_List</formula1>
    </dataValidation>
    <dataValidation type="list" allowBlank="1" showInputMessage="1" showErrorMessage="1" sqref="C24" xr:uid="{D2CD4764-0402-4592-BCA9-DDF972980D57}">
      <formula1>"Financial, Calendar, Other"</formula1>
    </dataValidation>
    <dataValidation type="list" allowBlank="1" showInputMessage="1" showErrorMessage="1" sqref="C26" xr:uid="{D309D17B-27D8-49FC-B745-B0EB48476197}">
      <formula1>"Public, Confidential"</formula1>
    </dataValidation>
    <dataValidation type="list" allowBlank="1" showInputMessage="1" showErrorMessage="1" sqref="C19 C63" xr:uid="{98807CE7-6E37-46A5-BA35-FBF86FBC4A63}">
      <formula1>"Yes, No"</formula1>
    </dataValidation>
    <dataValidation type="list" allowBlank="1" showInputMessage="1" showErrorMessage="1" sqref="C13" xr:uid="{6A80C637-B844-45F8-BF48-09E872FE9F24}">
      <formula1>dms_SourceList</formula1>
    </dataValidation>
  </dataValidations>
  <pageMargins left="0.25" right="0.25" top="0.75" bottom="0.75" header="0.3" footer="0.3"/>
  <pageSetup paperSize="9" scale="90" orientation="landscape" r:id="rId1"/>
  <extLst>
    <ext xmlns:x14="http://schemas.microsoft.com/office/spreadsheetml/2009/9/main" uri="{78C0D931-6437-407d-A8EE-F0AAD7539E65}">
      <x14:conditionalFormattings>
        <x14:conditionalFormatting xmlns:xm="http://schemas.microsoft.com/office/excel/2006/main">
          <x14:cfRule type="containsText" priority="7" operator="containsText" id="{1A8E4CDC-8BD5-44F3-9266-39EFF8638C33}">
            <xm:f>NOT(ISERROR(SEARCH("error - NR not present",C92)))</xm:f>
            <xm:f>"error - NR not present"</xm:f>
            <x14:dxf>
              <font>
                <color rgb="FF9C0006"/>
              </font>
              <fill>
                <patternFill>
                  <bgColor rgb="FFFFC7CE"/>
                </patternFill>
              </fill>
            </x14:dxf>
          </x14:cfRule>
          <xm:sqref>C92</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337</vt:i4>
      </vt:variant>
    </vt:vector>
  </HeadingPairs>
  <TitlesOfParts>
    <vt:vector size="341" baseType="lpstr">
      <vt:lpstr>Business &amp; other details</vt:lpstr>
      <vt:lpstr>7.5 EBSS</vt:lpstr>
      <vt:lpstr>AER lookups</vt:lpstr>
      <vt:lpstr>AER ETL</vt:lpstr>
      <vt:lpstr>ARR</vt:lpstr>
      <vt:lpstr>ARR_Fmt2</vt:lpstr>
      <vt:lpstr>CA</vt:lpstr>
      <vt:lpstr>CA_Fmt2</vt:lpstr>
      <vt:lpstr>Calendar</vt:lpstr>
      <vt:lpstr>CESS</vt:lpstr>
      <vt:lpstr>CESS_Fmt2</vt:lpstr>
      <vt:lpstr>CPI</vt:lpstr>
      <vt:lpstr>CPI_Fmt2</vt:lpstr>
      <vt:lpstr>CRCP_start_year</vt:lpstr>
      <vt:lpstr>'AER ETL'!CRCP_y1</vt:lpstr>
      <vt:lpstr>CRCP_y1</vt:lpstr>
      <vt:lpstr>'AER ETL'!CRCP_y10</vt:lpstr>
      <vt:lpstr>CRCP_y10</vt:lpstr>
      <vt:lpstr>'AER ETL'!CRCP_y11</vt:lpstr>
      <vt:lpstr>CRCP_y11</vt:lpstr>
      <vt:lpstr>'AER ETL'!CRCP_y12</vt:lpstr>
      <vt:lpstr>CRCP_y12</vt:lpstr>
      <vt:lpstr>'AER ETL'!CRCP_y13</vt:lpstr>
      <vt:lpstr>CRCP_y13</vt:lpstr>
      <vt:lpstr>'AER ETL'!CRCP_y14</vt:lpstr>
      <vt:lpstr>CRCP_y14</vt:lpstr>
      <vt:lpstr>'AER ETL'!CRCP_y15</vt:lpstr>
      <vt:lpstr>CRCP_y15</vt:lpstr>
      <vt:lpstr>CRCP_y16</vt:lpstr>
      <vt:lpstr>CRCP_y17</vt:lpstr>
      <vt:lpstr>CRCP_y18</vt:lpstr>
      <vt:lpstr>CRCP_y19</vt:lpstr>
      <vt:lpstr>'AER ETL'!CRCP_y2</vt:lpstr>
      <vt:lpstr>CRCP_y2</vt:lpstr>
      <vt:lpstr>CRCP_y20</vt:lpstr>
      <vt:lpstr>CRCP_y21</vt:lpstr>
      <vt:lpstr>CRCP_y22</vt:lpstr>
      <vt:lpstr>CRCP_y23</vt:lpstr>
      <vt:lpstr>CRCP_y24</vt:lpstr>
      <vt:lpstr>CRCP_y25</vt:lpstr>
      <vt:lpstr>'AER ETL'!CRCP_y3</vt:lpstr>
      <vt:lpstr>CRCP_y3</vt:lpstr>
      <vt:lpstr>'AER ETL'!CRCP_y4</vt:lpstr>
      <vt:lpstr>CRCP_y4</vt:lpstr>
      <vt:lpstr>'AER ETL'!CRCP_y5</vt:lpstr>
      <vt:lpstr>CRCP_y5</vt:lpstr>
      <vt:lpstr>'AER ETL'!CRCP_y6</vt:lpstr>
      <vt:lpstr>CRCP_y6</vt:lpstr>
      <vt:lpstr>'AER ETL'!CRCP_y7</vt:lpstr>
      <vt:lpstr>CRCP_y7</vt:lpstr>
      <vt:lpstr>'AER ETL'!CRCP_y8</vt:lpstr>
      <vt:lpstr>CRCP_y8</vt:lpstr>
      <vt:lpstr>'AER ETL'!CRCP_y9</vt:lpstr>
      <vt:lpstr>CRCP_y9</vt:lpstr>
      <vt:lpstr>'AER ETL'!CRY</vt:lpstr>
      <vt:lpstr>CRY</vt:lpstr>
      <vt:lpstr>dms_0306_Year</vt:lpstr>
      <vt:lpstr>dms_0502_Inst_Year</vt:lpstr>
      <vt:lpstr>dms_060101_StartDateVal</vt:lpstr>
      <vt:lpstr>dms_060301_MaxRows</vt:lpstr>
      <vt:lpstr>dms_060701_MaxCols</vt:lpstr>
      <vt:lpstr>dms_060701_MaxRows</vt:lpstr>
      <vt:lpstr>dms_060701_OffsetRows</vt:lpstr>
      <vt:lpstr>dms_060701_StartDateVal</vt:lpstr>
      <vt:lpstr>dms_060801_MaxRows</vt:lpstr>
      <vt:lpstr>dms_070904_Start_Year</vt:lpstr>
      <vt:lpstr>dms_663</vt:lpstr>
      <vt:lpstr>'AER ETL'!dms_663_List</vt:lpstr>
      <vt:lpstr>dms_663_List</vt:lpstr>
      <vt:lpstr>dms_ABN</vt:lpstr>
      <vt:lpstr>'AER ETL'!dms_ABN_List</vt:lpstr>
      <vt:lpstr>dms_ABN_List</vt:lpstr>
      <vt:lpstr>dms_Addr1</vt:lpstr>
      <vt:lpstr>'AER ETL'!dms_Addr1_List</vt:lpstr>
      <vt:lpstr>dms_Addr1_List</vt:lpstr>
      <vt:lpstr>dms_Addr2</vt:lpstr>
      <vt:lpstr>'AER ETL'!dms_Addr2_List</vt:lpstr>
      <vt:lpstr>dms_Addr2_List</vt:lpstr>
      <vt:lpstr>'AER ETL'!dms_Amendment_Text</vt:lpstr>
      <vt:lpstr>dms_Amendment_Text</vt:lpstr>
      <vt:lpstr>dms_AmendmentReason</vt:lpstr>
      <vt:lpstr>dms_ARR</vt:lpstr>
      <vt:lpstr>dms_CA</vt:lpstr>
      <vt:lpstr>'AER ETL'!dms_CBD_flag</vt:lpstr>
      <vt:lpstr>dms_CBD_flag</vt:lpstr>
      <vt:lpstr>dms_CBD_flag_NSP</vt:lpstr>
      <vt:lpstr>dms_Classification</vt:lpstr>
      <vt:lpstr>dms_ContactEmail</vt:lpstr>
      <vt:lpstr>dms_ContactEmail2</vt:lpstr>
      <vt:lpstr>dms_ContactName1</vt:lpstr>
      <vt:lpstr>dms_ContactName2</vt:lpstr>
      <vt:lpstr>dms_ContactPh1</vt:lpstr>
      <vt:lpstr>dms_ContactPh2</vt:lpstr>
      <vt:lpstr>dms_CRCP_FinalYear_Result</vt:lpstr>
      <vt:lpstr>'AER ETL'!dms_CRCPlength_List</vt:lpstr>
      <vt:lpstr>dms_CRCPlength_List</vt:lpstr>
      <vt:lpstr>dms_DataQuality</vt:lpstr>
      <vt:lpstr>dms_Defined_Names_Used</vt:lpstr>
      <vt:lpstr>dms_DISCARD</vt:lpstr>
      <vt:lpstr>dms_DQ_1</vt:lpstr>
      <vt:lpstr>dms_DQ_2</vt:lpstr>
      <vt:lpstr>dms_EB</vt:lpstr>
      <vt:lpstr>'AER ETL'!dms_FeederName_1</vt:lpstr>
      <vt:lpstr>dms_FeederName_1</vt:lpstr>
      <vt:lpstr>'AER ETL'!dms_FeederName_2</vt:lpstr>
      <vt:lpstr>dms_FeederName_2</vt:lpstr>
      <vt:lpstr>'AER ETL'!dms_FeederName_3</vt:lpstr>
      <vt:lpstr>dms_FeederName_3</vt:lpstr>
      <vt:lpstr>'AER ETL'!dms_FeederName_4</vt:lpstr>
      <vt:lpstr>dms_FeederName_4</vt:lpstr>
      <vt:lpstr>'AER ETL'!dms_FeederName_5</vt:lpstr>
      <vt:lpstr>dms_FeederName_5</vt:lpstr>
      <vt:lpstr>'AER ETL'!dms_FeederType_5_flag</vt:lpstr>
      <vt:lpstr>dms_FeederType_5_flag</vt:lpstr>
      <vt:lpstr>dms_FormControl</vt:lpstr>
      <vt:lpstr>'AER ETL'!dms_FormControl_List</vt:lpstr>
      <vt:lpstr>dms_FormControl_List</vt:lpstr>
      <vt:lpstr>dms_FRCP_y1</vt:lpstr>
      <vt:lpstr>'AER ETL'!dms_FRCPlength_List</vt:lpstr>
      <vt:lpstr>dms_FRCPlength_List</vt:lpstr>
      <vt:lpstr>dms_Jurisdiction</vt:lpstr>
      <vt:lpstr>'AER ETL'!dms_JurisdictionList</vt:lpstr>
      <vt:lpstr>dms_JurisdictionList</vt:lpstr>
      <vt:lpstr>'AER ETL'!dms_LongRural_flag</vt:lpstr>
      <vt:lpstr>dms_LongRural_flag</vt:lpstr>
      <vt:lpstr>dms_LongRural_flag_NSP</vt:lpstr>
      <vt:lpstr>dms_MAIFI_flag_List</vt:lpstr>
      <vt:lpstr>dms_MODEL</vt:lpstr>
      <vt:lpstr>'AER ETL'!dms_Model_List</vt:lpstr>
      <vt:lpstr>dms_Model_List</vt:lpstr>
      <vt:lpstr>dms_Model_Name_Format1</vt:lpstr>
      <vt:lpstr>'AER ETL'!dms_Model_Span_List</vt:lpstr>
      <vt:lpstr>dms_Model_Span_List</vt:lpstr>
      <vt:lpstr>dms_Multi_RYE_flag</vt:lpstr>
      <vt:lpstr>dms_MultiYear_ABC_RIN</vt:lpstr>
      <vt:lpstr>dms_MultiYear_FinalYear_Result</vt:lpstr>
      <vt:lpstr>dms_PAddr1</vt:lpstr>
      <vt:lpstr>'AER ETL'!dms_PAddr1_List</vt:lpstr>
      <vt:lpstr>dms_PAddr1_List</vt:lpstr>
      <vt:lpstr>dms_PAddr2</vt:lpstr>
      <vt:lpstr>'AER ETL'!dms_PAddr2_List</vt:lpstr>
      <vt:lpstr>dms_PAddr2_List</vt:lpstr>
      <vt:lpstr>dms_Partial</vt:lpstr>
      <vt:lpstr>dms_PostCode</vt:lpstr>
      <vt:lpstr>dms_PostCode_List</vt:lpstr>
      <vt:lpstr>dms_PPostCode</vt:lpstr>
      <vt:lpstr>dms_PPostCode_List</vt:lpstr>
      <vt:lpstr>dms_PRCP_BaseYear</vt:lpstr>
      <vt:lpstr>'AER ETL'!dms_PRCPlength_List</vt:lpstr>
      <vt:lpstr>dms_PRCPlength_List</vt:lpstr>
      <vt:lpstr>dms_PState</vt:lpstr>
      <vt:lpstr>'AER ETL'!dms_PState_List</vt:lpstr>
      <vt:lpstr>dms_PState_List</vt:lpstr>
      <vt:lpstr>dms_PSuburb</vt:lpstr>
      <vt:lpstr>'AER ETL'!dms_PSuburb_List</vt:lpstr>
      <vt:lpstr>dms_PSuburb_List</vt:lpstr>
      <vt:lpstr>dms_Public_Lighting</vt:lpstr>
      <vt:lpstr>'AER ETL'!dms_Public_Lighting_List</vt:lpstr>
      <vt:lpstr>dms_Public_Lighting_List</vt:lpstr>
      <vt:lpstr>dms_Reset_Span</vt:lpstr>
      <vt:lpstr>'AER ETL'!dms_RPT_List</vt:lpstr>
      <vt:lpstr>dms_RPT_List</vt:lpstr>
      <vt:lpstr>'AER ETL'!dms_RPTMonth_List</vt:lpstr>
      <vt:lpstr>dms_RPTMonth_List</vt:lpstr>
      <vt:lpstr>dms_RYE</vt:lpstr>
      <vt:lpstr>dms_RYE_01</vt:lpstr>
      <vt:lpstr>dms_RYE_02</vt:lpstr>
      <vt:lpstr>dms_RYE_03</vt:lpstr>
      <vt:lpstr>dms_RYE_04</vt:lpstr>
      <vt:lpstr>dms_RYE_05</vt:lpstr>
      <vt:lpstr>dms_RYE_06</vt:lpstr>
      <vt:lpstr>dms_RYE_07</vt:lpstr>
      <vt:lpstr>dms_RYE_08</vt:lpstr>
      <vt:lpstr>dms_RYE_09</vt:lpstr>
      <vt:lpstr>'AER ETL'!dms_Sector_List</vt:lpstr>
      <vt:lpstr>dms_Sector_List</vt:lpstr>
      <vt:lpstr>'AER ETL'!dms_Segment_List</vt:lpstr>
      <vt:lpstr>dms_Segment_List</vt:lpstr>
      <vt:lpstr>dms_Selected_Quality</vt:lpstr>
      <vt:lpstr>dms_Selected_Source</vt:lpstr>
      <vt:lpstr>dms_Selected_Status</vt:lpstr>
      <vt:lpstr>'AER ETL'!dms_ShortRural_flag</vt:lpstr>
      <vt:lpstr>dms_ShortRural_flag</vt:lpstr>
      <vt:lpstr>dms_ShortRural_flag_NSP</vt:lpstr>
      <vt:lpstr>dms_SingleYear_FinalYear_Result</vt:lpstr>
      <vt:lpstr>dms_Source</vt:lpstr>
      <vt:lpstr>dms_SpecifiedYear_final_year</vt:lpstr>
      <vt:lpstr>dms_State</vt:lpstr>
      <vt:lpstr>'AER ETL'!dms_State_List</vt:lpstr>
      <vt:lpstr>dms_State_List</vt:lpstr>
      <vt:lpstr>dms_SubmissionDate</vt:lpstr>
      <vt:lpstr>dms_Suburb</vt:lpstr>
      <vt:lpstr>'AER ETL'!dms_Suburb_List</vt:lpstr>
      <vt:lpstr>dms_Suburb_List</vt:lpstr>
      <vt:lpstr>dms_TemplateNumber</vt:lpstr>
      <vt:lpstr>'AER ETL'!dms_TradingName</vt:lpstr>
      <vt:lpstr>dms_TradingName</vt:lpstr>
      <vt:lpstr>'AER ETL'!dms_TradingName_List</vt:lpstr>
      <vt:lpstr>dms_TradingName_List</vt:lpstr>
      <vt:lpstr>'AER ETL'!dms_TradingNameFull_List</vt:lpstr>
      <vt:lpstr>dms_TradingNameFull_List</vt:lpstr>
      <vt:lpstr>'AER ETL'!dms_Typed_Submission_Date</vt:lpstr>
      <vt:lpstr>dms_Typed_Submission_Date</vt:lpstr>
      <vt:lpstr>'AER ETL'!dms_UID_List</vt:lpstr>
      <vt:lpstr>dms_UID_List</vt:lpstr>
      <vt:lpstr>'AER ETL'!dms_Urban_flag</vt:lpstr>
      <vt:lpstr>dms_Urban_flag</vt:lpstr>
      <vt:lpstr>dms_Urban_flag_NSP</vt:lpstr>
      <vt:lpstr>'AER ETL'!dms_Worksheet_List</vt:lpstr>
      <vt:lpstr>dms_Worksheet_List</vt:lpstr>
      <vt:lpstr>'AER ETL'!dms_y1</vt:lpstr>
      <vt:lpstr>dms_y1</vt:lpstr>
      <vt:lpstr>dms_y10</vt:lpstr>
      <vt:lpstr>dms_y11</vt:lpstr>
      <vt:lpstr>dms_y12</vt:lpstr>
      <vt:lpstr>dms_y13</vt:lpstr>
      <vt:lpstr>dms_y14</vt:lpstr>
      <vt:lpstr>dms_y15</vt:lpstr>
      <vt:lpstr>dms_y16</vt:lpstr>
      <vt:lpstr>dms_y17</vt:lpstr>
      <vt:lpstr>dms_y18</vt:lpstr>
      <vt:lpstr>dms_y19</vt:lpstr>
      <vt:lpstr>'AER ETL'!dms_y2</vt:lpstr>
      <vt:lpstr>dms_y2</vt:lpstr>
      <vt:lpstr>dms_y20</vt:lpstr>
      <vt:lpstr>dms_y21</vt:lpstr>
      <vt:lpstr>dms_y22</vt:lpstr>
      <vt:lpstr>dms_y23</vt:lpstr>
      <vt:lpstr>dms_y24</vt:lpstr>
      <vt:lpstr>dms_y25</vt:lpstr>
      <vt:lpstr>dms_y26</vt:lpstr>
      <vt:lpstr>'AER ETL'!dms_y3</vt:lpstr>
      <vt:lpstr>dms_y3</vt:lpstr>
      <vt:lpstr>'AER ETL'!dms_y4</vt:lpstr>
      <vt:lpstr>dms_y4</vt:lpstr>
      <vt:lpstr>'AER ETL'!dms_y5</vt:lpstr>
      <vt:lpstr>dms_y5</vt:lpstr>
      <vt:lpstr>'AER ETL'!dms_y6</vt:lpstr>
      <vt:lpstr>dms_y6</vt:lpstr>
      <vt:lpstr>'AER ETL'!dms_y7</vt:lpstr>
      <vt:lpstr>dms_y7</vt:lpstr>
      <vt:lpstr>dms_y8</vt:lpstr>
      <vt:lpstr>dms_y9</vt:lpstr>
      <vt:lpstr>EB</vt:lpstr>
      <vt:lpstr>EB_Fmt2</vt:lpstr>
      <vt:lpstr>Financial</vt:lpstr>
      <vt:lpstr>FRCP_start_year</vt:lpstr>
      <vt:lpstr>'AER ETL'!FRCP_y1</vt:lpstr>
      <vt:lpstr>FRCP_y1</vt:lpstr>
      <vt:lpstr>'AER ETL'!FRCP_y10</vt:lpstr>
      <vt:lpstr>FRCP_y10</vt:lpstr>
      <vt:lpstr>'AER ETL'!FRCP_y11</vt:lpstr>
      <vt:lpstr>FRCP_y11</vt:lpstr>
      <vt:lpstr>'AER ETL'!FRCP_y12</vt:lpstr>
      <vt:lpstr>FRCP_y12</vt:lpstr>
      <vt:lpstr>'AER ETL'!FRCP_y13</vt:lpstr>
      <vt:lpstr>FRCP_y13</vt:lpstr>
      <vt:lpstr>'AER ETL'!FRCP_y14</vt:lpstr>
      <vt:lpstr>FRCP_y14</vt:lpstr>
      <vt:lpstr>'AER ETL'!FRCP_y15</vt:lpstr>
      <vt:lpstr>FRCP_y15</vt:lpstr>
      <vt:lpstr>FRCP_y16</vt:lpstr>
      <vt:lpstr>FRCP_y17</vt:lpstr>
      <vt:lpstr>FRCP_y18</vt:lpstr>
      <vt:lpstr>FRCP_y19</vt:lpstr>
      <vt:lpstr>'AER ETL'!FRCP_y2</vt:lpstr>
      <vt:lpstr>FRCP_y2</vt:lpstr>
      <vt:lpstr>FRCP_y20</vt:lpstr>
      <vt:lpstr>FRCP_y21</vt:lpstr>
      <vt:lpstr>FRCP_y22</vt:lpstr>
      <vt:lpstr>FRCP_y23</vt:lpstr>
      <vt:lpstr>FRCP_y24</vt:lpstr>
      <vt:lpstr>FRCP_y25</vt:lpstr>
      <vt:lpstr>'AER ETL'!FRCP_y3</vt:lpstr>
      <vt:lpstr>FRCP_y3</vt:lpstr>
      <vt:lpstr>'AER ETL'!FRCP_y4</vt:lpstr>
      <vt:lpstr>FRCP_y4</vt:lpstr>
      <vt:lpstr>'AER ETL'!FRCP_y5</vt:lpstr>
      <vt:lpstr>FRCP_y5</vt:lpstr>
      <vt:lpstr>'AER ETL'!FRCP_y6</vt:lpstr>
      <vt:lpstr>FRCP_y6</vt:lpstr>
      <vt:lpstr>'AER ETL'!FRCP_y7</vt:lpstr>
      <vt:lpstr>FRCP_y7</vt:lpstr>
      <vt:lpstr>'AER ETL'!FRCP_y8</vt:lpstr>
      <vt:lpstr>FRCP_y8</vt:lpstr>
      <vt:lpstr>'AER ETL'!FRCP_y9</vt:lpstr>
      <vt:lpstr>FRCP_y9</vt:lpstr>
      <vt:lpstr>'AER ETL'!FRY</vt:lpstr>
      <vt:lpstr>FRY</vt:lpstr>
      <vt:lpstr>PRCP_start_year</vt:lpstr>
      <vt:lpstr>'AER ETL'!PRCP_y1</vt:lpstr>
      <vt:lpstr>PRCP_y1</vt:lpstr>
      <vt:lpstr>'AER ETL'!PRCP_y10</vt:lpstr>
      <vt:lpstr>PRCP_y10</vt:lpstr>
      <vt:lpstr>'AER ETL'!PRCP_y11</vt:lpstr>
      <vt:lpstr>PRCP_y11</vt:lpstr>
      <vt:lpstr>'AER ETL'!PRCP_y12</vt:lpstr>
      <vt:lpstr>PRCP_y12</vt:lpstr>
      <vt:lpstr>'AER ETL'!PRCP_y13</vt:lpstr>
      <vt:lpstr>PRCP_y13</vt:lpstr>
      <vt:lpstr>'AER ETL'!PRCP_y14</vt:lpstr>
      <vt:lpstr>PRCP_y14</vt:lpstr>
      <vt:lpstr>'AER ETL'!PRCP_y15</vt:lpstr>
      <vt:lpstr>PRCP_y15</vt:lpstr>
      <vt:lpstr>PRCP_y16</vt:lpstr>
      <vt:lpstr>PRCP_y17</vt:lpstr>
      <vt:lpstr>PRCP_y18</vt:lpstr>
      <vt:lpstr>PRCP_y19</vt:lpstr>
      <vt:lpstr>'AER ETL'!PRCP_y2</vt:lpstr>
      <vt:lpstr>PRCP_y2</vt:lpstr>
      <vt:lpstr>PRCP_y20</vt:lpstr>
      <vt:lpstr>PRCP_y21</vt:lpstr>
      <vt:lpstr>PRCP_y22</vt:lpstr>
      <vt:lpstr>PRCP_y23</vt:lpstr>
      <vt:lpstr>PRCP_y24</vt:lpstr>
      <vt:lpstr>PRCP_y25</vt:lpstr>
      <vt:lpstr>'AER ETL'!PRCP_y3</vt:lpstr>
      <vt:lpstr>PRCP_y3</vt:lpstr>
      <vt:lpstr>'AER ETL'!PRCP_y4</vt:lpstr>
      <vt:lpstr>PRCP_y4</vt:lpstr>
      <vt:lpstr>'AER ETL'!PRCP_y5</vt:lpstr>
      <vt:lpstr>PRCP_y5</vt:lpstr>
      <vt:lpstr>'AER ETL'!PRCP_y6</vt:lpstr>
      <vt:lpstr>PRCP_y6</vt:lpstr>
      <vt:lpstr>'AER ETL'!PRCP_y7</vt:lpstr>
      <vt:lpstr>PRCP_y7</vt:lpstr>
      <vt:lpstr>'AER ETL'!PRCP_y8</vt:lpstr>
      <vt:lpstr>PRCP_y8</vt:lpstr>
      <vt:lpstr>'AER ETL'!PRCP_y9</vt:lpstr>
      <vt:lpstr>PRCP_y9</vt:lpstr>
      <vt:lpstr>Pricing</vt:lpstr>
      <vt:lpstr>Pricing_Fmt2</vt:lpstr>
      <vt:lpstr>PTRM</vt:lpstr>
      <vt:lpstr>PTRM_Fmt2</vt:lpstr>
      <vt:lpstr>Reset</vt:lpstr>
      <vt:lpstr>Reset_Fmt2</vt:lpstr>
      <vt:lpstr>Reset_outputs</vt:lpstr>
      <vt:lpstr>RFM</vt:lpstr>
      <vt:lpstr>RFM_Fmt2</vt:lpstr>
      <vt:lpstr>WACC</vt:lpstr>
      <vt:lpstr>WACC_Fmt2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Toby Holder</dc:creator>
  <cp:lastModifiedBy>Liao, May</cp:lastModifiedBy>
  <dcterms:created xsi:type="dcterms:W3CDTF">2024-06-18T07:15:05Z</dcterms:created>
  <dcterms:modified xsi:type="dcterms:W3CDTF">2025-11-27T23:53:39Z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2024-06-18T07:48:13Z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2f849cbf-bdf6-4187-b077-0e9f3760649d</vt:lpwstr>
  </property>
  <property fmtid="{D5CDD505-2E9C-101B-9397-08002B2CF9AE}" pid="8" name="MSIP_Label_d9d5a995-dfdf-4407-9a97-edbbc68c9f53_ContentBits">
    <vt:lpwstr>0</vt:lpwstr>
  </property>
</Properties>
</file>