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8191B69A-1586-46C5-90C1-5D6DA739388A}" xr6:coauthVersionLast="47" xr6:coauthVersionMax="47" xr10:uidLastSave="{00000000-0000-0000-0000-000000000000}"/>
  <bookViews>
    <workbookView xWindow="14115" yWindow="-16320" windowWidth="29040" windowHeight="15720" xr2:uid="{60EE7AD9-3119-4EB1-AC80-A93D489C2C61}"/>
  </bookViews>
  <sheets>
    <sheet name="Cover" sheetId="1" r:id="rId1"/>
    <sheet name="Summary " sheetId="2" r:id="rId2"/>
    <sheet name="Projects" sheetId="3" r:id="rId3"/>
    <sheet name="Customer values" sheetId="4" r:id="rId4"/>
  </sheets>
  <definedNames>
    <definedName name="sheets">Cover!$A$41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8" i="3" l="1"/>
  <c r="F128" i="3" s="1"/>
  <c r="F133" i="3" s="1"/>
  <c r="F16" i="2" s="1"/>
  <c r="C117" i="3"/>
  <c r="C105" i="3"/>
  <c r="F105" i="3" s="1"/>
  <c r="F107" i="3" s="1"/>
  <c r="B96" i="3"/>
  <c r="F96" i="3" s="1"/>
  <c r="B93" i="3"/>
  <c r="C82" i="3"/>
  <c r="C73" i="3"/>
  <c r="F73" i="3" s="1"/>
  <c r="F75" i="3" s="1"/>
  <c r="F11" i="2" s="1"/>
  <c r="C55" i="3"/>
  <c r="C43" i="3"/>
  <c r="B29" i="3"/>
  <c r="F29" i="3" s="1"/>
  <c r="A41" i="1"/>
  <c r="E16" i="2"/>
  <c r="D16" i="2"/>
  <c r="E15" i="2"/>
  <c r="D15" i="2"/>
  <c r="E14" i="2"/>
  <c r="D14" i="2"/>
  <c r="E13" i="2"/>
  <c r="D13" i="2"/>
  <c r="E12" i="2"/>
  <c r="D12" i="2"/>
  <c r="E11" i="2"/>
  <c r="D11" i="2"/>
  <c r="E10" i="2"/>
  <c r="D10" i="2"/>
  <c r="E9" i="2"/>
  <c r="D9" i="2"/>
  <c r="E8" i="2"/>
  <c r="D8" i="2"/>
  <c r="D18" i="2" s="1"/>
  <c r="D19" i="2" s="1"/>
  <c r="E7" i="2"/>
  <c r="D7" i="2"/>
  <c r="E6" i="2"/>
  <c r="D6" i="2"/>
  <c r="F131" i="3"/>
  <c r="F129" i="3"/>
  <c r="F124" i="3"/>
  <c r="D117" i="3"/>
  <c r="F117" i="3"/>
  <c r="F114" i="3"/>
  <c r="F111" i="3"/>
  <c r="F102" i="3"/>
  <c r="D99" i="3"/>
  <c r="D96" i="3"/>
  <c r="D93" i="3"/>
  <c r="D91" i="3"/>
  <c r="F91" i="3" s="1"/>
  <c r="F88" i="3"/>
  <c r="F82" i="3"/>
  <c r="F84" i="3" s="1"/>
  <c r="F12" i="2" s="1"/>
  <c r="F79" i="3"/>
  <c r="F70" i="3"/>
  <c r="B64" i="3"/>
  <c r="F64" i="3" s="1"/>
  <c r="F66" i="3" s="1"/>
  <c r="F10" i="2" s="1"/>
  <c r="F61" i="3"/>
  <c r="F55" i="3"/>
  <c r="F52" i="3"/>
  <c r="F49" i="3"/>
  <c r="F43" i="3"/>
  <c r="C41" i="3"/>
  <c r="F41" i="3" s="1"/>
  <c r="F39" i="3"/>
  <c r="F36" i="3"/>
  <c r="F26" i="3"/>
  <c r="F23" i="3"/>
  <c r="F20" i="3"/>
  <c r="F13" i="3"/>
  <c r="F16" i="3" s="1"/>
  <c r="F6" i="2" s="1"/>
  <c r="F11" i="3"/>
  <c r="F8" i="3"/>
  <c r="E18" i="2" l="1"/>
  <c r="E19" i="2" s="1"/>
  <c r="F108" i="3"/>
  <c r="F14" i="2"/>
  <c r="F67" i="3"/>
  <c r="F32" i="3"/>
  <c r="F76" i="3"/>
  <c r="F85" i="3"/>
  <c r="F120" i="3"/>
  <c r="F93" i="3"/>
  <c r="F98" i="3" s="1"/>
  <c r="F134" i="3"/>
  <c r="F57" i="3"/>
  <c r="F17" i="3"/>
  <c r="F45" i="3"/>
  <c r="F46" i="3" l="1"/>
  <c r="F8" i="2"/>
  <c r="F58" i="3"/>
  <c r="F9" i="2"/>
  <c r="F33" i="3"/>
  <c r="F7" i="2"/>
  <c r="G7" i="2" s="1"/>
  <c r="F121" i="3"/>
  <c r="F15" i="2"/>
  <c r="G15" i="2" s="1"/>
  <c r="F99" i="3"/>
  <c r="F13" i="2"/>
  <c r="G6" i="2"/>
  <c r="G11" i="2"/>
  <c r="G10" i="2"/>
  <c r="G14" i="2"/>
  <c r="G12" i="2"/>
  <c r="G9" i="2"/>
  <c r="G13" i="2" l="1"/>
  <c r="G16" i="2"/>
  <c r="G8" i="2"/>
  <c r="G18" i="2" l="1"/>
  <c r="F18" i="2"/>
</calcChain>
</file>

<file path=xl/sharedStrings.xml><?xml version="1.0" encoding="utf-8"?>
<sst xmlns="http://schemas.openxmlformats.org/spreadsheetml/2006/main" count="267" uniqueCount="116">
  <si>
    <t>United Energy</t>
  </si>
  <si>
    <t>Innovation allowance</t>
  </si>
  <si>
    <t>Summary ($ June 2026)</t>
  </si>
  <si>
    <t>#</t>
  </si>
  <si>
    <t>Project</t>
  </si>
  <si>
    <t>Capex</t>
  </si>
  <si>
    <t>Opex</t>
  </si>
  <si>
    <t>Benefits</t>
  </si>
  <si>
    <t>Net benefit</t>
  </si>
  <si>
    <t>Supporting hard to abate industries in their electrification transition</t>
  </si>
  <si>
    <t>Supporting sensitive customers with new technologies</t>
  </si>
  <si>
    <t>Portable protection systems</t>
  </si>
  <si>
    <t>Smart cable guard</t>
  </si>
  <si>
    <t>Total</t>
  </si>
  <si>
    <t>Detailed project analysis</t>
  </si>
  <si>
    <t>Cost build up</t>
  </si>
  <si>
    <t>Benefits assumptions</t>
  </si>
  <si>
    <t>Pathway to BAU</t>
  </si>
  <si>
    <t>Project cost</t>
  </si>
  <si>
    <t>Total costs</t>
  </si>
  <si>
    <t xml:space="preserve">If the project is successful, we can expect higher levels of engagement and support in regional and rural areas through their consumption levels via  fully electrified solutions and customer engagement activities. Assessment of carbon emissions reduction and impact to the community will also be considered at the completion of trial. To determine whether to scale project an assement of the benefits assumptions will be completed, in addition to working with customers to determine their value in the process. If the benefits meet or exceed expectations the business would establish a program of works and continue to roll out the program to additional customers. </t>
  </si>
  <si>
    <t>Project benefits</t>
  </si>
  <si>
    <t>Total benefits</t>
  </si>
  <si>
    <t>Cost reduction</t>
  </si>
  <si>
    <t>customers</t>
  </si>
  <si>
    <t>Customer energy affordability improvements - industrial customers</t>
  </si>
  <si>
    <t>$/tonne</t>
  </si>
  <si>
    <t>Emission reductions (VER 2026-27 average)</t>
  </si>
  <si>
    <t>The capital cost is associated with the procurement of new equipment to be trialled to identify and control power quality issues within close proximity to customers who have sensitve processes within their business. The operation cost is associated with engagement activities and on-going management of equipment.</t>
  </si>
  <si>
    <t>The benefits stem from the customer savings associated with not having sensitive machinery and technology impacted by momentary and sustained outages. As part of our economic growth engagement and again in our test and validate sessions with commercial and industrial customers, we received feedback from customers that each brownout incident can cost businesses in the vicinity of $20,000 - $30,000. For one customer brownouts had occured 6 times in the past year with a total of 119 incidents. We have assumed 70% of this estimated cost for our benefits and assumed incidents occur 3 times per year</t>
  </si>
  <si>
    <t>We would look at performance data and outage events experienced by the customer and determine whether the new technology had the modelled impact in improving performance. We would also engage with the customer to determine their experience and perception of improvement from the installation of new devices.</t>
  </si>
  <si>
    <t>Business impact</t>
  </si>
  <si>
    <t>incidents per year</t>
  </si>
  <si>
    <t>Customer savings from avoided supply interruptions</t>
  </si>
  <si>
    <t>hours</t>
  </si>
  <si>
    <t>customer value</t>
  </si>
  <si>
    <t>kW</t>
  </si>
  <si>
    <t>customer value per kWh of network resilience improvement</t>
  </si>
  <si>
    <t>The capital cost build up for the portable protection system is the protective equipment and associated infrastructure required to build the system. Operation cost is for the on-going maintenance and transportation costs to where it is required.</t>
  </si>
  <si>
    <t>The portable protection system will need to demonstrate that it has the capability to prevent customer outages in times of severe weather. Criteria for assessment could include that the system operated as intended by design, customer perceptions and experience of the system and its viability.</t>
  </si>
  <si>
    <t>Benefits assumptions include the smart cable guard to detect and prevent an outage for customers on a line. It is assumed that there are 800 impacted customers on a line, that would normally experience a two hour outage (the time it takes for the field crew to attend site and restore assets and customers) if the fault was not detected.</t>
  </si>
  <si>
    <t>customer value per kWh of improving worst-served areas</t>
  </si>
  <si>
    <t>The trial success will be measure by the customer experience in participation of the trial, the customer savings experienced by the customer. In addition, the change in customer behaviours as a response to market signals will also be considered as part of expansion of the trial an/or roll out to BAU.</t>
  </si>
  <si>
    <t>customer saving</t>
  </si>
  <si>
    <t>Energy affordability improvements</t>
  </si>
  <si>
    <t>Customer inconvenience factor: EV load flexibility as a proportion of VCR</t>
  </si>
  <si>
    <t>Savings</t>
  </si>
  <si>
    <t>Improved reliability</t>
  </si>
  <si>
    <t>customer</t>
  </si>
  <si>
    <t>frequency (days)</t>
  </si>
  <si>
    <t>Customer inconvenience factor represents the value of deferred energy, as a proportion of unserved energy (where VCR represents unserved energy).</t>
  </si>
  <si>
    <t>tonnes</t>
  </si>
  <si>
    <t>EV load product tool</t>
  </si>
  <si>
    <t>The capital cost is associated with the development of an IT platform that has the capability to communicate with EV chargers and our internal systems for scheduling purposes. The operational cost is associated with engagement with cutomers and vendors that are willing to support the EV load trial.</t>
  </si>
  <si>
    <t>To roll the trial out to BAU, we would need to engage customers on how their perceived benefits and responsiveness to EV load control . In addition, we will also consider impacts on customer trust. If the trial delivers positive customer outcomes and tangible customer benefits we would review capability to expand the trial.</t>
  </si>
  <si>
    <t>EV load optimisation</t>
  </si>
  <si>
    <t>Customer values</t>
  </si>
  <si>
    <t>Development of our customer values</t>
  </si>
  <si>
    <t>In 2021, we completed a significant body of work with our customers to develop an estimate of the value they place on various services, such as network resilience and enabling solar exports. These values were designed to be additive to other value measures, such as the AER’s VCR.
We were the first network business in Australia to incorporate such values into our internal investment assessment approach. That is, these values are now contributing to the prioritisation of our capital program to help investments align with our customers' expectations.
At the recommendation of the Customer Advisory Panel (CAP), these values were re-tested and updated in 2023 to ensure they remain reflective of our customer’s views. This was undertaken given the economic environment had changed materially, and there was a question of whether customer’s preferences had evolved as well. Values produced during this re-testing were very similar to the initial values produced in 2021, demonstrating that customer’s continued to value these services.</t>
  </si>
  <si>
    <t>Residential and SMB aggregated</t>
  </si>
  <si>
    <t>Residential and SMB</t>
  </si>
  <si>
    <t>Customer value per kWh of increased solar export:</t>
  </si>
  <si>
    <t>Customer value per kWh of storage capacity in local community:</t>
  </si>
  <si>
    <t>Customer value per kWh of improving worst-served areas:</t>
  </si>
  <si>
    <t>Customer value per kWh of network resilience improvement</t>
  </si>
  <si>
    <t>Customer value per hour of time</t>
  </si>
  <si>
    <t>Behavioural price signals trial</t>
  </si>
  <si>
    <t>Regional electrification trials</t>
  </si>
  <si>
    <t>EV load product trial </t>
  </si>
  <si>
    <t>Community energy fund</t>
  </si>
  <si>
    <t>Grid forming technology trial</t>
  </si>
  <si>
    <t>VPP integration with hot water load control</t>
  </si>
  <si>
    <t>Inverter based load modelling</t>
  </si>
  <si>
    <t>residential customer saving</t>
  </si>
  <si>
    <t>large customer saving</t>
  </si>
  <si>
    <t>Customer value per kWh of improving worst-served areas</t>
  </si>
  <si>
    <t>The capital cost is associated with the network costs associated with the community innovation project. The operational cost is associated the awarding of funds, excluding network associated costs, to successful community groups.</t>
  </si>
  <si>
    <t>The benefits are assessed based on improving affordability for all customers impacted by the program. It is assumed that there will be 15 projects across the fund lifespan, with 200 customers assisted per project. Each project will provide energy affordability improvements of $50 per customer. 50% of the projects will involve a local storage element, and 10% of the projects will assist worst served areas.</t>
  </si>
  <si>
    <t>The criteria for success for the fund is that the customer impact and affordability savings per project are reached or exceeded, and a joint assessment by the innovation allowance governance committee and relevant community determines the project has created value for the community.</t>
  </si>
  <si>
    <t>Customer value per kWh of improving worst-served areas (10% projects)</t>
  </si>
  <si>
    <t>assumptions</t>
  </si>
  <si>
    <t>years fund operating</t>
  </si>
  <si>
    <t>#projects</t>
  </si>
  <si>
    <t>funding per project</t>
  </si>
  <si>
    <t>customers assisted per project</t>
  </si>
  <si>
    <t xml:space="preserve">VPP integration with hot water load control </t>
  </si>
  <si>
    <t>The capital component of the cost is associated with IT costs to develop necessary APIs and interfaces and to build analytical tools monitor and assess performance. The operating cost is associated with any licensing and related costs.</t>
  </si>
  <si>
    <t>Customer inconvenience factor: EV load flexibility equivalent as a proportion of VCR</t>
  </si>
  <si>
    <t xml:space="preserve">The capital cost includes purchase of a controlled load bank, inverters with grid forming and grid following capabilities and installation of high speed monitoring devices.  The operational cost includes software licensing and any specialist grid modelling studies required. </t>
  </si>
  <si>
    <t>Benefits assumptions rely on at least 1000 customers deriving a benefit from improved network resilience.</t>
  </si>
  <si>
    <t>This trial would be highly relevant in the rapidly growing industry development occuring in Victoria and nationally. Access to internet trunks and 66kV networks means this project is highly relevant for our network. Insights from seeing the response of inverter based loads may reveal further pathways for enhancing system security and/or tapping into a new category of flexible resource on distribution networks.</t>
  </si>
  <si>
    <t>The benefits assumptions are based on customer energy savings through optimisation of energy use of customer appliances. The customer inconvenience factor is also applied as customers will be able to align load behaviors with market signals, avoiding the need to defer energy consumption or worry about charging during peak periods</t>
  </si>
  <si>
    <t>The trial success criteria to be considered as part of this trial include whether the customer receives an improvement in bill impact. in addition, the assessment of customer experience and whether their was inconvenience experienced as part of optimisation. Consideration would be given to the cost, scalability and uptake of the trial before rolling out to BAU.</t>
  </si>
  <si>
    <t>The customer value of improving  network reilience was used to assess the benefits. This was based on at least 450 residential customers avoiding an outage time for 6 hours with a typical consumption of 4kW in the event of a major power system event that causes disconnection of sections of the network.</t>
  </si>
  <si>
    <t>The outcomes of this project will be socialised with AEMO and used to inform development of its future Engineering roadmaps and also shared via a public report for the benefit of the wider energy industry. This work will likely also inform university research projects and would not occur outside of an innovation portfolio .</t>
  </si>
  <si>
    <t>Innovation allowance cost-benefit analysis</t>
  </si>
  <si>
    <t>Model number:</t>
  </si>
  <si>
    <t>3.9.01</t>
  </si>
  <si>
    <t>Total less 10% self-funding</t>
  </si>
  <si>
    <t xml:space="preserve">The capital cost for the behavioural price signals is the build up of an IT platform that manages a set of customers on a dynamic tariff, this includes inputs from the local network and wholesale market signals. The operational cost is associated with customer engagment and support activities as part of the trial. </t>
  </si>
  <si>
    <t>Revised regulatory proposal 2026-31</t>
  </si>
  <si>
    <t>Regional customer</t>
  </si>
  <si>
    <t xml:space="preserve">To deliver this initiative we have assumed that we would engage with customers that are in hard to abate industries. the capital cost for the program is allowance for local network upgrades required to support additional capacity at the connection point. The operational cost is for funding to support customers with non-network solutions, advice on energy consumption management to improve renewable energy consumption and or reduce demand from gas. In additon, site operational and engament costs have been included. </t>
  </si>
  <si>
    <t>The benefits calculation are based on the estimated improvement on customer bills ($2,000) and the value of CO2 emissions reductions. The energy reduction was based on a assessment of a typical energy profile for hard to abate customers and assumed a reduction of 15% from an estimated 10,000 tonnes of CO2 emissions. This total emissions reduction was then mulitplied with the VER to estimate benefit.</t>
  </si>
  <si>
    <t xml:space="preserve">The capital cost includes network upgrades and improvements to regional customers networks to allow for additional capacity. The operational cost includes consultation with regional customers, support in behind/in front of the meter non-network solutions that allow customers to electrifiy. </t>
  </si>
  <si>
    <t>The benefits include bill improvements, emission reduction benefits and the customer value for improving worst served areas in which some regional customers are located in our network.</t>
  </si>
  <si>
    <t>To determine the pathway to BAU, we would consider the operational improvements and emissions reductions experienced at the customer sites to determine the trial's effectivness. We will also engage with the customer to determine their perceived value of supporting their activities for electrification. if favourable we would consider expanding the trial to other business customers in worst served areas.</t>
  </si>
  <si>
    <t>The benefits are assessed on the customer incovenience factor, where customers will not have to worry about aligning charging behaviour to be incentivised. In addition it is expected that customers will experience bill improvements with charging behaviours adjusted to periods of low demand</t>
  </si>
  <si>
    <t xml:space="preserve">The customer value of improving  network resilience was used to assess the benefits. This was based on 800 residential customers avoiding an outage time for 5 hours with a typical consumption of 4kW. </t>
  </si>
  <si>
    <t>The capital cost build up for smart cable guards includes the procurement of technology, and associated infrastructure required to install the device in addition to communication equipment. The operational cost is associated with the ongoing maintenance and field inspections.</t>
  </si>
  <si>
    <t>The smart cable guard would need to be tested through different scenarios and network locations to determine its capability of detecting faults. In addition the fault detected would need to interrogated to determine whether it was an actual fault. Consideration would be give to this technology to further scale the trial before rolling out to BAU.</t>
  </si>
  <si>
    <t>Enabling grid-forming in networks</t>
  </si>
  <si>
    <t>Inverter-based load modelling</t>
  </si>
  <si>
    <t>The capital cost build up is for the assessment, testing and developing of trial systems to prepare for increasing levels of grid-forming resources. Operational cost is for assesment, gap analysis and scenario analysis for differing levels of grid-forming resources connected to the network and any new software licenses that will be required.</t>
  </si>
  <si>
    <t>CO2 emissions reduction</t>
  </si>
  <si>
    <t xml:space="preserve">The benefits of the behavioural price signals trial are calculated based on 2500 residential customers and 3 large customers participating in the trial and improving their energy bill impact by $30. In addition, the customer inconvenience factor that represents the value of deferred energy as a proportion of unserved energy with a consumption of 7kW over two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</si>
</sst>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d\ mmmm\ yyyy"/>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Calibri"/>
      <family val="2"/>
    </font>
    <font>
      <b/>
      <sz val="18"/>
      <color rgb="FF00215B"/>
      <name val="Arial"/>
      <family val="2"/>
    </font>
    <font>
      <sz val="11"/>
      <color rgb="FF00215B"/>
      <name val="Aptos Narrow"/>
      <family val="2"/>
      <scheme val="minor"/>
    </font>
    <font>
      <b/>
      <sz val="12"/>
      <color rgb="FF00215B"/>
      <name val="Arial"/>
      <family val="2"/>
    </font>
    <font>
      <b/>
      <sz val="11"/>
      <color rgb="FF00215B"/>
      <name val="Arial"/>
      <family val="2"/>
    </font>
    <font>
      <sz val="11"/>
      <color rgb="FF00215B"/>
      <name val="Arial"/>
      <family val="2"/>
    </font>
    <font>
      <sz val="10"/>
      <color rgb="FF00215B"/>
      <name val="Arial"/>
      <family val="2"/>
    </font>
    <font>
      <sz val="9"/>
      <color rgb="FF00215B"/>
      <name val="Arial"/>
      <family val="2"/>
    </font>
    <font>
      <sz val="8"/>
      <color rgb="FF00215B"/>
      <name val="Arial"/>
      <family val="2"/>
    </font>
    <font>
      <b/>
      <sz val="16"/>
      <color theme="0"/>
      <name val="Aptos Narrow"/>
      <family val="2"/>
      <scheme val="minor"/>
    </font>
    <font>
      <b/>
      <sz val="10"/>
      <color theme="0"/>
      <name val="Aptos Narrow"/>
      <family val="2"/>
      <scheme val="minor"/>
    </font>
    <font>
      <sz val="10"/>
      <color theme="1"/>
      <name val="Aptos Narrow"/>
      <family val="2"/>
      <scheme val="minor"/>
    </font>
    <font>
      <b/>
      <sz val="12"/>
      <color theme="0"/>
      <name val="Aptos Narrow"/>
      <family val="2"/>
      <scheme val="minor"/>
    </font>
    <font>
      <b/>
      <i/>
      <sz val="11"/>
      <color theme="0"/>
      <name val="Aptos Narrow"/>
      <family val="2"/>
      <scheme val="minor"/>
    </font>
    <font>
      <b/>
      <i/>
      <sz val="12"/>
      <color theme="0"/>
      <name val="Aptos Narrow"/>
      <family val="2"/>
      <scheme val="minor"/>
    </font>
    <font>
      <b/>
      <i/>
      <sz val="10"/>
      <color theme="0"/>
      <name val="Aptos Narrow"/>
      <family val="2"/>
      <scheme val="minor"/>
    </font>
    <font>
      <i/>
      <sz val="10"/>
      <color theme="1"/>
      <name val="Aptos Narrow"/>
      <family val="2"/>
      <scheme val="minor"/>
    </font>
    <font>
      <i/>
      <sz val="11"/>
      <color theme="1"/>
      <name val="Aptos Narrow"/>
      <family val="2"/>
      <scheme val="minor"/>
    </font>
    <font>
      <b/>
      <sz val="11"/>
      <color theme="0"/>
      <name val="Calibri"/>
      <family val="2"/>
    </font>
    <font>
      <sz val="11"/>
      <color theme="1"/>
      <name val="Calibri"/>
      <family val="2"/>
    </font>
    <font>
      <b/>
      <sz val="11"/>
      <color theme="1"/>
      <name val="Calibri"/>
      <family val="2"/>
    </font>
    <font>
      <sz val="11"/>
      <color theme="0"/>
      <name val="Aptos Narrow"/>
      <family val="2"/>
      <scheme val="minor"/>
    </font>
  </fonts>
  <fills count="10">
    <fill>
      <patternFill patternType="none"/>
    </fill>
    <fill>
      <patternFill patternType="gray125"/>
    </fill>
    <fill>
      <patternFill patternType="solid">
        <fgColor rgb="FF00215B"/>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0E2841"/>
        <bgColor indexed="64"/>
      </patternFill>
    </fill>
  </fills>
  <borders count="14">
    <border>
      <left/>
      <right/>
      <top/>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tint="-4.9989318521683403E-2"/>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cellStyleXfs>
  <cellXfs count="86">
    <xf numFmtId="0" fontId="0" fillId="0" borderId="0" xfId="0"/>
    <xf numFmtId="0" fontId="1" fillId="2" borderId="0" xfId="2" applyFill="1"/>
    <xf numFmtId="0" fontId="1" fillId="0" borderId="0" xfId="2"/>
    <xf numFmtId="0" fontId="3" fillId="0" borderId="0" xfId="3"/>
    <xf numFmtId="0" fontId="4" fillId="0" borderId="0" xfId="2" applyFont="1"/>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1" fillId="0" borderId="0" xfId="2" applyFont="1"/>
    <xf numFmtId="0" fontId="12" fillId="3" borderId="0" xfId="0" applyFont="1" applyFill="1"/>
    <xf numFmtId="0" fontId="13" fillId="3" borderId="0" xfId="0" applyFont="1" applyFill="1"/>
    <xf numFmtId="0" fontId="14" fillId="0" borderId="0" xfId="0" applyFont="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0" borderId="0" xfId="0" applyFont="1"/>
    <xf numFmtId="0" fontId="16" fillId="0" borderId="0" xfId="0" applyFont="1"/>
    <xf numFmtId="0" fontId="17" fillId="0" borderId="0" xfId="0" applyFont="1"/>
    <xf numFmtId="0" fontId="18" fillId="0" borderId="0" xfId="0" applyFont="1"/>
    <xf numFmtId="0" fontId="15" fillId="0" borderId="0" xfId="0" applyFont="1"/>
    <xf numFmtId="44" fontId="0" fillId="0" borderId="0" xfId="0" applyNumberFormat="1"/>
    <xf numFmtId="0" fontId="0" fillId="0" borderId="0" xfId="0" applyAlignment="1">
      <alignment wrapText="1"/>
    </xf>
    <xf numFmtId="0" fontId="2" fillId="0" borderId="0" xfId="0" applyFont="1" applyAlignment="1">
      <alignment wrapText="1"/>
    </xf>
    <xf numFmtId="0" fontId="0" fillId="0" borderId="1" xfId="0" applyBorder="1"/>
    <xf numFmtId="0" fontId="20" fillId="8" borderId="2" xfId="0" applyFont="1" applyFill="1" applyBorder="1"/>
    <xf numFmtId="0" fontId="2" fillId="8" borderId="5" xfId="0" applyFont="1" applyFill="1" applyBorder="1"/>
    <xf numFmtId="44" fontId="0" fillId="8" borderId="5" xfId="0" applyNumberFormat="1" applyFill="1" applyBorder="1"/>
    <xf numFmtId="44" fontId="0" fillId="8" borderId="6" xfId="0" applyNumberFormat="1" applyFill="1" applyBorder="1"/>
    <xf numFmtId="44" fontId="0" fillId="0" borderId="5" xfId="0" applyNumberFormat="1" applyBorder="1"/>
    <xf numFmtId="44" fontId="0" fillId="0" borderId="6" xfId="0" applyNumberFormat="1" applyBorder="1"/>
    <xf numFmtId="0" fontId="2" fillId="8" borderId="7" xfId="0" applyFont="1" applyFill="1" applyBorder="1"/>
    <xf numFmtId="9" fontId="0" fillId="0" borderId="7" xfId="4" applyFont="1" applyFill="1" applyBorder="1"/>
    <xf numFmtId="9" fontId="0" fillId="8" borderId="8" xfId="4" applyFont="1" applyFill="1" applyBorder="1"/>
    <xf numFmtId="0" fontId="0" fillId="0" borderId="9" xfId="0" applyBorder="1"/>
    <xf numFmtId="0" fontId="0" fillId="0" borderId="9" xfId="0" applyBorder="1" applyAlignment="1">
      <alignment wrapText="1"/>
    </xf>
    <xf numFmtId="0" fontId="2" fillId="5" borderId="9" xfId="0" applyFont="1" applyFill="1" applyBorder="1" applyAlignment="1">
      <alignment wrapText="1"/>
    </xf>
    <xf numFmtId="0" fontId="2" fillId="0" borderId="9" xfId="0" applyFont="1" applyBorder="1"/>
    <xf numFmtId="44" fontId="0" fillId="0" borderId="9" xfId="1" applyFont="1" applyBorder="1"/>
    <xf numFmtId="44" fontId="2" fillId="0" borderId="9" xfId="1" applyFont="1" applyBorder="1"/>
    <xf numFmtId="44" fontId="0" fillId="6" borderId="9" xfId="0" applyNumberFormat="1" applyFill="1" applyBorder="1"/>
    <xf numFmtId="44" fontId="0" fillId="7" borderId="9" xfId="0" applyNumberFormat="1" applyFill="1" applyBorder="1"/>
    <xf numFmtId="44" fontId="0" fillId="4" borderId="9" xfId="1" applyFont="1" applyFill="1" applyBorder="1"/>
    <xf numFmtId="44" fontId="0" fillId="0" borderId="9" xfId="0" applyNumberFormat="1" applyBorder="1"/>
    <xf numFmtId="44" fontId="0" fillId="0" borderId="9" xfId="1" applyFont="1" applyFill="1" applyBorder="1"/>
    <xf numFmtId="0" fontId="13" fillId="3" borderId="0" xfId="0" applyFont="1" applyFill="1" applyAlignment="1">
      <alignment horizontal="left" vertical="top"/>
    </xf>
    <xf numFmtId="0" fontId="12" fillId="3" borderId="0" xfId="0" applyFont="1" applyFill="1" applyAlignment="1">
      <alignment horizontal="left" vertical="top"/>
    </xf>
    <xf numFmtId="0" fontId="15" fillId="3" borderId="0" xfId="0" applyFont="1" applyFill="1" applyAlignment="1">
      <alignment horizontal="left" vertical="top"/>
    </xf>
    <xf numFmtId="0" fontId="18" fillId="3" borderId="0" xfId="0" applyFont="1" applyFill="1" applyAlignment="1">
      <alignment horizontal="left" vertical="top"/>
    </xf>
    <xf numFmtId="0" fontId="18" fillId="0" borderId="0" xfId="0" applyFont="1" applyAlignment="1">
      <alignment horizontal="left" vertical="top"/>
    </xf>
    <xf numFmtId="0" fontId="15" fillId="0" borderId="0" xfId="0" applyFont="1" applyAlignment="1">
      <alignment horizontal="left" vertical="top"/>
    </xf>
    <xf numFmtId="0" fontId="2" fillId="4" borderId="9" xfId="0" applyFont="1" applyFill="1" applyBorder="1" applyAlignment="1">
      <alignment horizontal="left" vertical="top"/>
    </xf>
    <xf numFmtId="0" fontId="2" fillId="5" borderId="9" xfId="0" applyFont="1" applyFill="1" applyBorder="1" applyAlignment="1">
      <alignment horizontal="left" vertical="top" wrapText="1"/>
    </xf>
    <xf numFmtId="0" fontId="0" fillId="0" borderId="0" xfId="0" applyAlignment="1">
      <alignment horizontal="left" vertical="top"/>
    </xf>
    <xf numFmtId="0" fontId="2" fillId="4" borderId="9" xfId="0" applyFont="1" applyFill="1" applyBorder="1"/>
    <xf numFmtId="3" fontId="0" fillId="0" borderId="9" xfId="0" applyNumberFormat="1" applyBorder="1"/>
    <xf numFmtId="6" fontId="0" fillId="0" borderId="9" xfId="0" applyNumberFormat="1" applyBorder="1"/>
    <xf numFmtId="0" fontId="2" fillId="4" borderId="9" xfId="0" applyFont="1" applyFill="1" applyBorder="1" applyAlignment="1">
      <alignment horizontal="center"/>
    </xf>
    <xf numFmtId="0" fontId="0" fillId="0" borderId="9" xfId="0" applyBorder="1" applyAlignment="1">
      <alignment horizontal="center"/>
    </xf>
    <xf numFmtId="44" fontId="0" fillId="4" borderId="9" xfId="1" applyFont="1" applyFill="1" applyBorder="1" applyAlignment="1">
      <alignment horizontal="center"/>
    </xf>
    <xf numFmtId="44" fontId="0" fillId="0" borderId="9" xfId="1" applyFont="1" applyBorder="1" applyAlignment="1">
      <alignment horizontal="center"/>
    </xf>
    <xf numFmtId="0" fontId="2" fillId="0" borderId="9" xfId="0" applyFont="1" applyBorder="1" applyAlignment="1">
      <alignment horizontal="left"/>
    </xf>
    <xf numFmtId="44" fontId="0" fillId="0" borderId="9" xfId="1" applyFont="1" applyFill="1" applyBorder="1" applyAlignment="1">
      <alignment horizontal="center"/>
    </xf>
    <xf numFmtId="0" fontId="8" fillId="0" borderId="0" xfId="2" applyFont="1" applyAlignment="1">
      <alignment horizontal="left"/>
    </xf>
    <xf numFmtId="164" fontId="10" fillId="0" borderId="0" xfId="2" applyNumberFormat="1" applyFont="1" applyAlignment="1">
      <alignment horizontal="left"/>
    </xf>
    <xf numFmtId="0" fontId="21" fillId="3" borderId="0" xfId="0" applyFont="1" applyFill="1"/>
    <xf numFmtId="0" fontId="22" fillId="0" borderId="0" xfId="0" applyFont="1"/>
    <xf numFmtId="44" fontId="22" fillId="0" borderId="0" xfId="0" applyNumberFormat="1" applyFont="1"/>
    <xf numFmtId="0" fontId="21" fillId="3" borderId="0" xfId="0" applyFont="1" applyFill="1" applyAlignment="1">
      <alignment horizontal="center"/>
    </xf>
    <xf numFmtId="0" fontId="23" fillId="0" borderId="12" xfId="0" applyFont="1" applyBorder="1"/>
    <xf numFmtId="44" fontId="23" fillId="0" borderId="12" xfId="0" applyNumberFormat="1" applyFont="1" applyBorder="1"/>
    <xf numFmtId="0" fontId="13" fillId="9" borderId="0" xfId="0" applyFont="1"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2" fillId="9" borderId="3" xfId="0" applyFont="1" applyFill="1" applyBorder="1" applyAlignment="1">
      <alignment horizontal="center"/>
    </xf>
    <xf numFmtId="0" fontId="12" fillId="9" borderId="4" xfId="0" applyFont="1" applyFill="1" applyBorder="1" applyAlignment="1">
      <alignment horizontal="center"/>
    </xf>
    <xf numFmtId="0" fontId="15" fillId="9" borderId="7" xfId="0" applyFont="1" applyFill="1" applyBorder="1" applyAlignment="1">
      <alignment horizontal="center"/>
    </xf>
    <xf numFmtId="0" fontId="24" fillId="9" borderId="8" xfId="0" applyFont="1" applyFill="1" applyBorder="1" applyAlignment="1">
      <alignment horizontal="center"/>
    </xf>
    <xf numFmtId="0" fontId="22" fillId="0" borderId="13" xfId="0" applyFont="1" applyBorder="1"/>
    <xf numFmtId="44" fontId="22" fillId="0" borderId="13" xfId="0" applyNumberFormat="1" applyFont="1" applyBorder="1"/>
    <xf numFmtId="0" fontId="22" fillId="0" borderId="0" xfId="0" applyFont="1" applyBorder="1"/>
    <xf numFmtId="44" fontId="23" fillId="0" borderId="13" xfId="0" applyNumberFormat="1" applyFont="1" applyBorder="1"/>
  </cellXfs>
  <cellStyles count="5">
    <cellStyle name="Currency" xfId="1" builtinId="4"/>
    <cellStyle name="Normal" xfId="0" builtinId="0"/>
    <cellStyle name="Normal 2 5" xfId="3" xr:uid="{89DF7741-6240-4942-A4F9-1616A5B24C52}"/>
    <cellStyle name="Normal 3 4" xfId="2" xr:uid="{36F8EE75-F76E-4F98-9EA9-6F0753C20339}"/>
    <cellStyle name="Percent" xfId="4" builtinId="5"/>
  </cellStyles>
  <dxfs count="2">
    <dxf>
      <font>
        <color theme="5"/>
      </font>
    </dxf>
    <dxf>
      <font>
        <color theme="5"/>
      </font>
    </dxf>
  </dxfs>
  <tableStyles count="0" defaultTableStyle="TableStyleMedium2" defaultPivotStyle="PivotStyleLight16"/>
  <colors>
    <mruColors>
      <color rgb="FF0E2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381000</xdr:colOff>
      <xdr:row>1</xdr:row>
      <xdr:rowOff>66675</xdr:rowOff>
    </xdr:from>
    <xdr:ext cx="1277471" cy="438577"/>
    <xdr:pic>
      <xdr:nvPicPr>
        <xdr:cNvPr id="3" name="Picture 2">
          <a:extLst>
            <a:ext uri="{FF2B5EF4-FFF2-40B4-BE49-F238E27FC236}">
              <a16:creationId xmlns:a16="http://schemas.microsoft.com/office/drawing/2014/main" id="{C4627DBF-ED96-4D4B-A724-D35DA0EC17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450" y="257175"/>
          <a:ext cx="1277471" cy="4385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3FE7-99AA-4DBD-B09A-B6086044ADA2}">
  <sheetPr codeName="Sheet1">
    <tabColor theme="1" tint="0.34998626667073579"/>
  </sheetPr>
  <dimension ref="A1:K43"/>
  <sheetViews>
    <sheetView showGridLines="0" tabSelected="1" workbookViewId="0">
      <selection activeCell="G8" sqref="G8"/>
    </sheetView>
  </sheetViews>
  <sheetFormatPr defaultColWidth="0" defaultRowHeight="12.75" customHeight="1" zeroHeight="1" x14ac:dyDescent="0.3"/>
  <cols>
    <col min="1" max="1" width="12.453125" style="3" customWidth="1"/>
    <col min="2" max="2" width="2.453125" style="3" customWidth="1"/>
    <col min="3" max="3" width="16.26953125" style="3" customWidth="1"/>
    <col min="4" max="11" width="10.26953125" style="3" customWidth="1"/>
    <col min="12" max="16384" width="10.26953125" style="3" hidden="1"/>
  </cols>
  <sheetData>
    <row r="1" spans="1:11" ht="14.5" x14ac:dyDescent="0.35">
      <c r="A1" s="1"/>
      <c r="B1" s="2"/>
      <c r="C1" s="2"/>
      <c r="D1" s="2"/>
      <c r="E1" s="2"/>
      <c r="F1" s="2"/>
      <c r="G1" s="2"/>
      <c r="H1" s="2"/>
      <c r="I1" s="2"/>
      <c r="J1" s="2"/>
      <c r="K1" s="2"/>
    </row>
    <row r="2" spans="1:11" ht="23" x14ac:dyDescent="0.5">
      <c r="A2" s="1"/>
      <c r="B2" s="2"/>
      <c r="C2" s="4" t="s">
        <v>0</v>
      </c>
      <c r="D2" s="5"/>
      <c r="E2" s="5"/>
      <c r="F2" s="2"/>
      <c r="G2" s="2"/>
      <c r="H2" s="2"/>
      <c r="I2" s="2"/>
      <c r="J2" s="2"/>
      <c r="K2" s="2"/>
    </row>
    <row r="3" spans="1:11" ht="15.5" x14ac:dyDescent="0.35">
      <c r="A3" s="1"/>
      <c r="B3" s="2"/>
      <c r="C3" s="6" t="s">
        <v>100</v>
      </c>
      <c r="D3" s="5"/>
      <c r="E3" s="5"/>
      <c r="F3" s="2"/>
      <c r="G3" s="2"/>
      <c r="H3" s="2"/>
      <c r="I3" s="2"/>
      <c r="J3" s="2"/>
      <c r="K3" s="2"/>
    </row>
    <row r="4" spans="1:11" ht="14.5" x14ac:dyDescent="0.35">
      <c r="A4" s="1"/>
      <c r="B4" s="2"/>
      <c r="C4" s="2"/>
      <c r="D4" s="5"/>
      <c r="E4" s="5"/>
      <c r="F4" s="2"/>
      <c r="G4" s="2"/>
      <c r="H4" s="2"/>
      <c r="I4" s="2"/>
      <c r="J4" s="2"/>
      <c r="K4" s="2"/>
    </row>
    <row r="5" spans="1:11" ht="14.5" x14ac:dyDescent="0.35">
      <c r="A5" s="1"/>
      <c r="B5" s="2"/>
      <c r="C5" s="7" t="s">
        <v>95</v>
      </c>
      <c r="D5" s="2"/>
      <c r="E5" s="2"/>
      <c r="F5" s="2"/>
      <c r="G5" s="2"/>
      <c r="H5" s="2"/>
      <c r="I5" s="2"/>
      <c r="J5" s="2"/>
      <c r="K5" s="2"/>
    </row>
    <row r="6" spans="1:11" ht="14.5" x14ac:dyDescent="0.35">
      <c r="A6" s="1"/>
      <c r="B6" s="2"/>
      <c r="C6" s="8" t="s">
        <v>96</v>
      </c>
      <c r="D6" s="65" t="s">
        <v>97</v>
      </c>
      <c r="E6" s="8"/>
      <c r="F6" s="2"/>
      <c r="G6" s="2"/>
      <c r="H6" s="2"/>
      <c r="I6" s="2"/>
      <c r="J6" s="2"/>
      <c r="K6" s="2"/>
    </row>
    <row r="7" spans="1:11" ht="14.5" x14ac:dyDescent="0.35">
      <c r="A7" s="1"/>
      <c r="B7" s="2"/>
      <c r="C7" s="2"/>
      <c r="D7" s="2"/>
      <c r="E7" s="2"/>
      <c r="F7" s="9"/>
      <c r="G7" s="9"/>
      <c r="H7" s="9"/>
      <c r="I7" s="2"/>
      <c r="J7" s="9"/>
      <c r="K7" s="9"/>
    </row>
    <row r="8" spans="1:11" ht="14.5" x14ac:dyDescent="0.35">
      <c r="A8" s="1"/>
      <c r="B8" s="2"/>
      <c r="C8" s="66">
        <v>45992</v>
      </c>
      <c r="D8" s="2"/>
      <c r="E8" s="2"/>
      <c r="F8" s="9"/>
      <c r="G8" s="9"/>
      <c r="H8" s="9"/>
      <c r="I8" s="2"/>
      <c r="J8" s="9"/>
      <c r="K8" s="9"/>
    </row>
    <row r="9" spans="1:11" ht="14.5" x14ac:dyDescent="0.35">
      <c r="A9" s="1"/>
      <c r="B9" s="2"/>
      <c r="C9" s="10"/>
      <c r="D9" s="10"/>
      <c r="E9" s="2"/>
      <c r="F9" s="9"/>
      <c r="G9" s="9"/>
      <c r="H9" s="9"/>
      <c r="I9" s="9"/>
      <c r="J9" s="9"/>
      <c r="K9" s="9"/>
    </row>
    <row r="10" spans="1:11" ht="14.5" x14ac:dyDescent="0.35">
      <c r="A10" s="1"/>
      <c r="B10" s="2"/>
      <c r="C10" s="10"/>
      <c r="D10" s="10"/>
      <c r="E10" s="2"/>
      <c r="F10" s="9"/>
      <c r="G10" s="9"/>
      <c r="H10" s="9"/>
      <c r="I10" s="9"/>
      <c r="J10" s="9"/>
      <c r="K10" s="9"/>
    </row>
    <row r="11" spans="1:11" ht="14.5" x14ac:dyDescent="0.35">
      <c r="A11" s="1"/>
      <c r="B11" s="2"/>
      <c r="C11" s="10"/>
      <c r="D11" s="10"/>
      <c r="E11" s="2"/>
      <c r="F11" s="9"/>
      <c r="G11" s="9"/>
      <c r="H11" s="9"/>
      <c r="I11" s="9"/>
      <c r="J11" s="9"/>
      <c r="K11" s="9"/>
    </row>
    <row r="12" spans="1:11" ht="14.5" x14ac:dyDescent="0.35">
      <c r="A12" s="1"/>
      <c r="B12" s="2"/>
      <c r="C12" s="10"/>
      <c r="D12" s="10"/>
      <c r="E12" s="2"/>
      <c r="F12" s="9"/>
      <c r="G12" s="9"/>
      <c r="H12" s="9"/>
      <c r="I12" s="9"/>
      <c r="J12" s="9"/>
      <c r="K12" s="9"/>
    </row>
    <row r="13" spans="1:11" ht="14.5" x14ac:dyDescent="0.35">
      <c r="A13" s="1"/>
      <c r="B13" s="2"/>
      <c r="C13" s="10"/>
      <c r="D13" s="10"/>
      <c r="E13" s="2"/>
      <c r="F13" s="9"/>
      <c r="G13" s="9"/>
      <c r="H13" s="9"/>
      <c r="I13" s="9"/>
      <c r="J13" s="9"/>
      <c r="K13" s="9"/>
    </row>
    <row r="14" spans="1:11" ht="14.5" x14ac:dyDescent="0.35">
      <c r="A14" s="1"/>
      <c r="B14" s="2"/>
      <c r="C14" s="9"/>
      <c r="D14" s="9"/>
      <c r="E14" s="9"/>
      <c r="F14" s="9"/>
      <c r="G14" s="9"/>
      <c r="H14" s="9"/>
      <c r="I14" s="9"/>
      <c r="J14" s="9"/>
      <c r="K14" s="9"/>
    </row>
    <row r="15" spans="1:11" ht="14.5" x14ac:dyDescent="0.35">
      <c r="A15" s="1"/>
      <c r="B15" s="2"/>
      <c r="C15" s="7"/>
      <c r="D15" s="9"/>
      <c r="E15" s="9"/>
      <c r="F15" s="9"/>
      <c r="G15" s="9"/>
      <c r="H15" s="9"/>
      <c r="I15" s="9"/>
      <c r="J15" s="9"/>
      <c r="K15" s="9"/>
    </row>
    <row r="16" spans="1:11" ht="14.5" x14ac:dyDescent="0.35">
      <c r="A16" s="1"/>
      <c r="B16" s="2"/>
      <c r="C16" s="7"/>
      <c r="D16" s="9"/>
      <c r="E16" s="9"/>
      <c r="F16" s="9"/>
      <c r="G16" s="9"/>
      <c r="H16" s="9"/>
      <c r="I16" s="9"/>
      <c r="J16" s="9"/>
      <c r="K16" s="9"/>
    </row>
    <row r="17" spans="1:11" ht="14.5" x14ac:dyDescent="0.35">
      <c r="A17" s="1"/>
      <c r="B17" s="2"/>
      <c r="C17" s="9"/>
      <c r="D17" s="9"/>
      <c r="E17" s="9"/>
      <c r="F17" s="9"/>
      <c r="G17" s="9"/>
      <c r="H17" s="9"/>
      <c r="I17" s="9"/>
      <c r="J17" s="9"/>
      <c r="K17" s="9"/>
    </row>
    <row r="18" spans="1:11" ht="14.5" x14ac:dyDescent="0.35">
      <c r="A18" s="1"/>
      <c r="B18" s="2"/>
      <c r="C18" s="9"/>
      <c r="D18" s="9"/>
      <c r="E18" s="9"/>
      <c r="F18" s="9"/>
      <c r="G18" s="9"/>
      <c r="H18" s="9"/>
      <c r="I18" s="9"/>
      <c r="J18" s="9"/>
      <c r="K18" s="9"/>
    </row>
    <row r="19" spans="1:11" ht="14.5" x14ac:dyDescent="0.35">
      <c r="A19" s="1"/>
      <c r="B19" s="2"/>
      <c r="C19" s="9"/>
      <c r="D19" s="9"/>
      <c r="E19" s="9"/>
      <c r="F19" s="9"/>
      <c r="H19" s="9"/>
      <c r="I19" s="9"/>
      <c r="J19" s="9"/>
      <c r="K19" s="9"/>
    </row>
    <row r="20" spans="1:11" ht="14.5" x14ac:dyDescent="0.35">
      <c r="A20" s="1"/>
      <c r="B20" s="2"/>
      <c r="C20" s="9"/>
      <c r="D20" s="9"/>
      <c r="E20" s="9"/>
      <c r="F20" s="9"/>
      <c r="G20" s="9"/>
      <c r="H20" s="9"/>
      <c r="I20" s="9"/>
      <c r="J20" s="9"/>
      <c r="K20" s="9"/>
    </row>
    <row r="21" spans="1:11" ht="14.5" x14ac:dyDescent="0.35">
      <c r="A21" s="1"/>
      <c r="B21" s="2"/>
      <c r="C21" s="9"/>
      <c r="D21" s="9"/>
      <c r="E21" s="9"/>
      <c r="F21" s="9"/>
      <c r="G21" s="9"/>
      <c r="H21" s="9"/>
      <c r="I21" s="9"/>
      <c r="J21" s="9"/>
      <c r="K21" s="9"/>
    </row>
    <row r="22" spans="1:11" ht="14.5" x14ac:dyDescent="0.35">
      <c r="A22" s="1"/>
      <c r="B22" s="2"/>
      <c r="C22" s="9"/>
      <c r="D22" s="9"/>
      <c r="E22" s="9"/>
      <c r="F22" s="9"/>
      <c r="G22" s="9"/>
      <c r="H22" s="9"/>
      <c r="I22" s="9"/>
      <c r="J22" s="9"/>
      <c r="K22" s="9"/>
    </row>
    <row r="23" spans="1:11" ht="14.5" x14ac:dyDescent="0.35">
      <c r="A23" s="1"/>
      <c r="B23" s="2"/>
      <c r="C23" s="9"/>
      <c r="D23" s="9"/>
      <c r="E23" s="9"/>
      <c r="F23" s="9"/>
      <c r="G23" s="9"/>
      <c r="H23" s="9"/>
      <c r="I23" s="9"/>
      <c r="J23" s="9"/>
      <c r="K23" s="9"/>
    </row>
    <row r="24" spans="1:11" ht="14.5" x14ac:dyDescent="0.35">
      <c r="A24" s="1"/>
      <c r="B24" s="2"/>
      <c r="C24" s="9"/>
      <c r="D24" s="9"/>
      <c r="E24" s="9"/>
      <c r="F24" s="9"/>
      <c r="G24" s="9"/>
      <c r="H24" s="9"/>
      <c r="I24" s="9"/>
      <c r="J24" s="9"/>
      <c r="K24" s="9"/>
    </row>
    <row r="25" spans="1:11" ht="14.5" x14ac:dyDescent="0.35">
      <c r="A25" s="1"/>
      <c r="B25" s="2"/>
      <c r="C25" s="9"/>
      <c r="D25" s="9"/>
      <c r="E25" s="9"/>
      <c r="F25" s="9"/>
      <c r="G25" s="9"/>
      <c r="H25" s="9"/>
      <c r="I25" s="9"/>
      <c r="J25" s="9"/>
      <c r="K25" s="9"/>
    </row>
    <row r="26" spans="1:11" ht="14.5" x14ac:dyDescent="0.35">
      <c r="A26" s="1"/>
      <c r="B26" s="2"/>
      <c r="C26" s="9"/>
      <c r="D26" s="9"/>
      <c r="E26" s="9"/>
      <c r="F26" s="9"/>
      <c r="G26" s="9"/>
      <c r="H26" s="9"/>
      <c r="I26" s="9"/>
      <c r="J26" s="9"/>
      <c r="K26" s="9"/>
    </row>
    <row r="27" spans="1:11" ht="14.5" x14ac:dyDescent="0.35">
      <c r="A27" s="1"/>
      <c r="B27" s="2"/>
      <c r="C27" s="9"/>
      <c r="D27" s="9"/>
      <c r="E27" s="9"/>
      <c r="F27" s="9"/>
      <c r="G27" s="9"/>
      <c r="H27" s="9"/>
      <c r="I27" s="9"/>
      <c r="J27" s="9"/>
      <c r="K27" s="9"/>
    </row>
    <row r="28" spans="1:11" ht="14.5" x14ac:dyDescent="0.35">
      <c r="A28" s="1"/>
      <c r="B28" s="2"/>
      <c r="C28" s="9"/>
      <c r="D28" s="9"/>
      <c r="E28" s="9"/>
      <c r="F28" s="9"/>
      <c r="G28" s="9"/>
      <c r="H28" s="9"/>
      <c r="I28" s="9"/>
      <c r="J28" s="9"/>
      <c r="K28" s="9"/>
    </row>
    <row r="29" spans="1:11" ht="14.5" x14ac:dyDescent="0.35">
      <c r="A29" s="1"/>
      <c r="B29" s="2"/>
      <c r="C29" s="9"/>
      <c r="D29" s="9"/>
      <c r="E29" s="9"/>
      <c r="F29" s="9"/>
      <c r="G29" s="9"/>
      <c r="H29" s="9"/>
      <c r="I29" s="9"/>
      <c r="J29" s="9"/>
      <c r="K29" s="9"/>
    </row>
    <row r="30" spans="1:11" ht="14.5" x14ac:dyDescent="0.35">
      <c r="A30" s="1"/>
      <c r="B30" s="2"/>
      <c r="C30" s="9"/>
      <c r="D30" s="2"/>
      <c r="E30" s="9"/>
      <c r="F30" s="9"/>
      <c r="G30" s="9"/>
      <c r="H30" s="9"/>
      <c r="I30" s="9"/>
      <c r="J30" s="9"/>
      <c r="K30" s="9"/>
    </row>
    <row r="31" spans="1:11" ht="14.5" x14ac:dyDescent="0.35">
      <c r="A31" s="1"/>
      <c r="B31" s="2"/>
      <c r="C31" s="2"/>
      <c r="D31" s="2"/>
      <c r="E31" s="2"/>
      <c r="F31" s="2"/>
      <c r="G31" s="2"/>
      <c r="H31" s="2"/>
      <c r="I31" s="2"/>
      <c r="J31" s="2"/>
      <c r="K31" s="2"/>
    </row>
    <row r="32" spans="1:11" ht="14.5" x14ac:dyDescent="0.35">
      <c r="A32" s="1"/>
      <c r="B32" s="2"/>
      <c r="C32" s="2"/>
      <c r="D32" s="2"/>
      <c r="E32" s="2"/>
      <c r="F32" s="2"/>
      <c r="G32" s="2"/>
      <c r="H32" s="2"/>
      <c r="I32" s="2"/>
      <c r="J32" s="2"/>
      <c r="K32" s="2"/>
    </row>
    <row r="33" spans="1:11" ht="14.5" x14ac:dyDescent="0.35">
      <c r="A33" s="1"/>
      <c r="B33" s="2"/>
      <c r="C33" s="2"/>
      <c r="D33" s="2"/>
      <c r="E33" s="2"/>
      <c r="F33" s="2"/>
      <c r="G33" s="2"/>
      <c r="H33" s="2"/>
      <c r="I33" s="2"/>
      <c r="J33" s="2"/>
      <c r="K33" s="2"/>
    </row>
    <row r="34" spans="1:11" ht="14.5" x14ac:dyDescent="0.35">
      <c r="A34" s="1"/>
      <c r="B34" s="2"/>
      <c r="C34" s="2"/>
      <c r="D34" s="2"/>
      <c r="E34" s="2"/>
      <c r="F34" s="2"/>
      <c r="G34" s="2"/>
      <c r="H34" s="2"/>
      <c r="I34" s="2"/>
      <c r="J34" s="2"/>
      <c r="K34" s="2"/>
    </row>
    <row r="35" spans="1:11" ht="14.5" x14ac:dyDescent="0.35">
      <c r="A35" s="1"/>
      <c r="B35" s="2"/>
      <c r="C35" s="2"/>
      <c r="D35" s="2"/>
      <c r="E35" s="2"/>
      <c r="F35" s="2"/>
      <c r="G35" s="2"/>
      <c r="H35" s="2"/>
      <c r="I35" s="2"/>
      <c r="J35" s="2"/>
      <c r="K35" s="2"/>
    </row>
    <row r="36" spans="1:11" ht="14.5" x14ac:dyDescent="0.35">
      <c r="A36" s="1"/>
      <c r="B36" s="2"/>
      <c r="C36" s="2"/>
      <c r="D36" s="2"/>
      <c r="E36" s="2"/>
      <c r="F36" s="2"/>
      <c r="G36" s="2"/>
      <c r="H36" s="2"/>
      <c r="I36" s="2"/>
      <c r="J36" s="2"/>
      <c r="K36" s="2"/>
    </row>
    <row r="37" spans="1:11" ht="14.5" x14ac:dyDescent="0.35">
      <c r="A37" s="1"/>
      <c r="B37" s="2"/>
      <c r="C37" s="2"/>
      <c r="D37" s="2"/>
      <c r="E37" s="2"/>
      <c r="F37" s="2"/>
      <c r="G37" s="2"/>
      <c r="H37" s="2"/>
      <c r="I37" s="2"/>
      <c r="J37" s="2"/>
      <c r="K37" s="2"/>
    </row>
    <row r="38" spans="1:11" ht="14.5" x14ac:dyDescent="0.35">
      <c r="A38" s="1"/>
      <c r="B38" s="2"/>
      <c r="C38" s="2"/>
      <c r="D38" s="2"/>
      <c r="E38" s="2"/>
      <c r="F38" s="2"/>
      <c r="G38" s="2"/>
      <c r="H38" s="2"/>
      <c r="I38" s="2"/>
      <c r="J38" s="2"/>
      <c r="K38" s="2"/>
    </row>
    <row r="39" spans="1:11" ht="14.5" x14ac:dyDescent="0.35">
      <c r="A39" s="1"/>
      <c r="B39" s="2"/>
      <c r="C39" s="2"/>
      <c r="D39" s="2"/>
      <c r="E39" s="2"/>
      <c r="F39" s="2"/>
      <c r="G39" s="2"/>
      <c r="H39" s="2"/>
      <c r="I39" s="2"/>
      <c r="J39" s="2"/>
      <c r="K39" s="2"/>
    </row>
    <row r="40" spans="1:11" ht="14.5" x14ac:dyDescent="0.35">
      <c r="A40" s="1"/>
      <c r="B40" s="2"/>
      <c r="C40" s="2"/>
      <c r="D40" s="2"/>
      <c r="E40" s="2"/>
      <c r="F40" s="2"/>
      <c r="G40" s="2"/>
      <c r="H40" s="2"/>
      <c r="I40" s="2"/>
      <c r="J40" s="2"/>
      <c r="K40" s="2"/>
    </row>
    <row r="41" spans="1:11" ht="14.5" x14ac:dyDescent="0.35">
      <c r="A41" s="1">
        <f ca="1">_xlfn.SHEETS()</f>
        <v>4</v>
      </c>
      <c r="B41" s="2"/>
      <c r="C41" s="2"/>
      <c r="D41" s="2"/>
      <c r="E41" s="2"/>
      <c r="F41" s="2"/>
      <c r="G41" s="2"/>
      <c r="H41" s="2"/>
      <c r="I41" s="2"/>
      <c r="J41" s="2"/>
      <c r="K41" s="2"/>
    </row>
    <row r="42" spans="1:11" ht="14.5" x14ac:dyDescent="0.35">
      <c r="A42" s="1"/>
      <c r="B42" s="2"/>
      <c r="C42" s="2"/>
      <c r="D42" s="2"/>
      <c r="E42" s="2"/>
      <c r="F42" s="2"/>
      <c r="G42" s="2"/>
      <c r="H42" s="2"/>
      <c r="I42" s="2"/>
      <c r="J42" s="2"/>
      <c r="K42" s="2"/>
    </row>
    <row r="43" spans="1:11" ht="14.5" x14ac:dyDescent="0.35">
      <c r="A43" s="1"/>
      <c r="B43" s="2"/>
      <c r="C43" s="2"/>
      <c r="D43" s="2"/>
      <c r="E43" s="2"/>
      <c r="F43" s="2"/>
      <c r="G43" s="2"/>
      <c r="H43" s="2"/>
      <c r="I43" s="2"/>
      <c r="J43" s="2"/>
      <c r="K43" s="2"/>
    </row>
  </sheetData>
  <conditionalFormatting sqref="C5">
    <cfRule type="expression" dxfId="1" priority="2">
      <formula>LEFT(C5,1)="&lt;"</formula>
    </cfRule>
  </conditionalFormatting>
  <conditionalFormatting sqref="D6">
    <cfRule type="expression" dxfId="0" priority="1">
      <formula>LEFT(D6,1)="&lt;"</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EA7E-9191-462D-A4F5-9D028EC2CD10}">
  <sheetPr codeName="Sheet2"/>
  <dimension ref="A1:L20"/>
  <sheetViews>
    <sheetView showGridLines="0" workbookViewId="0">
      <selection activeCell="A4" sqref="A4"/>
    </sheetView>
  </sheetViews>
  <sheetFormatPr defaultRowHeight="14.5" x14ac:dyDescent="0.35"/>
  <cols>
    <col min="2" max="2" width="3.453125" customWidth="1"/>
    <col min="3" max="3" width="61.453125" customWidth="1"/>
    <col min="4" max="7" width="29.81640625" customWidth="1"/>
  </cols>
  <sheetData>
    <row r="1" spans="1:12" s="13" customFormat="1" ht="21" x14ac:dyDescent="0.5">
      <c r="A1" s="11" t="s">
        <v>0</v>
      </c>
      <c r="B1" s="11"/>
      <c r="C1" s="12"/>
      <c r="D1" s="12"/>
      <c r="E1" s="12"/>
      <c r="F1" s="12"/>
      <c r="G1" s="12"/>
      <c r="H1" s="12"/>
      <c r="I1" s="11"/>
      <c r="J1" s="11"/>
      <c r="K1" s="11"/>
    </row>
    <row r="2" spans="1:12" s="13" customFormat="1" ht="16" x14ac:dyDescent="0.4">
      <c r="A2" s="14" t="s">
        <v>1</v>
      </c>
      <c r="B2" s="14"/>
      <c r="C2" s="12"/>
      <c r="D2" s="12"/>
      <c r="E2" s="12"/>
      <c r="F2" s="12"/>
      <c r="G2" s="12"/>
      <c r="H2" s="12"/>
      <c r="I2" s="14"/>
      <c r="J2" s="14"/>
      <c r="K2" s="14"/>
    </row>
    <row r="3" spans="1:12" s="18" customFormat="1" ht="16" x14ac:dyDescent="0.4">
      <c r="A3" s="15" t="s">
        <v>2</v>
      </c>
      <c r="B3" s="16"/>
      <c r="C3" s="17"/>
      <c r="D3" s="17"/>
      <c r="E3" s="17"/>
      <c r="F3" s="17"/>
      <c r="G3" s="17"/>
      <c r="H3" s="17"/>
      <c r="I3" s="14"/>
      <c r="J3" s="14"/>
      <c r="K3" s="14"/>
      <c r="L3" s="13"/>
    </row>
    <row r="4" spans="1:12" s="18" customFormat="1" ht="16" x14ac:dyDescent="0.4">
      <c r="A4" s="19"/>
      <c r="B4" s="20"/>
      <c r="C4" s="21"/>
      <c r="D4" s="21"/>
      <c r="E4" s="21"/>
      <c r="F4" s="21"/>
      <c r="G4" s="21"/>
      <c r="H4" s="21"/>
      <c r="I4" s="22"/>
      <c r="J4" s="22"/>
      <c r="K4" s="22"/>
      <c r="L4" s="13"/>
    </row>
    <row r="5" spans="1:12" x14ac:dyDescent="0.35">
      <c r="B5" s="67" t="s">
        <v>3</v>
      </c>
      <c r="C5" s="67" t="s">
        <v>4</v>
      </c>
      <c r="D5" s="70" t="s">
        <v>5</v>
      </c>
      <c r="E5" s="70" t="s">
        <v>6</v>
      </c>
      <c r="F5" s="70" t="s">
        <v>7</v>
      </c>
      <c r="G5" s="70" t="s">
        <v>8</v>
      </c>
    </row>
    <row r="6" spans="1:12" x14ac:dyDescent="0.35">
      <c r="B6" s="68">
        <v>1</v>
      </c>
      <c r="C6" s="68" t="s">
        <v>9</v>
      </c>
      <c r="D6" s="69">
        <f>Projects!B8</f>
        <v>350000</v>
      </c>
      <c r="E6" s="69">
        <f>Projects!C8</f>
        <v>750000</v>
      </c>
      <c r="F6" s="69">
        <f>Projects!F16</f>
        <v>1500000</v>
      </c>
      <c r="G6" s="69">
        <f t="shared" ref="G6:G16" si="0">F6-(D6+E6)</f>
        <v>400000</v>
      </c>
    </row>
    <row r="7" spans="1:12" x14ac:dyDescent="0.35">
      <c r="B7" s="68">
        <v>2</v>
      </c>
      <c r="C7" s="68" t="s">
        <v>66</v>
      </c>
      <c r="D7" s="69">
        <f>Projects!B20</f>
        <v>1150000</v>
      </c>
      <c r="E7" s="69">
        <f>Projects!C20</f>
        <v>285000</v>
      </c>
      <c r="F7" s="69">
        <f>Projects!F32</f>
        <v>2085606.0299062969</v>
      </c>
      <c r="G7" s="69">
        <f t="shared" si="0"/>
        <v>650606.02990629687</v>
      </c>
    </row>
    <row r="8" spans="1:12" x14ac:dyDescent="0.35">
      <c r="B8" s="68">
        <v>3</v>
      </c>
      <c r="C8" s="68" t="s">
        <v>67</v>
      </c>
      <c r="D8" s="69">
        <f>Projects!B36</f>
        <v>375000</v>
      </c>
      <c r="E8" s="69">
        <f>Projects!C36</f>
        <v>375000</v>
      </c>
      <c r="F8" s="69">
        <f>Projects!F45</f>
        <v>1223547.8065312717</v>
      </c>
      <c r="G8" s="69">
        <f t="shared" si="0"/>
        <v>473547.80653127166</v>
      </c>
    </row>
    <row r="9" spans="1:12" x14ac:dyDescent="0.35">
      <c r="B9" s="68">
        <v>4</v>
      </c>
      <c r="C9" s="68" t="s">
        <v>68</v>
      </c>
      <c r="D9" s="69">
        <f>Projects!B49</f>
        <v>50000</v>
      </c>
      <c r="E9" s="69">
        <f>Projects!C49</f>
        <v>150000</v>
      </c>
      <c r="F9" s="69">
        <f>Projects!F57</f>
        <v>453468.00664584368</v>
      </c>
      <c r="G9" s="69">
        <f t="shared" si="0"/>
        <v>253468.00664584368</v>
      </c>
    </row>
    <row r="10" spans="1:12" x14ac:dyDescent="0.35">
      <c r="B10" s="68">
        <v>5</v>
      </c>
      <c r="C10" s="68" t="s">
        <v>10</v>
      </c>
      <c r="D10" s="69">
        <f>Projects!B61</f>
        <v>500000</v>
      </c>
      <c r="E10" s="69">
        <f>Projects!C61</f>
        <v>300000</v>
      </c>
      <c r="F10" s="69">
        <f>Projects!F66</f>
        <v>1050000</v>
      </c>
      <c r="G10" s="69">
        <f t="shared" si="0"/>
        <v>250000</v>
      </c>
    </row>
    <row r="11" spans="1:12" x14ac:dyDescent="0.35">
      <c r="B11" s="68">
        <v>6</v>
      </c>
      <c r="C11" s="68" t="s">
        <v>11</v>
      </c>
      <c r="D11" s="69">
        <f>Projects!B70</f>
        <v>600000</v>
      </c>
      <c r="E11" s="69">
        <f>Projects!C70</f>
        <v>200000</v>
      </c>
      <c r="F11" s="69">
        <f>Projects!F75</f>
        <v>1481408.2559999998</v>
      </c>
      <c r="G11" s="69">
        <f t="shared" si="0"/>
        <v>681408.25599999982</v>
      </c>
    </row>
    <row r="12" spans="1:12" x14ac:dyDescent="0.35">
      <c r="B12" s="68">
        <v>7</v>
      </c>
      <c r="C12" s="68" t="s">
        <v>12</v>
      </c>
      <c r="D12" s="69">
        <f>Projects!B79</f>
        <v>250000</v>
      </c>
      <c r="E12" s="69">
        <f>Projects!C79</f>
        <v>50000</v>
      </c>
      <c r="F12" s="69">
        <f>Projects!F84</f>
        <v>1034775.7282400186</v>
      </c>
      <c r="G12" s="69">
        <f t="shared" si="0"/>
        <v>734775.72824001859</v>
      </c>
    </row>
    <row r="13" spans="1:12" x14ac:dyDescent="0.35">
      <c r="B13" s="68">
        <v>8</v>
      </c>
      <c r="C13" s="68" t="s">
        <v>69</v>
      </c>
      <c r="D13" s="69">
        <f>Projects!B88</f>
        <v>1249995.33</v>
      </c>
      <c r="E13" s="69">
        <f>Projects!C88</f>
        <v>1799994.56</v>
      </c>
      <c r="F13" s="69">
        <f>Projects!F98</f>
        <v>3951067.0279657017</v>
      </c>
      <c r="G13" s="69">
        <f t="shared" si="0"/>
        <v>901077.13796570152</v>
      </c>
    </row>
    <row r="14" spans="1:12" x14ac:dyDescent="0.35">
      <c r="B14" s="68">
        <v>9</v>
      </c>
      <c r="C14" s="68" t="s">
        <v>70</v>
      </c>
      <c r="D14" s="69">
        <f>Projects!B102</f>
        <v>538800</v>
      </c>
      <c r="E14" s="69">
        <f>Projects!C102</f>
        <v>150620</v>
      </c>
      <c r="F14" s="69">
        <f>Projects!F107</f>
        <v>999950.57279999997</v>
      </c>
      <c r="G14" s="69">
        <f t="shared" si="0"/>
        <v>310530.57279999997</v>
      </c>
    </row>
    <row r="15" spans="1:12" x14ac:dyDescent="0.35">
      <c r="B15" s="68">
        <v>10</v>
      </c>
      <c r="C15" s="68" t="s">
        <v>71</v>
      </c>
      <c r="D15" s="69">
        <f>Projects!B111</f>
        <v>469538</v>
      </c>
      <c r="E15" s="69">
        <f>Projects!C111</f>
        <v>54200</v>
      </c>
      <c r="F15" s="69">
        <f>Projects!F120</f>
        <v>911002.87138395081</v>
      </c>
      <c r="G15" s="69">
        <f t="shared" si="0"/>
        <v>387264.87138395081</v>
      </c>
    </row>
    <row r="16" spans="1:12" x14ac:dyDescent="0.35">
      <c r="B16" s="68">
        <v>11</v>
      </c>
      <c r="C16" s="68" t="s">
        <v>72</v>
      </c>
      <c r="D16" s="69">
        <f>Projects!B124</f>
        <v>800000</v>
      </c>
      <c r="E16" s="69">
        <f>Projects!C124</f>
        <v>50000</v>
      </c>
      <c r="F16" s="69">
        <f>Projects!F133</f>
        <v>1481408.2560000001</v>
      </c>
      <c r="G16" s="69">
        <f t="shared" si="0"/>
        <v>631408.25600000005</v>
      </c>
    </row>
    <row r="17" spans="2:7" x14ac:dyDescent="0.35">
      <c r="B17" s="68"/>
      <c r="C17" s="84"/>
      <c r="D17" s="84"/>
      <c r="E17" s="84"/>
      <c r="F17" s="84"/>
      <c r="G17" s="84"/>
    </row>
    <row r="18" spans="2:7" x14ac:dyDescent="0.35">
      <c r="B18" s="68"/>
      <c r="C18" s="82" t="s">
        <v>13</v>
      </c>
      <c r="D18" s="83">
        <f>SUM(D6:D16)</f>
        <v>6333333.3300000001</v>
      </c>
      <c r="E18" s="83">
        <f>SUM(E6:E16)</f>
        <v>4164814.56</v>
      </c>
      <c r="F18" s="85">
        <f>SUM(F6:F16)</f>
        <v>16172234.555473082</v>
      </c>
      <c r="G18" s="85">
        <f>SUM(G6:G16)</f>
        <v>5674086.665473084</v>
      </c>
    </row>
    <row r="19" spans="2:7" x14ac:dyDescent="0.35">
      <c r="B19" s="68"/>
      <c r="C19" s="71" t="s">
        <v>98</v>
      </c>
      <c r="D19" s="72">
        <f>D18*0.9</f>
        <v>5699999.9970000004</v>
      </c>
      <c r="E19" s="72">
        <f t="shared" ref="E19" si="1">E18*0.9</f>
        <v>3748333.1040000003</v>
      </c>
      <c r="F19" s="72"/>
      <c r="G19" s="72"/>
    </row>
    <row r="20" spans="2:7" x14ac:dyDescent="0.35">
      <c r="B20" s="68"/>
      <c r="C20" s="68"/>
      <c r="D20" s="68"/>
      <c r="E20" s="68"/>
      <c r="F20" s="68"/>
      <c r="G20" s="6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8B3D-77E5-49E3-B88D-3DCDB15933F7}">
  <sheetPr codeName="Sheet3"/>
  <dimension ref="A1:L134"/>
  <sheetViews>
    <sheetView showGridLines="0" zoomScale="85" zoomScaleNormal="85" workbookViewId="0">
      <selection activeCell="A4" sqref="A4"/>
    </sheetView>
  </sheetViews>
  <sheetFormatPr defaultRowHeight="14.5" x14ac:dyDescent="0.35"/>
  <cols>
    <col min="1" max="1" width="61.1796875" customWidth="1"/>
    <col min="2" max="2" width="27.26953125" bestFit="1" customWidth="1"/>
    <col min="3" max="3" width="17.26953125" customWidth="1"/>
    <col min="4" max="4" width="19.1796875" bestFit="1" customWidth="1"/>
    <col min="5" max="5" width="12.54296875" bestFit="1" customWidth="1"/>
    <col min="6" max="6" width="17.26953125" customWidth="1"/>
    <col min="7" max="7" width="43.1796875" style="55" customWidth="1"/>
    <col min="8" max="8" width="47.81640625" style="55" customWidth="1"/>
    <col min="9" max="9" width="55.26953125" style="55" customWidth="1"/>
    <col min="16" max="16" width="11.54296875" bestFit="1" customWidth="1"/>
  </cols>
  <sheetData>
    <row r="1" spans="1:12" s="13" customFormat="1" ht="21" x14ac:dyDescent="0.5">
      <c r="A1" s="11" t="s">
        <v>0</v>
      </c>
      <c r="B1" s="11"/>
      <c r="C1" s="12"/>
      <c r="D1" s="12"/>
      <c r="E1" s="12"/>
      <c r="F1" s="12"/>
      <c r="G1" s="47"/>
      <c r="H1" s="47"/>
      <c r="I1" s="48"/>
      <c r="J1" s="11"/>
      <c r="K1" s="11"/>
    </row>
    <row r="2" spans="1:12" s="13" customFormat="1" ht="16" x14ac:dyDescent="0.4">
      <c r="A2" s="14" t="s">
        <v>1</v>
      </c>
      <c r="B2" s="14"/>
      <c r="C2" s="12"/>
      <c r="D2" s="12"/>
      <c r="E2" s="12"/>
      <c r="F2" s="12"/>
      <c r="G2" s="47"/>
      <c r="H2" s="47"/>
      <c r="I2" s="49"/>
      <c r="J2" s="14"/>
      <c r="K2" s="14"/>
    </row>
    <row r="3" spans="1:12" s="18" customFormat="1" ht="15" customHeight="1" x14ac:dyDescent="0.4">
      <c r="A3" s="15" t="s">
        <v>14</v>
      </c>
      <c r="B3" s="16"/>
      <c r="C3" s="17"/>
      <c r="D3" s="17"/>
      <c r="E3" s="17"/>
      <c r="F3" s="17"/>
      <c r="G3" s="50"/>
      <c r="H3" s="50"/>
      <c r="I3" s="49"/>
      <c r="J3" s="14"/>
      <c r="K3" s="14"/>
      <c r="L3" s="13"/>
    </row>
    <row r="4" spans="1:12" s="18" customFormat="1" ht="15" customHeight="1" x14ac:dyDescent="0.4">
      <c r="A4" s="19"/>
      <c r="B4" s="20"/>
      <c r="C4" s="21"/>
      <c r="D4" s="21"/>
      <c r="E4" s="21"/>
      <c r="F4" s="21"/>
      <c r="G4" s="51"/>
      <c r="H4" s="51"/>
      <c r="I4" s="52"/>
      <c r="J4" s="22"/>
      <c r="K4" s="22"/>
      <c r="L4" s="13"/>
    </row>
    <row r="5" spans="1:12" x14ac:dyDescent="0.35">
      <c r="A5" s="36"/>
      <c r="B5" s="36"/>
      <c r="C5" s="36"/>
      <c r="D5" s="36"/>
      <c r="E5" s="36"/>
      <c r="F5" s="36"/>
      <c r="G5" s="53" t="s">
        <v>15</v>
      </c>
      <c r="H5" s="53" t="s">
        <v>16</v>
      </c>
      <c r="I5" s="53" t="s">
        <v>17</v>
      </c>
    </row>
    <row r="6" spans="1:12" x14ac:dyDescent="0.35">
      <c r="A6" s="38" t="s">
        <v>9</v>
      </c>
      <c r="B6" s="38"/>
      <c r="C6" s="38"/>
      <c r="D6" s="38"/>
      <c r="E6" s="38"/>
      <c r="F6" s="38"/>
      <c r="G6" s="54"/>
      <c r="H6" s="54"/>
      <c r="I6" s="54"/>
    </row>
    <row r="7" spans="1:12" x14ac:dyDescent="0.35">
      <c r="A7" s="39" t="s">
        <v>18</v>
      </c>
      <c r="B7" s="56" t="s">
        <v>5</v>
      </c>
      <c r="C7" s="56" t="s">
        <v>6</v>
      </c>
      <c r="D7" s="36"/>
      <c r="E7" s="36"/>
      <c r="F7" s="39" t="s">
        <v>19</v>
      </c>
      <c r="G7" s="74" t="s">
        <v>102</v>
      </c>
      <c r="H7" s="74" t="s">
        <v>103</v>
      </c>
      <c r="I7" s="74" t="s">
        <v>20</v>
      </c>
    </row>
    <row r="8" spans="1:12" x14ac:dyDescent="0.35">
      <c r="A8" s="36"/>
      <c r="B8" s="44">
        <v>350000</v>
      </c>
      <c r="C8" s="44">
        <v>750000</v>
      </c>
      <c r="D8" s="36"/>
      <c r="E8" s="36"/>
      <c r="F8" s="40">
        <f>B8+C8</f>
        <v>1100000</v>
      </c>
      <c r="G8" s="74"/>
      <c r="H8" s="74"/>
      <c r="I8" s="74"/>
    </row>
    <row r="9" spans="1:12" x14ac:dyDescent="0.35">
      <c r="A9" s="39" t="s">
        <v>21</v>
      </c>
      <c r="B9" s="57"/>
      <c r="C9" s="36"/>
      <c r="D9" s="36"/>
      <c r="E9" s="36"/>
      <c r="F9" s="41" t="s">
        <v>22</v>
      </c>
      <c r="G9" s="74"/>
      <c r="H9" s="74"/>
      <c r="I9" s="74"/>
    </row>
    <row r="10" spans="1:12" x14ac:dyDescent="0.35">
      <c r="A10" s="36"/>
      <c r="B10" s="36" t="s">
        <v>23</v>
      </c>
      <c r="C10" s="36"/>
      <c r="D10" s="36" t="s">
        <v>24</v>
      </c>
      <c r="E10" s="36"/>
      <c r="F10" s="36"/>
      <c r="G10" s="74"/>
      <c r="H10" s="74"/>
      <c r="I10" s="74"/>
    </row>
    <row r="11" spans="1:12" x14ac:dyDescent="0.35">
      <c r="A11" s="36" t="s">
        <v>25</v>
      </c>
      <c r="B11" s="40">
        <v>2000</v>
      </c>
      <c r="C11" s="40"/>
      <c r="D11" s="36">
        <v>12</v>
      </c>
      <c r="E11" s="36"/>
      <c r="F11" s="40">
        <f>B11*D11</f>
        <v>24000</v>
      </c>
      <c r="G11" s="74"/>
      <c r="H11" s="74"/>
      <c r="I11" s="74"/>
    </row>
    <row r="12" spans="1:12" x14ac:dyDescent="0.35">
      <c r="A12" s="36"/>
      <c r="B12" s="36" t="s">
        <v>26</v>
      </c>
      <c r="C12" s="36" t="s">
        <v>114</v>
      </c>
      <c r="D12" s="36" t="s">
        <v>24</v>
      </c>
      <c r="E12" s="36"/>
      <c r="F12" s="40"/>
      <c r="G12" s="74"/>
      <c r="H12" s="74"/>
      <c r="I12" s="74"/>
    </row>
    <row r="13" spans="1:12" x14ac:dyDescent="0.35">
      <c r="A13" s="36" t="s">
        <v>27</v>
      </c>
      <c r="B13" s="58">
        <v>82</v>
      </c>
      <c r="C13" s="36">
        <v>1500</v>
      </c>
      <c r="D13" s="36">
        <v>12</v>
      </c>
      <c r="E13" s="36"/>
      <c r="F13" s="40">
        <f>B13*D13*C13</f>
        <v>1476000</v>
      </c>
      <c r="G13" s="74"/>
      <c r="H13" s="74"/>
      <c r="I13" s="74"/>
    </row>
    <row r="14" spans="1:12" x14ac:dyDescent="0.35">
      <c r="A14" s="37"/>
      <c r="B14" s="36"/>
      <c r="C14" s="36"/>
      <c r="D14" s="36"/>
      <c r="E14" s="36"/>
      <c r="F14" s="40"/>
      <c r="G14" s="74"/>
      <c r="H14" s="74"/>
      <c r="I14" s="74"/>
    </row>
    <row r="15" spans="1:12" x14ac:dyDescent="0.35">
      <c r="A15" s="36"/>
      <c r="B15" s="36"/>
      <c r="C15" s="36"/>
      <c r="D15" s="36"/>
      <c r="E15" s="36"/>
      <c r="F15" s="40"/>
      <c r="G15" s="74"/>
      <c r="H15" s="74"/>
      <c r="I15" s="74"/>
    </row>
    <row r="16" spans="1:12" x14ac:dyDescent="0.35">
      <c r="A16" s="39" t="s">
        <v>22</v>
      </c>
      <c r="B16" s="36"/>
      <c r="C16" s="36"/>
      <c r="D16" s="36"/>
      <c r="E16" s="36"/>
      <c r="F16" s="42">
        <f>+SUM(+F13+F11)</f>
        <v>1500000</v>
      </c>
      <c r="G16" s="74"/>
      <c r="H16" s="74"/>
      <c r="I16" s="74"/>
    </row>
    <row r="17" spans="1:9" x14ac:dyDescent="0.35">
      <c r="A17" s="39" t="s">
        <v>8</v>
      </c>
      <c r="B17" s="36"/>
      <c r="C17" s="36"/>
      <c r="D17" s="36"/>
      <c r="E17" s="36"/>
      <c r="F17" s="43">
        <f>F16-F8</f>
        <v>400000</v>
      </c>
      <c r="G17" s="74"/>
      <c r="H17" s="74"/>
      <c r="I17" s="74"/>
    </row>
    <row r="18" spans="1:9" x14ac:dyDescent="0.35">
      <c r="A18" s="38" t="s">
        <v>66</v>
      </c>
      <c r="B18" s="38"/>
      <c r="C18" s="38"/>
      <c r="D18" s="38"/>
      <c r="E18" s="38"/>
      <c r="F18" s="38"/>
      <c r="G18" s="54"/>
      <c r="H18" s="54"/>
      <c r="I18" s="54"/>
    </row>
    <row r="19" spans="1:9" ht="14.5" customHeight="1" x14ac:dyDescent="0.35">
      <c r="A19" s="39" t="s">
        <v>18</v>
      </c>
      <c r="B19" s="56" t="s">
        <v>5</v>
      </c>
      <c r="C19" s="56" t="s">
        <v>6</v>
      </c>
      <c r="D19" s="36"/>
      <c r="E19" s="36"/>
      <c r="F19" s="39" t="s">
        <v>19</v>
      </c>
      <c r="G19" s="74" t="s">
        <v>99</v>
      </c>
      <c r="H19" s="74" t="s">
        <v>115</v>
      </c>
      <c r="I19" s="74" t="s">
        <v>42</v>
      </c>
    </row>
    <row r="20" spans="1:9" x14ac:dyDescent="0.35">
      <c r="A20" s="36"/>
      <c r="B20" s="44">
        <v>1150000</v>
      </c>
      <c r="C20" s="44">
        <v>285000</v>
      </c>
      <c r="D20" s="36"/>
      <c r="E20" s="36"/>
      <c r="F20" s="45">
        <f>B20+C20</f>
        <v>1435000</v>
      </c>
      <c r="G20" s="74"/>
      <c r="H20" s="74"/>
      <c r="I20" s="74"/>
    </row>
    <row r="21" spans="1:9" x14ac:dyDescent="0.35">
      <c r="A21" s="39" t="s">
        <v>21</v>
      </c>
      <c r="B21" s="40"/>
      <c r="C21" s="40"/>
      <c r="D21" s="36"/>
      <c r="E21" s="36"/>
      <c r="F21" s="39" t="s">
        <v>22</v>
      </c>
      <c r="G21" s="74"/>
      <c r="H21" s="74"/>
      <c r="I21" s="74"/>
    </row>
    <row r="22" spans="1:9" x14ac:dyDescent="0.35">
      <c r="A22" s="36"/>
      <c r="B22" s="36" t="s">
        <v>73</v>
      </c>
      <c r="C22" s="36" t="s">
        <v>24</v>
      </c>
      <c r="D22" s="36"/>
      <c r="E22" s="36"/>
      <c r="F22" s="36"/>
      <c r="G22" s="74"/>
      <c r="H22" s="74"/>
      <c r="I22" s="74"/>
    </row>
    <row r="23" spans="1:9" x14ac:dyDescent="0.35">
      <c r="A23" s="36" t="s">
        <v>44</v>
      </c>
      <c r="B23" s="40">
        <v>30</v>
      </c>
      <c r="C23" s="36">
        <v>2500</v>
      </c>
      <c r="D23" s="36"/>
      <c r="E23" s="36"/>
      <c r="F23" s="40">
        <f>B23*C23</f>
        <v>75000</v>
      </c>
      <c r="G23" s="74"/>
      <c r="H23" s="74"/>
      <c r="I23" s="74"/>
    </row>
    <row r="24" spans="1:9" x14ac:dyDescent="0.35">
      <c r="A24" s="36"/>
      <c r="B24" s="40"/>
      <c r="C24" s="36"/>
      <c r="D24" s="36"/>
      <c r="E24" s="36"/>
      <c r="F24" s="40"/>
      <c r="G24" s="74"/>
      <c r="H24" s="74"/>
      <c r="I24" s="74"/>
    </row>
    <row r="25" spans="1:9" x14ac:dyDescent="0.35">
      <c r="A25" s="36"/>
      <c r="B25" s="40" t="s">
        <v>74</v>
      </c>
      <c r="C25" s="36" t="s">
        <v>24</v>
      </c>
      <c r="D25" s="36"/>
      <c r="E25" s="36"/>
      <c r="F25" s="40"/>
      <c r="G25" s="74"/>
      <c r="H25" s="74"/>
      <c r="I25" s="74"/>
    </row>
    <row r="26" spans="1:9" x14ac:dyDescent="0.35">
      <c r="A26" s="36"/>
      <c r="B26" s="40">
        <v>50000</v>
      </c>
      <c r="C26" s="36">
        <v>3</v>
      </c>
      <c r="D26" s="36"/>
      <c r="E26" s="36"/>
      <c r="F26" s="40">
        <f>B26*C26</f>
        <v>150000</v>
      </c>
      <c r="G26" s="74"/>
      <c r="H26" s="74"/>
      <c r="I26" s="74"/>
    </row>
    <row r="27" spans="1:9" x14ac:dyDescent="0.35">
      <c r="A27" s="36"/>
      <c r="B27" s="40"/>
      <c r="C27" s="36"/>
      <c r="D27" s="36"/>
      <c r="E27" s="36"/>
      <c r="F27" s="40"/>
      <c r="G27" s="74"/>
      <c r="H27" s="74"/>
      <c r="I27" s="74"/>
    </row>
    <row r="28" spans="1:9" x14ac:dyDescent="0.35">
      <c r="A28" s="36"/>
      <c r="B28" s="36" t="s">
        <v>35</v>
      </c>
      <c r="C28" s="36" t="s">
        <v>24</v>
      </c>
      <c r="D28" s="36" t="s">
        <v>34</v>
      </c>
      <c r="E28" s="36" t="s">
        <v>36</v>
      </c>
      <c r="F28" s="36"/>
      <c r="G28" s="74"/>
      <c r="H28" s="74"/>
      <c r="I28" s="74"/>
    </row>
    <row r="29" spans="1:9" x14ac:dyDescent="0.35">
      <c r="A29" s="36" t="s">
        <v>45</v>
      </c>
      <c r="B29" s="40">
        <f>49.23*'Customer values'!C15</f>
        <v>29.533429046131694</v>
      </c>
      <c r="C29" s="36">
        <v>4500</v>
      </c>
      <c r="D29" s="36">
        <v>2</v>
      </c>
      <c r="E29" s="36">
        <v>7</v>
      </c>
      <c r="F29" s="40">
        <f>D29*B29*C29*E29</f>
        <v>1860606.0299062969</v>
      </c>
      <c r="G29" s="74"/>
      <c r="H29" s="74"/>
      <c r="I29" s="74"/>
    </row>
    <row r="30" spans="1:9" ht="43.5" x14ac:dyDescent="0.35">
      <c r="A30" s="37" t="s">
        <v>50</v>
      </c>
      <c r="B30" s="36"/>
      <c r="C30" s="36"/>
      <c r="D30" s="36"/>
      <c r="E30" s="36"/>
      <c r="F30" s="36"/>
      <c r="G30" s="74"/>
      <c r="H30" s="74"/>
      <c r="I30" s="74"/>
    </row>
    <row r="31" spans="1:9" x14ac:dyDescent="0.35">
      <c r="A31" s="36"/>
      <c r="B31" s="36"/>
      <c r="C31" s="36"/>
      <c r="D31" s="36"/>
      <c r="E31" s="36"/>
      <c r="F31" s="40"/>
      <c r="G31" s="74"/>
      <c r="H31" s="74"/>
      <c r="I31" s="74"/>
    </row>
    <row r="32" spans="1:9" x14ac:dyDescent="0.35">
      <c r="A32" s="39" t="s">
        <v>22</v>
      </c>
      <c r="B32" s="36"/>
      <c r="C32" s="36"/>
      <c r="D32" s="36"/>
      <c r="E32" s="36"/>
      <c r="F32" s="42">
        <f>+SUM(+F23+F29+F26)</f>
        <v>2085606.0299062969</v>
      </c>
      <c r="G32" s="74"/>
      <c r="H32" s="74"/>
      <c r="I32" s="74"/>
    </row>
    <row r="33" spans="1:9" x14ac:dyDescent="0.35">
      <c r="A33" s="39" t="s">
        <v>8</v>
      </c>
      <c r="B33" s="36"/>
      <c r="C33" s="36"/>
      <c r="D33" s="36"/>
      <c r="E33" s="36"/>
      <c r="F33" s="43">
        <f>F32-F20</f>
        <v>650606.02990629687</v>
      </c>
      <c r="G33" s="74"/>
      <c r="H33" s="74"/>
      <c r="I33" s="74"/>
    </row>
    <row r="34" spans="1:9" x14ac:dyDescent="0.35">
      <c r="A34" s="38" t="s">
        <v>67</v>
      </c>
      <c r="B34" s="38"/>
      <c r="C34" s="38"/>
      <c r="D34" s="38"/>
      <c r="E34" s="38"/>
      <c r="F34" s="38"/>
      <c r="G34" s="54"/>
      <c r="H34" s="54"/>
      <c r="I34" s="54"/>
    </row>
    <row r="35" spans="1:9" x14ac:dyDescent="0.35">
      <c r="A35" s="39" t="s">
        <v>18</v>
      </c>
      <c r="B35" s="56" t="s">
        <v>5</v>
      </c>
      <c r="C35" s="56" t="s">
        <v>6</v>
      </c>
      <c r="D35" s="36"/>
      <c r="E35" s="36"/>
      <c r="F35" s="39" t="s">
        <v>19</v>
      </c>
      <c r="G35" s="74" t="s">
        <v>104</v>
      </c>
      <c r="H35" s="74" t="s">
        <v>105</v>
      </c>
      <c r="I35" s="74" t="s">
        <v>106</v>
      </c>
    </row>
    <row r="36" spans="1:9" x14ac:dyDescent="0.35">
      <c r="A36" s="36"/>
      <c r="B36" s="44">
        <v>375000</v>
      </c>
      <c r="C36" s="44">
        <v>375000</v>
      </c>
      <c r="D36" s="36"/>
      <c r="E36" s="36"/>
      <c r="F36" s="45">
        <f>B36+C36</f>
        <v>750000</v>
      </c>
      <c r="G36" s="74"/>
      <c r="H36" s="74"/>
      <c r="I36" s="74"/>
    </row>
    <row r="37" spans="1:9" x14ac:dyDescent="0.35">
      <c r="A37" s="39" t="s">
        <v>21</v>
      </c>
      <c r="B37" s="36"/>
      <c r="C37" s="36"/>
      <c r="D37" s="36"/>
      <c r="E37" s="36"/>
      <c r="F37" s="39" t="s">
        <v>22</v>
      </c>
      <c r="G37" s="74"/>
      <c r="H37" s="74"/>
      <c r="I37" s="74"/>
    </row>
    <row r="38" spans="1:9" x14ac:dyDescent="0.35">
      <c r="A38" s="36"/>
      <c r="B38" s="36" t="s">
        <v>101</v>
      </c>
      <c r="C38" s="36"/>
      <c r="D38" s="36" t="s">
        <v>24</v>
      </c>
      <c r="E38" s="36"/>
      <c r="F38" s="36"/>
      <c r="G38" s="74"/>
      <c r="H38" s="74"/>
      <c r="I38" s="74"/>
    </row>
    <row r="39" spans="1:9" x14ac:dyDescent="0.35">
      <c r="A39" s="36" t="s">
        <v>44</v>
      </c>
      <c r="B39" s="40">
        <v>200</v>
      </c>
      <c r="C39" s="40"/>
      <c r="D39" s="36">
        <v>30</v>
      </c>
      <c r="E39" s="36"/>
      <c r="F39" s="40">
        <f>B39*D39</f>
        <v>6000</v>
      </c>
      <c r="G39" s="74"/>
      <c r="H39" s="74"/>
      <c r="I39" s="74"/>
    </row>
    <row r="40" spans="1:9" x14ac:dyDescent="0.35">
      <c r="A40" s="36"/>
      <c r="B40" s="36" t="s">
        <v>26</v>
      </c>
      <c r="C40" s="36" t="s">
        <v>51</v>
      </c>
      <c r="D40" s="36" t="s">
        <v>24</v>
      </c>
      <c r="E40" s="36"/>
      <c r="F40" s="36"/>
      <c r="G40" s="74"/>
      <c r="H40" s="74"/>
      <c r="I40" s="74"/>
    </row>
    <row r="41" spans="1:9" x14ac:dyDescent="0.35">
      <c r="A41" s="36" t="s">
        <v>27</v>
      </c>
      <c r="B41" s="40">
        <v>82</v>
      </c>
      <c r="C41" s="36">
        <f>2</f>
        <v>2</v>
      </c>
      <c r="D41" s="36">
        <v>30</v>
      </c>
      <c r="E41" s="36"/>
      <c r="F41" s="40">
        <f>B41*D41*C41</f>
        <v>4920</v>
      </c>
      <c r="G41" s="74"/>
      <c r="H41" s="74"/>
      <c r="I41" s="74"/>
    </row>
    <row r="42" spans="1:9" x14ac:dyDescent="0.35">
      <c r="A42" s="36"/>
      <c r="B42" s="36" t="s">
        <v>34</v>
      </c>
      <c r="C42" s="36" t="s">
        <v>35</v>
      </c>
      <c r="D42" s="36" t="s">
        <v>24</v>
      </c>
      <c r="E42" s="40" t="s">
        <v>36</v>
      </c>
      <c r="F42" s="36"/>
      <c r="G42" s="74"/>
      <c r="H42" s="74"/>
      <c r="I42" s="74"/>
    </row>
    <row r="43" spans="1:9" x14ac:dyDescent="0.35">
      <c r="A43" s="36" t="s">
        <v>75</v>
      </c>
      <c r="B43" s="36">
        <v>10</v>
      </c>
      <c r="C43" s="40">
        <f>'Customer values'!C12</f>
        <v>161.6837075375029</v>
      </c>
      <c r="D43" s="36">
        <v>30</v>
      </c>
      <c r="E43" s="36">
        <v>25</v>
      </c>
      <c r="F43" s="40">
        <f>B43*C43*D43*E43</f>
        <v>1212627.8065312717</v>
      </c>
      <c r="G43" s="74"/>
      <c r="H43" s="74"/>
      <c r="I43" s="74"/>
    </row>
    <row r="44" spans="1:9" x14ac:dyDescent="0.35">
      <c r="A44" s="36"/>
      <c r="B44" s="36"/>
      <c r="C44" s="40"/>
      <c r="D44" s="36"/>
      <c r="E44" s="36"/>
      <c r="F44" s="40"/>
      <c r="G44" s="74"/>
      <c r="H44" s="74"/>
      <c r="I44" s="74"/>
    </row>
    <row r="45" spans="1:9" x14ac:dyDescent="0.35">
      <c r="A45" s="39" t="s">
        <v>22</v>
      </c>
      <c r="B45" s="36"/>
      <c r="C45" s="36"/>
      <c r="D45" s="36"/>
      <c r="E45" s="36"/>
      <c r="F45" s="42">
        <f>F43+F41+F39</f>
        <v>1223547.8065312717</v>
      </c>
      <c r="G45" s="74"/>
      <c r="H45" s="74"/>
      <c r="I45" s="74"/>
    </row>
    <row r="46" spans="1:9" x14ac:dyDescent="0.35">
      <c r="A46" s="39" t="s">
        <v>8</v>
      </c>
      <c r="B46" s="36"/>
      <c r="C46" s="36"/>
      <c r="D46" s="36"/>
      <c r="E46" s="36"/>
      <c r="F46" s="43">
        <f>F45-F36</f>
        <v>473547.80653127166</v>
      </c>
      <c r="G46" s="74"/>
      <c r="H46" s="74"/>
      <c r="I46" s="74"/>
    </row>
    <row r="47" spans="1:9" x14ac:dyDescent="0.35">
      <c r="A47" s="38" t="s">
        <v>52</v>
      </c>
      <c r="B47" s="38"/>
      <c r="C47" s="38"/>
      <c r="D47" s="38"/>
      <c r="E47" s="38"/>
      <c r="F47" s="38"/>
      <c r="G47" s="54"/>
      <c r="H47" s="54"/>
      <c r="I47" s="54"/>
    </row>
    <row r="48" spans="1:9" x14ac:dyDescent="0.35">
      <c r="A48" s="39" t="s">
        <v>18</v>
      </c>
      <c r="B48" s="56" t="s">
        <v>5</v>
      </c>
      <c r="C48" s="56" t="s">
        <v>6</v>
      </c>
      <c r="D48" s="36"/>
      <c r="E48" s="36"/>
      <c r="F48" s="39" t="s">
        <v>19</v>
      </c>
      <c r="G48" s="74" t="s">
        <v>53</v>
      </c>
      <c r="H48" s="74" t="s">
        <v>107</v>
      </c>
      <c r="I48" s="74" t="s">
        <v>54</v>
      </c>
    </row>
    <row r="49" spans="1:9" x14ac:dyDescent="0.35">
      <c r="A49" s="36"/>
      <c r="B49" s="44">
        <v>50000</v>
      </c>
      <c r="C49" s="44">
        <v>150000</v>
      </c>
      <c r="D49" s="36"/>
      <c r="E49" s="36"/>
      <c r="F49" s="45">
        <f>B49+C49</f>
        <v>200000</v>
      </c>
      <c r="G49" s="74"/>
      <c r="H49" s="74"/>
      <c r="I49" s="74"/>
    </row>
    <row r="50" spans="1:9" x14ac:dyDescent="0.35">
      <c r="A50" s="39" t="s">
        <v>21</v>
      </c>
      <c r="B50" s="36"/>
      <c r="C50" s="36"/>
      <c r="D50" s="36"/>
      <c r="E50" s="36"/>
      <c r="F50" s="39" t="s">
        <v>22</v>
      </c>
      <c r="G50" s="74"/>
      <c r="H50" s="74"/>
      <c r="I50" s="74"/>
    </row>
    <row r="51" spans="1:9" x14ac:dyDescent="0.35">
      <c r="A51" s="36"/>
      <c r="B51" s="36"/>
      <c r="C51" s="36" t="s">
        <v>43</v>
      </c>
      <c r="D51" s="36" t="s">
        <v>24</v>
      </c>
      <c r="E51" s="36"/>
      <c r="F51" s="36"/>
      <c r="G51" s="74"/>
      <c r="H51" s="74"/>
      <c r="I51" s="74"/>
    </row>
    <row r="52" spans="1:9" x14ac:dyDescent="0.35">
      <c r="A52" s="36" t="s">
        <v>44</v>
      </c>
      <c r="B52" s="40"/>
      <c r="C52" s="40">
        <v>200</v>
      </c>
      <c r="D52" s="36">
        <v>200</v>
      </c>
      <c r="E52" s="36"/>
      <c r="F52" s="40">
        <f>C52*D52</f>
        <v>40000</v>
      </c>
      <c r="G52" s="74"/>
      <c r="H52" s="74"/>
      <c r="I52" s="74"/>
    </row>
    <row r="53" spans="1:9" x14ac:dyDescent="0.35">
      <c r="A53" s="36"/>
      <c r="B53" s="36"/>
      <c r="C53" s="36"/>
      <c r="D53" s="36"/>
      <c r="E53" s="36"/>
      <c r="F53" s="36"/>
      <c r="G53" s="74"/>
      <c r="H53" s="74"/>
      <c r="I53" s="74"/>
    </row>
    <row r="54" spans="1:9" x14ac:dyDescent="0.35">
      <c r="A54" s="36" t="s">
        <v>55</v>
      </c>
      <c r="B54" s="36" t="s">
        <v>34</v>
      </c>
      <c r="C54" s="36" t="s">
        <v>35</v>
      </c>
      <c r="D54" s="36" t="s">
        <v>24</v>
      </c>
      <c r="E54" s="36" t="s">
        <v>36</v>
      </c>
      <c r="F54" s="36"/>
      <c r="G54" s="74"/>
      <c r="H54" s="74"/>
      <c r="I54" s="74"/>
    </row>
    <row r="55" spans="1:9" x14ac:dyDescent="0.35">
      <c r="A55" s="36" t="s">
        <v>45</v>
      </c>
      <c r="B55" s="36">
        <v>10</v>
      </c>
      <c r="C55" s="40">
        <f>49.23*'Customer values'!C15</f>
        <v>29.533429046131694</v>
      </c>
      <c r="D55" s="36">
        <v>200</v>
      </c>
      <c r="E55" s="36">
        <v>7</v>
      </c>
      <c r="F55" s="40">
        <f>B55*C55*D55*E55</f>
        <v>413468.00664584368</v>
      </c>
      <c r="G55" s="74"/>
      <c r="H55" s="74"/>
      <c r="I55" s="74"/>
    </row>
    <row r="56" spans="1:9" x14ac:dyDescent="0.35">
      <c r="A56" s="36"/>
      <c r="B56" s="36"/>
      <c r="C56" s="36"/>
      <c r="D56" s="36"/>
      <c r="E56" s="36"/>
      <c r="F56" s="40"/>
      <c r="G56" s="74"/>
      <c r="H56" s="74"/>
      <c r="I56" s="74"/>
    </row>
    <row r="57" spans="1:9" x14ac:dyDescent="0.35">
      <c r="A57" s="39" t="s">
        <v>22</v>
      </c>
      <c r="B57" s="36"/>
      <c r="C57" s="36"/>
      <c r="D57" s="36"/>
      <c r="E57" s="36"/>
      <c r="F57" s="42">
        <f>+F55+F52</f>
        <v>453468.00664584368</v>
      </c>
      <c r="G57" s="74"/>
      <c r="H57" s="74"/>
      <c r="I57" s="74"/>
    </row>
    <row r="58" spans="1:9" x14ac:dyDescent="0.35">
      <c r="A58" s="39" t="s">
        <v>8</v>
      </c>
      <c r="B58" s="36"/>
      <c r="C58" s="36"/>
      <c r="D58" s="36"/>
      <c r="E58" s="36"/>
      <c r="F58" s="43">
        <f>F57-F49</f>
        <v>253468.00664584368</v>
      </c>
      <c r="G58" s="74"/>
      <c r="H58" s="74"/>
      <c r="I58" s="74"/>
    </row>
    <row r="59" spans="1:9" x14ac:dyDescent="0.35">
      <c r="A59" s="38" t="s">
        <v>10</v>
      </c>
      <c r="B59" s="38"/>
      <c r="C59" s="38"/>
      <c r="D59" s="38"/>
      <c r="E59" s="38"/>
      <c r="F59" s="38"/>
      <c r="G59" s="54"/>
      <c r="H59" s="54"/>
      <c r="I59" s="54"/>
    </row>
    <row r="60" spans="1:9" x14ac:dyDescent="0.35">
      <c r="A60" s="39" t="s">
        <v>18</v>
      </c>
      <c r="B60" s="56" t="s">
        <v>5</v>
      </c>
      <c r="C60" s="56" t="s">
        <v>6</v>
      </c>
      <c r="D60" s="36"/>
      <c r="E60" s="36"/>
      <c r="F60" s="39" t="s">
        <v>19</v>
      </c>
      <c r="G60" s="74" t="s">
        <v>28</v>
      </c>
      <c r="H60" s="74" t="s">
        <v>29</v>
      </c>
      <c r="I60" s="74" t="s">
        <v>30</v>
      </c>
    </row>
    <row r="61" spans="1:9" x14ac:dyDescent="0.35">
      <c r="A61" s="36"/>
      <c r="B61" s="44">
        <v>500000</v>
      </c>
      <c r="C61" s="44">
        <v>300000</v>
      </c>
      <c r="D61" s="36"/>
      <c r="E61" s="36"/>
      <c r="F61" s="40">
        <f>B61+C61</f>
        <v>800000</v>
      </c>
      <c r="G61" s="74"/>
      <c r="H61" s="74"/>
      <c r="I61" s="74"/>
    </row>
    <row r="62" spans="1:9" x14ac:dyDescent="0.35">
      <c r="A62" s="39" t="s">
        <v>21</v>
      </c>
      <c r="B62" s="36"/>
      <c r="C62" s="36"/>
      <c r="D62" s="36"/>
      <c r="E62" s="36"/>
      <c r="F62" s="39" t="s">
        <v>22</v>
      </c>
      <c r="G62" s="74"/>
      <c r="H62" s="74"/>
      <c r="I62" s="74"/>
    </row>
    <row r="63" spans="1:9" x14ac:dyDescent="0.35">
      <c r="A63" s="36"/>
      <c r="B63" s="36" t="s">
        <v>31</v>
      </c>
      <c r="C63" s="36" t="s">
        <v>32</v>
      </c>
      <c r="D63" s="36" t="s">
        <v>24</v>
      </c>
      <c r="E63" s="36"/>
      <c r="F63" s="36"/>
      <c r="G63" s="74"/>
      <c r="H63" s="74"/>
      <c r="I63" s="74"/>
    </row>
    <row r="64" spans="1:9" x14ac:dyDescent="0.35">
      <c r="A64" s="36" t="s">
        <v>33</v>
      </c>
      <c r="B64" s="40">
        <f>25000*0.7</f>
        <v>17500</v>
      </c>
      <c r="C64" s="36">
        <v>3</v>
      </c>
      <c r="D64" s="36">
        <v>20</v>
      </c>
      <c r="E64" s="36"/>
      <c r="F64" s="40">
        <f>B64*C64*D64</f>
        <v>1050000</v>
      </c>
      <c r="G64" s="74"/>
      <c r="H64" s="74"/>
      <c r="I64" s="74"/>
    </row>
    <row r="65" spans="1:9" x14ac:dyDescent="0.35">
      <c r="A65" s="36"/>
      <c r="B65" s="36"/>
      <c r="C65" s="36"/>
      <c r="D65" s="36"/>
      <c r="E65" s="36"/>
      <c r="F65" s="40"/>
      <c r="G65" s="74"/>
      <c r="H65" s="74"/>
      <c r="I65" s="74"/>
    </row>
    <row r="66" spans="1:9" x14ac:dyDescent="0.35">
      <c r="A66" s="39" t="s">
        <v>22</v>
      </c>
      <c r="B66" s="36"/>
      <c r="C66" s="36"/>
      <c r="D66" s="36"/>
      <c r="E66" s="36"/>
      <c r="F66" s="42">
        <f>+SUM(F64+F65)</f>
        <v>1050000</v>
      </c>
      <c r="G66" s="74"/>
      <c r="H66" s="74"/>
      <c r="I66" s="74"/>
    </row>
    <row r="67" spans="1:9" x14ac:dyDescent="0.35">
      <c r="A67" s="39" t="s">
        <v>8</v>
      </c>
      <c r="B67" s="36"/>
      <c r="C67" s="36"/>
      <c r="D67" s="36"/>
      <c r="E67" s="36"/>
      <c r="F67" s="43">
        <f>F66-F61</f>
        <v>250000</v>
      </c>
      <c r="G67" s="74"/>
      <c r="H67" s="74"/>
      <c r="I67" s="74"/>
    </row>
    <row r="68" spans="1:9" x14ac:dyDescent="0.35">
      <c r="A68" s="38" t="s">
        <v>11</v>
      </c>
      <c r="B68" s="38"/>
      <c r="C68" s="38"/>
      <c r="D68" s="38"/>
      <c r="E68" s="38"/>
      <c r="F68" s="38"/>
      <c r="G68" s="54"/>
      <c r="H68" s="54"/>
      <c r="I68" s="54"/>
    </row>
    <row r="69" spans="1:9" x14ac:dyDescent="0.35">
      <c r="A69" s="63" t="s">
        <v>18</v>
      </c>
      <c r="B69" s="56" t="s">
        <v>5</v>
      </c>
      <c r="C69" s="56" t="s">
        <v>6</v>
      </c>
      <c r="D69" s="36"/>
      <c r="E69" s="36"/>
      <c r="F69" s="39" t="s">
        <v>19</v>
      </c>
      <c r="G69" s="74" t="s">
        <v>38</v>
      </c>
      <c r="H69" s="74" t="s">
        <v>108</v>
      </c>
      <c r="I69" s="74" t="s">
        <v>39</v>
      </c>
    </row>
    <row r="70" spans="1:9" x14ac:dyDescent="0.35">
      <c r="A70" s="36"/>
      <c r="B70" s="44">
        <v>600000</v>
      </c>
      <c r="C70" s="44">
        <v>200000</v>
      </c>
      <c r="D70" s="36"/>
      <c r="E70" s="36"/>
      <c r="F70" s="45">
        <f>B70+C70</f>
        <v>800000</v>
      </c>
      <c r="G70" s="74"/>
      <c r="H70" s="74"/>
      <c r="I70" s="74"/>
    </row>
    <row r="71" spans="1:9" x14ac:dyDescent="0.35">
      <c r="A71" s="39" t="s">
        <v>21</v>
      </c>
      <c r="B71" s="36"/>
      <c r="C71" s="36"/>
      <c r="D71" s="36"/>
      <c r="E71" s="36"/>
      <c r="F71" s="39" t="s">
        <v>22</v>
      </c>
      <c r="G71" s="74"/>
      <c r="H71" s="74"/>
      <c r="I71" s="74"/>
    </row>
    <row r="72" spans="1:9" x14ac:dyDescent="0.35">
      <c r="A72" s="36"/>
      <c r="B72" s="36" t="s">
        <v>34</v>
      </c>
      <c r="C72" s="36" t="s">
        <v>35</v>
      </c>
      <c r="D72" s="36" t="s">
        <v>24</v>
      </c>
      <c r="E72" s="40" t="s">
        <v>36</v>
      </c>
      <c r="F72" s="36"/>
      <c r="G72" s="74"/>
      <c r="H72" s="74"/>
      <c r="I72" s="74"/>
    </row>
    <row r="73" spans="1:9" x14ac:dyDescent="0.35">
      <c r="A73" s="36" t="s">
        <v>37</v>
      </c>
      <c r="B73" s="36">
        <v>5</v>
      </c>
      <c r="C73" s="40">
        <f>'Customer values'!C13</f>
        <v>92.588015999999996</v>
      </c>
      <c r="D73" s="36">
        <v>800</v>
      </c>
      <c r="E73" s="36">
        <v>4</v>
      </c>
      <c r="F73" s="46">
        <f>C73*D73*E73*B73</f>
        <v>1481408.2559999998</v>
      </c>
      <c r="G73" s="74"/>
      <c r="H73" s="74"/>
      <c r="I73" s="74"/>
    </row>
    <row r="74" spans="1:9" x14ac:dyDescent="0.35">
      <c r="A74" s="36"/>
      <c r="B74" s="36"/>
      <c r="C74" s="36"/>
      <c r="D74" s="36"/>
      <c r="E74" s="36"/>
      <c r="F74" s="36"/>
      <c r="G74" s="74"/>
      <c r="H74" s="74"/>
      <c r="I74" s="74"/>
    </row>
    <row r="75" spans="1:9" x14ac:dyDescent="0.35">
      <c r="A75" s="39" t="s">
        <v>22</v>
      </c>
      <c r="B75" s="36"/>
      <c r="C75" s="36"/>
      <c r="D75" s="36"/>
      <c r="E75" s="36"/>
      <c r="F75" s="42">
        <f>+SUM(F73)</f>
        <v>1481408.2559999998</v>
      </c>
      <c r="G75" s="74"/>
      <c r="H75" s="74"/>
      <c r="I75" s="74"/>
    </row>
    <row r="76" spans="1:9" x14ac:dyDescent="0.35">
      <c r="A76" s="39" t="s">
        <v>8</v>
      </c>
      <c r="B76" s="36"/>
      <c r="C76" s="36"/>
      <c r="D76" s="36"/>
      <c r="E76" s="36"/>
      <c r="F76" s="43">
        <f>F75-F70</f>
        <v>681408.25599999982</v>
      </c>
      <c r="G76" s="74"/>
      <c r="H76" s="74"/>
      <c r="I76" s="74"/>
    </row>
    <row r="77" spans="1:9" x14ac:dyDescent="0.35">
      <c r="A77" s="38" t="s">
        <v>12</v>
      </c>
      <c r="B77" s="38"/>
      <c r="C77" s="38"/>
      <c r="D77" s="38"/>
      <c r="E77" s="38"/>
      <c r="F77" s="38"/>
      <c r="G77" s="54"/>
      <c r="H77" s="54"/>
      <c r="I77" s="54"/>
    </row>
    <row r="78" spans="1:9" x14ac:dyDescent="0.35">
      <c r="A78" s="39" t="s">
        <v>18</v>
      </c>
      <c r="B78" s="56" t="s">
        <v>5</v>
      </c>
      <c r="C78" s="56" t="s">
        <v>6</v>
      </c>
      <c r="D78" s="36"/>
      <c r="E78" s="36"/>
      <c r="F78" s="39" t="s">
        <v>19</v>
      </c>
      <c r="G78" s="74" t="s">
        <v>109</v>
      </c>
      <c r="H78" s="74" t="s">
        <v>40</v>
      </c>
      <c r="I78" s="74" t="s">
        <v>110</v>
      </c>
    </row>
    <row r="79" spans="1:9" x14ac:dyDescent="0.35">
      <c r="A79" s="36"/>
      <c r="B79" s="44">
        <v>250000</v>
      </c>
      <c r="C79" s="44">
        <v>50000</v>
      </c>
      <c r="D79" s="36"/>
      <c r="E79" s="36"/>
      <c r="F79" s="45">
        <f>B79+C79</f>
        <v>300000</v>
      </c>
      <c r="G79" s="74"/>
      <c r="H79" s="74"/>
      <c r="I79" s="74"/>
    </row>
    <row r="80" spans="1:9" x14ac:dyDescent="0.35">
      <c r="A80" s="39" t="s">
        <v>21</v>
      </c>
      <c r="B80" s="36"/>
      <c r="C80" s="36"/>
      <c r="D80" s="36"/>
      <c r="E80" s="36"/>
      <c r="F80" s="39" t="s">
        <v>22</v>
      </c>
      <c r="G80" s="74"/>
      <c r="H80" s="74"/>
      <c r="I80" s="74"/>
    </row>
    <row r="81" spans="1:9" x14ac:dyDescent="0.35">
      <c r="A81" s="36"/>
      <c r="B81" s="36" t="s">
        <v>34</v>
      </c>
      <c r="C81" s="36" t="s">
        <v>35</v>
      </c>
      <c r="D81" s="36" t="s">
        <v>24</v>
      </c>
      <c r="E81" s="40" t="s">
        <v>36</v>
      </c>
      <c r="F81" s="36"/>
      <c r="G81" s="74"/>
      <c r="H81" s="74"/>
      <c r="I81" s="74"/>
    </row>
    <row r="82" spans="1:9" x14ac:dyDescent="0.35">
      <c r="A82" s="36" t="s">
        <v>41</v>
      </c>
      <c r="B82" s="36">
        <v>2</v>
      </c>
      <c r="C82" s="40">
        <f>'Customer values'!C12</f>
        <v>161.6837075375029</v>
      </c>
      <c r="D82" s="36">
        <v>800</v>
      </c>
      <c r="E82" s="36">
        <v>4</v>
      </c>
      <c r="F82" s="40">
        <f>E82*D82*C82*B82</f>
        <v>1034775.7282400186</v>
      </c>
      <c r="G82" s="74"/>
      <c r="H82" s="74"/>
      <c r="I82" s="74"/>
    </row>
    <row r="83" spans="1:9" x14ac:dyDescent="0.35">
      <c r="A83" s="36"/>
      <c r="B83" s="36"/>
      <c r="C83" s="36"/>
      <c r="D83" s="36"/>
      <c r="E83" s="36"/>
      <c r="F83" s="36"/>
      <c r="G83" s="74"/>
      <c r="H83" s="74"/>
      <c r="I83" s="74"/>
    </row>
    <row r="84" spans="1:9" x14ac:dyDescent="0.35">
      <c r="A84" s="39" t="s">
        <v>22</v>
      </c>
      <c r="B84" s="36"/>
      <c r="C84" s="36"/>
      <c r="D84" s="36"/>
      <c r="E84" s="36"/>
      <c r="F84" s="42">
        <f>+SUM(F82)</f>
        <v>1034775.7282400186</v>
      </c>
      <c r="G84" s="74"/>
      <c r="H84" s="74"/>
      <c r="I84" s="74"/>
    </row>
    <row r="85" spans="1:9" x14ac:dyDescent="0.35">
      <c r="A85" s="39" t="s">
        <v>8</v>
      </c>
      <c r="B85" s="36"/>
      <c r="C85" s="36"/>
      <c r="D85" s="36"/>
      <c r="E85" s="36"/>
      <c r="F85" s="43">
        <f>F84-F79</f>
        <v>734775.72824001859</v>
      </c>
      <c r="G85" s="74"/>
      <c r="H85" s="74"/>
      <c r="I85" s="74"/>
    </row>
    <row r="86" spans="1:9" x14ac:dyDescent="0.35">
      <c r="A86" s="38" t="s">
        <v>69</v>
      </c>
      <c r="B86" s="38"/>
      <c r="C86" s="38"/>
      <c r="D86" s="38"/>
      <c r="E86" s="38"/>
      <c r="F86" s="38"/>
      <c r="G86" s="54"/>
      <c r="H86" s="54"/>
      <c r="I86" s="54"/>
    </row>
    <row r="87" spans="1:9" x14ac:dyDescent="0.35">
      <c r="A87" s="39" t="s">
        <v>18</v>
      </c>
      <c r="B87" s="56" t="s">
        <v>5</v>
      </c>
      <c r="C87" s="56" t="s">
        <v>6</v>
      </c>
      <c r="D87" s="36"/>
      <c r="E87" s="36"/>
      <c r="F87" s="39" t="s">
        <v>19</v>
      </c>
      <c r="G87" s="74" t="s">
        <v>76</v>
      </c>
      <c r="H87" s="74" t="s">
        <v>77</v>
      </c>
      <c r="I87" s="74" t="s">
        <v>78</v>
      </c>
    </row>
    <row r="88" spans="1:9" x14ac:dyDescent="0.35">
      <c r="A88" s="36"/>
      <c r="B88" s="44">
        <v>1249995.33</v>
      </c>
      <c r="C88" s="44">
        <v>1799994.56</v>
      </c>
      <c r="D88" s="36"/>
      <c r="E88" s="36"/>
      <c r="F88" s="45">
        <f>B88+C88</f>
        <v>3049989.89</v>
      </c>
      <c r="G88" s="74"/>
      <c r="H88" s="74"/>
      <c r="I88" s="74"/>
    </row>
    <row r="89" spans="1:9" x14ac:dyDescent="0.35">
      <c r="A89" s="39" t="s">
        <v>21</v>
      </c>
      <c r="B89" s="36"/>
      <c r="C89" s="36"/>
      <c r="D89" s="36"/>
      <c r="E89" s="36"/>
      <c r="F89" s="39" t="s">
        <v>22</v>
      </c>
      <c r="G89" s="74"/>
      <c r="H89" s="74"/>
      <c r="I89" s="74"/>
    </row>
    <row r="90" spans="1:9" x14ac:dyDescent="0.35">
      <c r="A90" s="39"/>
      <c r="B90" s="36" t="s">
        <v>73</v>
      </c>
      <c r="C90" s="36"/>
      <c r="D90" s="36" t="s">
        <v>24</v>
      </c>
      <c r="E90" s="36"/>
      <c r="F90" s="39"/>
      <c r="G90" s="74"/>
      <c r="H90" s="74"/>
      <c r="I90" s="74"/>
    </row>
    <row r="91" spans="1:9" x14ac:dyDescent="0.35">
      <c r="A91" s="36" t="s">
        <v>44</v>
      </c>
      <c r="B91" s="40">
        <v>50</v>
      </c>
      <c r="C91" s="36"/>
      <c r="D91" s="36">
        <f>C99*E99</f>
        <v>3000</v>
      </c>
      <c r="E91" s="36"/>
      <c r="F91" s="45">
        <f>B91*D91</f>
        <v>150000</v>
      </c>
      <c r="G91" s="74"/>
      <c r="H91" s="74"/>
      <c r="I91" s="74"/>
    </row>
    <row r="92" spans="1:9" x14ac:dyDescent="0.35">
      <c r="A92" s="36"/>
      <c r="B92" s="36" t="s">
        <v>35</v>
      </c>
      <c r="C92" s="36" t="s">
        <v>34</v>
      </c>
      <c r="D92" s="36" t="s">
        <v>24</v>
      </c>
      <c r="E92" s="36" t="s">
        <v>36</v>
      </c>
      <c r="F92" s="36"/>
      <c r="G92" s="74"/>
      <c r="H92" s="74"/>
      <c r="I92" s="74"/>
    </row>
    <row r="93" spans="1:9" x14ac:dyDescent="0.35">
      <c r="A93" s="36" t="s">
        <v>62</v>
      </c>
      <c r="B93" s="40">
        <f>'Customer values'!C11</f>
        <v>31.014375625261117</v>
      </c>
      <c r="C93" s="57">
        <v>10</v>
      </c>
      <c r="D93" s="36">
        <f>0.5*E99*C99</f>
        <v>1500</v>
      </c>
      <c r="E93" s="36">
        <v>4</v>
      </c>
      <c r="F93" s="23">
        <f>B93*C93*D93*E93</f>
        <v>1860862.537515667</v>
      </c>
      <c r="G93" s="74"/>
      <c r="H93" s="74"/>
      <c r="I93" s="74"/>
    </row>
    <row r="94" spans="1:9" x14ac:dyDescent="0.35">
      <c r="A94" s="36"/>
      <c r="B94" s="40"/>
      <c r="C94" s="57"/>
      <c r="D94" s="36"/>
      <c r="E94" s="36"/>
      <c r="F94" s="40"/>
      <c r="G94" s="74"/>
      <c r="H94" s="74"/>
      <c r="I94" s="74"/>
    </row>
    <row r="95" spans="1:9" x14ac:dyDescent="0.35">
      <c r="A95" s="36" t="s">
        <v>79</v>
      </c>
      <c r="B95" s="36" t="s">
        <v>35</v>
      </c>
      <c r="C95" s="36" t="s">
        <v>34</v>
      </c>
      <c r="D95" s="36" t="s">
        <v>24</v>
      </c>
      <c r="E95" s="36" t="s">
        <v>36</v>
      </c>
      <c r="F95" s="40"/>
      <c r="G95" s="74"/>
      <c r="H95" s="74"/>
      <c r="I95" s="74"/>
    </row>
    <row r="96" spans="1:9" x14ac:dyDescent="0.35">
      <c r="A96" s="36"/>
      <c r="B96" s="40">
        <f>'Customer values'!C12</f>
        <v>161.6837075375029</v>
      </c>
      <c r="C96" s="57">
        <v>10</v>
      </c>
      <c r="D96" s="36">
        <f>0.1*E99*C99</f>
        <v>300</v>
      </c>
      <c r="E96" s="36">
        <v>4</v>
      </c>
      <c r="F96" s="45">
        <f>B96*C96*D96*E96</f>
        <v>1940204.4904500346</v>
      </c>
      <c r="G96" s="74"/>
      <c r="H96" s="74"/>
      <c r="I96" s="74"/>
    </row>
    <row r="97" spans="1:9" x14ac:dyDescent="0.35">
      <c r="A97" s="36"/>
      <c r="B97" s="40"/>
      <c r="C97" s="57"/>
      <c r="D97" s="36"/>
      <c r="E97" s="36"/>
      <c r="F97" s="45"/>
      <c r="G97" s="74"/>
      <c r="H97" s="74"/>
      <c r="I97" s="74"/>
    </row>
    <row r="98" spans="1:9" x14ac:dyDescent="0.35">
      <c r="A98" s="36" t="s">
        <v>80</v>
      </c>
      <c r="B98" s="36" t="s">
        <v>81</v>
      </c>
      <c r="C98" s="36" t="s">
        <v>82</v>
      </c>
      <c r="D98" s="36" t="s">
        <v>83</v>
      </c>
      <c r="E98" s="36" t="s">
        <v>84</v>
      </c>
      <c r="F98" s="42">
        <f>SUM(F91:F96)</f>
        <v>3951067.0279657017</v>
      </c>
      <c r="G98" s="74"/>
      <c r="H98" s="74"/>
      <c r="I98" s="74"/>
    </row>
    <row r="99" spans="1:9" x14ac:dyDescent="0.35">
      <c r="A99" s="36"/>
      <c r="B99" s="36">
        <v>5</v>
      </c>
      <c r="C99" s="36">
        <v>15</v>
      </c>
      <c r="D99" s="45">
        <f>(SUM(B88:C88)-(75000))/C99</f>
        <v>198332.65933333334</v>
      </c>
      <c r="E99" s="36">
        <v>200</v>
      </c>
      <c r="F99" s="43">
        <f>F98-F88</f>
        <v>901077.13796570152</v>
      </c>
      <c r="G99" s="74"/>
      <c r="H99" s="74"/>
      <c r="I99" s="74"/>
    </row>
    <row r="100" spans="1:9" x14ac:dyDescent="0.35">
      <c r="A100" s="38" t="s">
        <v>111</v>
      </c>
      <c r="B100" s="38"/>
      <c r="C100" s="38"/>
      <c r="D100" s="38"/>
      <c r="E100" s="38"/>
      <c r="F100" s="38"/>
      <c r="G100" s="54"/>
      <c r="H100" s="54"/>
      <c r="I100" s="54"/>
    </row>
    <row r="101" spans="1:9" ht="14.5" customHeight="1" x14ac:dyDescent="0.35">
      <c r="A101" s="63" t="s">
        <v>18</v>
      </c>
      <c r="B101" s="59" t="s">
        <v>5</v>
      </c>
      <c r="C101" s="59" t="s">
        <v>6</v>
      </c>
      <c r="D101" s="60"/>
      <c r="E101" s="60"/>
      <c r="F101" s="39" t="s">
        <v>19</v>
      </c>
      <c r="G101" s="75" t="s">
        <v>113</v>
      </c>
      <c r="H101" s="75" t="s">
        <v>93</v>
      </c>
      <c r="I101" s="75" t="s">
        <v>94</v>
      </c>
    </row>
    <row r="102" spans="1:9" x14ac:dyDescent="0.35">
      <c r="A102" s="36"/>
      <c r="B102" s="61">
        <v>538800</v>
      </c>
      <c r="C102" s="61">
        <v>150620</v>
      </c>
      <c r="D102" s="60"/>
      <c r="E102" s="60"/>
      <c r="F102" s="45">
        <f>B102+C102</f>
        <v>689420</v>
      </c>
      <c r="G102" s="76"/>
      <c r="H102" s="76"/>
      <c r="I102" s="76"/>
    </row>
    <row r="103" spans="1:9" x14ac:dyDescent="0.35">
      <c r="A103" s="39" t="s">
        <v>21</v>
      </c>
      <c r="B103" s="60"/>
      <c r="C103" s="60"/>
      <c r="D103" s="60"/>
      <c r="E103" s="60"/>
      <c r="F103" s="39" t="s">
        <v>22</v>
      </c>
      <c r="G103" s="76"/>
      <c r="H103" s="76"/>
      <c r="I103" s="76"/>
    </row>
    <row r="104" spans="1:9" x14ac:dyDescent="0.35">
      <c r="A104" s="36"/>
      <c r="B104" s="60" t="s">
        <v>34</v>
      </c>
      <c r="C104" s="60" t="s">
        <v>35</v>
      </c>
      <c r="D104" s="60" t="s">
        <v>24</v>
      </c>
      <c r="E104" s="62" t="s">
        <v>36</v>
      </c>
      <c r="F104" s="36"/>
      <c r="G104" s="76"/>
      <c r="H104" s="76"/>
      <c r="I104" s="76"/>
    </row>
    <row r="105" spans="1:9" x14ac:dyDescent="0.35">
      <c r="A105" s="36" t="s">
        <v>37</v>
      </c>
      <c r="B105" s="60">
        <v>6</v>
      </c>
      <c r="C105" s="62">
        <f>'Customer values'!C13</f>
        <v>92.588015999999996</v>
      </c>
      <c r="D105" s="60">
        <v>450</v>
      </c>
      <c r="E105" s="60">
        <v>4</v>
      </c>
      <c r="F105" s="46">
        <f>C105*D105*E105*B105</f>
        <v>999950.57279999997</v>
      </c>
      <c r="G105" s="76"/>
      <c r="H105" s="76"/>
      <c r="I105" s="76"/>
    </row>
    <row r="106" spans="1:9" x14ac:dyDescent="0.35">
      <c r="A106" s="36"/>
      <c r="B106" s="60"/>
      <c r="C106" s="60"/>
      <c r="D106" s="60"/>
      <c r="E106" s="60"/>
      <c r="F106" s="36"/>
      <c r="G106" s="76"/>
      <c r="H106" s="76"/>
      <c r="I106" s="76"/>
    </row>
    <row r="107" spans="1:9" x14ac:dyDescent="0.35">
      <c r="A107" s="39" t="s">
        <v>22</v>
      </c>
      <c r="B107" s="60"/>
      <c r="C107" s="60"/>
      <c r="D107" s="60"/>
      <c r="E107" s="60"/>
      <c r="F107" s="42">
        <f>+SUM(F105)</f>
        <v>999950.57279999997</v>
      </c>
      <c r="G107" s="76"/>
      <c r="H107" s="76"/>
      <c r="I107" s="76"/>
    </row>
    <row r="108" spans="1:9" x14ac:dyDescent="0.35">
      <c r="A108" s="39" t="s">
        <v>8</v>
      </c>
      <c r="B108" s="60"/>
      <c r="C108" s="60"/>
      <c r="D108" s="60"/>
      <c r="E108" s="60"/>
      <c r="F108" s="43">
        <f>F107-F102</f>
        <v>310530.57279999997</v>
      </c>
      <c r="G108" s="77"/>
      <c r="H108" s="77"/>
      <c r="I108" s="77"/>
    </row>
    <row r="109" spans="1:9" x14ac:dyDescent="0.35">
      <c r="A109" s="38" t="s">
        <v>85</v>
      </c>
      <c r="B109" s="38"/>
      <c r="C109" s="38"/>
      <c r="D109" s="38"/>
      <c r="E109" s="38"/>
      <c r="F109" s="38"/>
      <c r="G109" s="54"/>
      <c r="H109" s="54"/>
      <c r="I109" s="54"/>
    </row>
    <row r="110" spans="1:9" ht="14.5" customHeight="1" x14ac:dyDescent="0.35">
      <c r="A110" s="39" t="s">
        <v>18</v>
      </c>
      <c r="B110" s="59" t="s">
        <v>5</v>
      </c>
      <c r="C110" s="59" t="s">
        <v>6</v>
      </c>
      <c r="D110" s="60"/>
      <c r="E110" s="60"/>
      <c r="F110" s="39" t="s">
        <v>19</v>
      </c>
      <c r="G110" s="74" t="s">
        <v>86</v>
      </c>
      <c r="H110" s="74" t="s">
        <v>91</v>
      </c>
      <c r="I110" s="74" t="s">
        <v>92</v>
      </c>
    </row>
    <row r="111" spans="1:9" x14ac:dyDescent="0.35">
      <c r="A111" s="36"/>
      <c r="B111" s="61">
        <v>469538</v>
      </c>
      <c r="C111" s="61">
        <v>54200</v>
      </c>
      <c r="D111" s="60"/>
      <c r="E111" s="60"/>
      <c r="F111" s="45">
        <f>B111+C111</f>
        <v>523738</v>
      </c>
      <c r="G111" s="74"/>
      <c r="H111" s="74"/>
      <c r="I111" s="74"/>
    </row>
    <row r="112" spans="1:9" x14ac:dyDescent="0.35">
      <c r="A112" s="39" t="s">
        <v>21</v>
      </c>
      <c r="B112" s="60"/>
      <c r="C112" s="60"/>
      <c r="D112" s="60"/>
      <c r="E112" s="60"/>
      <c r="F112" s="39" t="s">
        <v>22</v>
      </c>
      <c r="G112" s="74"/>
      <c r="H112" s="74"/>
      <c r="I112" s="74"/>
    </row>
    <row r="113" spans="1:9" x14ac:dyDescent="0.35">
      <c r="A113" s="36"/>
      <c r="B113" s="60"/>
      <c r="C113" s="60" t="s">
        <v>46</v>
      </c>
      <c r="D113" s="60" t="s">
        <v>24</v>
      </c>
      <c r="E113" s="60"/>
      <c r="F113" s="36"/>
      <c r="G113" s="74"/>
      <c r="H113" s="74"/>
      <c r="I113" s="74"/>
    </row>
    <row r="114" spans="1:9" x14ac:dyDescent="0.35">
      <c r="A114" s="36" t="s">
        <v>44</v>
      </c>
      <c r="B114" s="62"/>
      <c r="C114" s="62">
        <v>50</v>
      </c>
      <c r="D114" s="60">
        <v>500</v>
      </c>
      <c r="E114" s="60"/>
      <c r="F114" s="40">
        <f>C114*D114</f>
        <v>25000</v>
      </c>
      <c r="G114" s="74"/>
      <c r="H114" s="74"/>
      <c r="I114" s="74"/>
    </row>
    <row r="115" spans="1:9" x14ac:dyDescent="0.35">
      <c r="A115" s="36"/>
      <c r="B115" s="60"/>
      <c r="C115" s="60"/>
      <c r="D115" s="60"/>
      <c r="E115" s="62"/>
      <c r="F115" s="36"/>
      <c r="G115" s="74"/>
      <c r="H115" s="74"/>
      <c r="I115" s="74"/>
    </row>
    <row r="116" spans="1:9" x14ac:dyDescent="0.35">
      <c r="A116" s="36" t="s">
        <v>47</v>
      </c>
      <c r="B116" s="60" t="s">
        <v>34</v>
      </c>
      <c r="C116" s="60" t="s">
        <v>35</v>
      </c>
      <c r="D116" s="60" t="s">
        <v>48</v>
      </c>
      <c r="E116" s="60" t="s">
        <v>49</v>
      </c>
      <c r="F116" s="36"/>
      <c r="G116" s="74"/>
      <c r="H116" s="74"/>
      <c r="I116" s="74"/>
    </row>
    <row r="117" spans="1:9" x14ac:dyDescent="0.35">
      <c r="A117" s="36" t="s">
        <v>87</v>
      </c>
      <c r="B117" s="60">
        <v>2</v>
      </c>
      <c r="C117" s="62">
        <f>49.23*'Customer values'!C15</f>
        <v>29.533429046131694</v>
      </c>
      <c r="D117" s="60">
        <f>D114</f>
        <v>500</v>
      </c>
      <c r="E117" s="60">
        <v>30</v>
      </c>
      <c r="F117" s="40">
        <f>B117*C117*D117*E117</f>
        <v>886002.87138395081</v>
      </c>
      <c r="G117" s="74"/>
      <c r="H117" s="74"/>
      <c r="I117" s="74"/>
    </row>
    <row r="118" spans="1:9" x14ac:dyDescent="0.35">
      <c r="A118" s="37"/>
      <c r="B118" s="60"/>
      <c r="C118" s="60"/>
      <c r="D118" s="60"/>
      <c r="E118" s="60"/>
      <c r="F118" s="36"/>
      <c r="G118" s="74"/>
      <c r="H118" s="74"/>
      <c r="I118" s="74"/>
    </row>
    <row r="119" spans="1:9" x14ac:dyDescent="0.35">
      <c r="A119" s="37"/>
      <c r="B119" s="60"/>
      <c r="C119" s="60"/>
      <c r="D119" s="60"/>
      <c r="E119" s="60"/>
      <c r="F119" s="36"/>
      <c r="G119" s="74"/>
      <c r="H119" s="74"/>
      <c r="I119" s="74"/>
    </row>
    <row r="120" spans="1:9" x14ac:dyDescent="0.35">
      <c r="A120" s="39" t="s">
        <v>22</v>
      </c>
      <c r="B120" s="60"/>
      <c r="C120" s="60"/>
      <c r="D120" s="60"/>
      <c r="E120" s="60"/>
      <c r="F120" s="42">
        <f>F117+F114</f>
        <v>911002.87138395081</v>
      </c>
      <c r="G120" s="74"/>
      <c r="H120" s="74"/>
      <c r="I120" s="74"/>
    </row>
    <row r="121" spans="1:9" x14ac:dyDescent="0.35">
      <c r="A121" s="39" t="s">
        <v>8</v>
      </c>
      <c r="B121" s="60"/>
      <c r="C121" s="60"/>
      <c r="D121" s="60"/>
      <c r="E121" s="60"/>
      <c r="F121" s="43">
        <f>F120-F111</f>
        <v>387264.87138395081</v>
      </c>
      <c r="G121" s="74"/>
      <c r="H121" s="74"/>
      <c r="I121" s="74"/>
    </row>
    <row r="122" spans="1:9" x14ac:dyDescent="0.35">
      <c r="A122" s="38" t="s">
        <v>112</v>
      </c>
      <c r="B122" s="38"/>
      <c r="C122" s="38"/>
      <c r="D122" s="38"/>
      <c r="E122" s="38"/>
      <c r="F122" s="38"/>
      <c r="G122" s="54"/>
      <c r="H122" s="54"/>
      <c r="I122" s="54"/>
    </row>
    <row r="123" spans="1:9" ht="14.5" customHeight="1" x14ac:dyDescent="0.35">
      <c r="A123" s="39" t="s">
        <v>18</v>
      </c>
      <c r="B123" s="59" t="s">
        <v>5</v>
      </c>
      <c r="C123" s="59" t="s">
        <v>6</v>
      </c>
      <c r="D123" s="60"/>
      <c r="E123" s="60"/>
      <c r="F123" s="39" t="s">
        <v>19</v>
      </c>
      <c r="G123" s="74" t="s">
        <v>88</v>
      </c>
      <c r="H123" s="74" t="s">
        <v>89</v>
      </c>
      <c r="I123" s="74" t="s">
        <v>90</v>
      </c>
    </row>
    <row r="124" spans="1:9" x14ac:dyDescent="0.35">
      <c r="A124" s="36"/>
      <c r="B124" s="61">
        <v>800000</v>
      </c>
      <c r="C124" s="61">
        <v>50000</v>
      </c>
      <c r="D124" s="60"/>
      <c r="E124" s="60"/>
      <c r="F124" s="45">
        <f>B124+C124</f>
        <v>850000</v>
      </c>
      <c r="G124" s="74"/>
      <c r="H124" s="74"/>
      <c r="I124" s="74"/>
    </row>
    <row r="125" spans="1:9" x14ac:dyDescent="0.35">
      <c r="A125" s="39"/>
      <c r="B125" s="60"/>
      <c r="C125" s="60"/>
      <c r="D125" s="60"/>
      <c r="E125" s="60"/>
      <c r="F125" s="39" t="s">
        <v>22</v>
      </c>
      <c r="G125" s="74"/>
      <c r="H125" s="74"/>
      <c r="I125" s="74"/>
    </row>
    <row r="126" spans="1:9" x14ac:dyDescent="0.35">
      <c r="A126" s="39" t="s">
        <v>21</v>
      </c>
      <c r="B126" s="60"/>
      <c r="C126" s="60"/>
      <c r="D126" s="60"/>
      <c r="E126" s="60"/>
      <c r="F126" s="36"/>
      <c r="G126" s="74"/>
      <c r="H126" s="74"/>
      <c r="I126" s="74"/>
    </row>
    <row r="127" spans="1:9" x14ac:dyDescent="0.35">
      <c r="A127" s="36"/>
      <c r="B127" s="60" t="s">
        <v>34</v>
      </c>
      <c r="C127" s="60" t="s">
        <v>35</v>
      </c>
      <c r="D127" s="60" t="s">
        <v>24</v>
      </c>
      <c r="E127" s="62" t="s">
        <v>36</v>
      </c>
      <c r="F127" s="40"/>
      <c r="G127" s="74"/>
      <c r="H127" s="74"/>
      <c r="I127" s="74"/>
    </row>
    <row r="128" spans="1:9" x14ac:dyDescent="0.35">
      <c r="A128" s="36" t="s">
        <v>64</v>
      </c>
      <c r="B128" s="60">
        <v>4</v>
      </c>
      <c r="C128" s="62">
        <f>'Customer values'!C13</f>
        <v>92.588015999999996</v>
      </c>
      <c r="D128" s="60">
        <v>1000</v>
      </c>
      <c r="E128" s="60">
        <v>4</v>
      </c>
      <c r="F128" s="46">
        <f>C128*D128*E128*B128</f>
        <v>1481408.2560000001</v>
      </c>
      <c r="G128" s="74"/>
      <c r="H128" s="74"/>
      <c r="I128" s="74"/>
    </row>
    <row r="129" spans="1:9" x14ac:dyDescent="0.35">
      <c r="A129" s="36"/>
      <c r="B129" s="60"/>
      <c r="C129" s="60"/>
      <c r="D129" s="60"/>
      <c r="E129" s="60"/>
      <c r="F129" s="40">
        <f>B129*D129*C129</f>
        <v>0</v>
      </c>
      <c r="G129" s="74"/>
      <c r="H129" s="74"/>
      <c r="I129" s="74"/>
    </row>
    <row r="130" spans="1:9" x14ac:dyDescent="0.35">
      <c r="A130" s="36"/>
      <c r="B130" s="60"/>
      <c r="C130" s="60"/>
      <c r="D130" s="60"/>
      <c r="E130" s="64"/>
      <c r="F130" s="36"/>
      <c r="G130" s="74"/>
      <c r="H130" s="74"/>
      <c r="I130" s="74"/>
    </row>
    <row r="131" spans="1:9" x14ac:dyDescent="0.35">
      <c r="A131" s="36"/>
      <c r="B131" s="60"/>
      <c r="C131" s="64"/>
      <c r="D131" s="60"/>
      <c r="E131" s="60"/>
      <c r="F131" s="40">
        <f>B131*C131*D131*E131</f>
        <v>0</v>
      </c>
      <c r="G131" s="74"/>
      <c r="H131" s="74"/>
      <c r="I131" s="74"/>
    </row>
    <row r="132" spans="1:9" x14ac:dyDescent="0.35">
      <c r="A132" s="36"/>
      <c r="B132" s="60"/>
      <c r="C132" s="64"/>
      <c r="D132" s="60"/>
      <c r="E132" s="60"/>
      <c r="F132" s="40"/>
      <c r="G132" s="74"/>
      <c r="H132" s="74"/>
      <c r="I132" s="74"/>
    </row>
    <row r="133" spans="1:9" x14ac:dyDescent="0.35">
      <c r="A133" s="39" t="s">
        <v>22</v>
      </c>
      <c r="B133" s="60"/>
      <c r="C133" s="60"/>
      <c r="D133" s="60"/>
      <c r="E133" s="60"/>
      <c r="F133" s="42">
        <f>F128</f>
        <v>1481408.2560000001</v>
      </c>
      <c r="G133" s="74"/>
      <c r="H133" s="74"/>
      <c r="I133" s="74"/>
    </row>
    <row r="134" spans="1:9" x14ac:dyDescent="0.35">
      <c r="A134" s="39" t="s">
        <v>8</v>
      </c>
      <c r="B134" s="60"/>
      <c r="C134" s="60"/>
      <c r="D134" s="60"/>
      <c r="E134" s="60"/>
      <c r="F134" s="43">
        <f>F133-F124</f>
        <v>631408.25600000005</v>
      </c>
      <c r="G134" s="74"/>
      <c r="H134" s="74"/>
      <c r="I134" s="74"/>
    </row>
  </sheetData>
  <mergeCells count="33">
    <mergeCell ref="H123:H134"/>
    <mergeCell ref="I123:I134"/>
    <mergeCell ref="G101:G108"/>
    <mergeCell ref="H101:H108"/>
    <mergeCell ref="I101:I108"/>
    <mergeCell ref="G110:G121"/>
    <mergeCell ref="H110:H121"/>
    <mergeCell ref="I110:I121"/>
    <mergeCell ref="G123:G134"/>
    <mergeCell ref="H78:H85"/>
    <mergeCell ref="I78:I85"/>
    <mergeCell ref="G87:G99"/>
    <mergeCell ref="H87:H99"/>
    <mergeCell ref="I87:I99"/>
    <mergeCell ref="G78:G85"/>
    <mergeCell ref="G7:G17"/>
    <mergeCell ref="H7:H17"/>
    <mergeCell ref="I7:I17"/>
    <mergeCell ref="G19:G33"/>
    <mergeCell ref="H19:H33"/>
    <mergeCell ref="I19:I33"/>
    <mergeCell ref="G35:G46"/>
    <mergeCell ref="H35:H46"/>
    <mergeCell ref="I35:I46"/>
    <mergeCell ref="G48:G58"/>
    <mergeCell ref="G69:G76"/>
    <mergeCell ref="H69:H76"/>
    <mergeCell ref="I69:I76"/>
    <mergeCell ref="H48:H58"/>
    <mergeCell ref="I48:I58"/>
    <mergeCell ref="G60:G67"/>
    <mergeCell ref="H60:H67"/>
    <mergeCell ref="I60:I6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2AFA-12A1-48F1-894D-620FF49AE6B4}">
  <sheetPr codeName="Sheet4"/>
  <dimension ref="A1:L15"/>
  <sheetViews>
    <sheetView showGridLines="0" workbookViewId="0">
      <selection activeCell="E6" sqref="E6"/>
    </sheetView>
  </sheetViews>
  <sheetFormatPr defaultRowHeight="14.5" x14ac:dyDescent="0.35"/>
  <cols>
    <col min="2" max="2" width="102" customWidth="1"/>
    <col min="3" max="3" width="30.81640625" customWidth="1"/>
  </cols>
  <sheetData>
    <row r="1" spans="1:12" s="13" customFormat="1" ht="21" x14ac:dyDescent="0.5">
      <c r="A1" s="11" t="s">
        <v>0</v>
      </c>
      <c r="B1" s="12"/>
      <c r="C1" s="12"/>
      <c r="D1" s="12"/>
      <c r="E1" s="12"/>
      <c r="F1" s="12"/>
      <c r="G1" s="12"/>
      <c r="H1" s="12"/>
      <c r="I1" s="12"/>
      <c r="J1" s="11"/>
      <c r="K1" s="11"/>
    </row>
    <row r="2" spans="1:12" s="13" customFormat="1" ht="16" x14ac:dyDescent="0.4">
      <c r="A2" s="14" t="s">
        <v>1</v>
      </c>
      <c r="B2" s="73"/>
      <c r="C2" s="12"/>
      <c r="D2" s="12"/>
      <c r="E2" s="12"/>
      <c r="F2" s="12"/>
      <c r="G2" s="12"/>
      <c r="H2" s="12"/>
      <c r="I2" s="12"/>
      <c r="J2" s="14"/>
      <c r="K2" s="14"/>
    </row>
    <row r="3" spans="1:12" s="18" customFormat="1" ht="15" customHeight="1" x14ac:dyDescent="0.4">
      <c r="A3" s="15" t="s">
        <v>56</v>
      </c>
      <c r="B3" s="17"/>
      <c r="C3" s="17"/>
      <c r="D3" s="17"/>
      <c r="E3" s="17"/>
      <c r="F3" s="17"/>
      <c r="G3" s="17"/>
      <c r="H3" s="17"/>
      <c r="I3" s="17"/>
      <c r="J3" s="14"/>
      <c r="K3" s="14"/>
      <c r="L3" s="13"/>
    </row>
    <row r="5" spans="1:12" x14ac:dyDescent="0.35">
      <c r="B5" s="25" t="s">
        <v>57</v>
      </c>
    </row>
    <row r="6" spans="1:12" ht="188.5" x14ac:dyDescent="0.35">
      <c r="B6" s="24" t="s">
        <v>58</v>
      </c>
    </row>
    <row r="7" spans="1:12" ht="15" thickBot="1" x14ac:dyDescent="0.4">
      <c r="B7" s="26"/>
    </row>
    <row r="8" spans="1:12" ht="21" x14ac:dyDescent="0.5">
      <c r="B8" s="27" t="s">
        <v>59</v>
      </c>
      <c r="C8" s="78" t="s">
        <v>0</v>
      </c>
      <c r="D8" s="79"/>
    </row>
    <row r="9" spans="1:12" ht="16.5" thickBot="1" x14ac:dyDescent="0.45">
      <c r="B9" s="28"/>
      <c r="C9" s="80" t="s">
        <v>60</v>
      </c>
      <c r="D9" s="81"/>
    </row>
    <row r="10" spans="1:12" x14ac:dyDescent="0.35">
      <c r="B10" s="28" t="s">
        <v>61</v>
      </c>
      <c r="C10" s="29">
        <v>0.91927585222831731</v>
      </c>
      <c r="D10" s="30"/>
    </row>
    <row r="11" spans="1:12" x14ac:dyDescent="0.35">
      <c r="B11" s="28" t="s">
        <v>62</v>
      </c>
      <c r="C11" s="31">
        <v>31.014375625261117</v>
      </c>
      <c r="D11" s="32"/>
    </row>
    <row r="12" spans="1:12" x14ac:dyDescent="0.35">
      <c r="B12" s="28" t="s">
        <v>63</v>
      </c>
      <c r="C12" s="31">
        <v>161.6837075375029</v>
      </c>
      <c r="D12" s="30"/>
    </row>
    <row r="13" spans="1:12" x14ac:dyDescent="0.35">
      <c r="B13" s="28" t="s">
        <v>64</v>
      </c>
      <c r="C13" s="29">
        <v>92.588015999999996</v>
      </c>
      <c r="D13" s="30"/>
    </row>
    <row r="14" spans="1:12" x14ac:dyDescent="0.35">
      <c r="B14" s="28" t="s">
        <v>65</v>
      </c>
      <c r="C14" s="29">
        <v>22.220389348049316</v>
      </c>
      <c r="D14" s="30"/>
    </row>
    <row r="15" spans="1:12" ht="15" thickBot="1" x14ac:dyDescent="0.4">
      <c r="B15" s="33" t="s">
        <v>45</v>
      </c>
      <c r="C15" s="34">
        <v>0.59990715104878523</v>
      </c>
      <c r="D15" s="35"/>
    </row>
  </sheetData>
  <mergeCells count="2">
    <mergeCell ref="C8:D8"/>
    <mergeCell ref="C9:D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1A4EC58B9AC84E8DA9E55FE17795F5" ma:contentTypeVersion="15" ma:contentTypeDescription="Create a new document." ma:contentTypeScope="" ma:versionID="2994090305c315cecb2a8eb57314df9f">
  <xsd:schema xmlns:xsd="http://www.w3.org/2001/XMLSchema" xmlns:xs="http://www.w3.org/2001/XMLSchema" xmlns:p="http://schemas.microsoft.com/office/2006/metadata/properties" xmlns:ns2="823b76a3-0728-4505-b47b-c776522717f2" xmlns:ns3="027231a5-0522-488d-9302-93e3980f3d76" targetNamespace="http://schemas.microsoft.com/office/2006/metadata/properties" ma:root="true" ma:fieldsID="3805746b67d6f7df4e04feb1dd7fc297" ns2:_="" ns3:_="">
    <xsd:import namespace="823b76a3-0728-4505-b47b-c776522717f2"/>
    <xsd:import namespace="027231a5-0522-488d-9302-93e3980f3d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b76a3-0728-4505-b47b-c77652271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af39bdc-e355-4d0b-abbc-a9adafa3d00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7231a5-0522-488d-9302-93e3980f3d7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76ff05f-6f14-498f-8489-be9a9108ef0a}" ma:internalName="TaxCatchAll" ma:showField="CatchAllData" ma:web="027231a5-0522-488d-9302-93e3980f3d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3b76a3-0728-4505-b47b-c776522717f2">
      <Terms xmlns="http://schemas.microsoft.com/office/infopath/2007/PartnerControls"/>
    </lcf76f155ced4ddcb4097134ff3c332f>
    <TaxCatchAll xmlns="027231a5-0522-488d-9302-93e3980f3d76" xsi:nil="true"/>
  </documentManagement>
</p:properties>
</file>

<file path=customXml/itemProps1.xml><?xml version="1.0" encoding="utf-8"?>
<ds:datastoreItem xmlns:ds="http://schemas.openxmlformats.org/officeDocument/2006/customXml" ds:itemID="{891FB90F-C658-4EAB-8CDE-6A70AC7A6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3b76a3-0728-4505-b47b-c776522717f2"/>
    <ds:schemaRef ds:uri="027231a5-0522-488d-9302-93e3980f3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6CE48-7AB3-4733-A38C-2F5BF42A32C0}">
  <ds:schemaRefs>
    <ds:schemaRef ds:uri="http://schemas.microsoft.com/sharepoint/v3/contenttype/forms"/>
  </ds:schemaRefs>
</ds:datastoreItem>
</file>

<file path=customXml/itemProps3.xml><?xml version="1.0" encoding="utf-8"?>
<ds:datastoreItem xmlns:ds="http://schemas.openxmlformats.org/officeDocument/2006/customXml" ds:itemID="{67D8D996-F9A9-42D8-AA8E-516EBFD5D89E}">
  <ds:schemaRefs>
    <ds:schemaRef ds:uri="http://schemas.openxmlformats.org/package/2006/metadata/core-properties"/>
    <ds:schemaRef ds:uri="http://purl.org/dc/terms/"/>
    <ds:schemaRef ds:uri="http://www.w3.org/XML/1998/namespace"/>
    <ds:schemaRef ds:uri="http://schemas.microsoft.com/office/2006/documentManagement/types"/>
    <ds:schemaRef ds:uri="823b76a3-0728-4505-b47b-c776522717f2"/>
    <ds:schemaRef ds:uri="http://purl.org/dc/elements/1.1/"/>
    <ds:schemaRef ds:uri="http://purl.org/dc/dcmitype/"/>
    <ds:schemaRef ds:uri="http://schemas.microsoft.com/office/infopath/2007/PartnerControls"/>
    <ds:schemaRef ds:uri="027231a5-0522-488d-9302-93e3980f3d7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Summary </vt:lpstr>
      <vt:lpstr>Projects</vt:lpstr>
      <vt:lpstr>Customer values</vt:lpstr>
      <vt:lpstr>sheets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2025-11-28T05:26:22Z</dcterms:created>
  <dcterms:modified xsi:type="dcterms:W3CDTF">2025-12-01T01:02:24Z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0x010100C31A4EC58B9AC84E8DA9E55FE17795F5</vt:lpwstr>
  </property>
</Properties>
</file>