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AC692124-95B4-4B85-8C99-EB5B69F4A723}" xr6:coauthVersionLast="47" xr6:coauthVersionMax="47" xr10:uidLastSave="{00000000-0000-0000-0000-000000000000}"/>
  <bookViews>
    <workbookView xWindow="28680" yWindow="-1755" windowWidth="29040" windowHeight="15720" activeTab="1" xr2:uid="{303A3AA0-47C2-467F-9CC6-226B472106E1}"/>
  </bookViews>
  <sheets>
    <sheet name="Cover" sheetId="20" r:id="rId1"/>
    <sheet name="Output | Draft Decision tables" sheetId="19" r:id="rId2"/>
    <sheet name="STPIS inputs" sheetId="21" r:id="rId3"/>
    <sheet name="Cap adjustment" sheetId="23" r:id="rId4"/>
    <sheet name="Annual performance and targets" sheetId="17" r:id="rId5"/>
    <sheet name="Incentive rates calc" sheetId="14" r:id="rId6"/>
    <sheet name="Change log" sheetId="22" state="hidden" r:id="rId7"/>
  </sheets>
  <definedNames>
    <definedName name="energy" localSheetId="3">'Cap adjustment'!$F$6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G5" i="23"/>
  <c r="D6" i="23"/>
  <c r="E6" i="23"/>
  <c r="F6" i="23"/>
  <c r="G6" i="23"/>
  <c r="C6" i="23"/>
  <c r="C5" i="23"/>
  <c r="G27" i="23" l="1"/>
  <c r="G12" i="17"/>
  <c r="G36" i="17" s="1"/>
  <c r="Y10" i="17"/>
  <c r="Y34" i="17" s="1"/>
  <c r="Y9" i="17"/>
  <c r="Y33" i="17" s="1"/>
  <c r="P10" i="17"/>
  <c r="P9" i="17"/>
  <c r="G10" i="17"/>
  <c r="G9" i="17"/>
  <c r="H24" i="17" l="1"/>
  <c r="I24" i="17"/>
  <c r="D12" i="17"/>
  <c r="D36" i="17" s="1"/>
  <c r="E12" i="17"/>
  <c r="E36" i="17" s="1"/>
  <c r="F12" i="17"/>
  <c r="F36" i="17" s="1"/>
  <c r="C12" i="17"/>
  <c r="D5" i="14"/>
  <c r="G10" i="21"/>
  <c r="D10" i="21"/>
  <c r="I12" i="17" l="1"/>
  <c r="H12" i="17"/>
  <c r="C36" i="17"/>
  <c r="D5" i="21"/>
  <c r="A48" i="23"/>
  <c r="H36" i="17" l="1"/>
  <c r="I36" i="17"/>
  <c r="V9" i="17"/>
  <c r="W9" i="17"/>
  <c r="X9" i="17"/>
  <c r="V10" i="17"/>
  <c r="W10" i="17"/>
  <c r="X10" i="17"/>
  <c r="U10" i="17"/>
  <c r="U9" i="17"/>
  <c r="M10" i="17"/>
  <c r="N10" i="17"/>
  <c r="O10" i="17"/>
  <c r="L10" i="17"/>
  <c r="M9" i="17"/>
  <c r="N9" i="17"/>
  <c r="O9" i="17"/>
  <c r="L9" i="17"/>
  <c r="C10" i="17"/>
  <c r="D10" i="17"/>
  <c r="E10" i="17"/>
  <c r="F10" i="17"/>
  <c r="D9" i="17"/>
  <c r="E9" i="17"/>
  <c r="F9" i="17"/>
  <c r="C9" i="17"/>
  <c r="D27" i="19"/>
  <c r="C27" i="19"/>
  <c r="D17" i="19"/>
  <c r="C17" i="19"/>
  <c r="D7" i="14" l="1"/>
  <c r="C27" i="23" l="1"/>
  <c r="Z9" i="17" l="1"/>
  <c r="AA9" i="17"/>
  <c r="AA10" i="17"/>
  <c r="Z10" i="17"/>
  <c r="E27" i="23" l="1"/>
  <c r="D39" i="23" l="1"/>
  <c r="C39" i="23"/>
  <c r="D34" i="23"/>
  <c r="C34" i="23"/>
  <c r="F7" i="21" l="1"/>
  <c r="F10" i="21" s="1"/>
  <c r="E7" i="21"/>
  <c r="E10" i="21" s="1"/>
  <c r="A47" i="23"/>
  <c r="E11" i="14"/>
  <c r="D11" i="14"/>
  <c r="E4" i="14"/>
  <c r="D4" i="14"/>
  <c r="F27" i="23" l="1"/>
  <c r="F8" i="21" l="1"/>
  <c r="E8" i="21"/>
  <c r="D27" i="23"/>
  <c r="R9" i="17" l="1"/>
  <c r="Q9" i="17"/>
  <c r="H27" i="23"/>
  <c r="I10" i="17"/>
  <c r="I9" i="17"/>
  <c r="R10" i="17"/>
  <c r="D30" i="23" l="1"/>
  <c r="D32" i="23" s="1"/>
  <c r="C41" i="23" l="1"/>
  <c r="C42" i="23" s="1"/>
  <c r="P21" i="17" s="1"/>
  <c r="P33" i="17" s="1"/>
  <c r="D41" i="23"/>
  <c r="D42" i="23" s="1"/>
  <c r="P22" i="17" s="1"/>
  <c r="P34" i="17" s="1"/>
  <c r="D31" i="23"/>
  <c r="D36" i="23" l="1"/>
  <c r="D37" i="23" s="1"/>
  <c r="C36" i="23"/>
  <c r="C37" i="23" s="1"/>
  <c r="G21" i="17" s="1"/>
  <c r="G33" i="17" s="1"/>
  <c r="O22" i="17"/>
  <c r="O34" i="17" s="1"/>
  <c r="N22" i="17"/>
  <c r="N34" i="17" s="1"/>
  <c r="M22" i="17"/>
  <c r="M34" i="17" s="1"/>
  <c r="L22" i="17"/>
  <c r="L34" i="17" s="1"/>
  <c r="O21" i="17"/>
  <c r="O33" i="17" s="1"/>
  <c r="N21" i="17"/>
  <c r="N33" i="17" s="1"/>
  <c r="M21" i="17"/>
  <c r="M33" i="17" s="1"/>
  <c r="L21" i="17"/>
  <c r="L33" i="17" s="1"/>
  <c r="D22" i="17" l="1"/>
  <c r="D34" i="17" s="1"/>
  <c r="G22" i="17"/>
  <c r="G34" i="17" s="1"/>
  <c r="C22" i="17"/>
  <c r="C34" i="17" s="1"/>
  <c r="E22" i="17"/>
  <c r="E34" i="17" s="1"/>
  <c r="F22" i="17"/>
  <c r="F34" i="17" s="1"/>
  <c r="X34" i="17"/>
  <c r="F21" i="17"/>
  <c r="F33" i="17" s="1"/>
  <c r="C21" i="17"/>
  <c r="C33" i="17" s="1"/>
  <c r="D21" i="17"/>
  <c r="D33" i="17" s="1"/>
  <c r="E21" i="17"/>
  <c r="E33" i="17" s="1"/>
  <c r="R22" i="17"/>
  <c r="R21" i="17"/>
  <c r="W33" i="17"/>
  <c r="U33" i="17"/>
  <c r="V33" i="17"/>
  <c r="W34" i="17"/>
  <c r="V34" i="17"/>
  <c r="X33" i="17"/>
  <c r="U34" i="17"/>
  <c r="AA21" i="17" l="1"/>
  <c r="Z22" i="17"/>
  <c r="AA34" i="17"/>
  <c r="Z21" i="17"/>
  <c r="AA33" i="17"/>
  <c r="AA22" i="17"/>
  <c r="B8" i="21"/>
  <c r="E6" i="14"/>
  <c r="D6" i="14"/>
  <c r="E5" i="14"/>
  <c r="D13" i="21"/>
  <c r="D12" i="14" s="1"/>
  <c r="C28" i="19" s="1"/>
  <c r="H9" i="17"/>
  <c r="H10" i="17"/>
  <c r="I21" i="17"/>
  <c r="I22" i="17"/>
  <c r="H22" i="17"/>
  <c r="Q22" i="17"/>
  <c r="H21" i="17"/>
  <c r="Q21" i="17"/>
  <c r="Q10" i="17"/>
  <c r="D13" i="14" l="1"/>
  <c r="E12" i="14"/>
  <c r="D28" i="19" s="1"/>
  <c r="E7" i="14"/>
  <c r="Z33" i="17" l="1"/>
  <c r="Z34" i="17"/>
  <c r="I33" i="17"/>
  <c r="Q34" i="17"/>
  <c r="H33" i="17"/>
  <c r="D10" i="14" s="1"/>
  <c r="C14" i="19" s="1"/>
  <c r="R34" i="17"/>
  <c r="R33" i="17"/>
  <c r="I34" i="17"/>
  <c r="Q33" i="17"/>
  <c r="H34" i="17"/>
  <c r="E10" i="14" s="1"/>
  <c r="D14" i="19" s="1"/>
  <c r="E13" i="14"/>
  <c r="C18" i="19"/>
  <c r="D9" i="14" l="1"/>
  <c r="C13" i="19" s="1"/>
  <c r="E9" i="14"/>
  <c r="D13" i="19" s="1"/>
  <c r="D8" i="14"/>
  <c r="E8" i="14"/>
  <c r="D12" i="19" s="1"/>
  <c r="D18" i="19"/>
  <c r="C12" i="19" l="1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<sst xmlns="http://schemas.openxmlformats.org/spreadsheetml/2006/main" count="322" uniqueCount="158">
  <si>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</si>
  <si>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</si>
  <si>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</si>
  <si>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</si>
  <si>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</si>
  <si>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</si>
  <si>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</si>
  <si>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</si>
  <si>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</si>
  <si>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</si>
  <si>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CBD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</si>
  <si>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</si>
  <si>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</si>
  <si>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</si>
  <si>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</si>
  <si>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</si>
  <si>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</si>
  <si>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</si>
  <si>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</si>
  <si>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</si>
  <si>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</si>
  <si>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</si>
  <si>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</si>
  <si>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</si>
  <si>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</si>
  <si>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</si>
  <si>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</si>
  <si>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</si>
  <si>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</si>
  <si>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</si>
  <si>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</si>
  <si>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</si>
  <si>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</si>
  <si>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</si>
  <si>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</si>
  <si>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</si>
  <si>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</si>
  <si>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</si>
  <si>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</si>
  <si>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</si>
  <si>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</si>
  <si>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</si>
  <si>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</si>
  <si>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</si>
  <si>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</si>
  <si>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</si>
  <si>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</si>
  <si>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</si>
  <si>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</si>
  <si>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</si>
  <si>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</si>
  <si>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</si>
  <si>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</si>
  <si>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</si>
  <si>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</si>
  <si>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</si>
  <si>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</si>
  <si>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</si>
  <si>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</si>
  <si>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</si>
  <si>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</si>
  <si>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</si>
  <si>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</si>
  <si>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</si>
  <si>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</si>
  <si>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</si>
  <si>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</si>
  <si>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</si>
  <si>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</si>
  <si>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</si>
  <si>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</si>
  <si>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</si>
  <si>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</si>
  <si>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</si>
  <si>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</si>
  <si>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</si>
  <si>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</si>
  <si>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</si>
  <si>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</si>
  <si>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</si>
  <si>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</si>
  <si>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</si>
  <si>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</si>
  <si>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</si>
  <si>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</si>
  <si>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</si>
  <si>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</si>
  <si>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</si>
  <si>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</si>
  <si>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</si>
  <si>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</si>
  <si>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</si>
  <si>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</si>
  <si>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</si>
  <si>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</si>
  <si>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</si>
  <si>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</si>
  <si>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</si>
  <si>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</si>
  <si>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</si>
  <si>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</si>
  <si>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</si>
  <si>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</si>
  <si>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</si>
  <si>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</si>
  <si>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</si>
  <si>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</si>
  <si>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</si>
  <si>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</si>
  <si>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</si>
  <si>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</si>
  <si>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</si>
  <si>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</si>
  <si>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</si>
  <si>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</si>
  <si>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</si>
  <si>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</si>
  <si>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</si>
  <si>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</si>
  <si>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</si>
  <si>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</si>
  <si>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</si>
  <si>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</si>
  <si>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</si>
  <si>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</si>
  <si>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</si>
  <si>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</si>
  <si>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</si>
  <si>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</si>
  <si>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</si>
  <si>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</si>
  <si>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</si>
  <si>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</si>
  <si>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</si>
  <si>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</si>
  <si>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</si>
  <si>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</si>
  <si>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</si>
  <si>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Short rural</t>
  </si>
  <si>
    <t>Table 20</t>
  </si>
  <si>
    <t>Forecast Energy Consumption by Network Type (MWh)</t>
  </si>
  <si>
    <t>AER Draft Decision STPIS for 2026-31</t>
  </si>
  <si>
    <t>Long rural</t>
  </si>
  <si>
    <t>United Energy</t>
  </si>
  <si>
    <t xml:space="preserve">Long rural </t>
  </si>
  <si>
    <t>Customer Service (Telephone answering)</t>
  </si>
  <si>
    <t>Customer service component</t>
  </si>
  <si>
    <t>▪ Information Orders (RIN) - Annual - 6.6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</si>
  <si>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</si>
  <si>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Telephone Answering</t>
  </si>
  <si>
    <t>2021H1</t>
  </si>
  <si>
    <t xml:space="preserve">VCR values has been escalated to the December 2024 quarter. </t>
  </si>
  <si>
    <t>Revenue Smoothing ($ Real 2025-26)</t>
  </si>
  <si>
    <t>STPIS reliability targets for 2026-31 period</t>
  </si>
  <si>
    <t>UE HV conductor STPIS reduction</t>
  </si>
  <si>
    <t>UE RRP MOD4.XXX - HV conductor STPIS reduction - Dec2025 - Public.xlsx</t>
  </si>
  <si>
    <t>▪ s-factor annual compliance (actual) 
▪ Information Orders (RIN) - Annual - 6.2</t>
  </si>
  <si>
    <t>updated for revised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</si>
</sst>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;\-0.000;\-;@"/>
    <numFmt numFmtId="179" formatCode="0.0000%"/>
    <numFmt numFmtId="180" formatCode="0.00000%"/>
    <numFmt numFmtId="181" formatCode="0.0000000;\-0.0000000;\-;@"/>
    <numFmt numFmtId="182" formatCode="0.0000000"/>
    <numFmt numFmtId="183" formatCode="_(* #,##0_);_(* \(#,##0\);_(* &quot;-&quot;??_);_(@_)"/>
    <numFmt numFmtId="184" formatCode="0.0%"/>
    <numFmt numFmtId="185" formatCode="0.0000;\-0.0000;\-;@"/>
    <numFmt numFmtId="186" formatCode="0.0"/>
    <numFmt numFmtId="187" formatCode="0.00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7"/>
      <name val="Arial"/>
      <family val="2"/>
    </font>
    <font>
      <sz val="8"/>
      <name val="Verdana Pro"/>
      <family val="2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2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9" fontId="26" fillId="10" borderId="0" xfId="0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9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9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9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2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1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0" fontId="41" fillId="10" borderId="0" xfId="12" applyFont="1" applyFill="1" applyAlignment="1">
      <alignment horizontal="left" vertical="center"/>
    </xf>
    <xf numFmtId="183" fontId="38" fillId="14" borderId="7" xfId="1" applyNumberFormat="1" applyFont="1" applyFill="1" applyBorder="1" applyAlignment="1" applyProtection="1">
      <alignment horizontal="center" vertical="center"/>
      <protection locked="0"/>
    </xf>
    <xf numFmtId="0" fontId="26" fillId="10" borderId="0" xfId="0" applyFont="1" applyFill="1"/>
    <xf numFmtId="0" fontId="30" fillId="10" borderId="0" xfId="0" applyFont="1" applyFill="1"/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79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11" applyNumberFormat="1" applyFont="1" applyFill="1" applyBorder="1" applyAlignment="1" applyProtection="1">
      <alignment horizontal="center" vertical="center"/>
      <protection locked="0"/>
    </xf>
    <xf numFmtId="181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9" fontId="26" fillId="17" borderId="1" xfId="0" applyNumberFormat="1" applyFont="1" applyFill="1" applyBorder="1" applyAlignment="1">
      <alignment horizontal="center" vertical="center"/>
    </xf>
    <xf numFmtId="169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9" xfId="0" applyFont="1" applyFill="1" applyBorder="1"/>
    <xf numFmtId="0" fontId="26" fillId="10" borderId="10" xfId="0" applyFont="1" applyFill="1" applyBorder="1"/>
    <xf numFmtId="0" fontId="26" fillId="10" borderId="11" xfId="0" applyFont="1" applyFill="1" applyBorder="1" applyAlignment="1">
      <alignment horizontal="left" vertical="center" indent="1"/>
    </xf>
    <xf numFmtId="0" fontId="26" fillId="10" borderId="12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Alignment="1">
      <alignment vertical="center"/>
    </xf>
    <xf numFmtId="0" fontId="26" fillId="15" borderId="9" xfId="0" applyFont="1" applyFill="1" applyBorder="1" applyAlignment="1">
      <alignment vertical="center"/>
    </xf>
    <xf numFmtId="0" fontId="26" fillId="10" borderId="11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6" fillId="10" borderId="11" xfId="0" applyFont="1" applyFill="1" applyBorder="1"/>
    <xf numFmtId="0" fontId="6" fillId="10" borderId="0" xfId="0" applyFont="1" applyFill="1"/>
    <xf numFmtId="0" fontId="27" fillId="10" borderId="0" xfId="0" applyFont="1" applyFill="1"/>
    <xf numFmtId="169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4" fontId="26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3" fontId="26" fillId="17" borderId="1" xfId="0" applyNumberFormat="1" applyFont="1" applyFill="1" applyBorder="1" applyAlignment="1">
      <alignment horizontal="center" vertical="center"/>
    </xf>
    <xf numFmtId="180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1" fontId="26" fillId="10" borderId="0" xfId="0" applyNumberFormat="1" applyFont="1" applyFill="1"/>
    <xf numFmtId="170" fontId="26" fillId="10" borderId="0" xfId="0" applyNumberFormat="1" applyFont="1" applyFill="1"/>
    <xf numFmtId="169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6" fontId="26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9" fontId="30" fillId="17" borderId="1" xfId="0" applyNumberFormat="1" applyFont="1" applyFill="1" applyBorder="1" applyAlignment="1">
      <alignment horizontal="center" vertical="center"/>
    </xf>
    <xf numFmtId="168" fontId="26" fillId="17" borderId="1" xfId="1" applyNumberFormat="1" applyFont="1" applyFill="1" applyBorder="1" applyAlignment="1">
      <alignment vertical="center"/>
    </xf>
    <xf numFmtId="169" fontId="26" fillId="17" borderId="1" xfId="1" applyNumberFormat="1" applyFont="1" applyFill="1" applyBorder="1" applyAlignment="1">
      <alignment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9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9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3" fontId="26" fillId="10" borderId="0" xfId="0" applyNumberFormat="1" applyFont="1" applyFill="1" applyAlignment="1">
      <alignment horizontal="center" vertical="center"/>
    </xf>
    <xf numFmtId="0" fontId="41" fillId="10" borderId="15" xfId="12" applyFont="1" applyFill="1" applyBorder="1" applyAlignment="1">
      <alignment horizontal="center" vertical="center" wrapText="1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6" fontId="26" fillId="10" borderId="0" xfId="0" applyNumberFormat="1" applyFont="1" applyFill="1" applyAlignment="1">
      <alignment horizontal="center" vertical="center"/>
    </xf>
    <xf numFmtId="169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5" fontId="38" fillId="14" borderId="7" xfId="20" applyNumberFormat="1" applyFont="1" applyBorder="1" applyAlignment="1">
      <alignment horizontal="center" vertical="center"/>
      <protection locked="0"/>
    </xf>
    <xf numFmtId="169" fontId="38" fillId="14" borderId="7" xfId="11" applyNumberFormat="1" applyFont="1" applyFill="1" applyBorder="1" applyAlignment="1" applyProtection="1">
      <alignment horizontal="center" vertical="center"/>
      <protection locked="0"/>
    </xf>
    <xf numFmtId="186" fontId="26" fillId="14" borderId="1" xfId="1" applyNumberFormat="1" applyFont="1" applyFill="1" applyBorder="1" applyAlignment="1">
      <alignment horizontal="center" vertical="center"/>
    </xf>
    <xf numFmtId="187" fontId="26" fillId="14" borderId="1" xfId="11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64" fontId="26" fillId="15" borderId="1" xfId="0" applyNumberFormat="1" applyFont="1" applyFill="1" applyBorder="1" applyAlignment="1">
      <alignment horizontal="center" vertical="center"/>
    </xf>
    <xf numFmtId="167" fontId="26" fillId="17" borderId="1" xfId="0" applyNumberFormat="1" applyFont="1" applyFill="1" applyBorder="1" applyAlignment="1">
      <alignment horizontal="center" vertical="center"/>
    </xf>
    <xf numFmtId="0" fontId="26" fillId="18" borderId="0" xfId="0" applyFont="1" applyFill="1"/>
    <xf numFmtId="167" fontId="38" fillId="18" borderId="7" xfId="20" applyNumberFormat="1" applyFont="1" applyFill="1" applyBorder="1" applyAlignment="1">
      <alignment horizontal="center" vertical="center"/>
      <protection locked="0"/>
    </xf>
    <xf numFmtId="169" fontId="38" fillId="18" borderId="7" xfId="20" applyNumberFormat="1" applyFont="1" applyFill="1" applyBorder="1" applyAlignment="1">
      <alignment horizontal="center" vertical="center"/>
      <protection locked="0"/>
    </xf>
    <xf numFmtId="169" fontId="26" fillId="18" borderId="1" xfId="0" applyNumberFormat="1" applyFont="1" applyFill="1" applyBorder="1" applyAlignment="1">
      <alignment horizontal="center" vertical="center"/>
    </xf>
    <xf numFmtId="169" fontId="11" fillId="18" borderId="1" xfId="0" applyNumberFormat="1" applyFont="1" applyFill="1" applyBorder="1" applyAlignment="1">
      <alignment horizontal="center" vertical="center"/>
    </xf>
    <xf numFmtId="167" fontId="26" fillId="18" borderId="1" xfId="0" applyNumberFormat="1" applyFont="1" applyFill="1" applyBorder="1" applyAlignment="1">
      <alignment horizontal="center" vertical="center"/>
    </xf>
    <xf numFmtId="179" fontId="38" fillId="18" borderId="7" xfId="11" applyNumberFormat="1" applyFont="1" applyFill="1" applyBorder="1" applyAlignment="1" applyProtection="1">
      <alignment horizontal="center" vertical="center"/>
      <protection locked="0"/>
    </xf>
    <xf numFmtId="184" fontId="26" fillId="14" borderId="1" xfId="11" applyNumberFormat="1" applyFont="1" applyFill="1" applyBorder="1" applyAlignment="1">
      <alignment horizontal="center" vertical="center"/>
    </xf>
    <xf numFmtId="164" fontId="26" fillId="18" borderId="1" xfId="0" applyNumberFormat="1" applyFont="1" applyFill="1" applyBorder="1" applyAlignment="1">
      <alignment horizontal="center" vertical="center"/>
    </xf>
    <xf numFmtId="10" fontId="26" fillId="18" borderId="1" xfId="11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wrapText="1"/>
    </xf>
    <xf numFmtId="0" fontId="26" fillId="9" borderId="0" xfId="0" applyFont="1" applyFill="1" applyAlignment="1">
      <alignment horizontal="center" wrapText="1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9" fontId="42" fillId="9" borderId="13" xfId="11" applyNumberFormat="1" applyFont="1" applyFill="1" applyBorder="1" applyAlignment="1" applyProtection="1">
      <alignment horizontal="center" vertical="center" wrapText="1"/>
      <protection locked="0"/>
    </xf>
    <xf numFmtId="179" fontId="42" fillId="9" borderId="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8" xfId="11" applyNumberFormat="1" applyFont="1" applyFill="1" applyBorder="1" applyAlignment="1" applyProtection="1">
      <alignment horizontal="center" vertical="center" wrapText="1"/>
      <protection locked="0"/>
    </xf>
    <xf numFmtId="179" fontId="11" fillId="9" borderId="19" xfId="11" applyNumberFormat="1" applyFont="1" applyFill="1" applyBorder="1" applyAlignment="1" applyProtection="1">
      <alignment horizontal="center" vertical="center" wrapText="1"/>
      <protection locked="0"/>
    </xf>
    <xf numFmtId="182" fontId="29" fillId="10" borderId="16" xfId="11" applyNumberFormat="1" applyFont="1" applyFill="1" applyBorder="1" applyAlignment="1">
      <alignment horizontal="left" vertical="center" wrapText="1"/>
    </xf>
  </cellXfs>
  <cellStyles count="3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2 2 2" xfId="29" xr:uid="{A3E5C0DA-0398-4951-AF03-89E0D2588709}"/>
    <cellStyle name="Comma 2 3" xfId="24" xr:uid="{2889D095-DD02-475A-A5D0-CE00557BD130}"/>
    <cellStyle name="Comma 3" xfId="5" xr:uid="{00000000-0005-0000-0000-000003000000}"/>
    <cellStyle name="Comma 3 2" xfId="26" xr:uid="{FA315C2C-13D5-4DE1-BC48-4EC793C0FE0F}"/>
    <cellStyle name="Comma 4" xfId="17" xr:uid="{ABBA96B8-F2EC-4EE9-B975-7A7B9A95F4A9}"/>
    <cellStyle name="Comma 4 2" xfId="31" xr:uid="{98308655-D5DE-49FF-9B0A-B3D815E68BBC}"/>
    <cellStyle name="Comma 5" xfId="22" xr:uid="{F82ABD73-698D-437A-8FDD-9E479CC82377}"/>
    <cellStyle name="Comma 81" xfId="16" xr:uid="{718DF1FF-E755-431E-B842-A3271CCB78C3}"/>
    <cellStyle name="Comma 81 2" xfId="30" xr:uid="{39A19BEF-CE98-4EFB-8E84-4AD2E7BE7969}"/>
    <cellStyle name="Currency" xfId="2" builtinId="4"/>
    <cellStyle name="Currency 2" xfId="4" xr:uid="{00000000-0005-0000-0000-000005000000}"/>
    <cellStyle name="Currency 2 2" xfId="25" xr:uid="{CDB42C81-4BBE-4710-BEB9-64937A99C23A}"/>
    <cellStyle name="Currency 3" xfId="6" xr:uid="{00000000-0005-0000-0000-000006000000}"/>
    <cellStyle name="Currency 3 2" xfId="27" xr:uid="{808086DC-D22F-485A-A86B-253D3DD78570}"/>
    <cellStyle name="Currency 4" xfId="13" xr:uid="{9C62F3F8-8686-4759-BF8F-68C168C9DD84}"/>
    <cellStyle name="Currency 4 2" xfId="28" xr:uid="{25571499-A488-4D55-A732-F9300CE0D736}"/>
    <cellStyle name="Currency 5" xfId="23" xr:uid="{D6C66A46-0068-4682-8C82-A99D89E0D093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604630</xdr:colOff>
      <xdr:row>0</xdr:row>
      <xdr:rowOff>110541</xdr:rowOff>
    </xdr:from>
    <xdr:to>
      <xdr:col>18</xdr:col>
      <xdr:colOff>479424</xdr:colOff>
      <xdr:row>39</xdr:row>
      <xdr:rowOff>71582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6399" y="11054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39</xdr:row>
      <xdr:rowOff>99088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604928</xdr:colOff>
      <xdr:row>2</xdr:row>
      <xdr:rowOff>52481</xdr:rowOff>
    </xdr:from>
    <xdr:to>
      <xdr:col>10</xdr:col>
      <xdr:colOff>466725</xdr:colOff>
      <xdr:row>7</xdr:row>
      <xdr:rowOff>24413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10753" y="338231"/>
          <a:ext cx="1690597" cy="686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26268</xdr:colOff>
      <xdr:row>2</xdr:row>
      <xdr:rowOff>82923</xdr:rowOff>
    </xdr:from>
    <xdr:to>
      <xdr:col>12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5064</xdr:colOff>
      <xdr:row>41</xdr:row>
      <xdr:rowOff>2231</xdr:rowOff>
    </xdr:from>
    <xdr:to>
      <xdr:col>12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6</xdr:col>
      <xdr:colOff>97096</xdr:colOff>
      <xdr:row>41</xdr:row>
      <xdr:rowOff>72783</xdr:rowOff>
    </xdr:from>
    <xdr:to>
      <xdr:col>6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6</xdr:col>
      <xdr:colOff>86052</xdr:colOff>
      <xdr:row>51</xdr:row>
      <xdr:rowOff>65690</xdr:rowOff>
    </xdr:from>
    <xdr:to>
      <xdr:col>12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er.gov.au/system/files/2024-12/2024-12-18%20AER%20-%20Final%20report%20-%202024%20VCR%20review_0.pdf" TargetMode="External"/><Relationship Id="rId1" Type="http://schemas.openxmlformats.org/officeDocument/2006/relationships/hyperlink" Target="https://www.aer.gov.au/documents/2024-12-18-aer-final-report-2024-vcr-review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zoomScale="90" zoomScaleNormal="90" workbookViewId="0">
      <selection activeCell="L25" sqref="L25"/>
    </sheetView>
  </sheetViews>
  <sheetFormatPr defaultColWidth="8.85546875" defaultRowHeight="15"/>
  <cols>
    <col min="1" max="4" width="9.140625" style="121" customWidth="1"/>
    <col min="5" max="5" width="11.140625" style="121" customWidth="1"/>
    <col min="6" max="7" width="8.85546875" style="121"/>
    <col min="8" max="8" width="7.140625" style="121" customWidth="1"/>
    <col min="9" max="12" width="8.85546875" style="121"/>
    <col min="13" max="13" width="10.5703125" style="121" bestFit="1" customWidth="1"/>
    <col min="14" max="19" width="8.85546875" style="121"/>
    <col min="20" max="20" width="15" style="121" customWidth="1"/>
    <col min="21" max="16384" width="8.85546875" style="121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21</v>
      </c>
      <c r="K3" s="2"/>
      <c r="L3" s="2"/>
      <c r="M3" s="2"/>
      <c r="N3" s="2"/>
      <c r="O3" s="2"/>
      <c r="P3" s="2"/>
      <c r="Q3" s="2"/>
      <c r="R3" s="2"/>
      <c r="S3" s="6" t="s">
        <v>143</v>
      </c>
      <c r="T3" s="2"/>
      <c r="U3" s="6" t="s">
        <v>86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2"/>
      <c r="J8" s="123"/>
    </row>
    <row r="9" spans="1:34" ht="20.25">
      <c r="L9" s="124"/>
      <c r="M9" s="125"/>
    </row>
    <row r="11" spans="1:34" ht="44.25">
      <c r="E11" s="126"/>
      <c r="F11" s="127"/>
      <c r="H11" s="128"/>
    </row>
    <row r="12" spans="1:34" s="126" customFormat="1" ht="12.75"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34" s="126" customFormat="1" ht="13.5" customHeight="1">
      <c r="D13" s="130"/>
      <c r="E13" s="131"/>
      <c r="F13" s="131"/>
      <c r="G13" s="132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34" s="152" customFormat="1" ht="18" customHeight="1">
      <c r="A14" s="126"/>
      <c r="B14" s="126"/>
      <c r="C14" s="25" t="s">
        <v>37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6"/>
      <c r="AC14" s="126"/>
      <c r="AD14" s="151"/>
      <c r="AE14" s="151"/>
      <c r="AF14" s="151"/>
      <c r="AG14" s="151"/>
      <c r="AH14" s="151"/>
    </row>
    <row r="15" spans="1:34" s="126" customFormat="1" ht="12.75">
      <c r="D15" s="134"/>
      <c r="E15" s="13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34" s="126" customFormat="1">
      <c r="C16" s="136"/>
      <c r="D16" s="13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3:22" s="133" customFormat="1" ht="23.25" customHeight="1">
      <c r="C17" s="138" t="s">
        <v>38</v>
      </c>
      <c r="D17" s="139"/>
      <c r="E17" s="140"/>
      <c r="F17" s="140"/>
      <c r="G17" s="140"/>
      <c r="H17" s="141" t="s">
        <v>56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3:22" s="133" customFormat="1" ht="23.25" customHeight="1">
      <c r="C18" s="138" t="s">
        <v>39</v>
      </c>
      <c r="D18" s="139"/>
      <c r="E18" s="142"/>
      <c r="F18" s="140"/>
      <c r="G18" s="140"/>
      <c r="H18" s="141" t="s">
        <v>88</v>
      </c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</row>
    <row r="19" spans="3:22" s="133" customFormat="1" ht="23.25" customHeight="1">
      <c r="C19" s="138" t="s">
        <v>40</v>
      </c>
      <c r="D19" s="143"/>
      <c r="E19" s="144"/>
      <c r="F19" s="140"/>
      <c r="G19" s="140"/>
      <c r="H19" s="141" t="s">
        <v>89</v>
      </c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spans="3:22" s="133" customFormat="1" ht="23.25" customHeight="1">
      <c r="C20" s="138" t="s">
        <v>41</v>
      </c>
      <c r="D20" s="139"/>
      <c r="E20" s="140"/>
      <c r="F20" s="140"/>
      <c r="G20" s="140"/>
      <c r="H20" s="141" t="s">
        <v>90</v>
      </c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</row>
    <row r="21" spans="3:22" s="133" customFormat="1" ht="23.25" customHeight="1">
      <c r="C21" s="138" t="s">
        <v>42</v>
      </c>
      <c r="D21" s="139"/>
      <c r="E21" s="140"/>
      <c r="F21" s="140"/>
      <c r="G21" s="140"/>
      <c r="H21" s="145" t="s">
        <v>57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3:22" s="126" customFormat="1">
      <c r="C22" s="136"/>
      <c r="D22" s="137"/>
      <c r="E22" s="14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3:22" s="126" customFormat="1">
      <c r="C23" s="136"/>
      <c r="D23" s="147"/>
      <c r="E23" s="147"/>
      <c r="F23" s="147"/>
      <c r="G23" s="9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97"/>
      <c r="V23" s="97"/>
    </row>
    <row r="24" spans="3:22" ht="15.75">
      <c r="C24" s="148"/>
      <c r="D24" s="147"/>
      <c r="E24" s="147"/>
      <c r="F24" s="147"/>
      <c r="G24" s="9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</row>
    <row r="25" spans="3:22" ht="15.75">
      <c r="C25" s="148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</row>
    <row r="26" spans="3:22">
      <c r="D26" s="134"/>
      <c r="E26" s="149"/>
      <c r="F26" s="97"/>
      <c r="G26" s="97"/>
      <c r="H26" s="9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</row>
    <row r="27" spans="3:22">
      <c r="D27" s="137"/>
      <c r="E27" s="97"/>
      <c r="F27" s="97"/>
      <c r="G27" s="97"/>
      <c r="H27" s="9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</row>
    <row r="28" spans="3:22">
      <c r="D28" s="137"/>
      <c r="E28" s="97"/>
      <c r="F28" s="97"/>
      <c r="G28" s="97"/>
      <c r="H28" s="9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</row>
    <row r="29" spans="3:22"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</row>
    <row r="30" spans="3:22">
      <c r="D30" s="134"/>
      <c r="E30" s="149"/>
      <c r="F30" s="97"/>
      <c r="G30" s="97"/>
      <c r="H30" s="9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</row>
    <row r="31" spans="3:22">
      <c r="D31" s="150"/>
      <c r="E31" s="126"/>
      <c r="F31" s="126"/>
      <c r="G31" s="126"/>
      <c r="H31" s="126"/>
    </row>
    <row r="32" spans="3:22">
      <c r="D32" s="150"/>
      <c r="E32" s="126"/>
      <c r="F32" s="126"/>
      <c r="G32" s="126"/>
      <c r="H32" s="126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I32"/>
  <sheetViews>
    <sheetView tabSelected="1" zoomScale="120" zoomScaleNormal="120" workbookViewId="0">
      <selection activeCell="F23" sqref="F23"/>
    </sheetView>
  </sheetViews>
  <sheetFormatPr defaultColWidth="9.140625" defaultRowHeight="11.25"/>
  <cols>
    <col min="1" max="1" width="9.140625" style="93"/>
    <col min="2" max="2" width="45" style="93" customWidth="1"/>
    <col min="3" max="3" width="24.5703125" style="106" bestFit="1" customWidth="1"/>
    <col min="4" max="6" width="18.42578125" style="93" customWidth="1"/>
    <col min="7" max="7" width="7" style="93" customWidth="1"/>
    <col min="8" max="8" width="9.42578125" style="93" customWidth="1"/>
    <col min="9" max="9" width="15.42578125" style="93" customWidth="1"/>
    <col min="10" max="10" width="9.5703125" style="93" bestFit="1" customWidth="1"/>
    <col min="11" max="12" width="12.42578125" style="93" bestFit="1" customWidth="1"/>
    <col min="13" max="16384" width="9.140625" style="93"/>
  </cols>
  <sheetData>
    <row r="1" spans="2:9" ht="12.6" customHeight="1"/>
    <row r="2" spans="2:9" ht="12.6" customHeight="1">
      <c r="B2" s="32" t="s">
        <v>141</v>
      </c>
      <c r="C2" s="32"/>
      <c r="D2" s="32"/>
      <c r="E2" s="32"/>
      <c r="F2" s="32"/>
      <c r="H2" s="107"/>
      <c r="I2" s="107"/>
    </row>
    <row r="3" spans="2:9" ht="13.5" customHeight="1">
      <c r="G3" s="116"/>
      <c r="H3" s="115" t="s">
        <v>92</v>
      </c>
      <c r="I3" s="108"/>
    </row>
    <row r="4" spans="2:9" s="37" customFormat="1" ht="12.6" customHeight="1">
      <c r="B4" s="56" t="s">
        <v>134</v>
      </c>
      <c r="C4" s="216">
        <v>0.05</v>
      </c>
      <c r="D4" s="33"/>
      <c r="G4" s="114"/>
      <c r="H4" s="111"/>
      <c r="I4" s="109" t="s">
        <v>95</v>
      </c>
    </row>
    <row r="5" spans="2:9" s="37" customFormat="1" ht="12.6" customHeight="1">
      <c r="B5" s="56" t="s">
        <v>131</v>
      </c>
      <c r="C5" s="203">
        <v>2.5</v>
      </c>
      <c r="D5" s="81" t="s">
        <v>26</v>
      </c>
      <c r="G5" s="114"/>
      <c r="H5" s="112"/>
      <c r="I5" s="109" t="s">
        <v>130</v>
      </c>
    </row>
    <row r="6" spans="2:9" s="37" customFormat="1" ht="12.6" customHeight="1">
      <c r="B6" s="56" t="s">
        <v>16</v>
      </c>
      <c r="C6" s="82" t="s">
        <v>1</v>
      </c>
      <c r="D6" s="82" t="s">
        <v>138</v>
      </c>
      <c r="G6" s="114"/>
      <c r="H6" s="113"/>
      <c r="I6" s="110" t="s">
        <v>93</v>
      </c>
    </row>
    <row r="7" spans="2:9" s="37" customFormat="1" ht="12.6" customHeight="1">
      <c r="B7" s="117"/>
      <c r="C7" s="106"/>
      <c r="D7" s="93"/>
      <c r="E7" s="93"/>
      <c r="F7" s="93"/>
      <c r="G7" s="93"/>
      <c r="I7" s="93"/>
    </row>
    <row r="8" spans="2:9" ht="12.6" customHeight="1">
      <c r="B8" s="32" t="s">
        <v>17</v>
      </c>
      <c r="C8" s="32"/>
      <c r="D8" s="32"/>
      <c r="E8" s="32"/>
      <c r="F8" s="32"/>
      <c r="H8" s="37"/>
      <c r="I8" s="37"/>
    </row>
    <row r="9" spans="2:9" s="37" customFormat="1" ht="12.6" customHeight="1">
      <c r="B9" s="93"/>
      <c r="C9" s="106"/>
      <c r="D9" s="93"/>
      <c r="E9" s="93"/>
      <c r="F9" s="93"/>
      <c r="H9" s="93"/>
      <c r="I9" s="93"/>
    </row>
    <row r="10" spans="2:9" ht="12.6" customHeight="1">
      <c r="B10" s="36" t="s">
        <v>153</v>
      </c>
      <c r="C10" s="36"/>
      <c r="D10" s="36"/>
      <c r="E10" s="36"/>
      <c r="G10" s="36"/>
      <c r="H10" s="36"/>
    </row>
    <row r="11" spans="2:9" s="36" customFormat="1" ht="12.6" customHeight="1">
      <c r="B11" s="51" t="s">
        <v>0</v>
      </c>
      <c r="C11" s="51" t="s">
        <v>1</v>
      </c>
      <c r="D11" s="51" t="s">
        <v>138</v>
      </c>
      <c r="E11" s="37"/>
      <c r="G11" s="37"/>
      <c r="H11" s="37"/>
    </row>
    <row r="12" spans="2:9" s="37" customFormat="1" ht="12.6" customHeight="1">
      <c r="B12" s="59" t="s">
        <v>31</v>
      </c>
      <c r="C12" s="104">
        <f>'Incentive rates calc'!D8</f>
        <v>27.854922437725513</v>
      </c>
      <c r="D12" s="104">
        <f>'Incentive rates calc'!E8</f>
        <v>78.331663611056854</v>
      </c>
      <c r="G12" s="105"/>
      <c r="H12" s="105"/>
    </row>
    <row r="13" spans="2:9" s="37" customFormat="1" ht="12.6" customHeight="1">
      <c r="B13" s="59" t="s">
        <v>32</v>
      </c>
      <c r="C13" s="104">
        <f>'Incentive rates calc'!D9</f>
        <v>0.37706377319916262</v>
      </c>
      <c r="D13" s="104">
        <f>'Incentive rates calc'!E9</f>
        <v>1.1207254008624781</v>
      </c>
      <c r="F13" s="105"/>
      <c r="G13" s="105"/>
      <c r="H13" s="105"/>
      <c r="I13" s="105"/>
    </row>
    <row r="14" spans="2:9" s="37" customFormat="1" ht="12.6" customHeight="1">
      <c r="B14" s="59" t="s">
        <v>91</v>
      </c>
      <c r="C14" s="104">
        <f>'Incentive rates calc'!D10</f>
        <v>0.85121037312000003</v>
      </c>
      <c r="D14" s="104">
        <f>'Incentive rates calc'!E10</f>
        <v>2.2172603229999996</v>
      </c>
      <c r="F14" s="105"/>
      <c r="G14" s="105"/>
      <c r="H14" s="105"/>
    </row>
    <row r="15" spans="2:9" s="37" customFormat="1" ht="12.6" customHeight="1">
      <c r="B15" s="93"/>
      <c r="C15" s="93"/>
      <c r="D15" s="93"/>
      <c r="E15" s="93"/>
      <c r="F15" s="105"/>
      <c r="G15" s="93"/>
      <c r="H15" s="93"/>
    </row>
    <row r="16" spans="2:9" ht="12.6" customHeight="1">
      <c r="B16" s="36" t="s">
        <v>87</v>
      </c>
      <c r="C16" s="36"/>
      <c r="D16" s="36"/>
      <c r="E16" s="36"/>
      <c r="G16" s="36"/>
      <c r="H16" s="36"/>
    </row>
    <row r="17" spans="2:8" s="36" customFormat="1" ht="12.6" customHeight="1">
      <c r="B17" s="51" t="s">
        <v>0</v>
      </c>
      <c r="C17" s="51" t="str">
        <f>C11</f>
        <v>Urban</v>
      </c>
      <c r="D17" s="51" t="str">
        <f>D11</f>
        <v>Short rural</v>
      </c>
      <c r="E17" s="37"/>
      <c r="G17" s="37"/>
      <c r="H17" s="37"/>
    </row>
    <row r="18" spans="2:8" s="37" customFormat="1" ht="12.6" customHeight="1">
      <c r="B18" s="58" t="s">
        <v>64</v>
      </c>
      <c r="C18" s="166">
        <f>'Incentive rates calc'!$D$13</f>
        <v>6.0221075168508956E-2</v>
      </c>
      <c r="D18" s="166">
        <f>'Incentive rates calc'!$E$13</f>
        <v>6.0215723889897729E-3</v>
      </c>
      <c r="E18" s="199"/>
    </row>
    <row r="19" spans="2:8" s="37" customFormat="1" ht="12.6" customHeight="1">
      <c r="B19" s="58" t="s">
        <v>65</v>
      </c>
      <c r="C19" s="166">
        <f>'Incentive rates calc'!$D$14</f>
        <v>2.9658172740083319</v>
      </c>
      <c r="D19" s="166">
        <f>'Incentive rates calc'!$E$14</f>
        <v>0.28058004956491189</v>
      </c>
      <c r="E19" s="199"/>
    </row>
    <row r="20" spans="2:8" s="37" customFormat="1" ht="12.6" customHeight="1">
      <c r="B20" s="58" t="s">
        <v>94</v>
      </c>
      <c r="C20" s="166">
        <f>'Incentive rates calc'!D15</f>
        <v>0.23726538192066657</v>
      </c>
      <c r="D20" s="166">
        <f>'Incentive rates calc'!E15</f>
        <v>2.2446403965192954E-2</v>
      </c>
      <c r="E20" s="199"/>
    </row>
    <row r="21" spans="2:8" s="37" customFormat="1" ht="12.6" customHeight="1">
      <c r="B21" s="60"/>
      <c r="C21" s="61"/>
      <c r="D21" s="61"/>
    </row>
    <row r="22" spans="2:8" s="37" customFormat="1" ht="12.6" customHeight="1">
      <c r="B22" s="36" t="s">
        <v>146</v>
      </c>
      <c r="C22" s="36"/>
      <c r="D22" s="36"/>
    </row>
    <row r="23" spans="2:8" s="37" customFormat="1" ht="12.6" customHeight="1">
      <c r="B23" s="51"/>
      <c r="C23" s="51" t="s">
        <v>61</v>
      </c>
      <c r="D23" s="51" t="s">
        <v>62</v>
      </c>
    </row>
    <row r="24" spans="2:8" s="37" customFormat="1" ht="33.75" customHeight="1">
      <c r="B24" s="62" t="s">
        <v>63</v>
      </c>
      <c r="C24" s="204">
        <v>-2.5300000000000002E-4</v>
      </c>
      <c r="D24" s="218">
        <v>0.8024</v>
      </c>
      <c r="E24" s="153"/>
    </row>
    <row r="25" spans="2:8" s="37" customFormat="1" ht="31.5" customHeight="1"/>
    <row r="26" spans="2:8" s="37" customFormat="1" ht="12.6" customHeight="1">
      <c r="B26" s="36" t="s">
        <v>30</v>
      </c>
      <c r="C26" s="36"/>
      <c r="D26" s="36"/>
      <c r="E26" s="36"/>
      <c r="G26" s="36"/>
      <c r="H26" s="36"/>
    </row>
    <row r="27" spans="2:8" s="36" customFormat="1" ht="12.6" customHeight="1">
      <c r="B27" s="51"/>
      <c r="C27" s="51" t="str">
        <f>C11</f>
        <v>Urban</v>
      </c>
      <c r="D27" s="51" t="str">
        <f>D11</f>
        <v>Short rural</v>
      </c>
      <c r="E27" s="37"/>
      <c r="G27" s="37"/>
      <c r="H27" s="37"/>
    </row>
    <row r="28" spans="2:8" s="37" customFormat="1" ht="12.6" customHeight="1">
      <c r="B28" s="62" t="s">
        <v>54</v>
      </c>
      <c r="C28" s="80">
        <f>'STPIS inputs'!E11*(1+'Incentive rates calc'!D12)</f>
        <v>35857.167505391808</v>
      </c>
      <c r="D28" s="80">
        <f>'STPIS inputs'!F11*(1+'Incentive rates calc'!E12)</f>
        <v>35857.167505391808</v>
      </c>
    </row>
    <row r="29" spans="2:8" s="37" customFormat="1" ht="12.6" customHeight="1">
      <c r="B29" s="93"/>
      <c r="C29" s="93"/>
      <c r="D29" s="93"/>
      <c r="E29" s="93"/>
      <c r="G29" s="93"/>
      <c r="H29" s="93"/>
    </row>
    <row r="30" spans="2:8" ht="12.6" customHeight="1">
      <c r="B30" s="118"/>
      <c r="C30" s="93"/>
    </row>
    <row r="31" spans="2:8">
      <c r="C31" s="119"/>
      <c r="D31" s="119"/>
    </row>
    <row r="32" spans="2:8">
      <c r="C32" s="1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zoomScale="115" zoomScaleNormal="115" workbookViewId="0">
      <selection activeCell="F26" sqref="F26"/>
    </sheetView>
  </sheetViews>
  <sheetFormatPr defaultColWidth="9.140625" defaultRowHeight="11.25"/>
  <cols>
    <col min="1" max="1" width="5.42578125" style="93" customWidth="1"/>
    <col min="2" max="2" width="43.140625" style="93" customWidth="1"/>
    <col min="3" max="3" width="21.7109375" style="93" customWidth="1"/>
    <col min="4" max="9" width="20.85546875" style="93" customWidth="1"/>
    <col min="10" max="16384" width="9.140625" style="93"/>
  </cols>
  <sheetData>
    <row r="1" spans="2:11" ht="12.6" customHeight="1"/>
    <row r="2" spans="2:11" s="37" customFormat="1" ht="12.6" customHeight="1">
      <c r="B2" s="32" t="s">
        <v>23</v>
      </c>
      <c r="C2" s="32"/>
      <c r="D2" s="182"/>
      <c r="E2" s="182"/>
      <c r="F2" s="182"/>
      <c r="G2" s="182"/>
      <c r="H2" s="182"/>
      <c r="I2" s="182"/>
    </row>
    <row r="3" spans="2:11" s="37" customFormat="1" ht="12.6" customHeight="1">
      <c r="B3" s="183"/>
      <c r="C3" s="183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83</v>
      </c>
      <c r="D4" s="51" t="s">
        <v>52</v>
      </c>
      <c r="E4" s="51" t="s">
        <v>27</v>
      </c>
      <c r="F4" s="51" t="s">
        <v>28</v>
      </c>
      <c r="G4" s="51" t="s">
        <v>29</v>
      </c>
      <c r="H4" s="51" t="s">
        <v>59</v>
      </c>
      <c r="I4" s="51" t="s">
        <v>96</v>
      </c>
    </row>
    <row r="5" spans="2:11" s="37" customFormat="1" ht="12.6" customHeight="1">
      <c r="B5" s="34" t="s">
        <v>152</v>
      </c>
      <c r="C5" s="57" t="s">
        <v>132</v>
      </c>
      <c r="D5" s="207">
        <f>AVERAGE(E5:I5)</f>
        <v>538932332.42721808</v>
      </c>
      <c r="E5" s="217">
        <v>534638085.0836156</v>
      </c>
      <c r="F5" s="217">
        <v>536776637.42395008</v>
      </c>
      <c r="G5" s="217">
        <v>538923743.97364581</v>
      </c>
      <c r="H5" s="217">
        <v>541079438.94954038</v>
      </c>
      <c r="I5" s="217">
        <v>543243756.70533872</v>
      </c>
      <c r="K5" s="159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85" t="s">
        <v>83</v>
      </c>
      <c r="D7" s="185" t="s">
        <v>10</v>
      </c>
      <c r="E7" s="185" t="str">
        <f>'Output | Draft Decision tables'!C6</f>
        <v>Urban</v>
      </c>
      <c r="F7" s="185" t="str">
        <f>'Output | Draft Decision tables'!D6</f>
        <v>Short rural</v>
      </c>
      <c r="G7" s="185" t="s">
        <v>142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103</v>
      </c>
      <c r="D8" s="160"/>
      <c r="E8" s="160">
        <f>'Cap adjustment'!C47</f>
        <v>7934292.9332146384</v>
      </c>
      <c r="F8" s="160">
        <f>'Cap adjustment'!C48</f>
        <v>793358.78874818969</v>
      </c>
      <c r="G8" s="160"/>
    </row>
    <row r="9" spans="2:11" s="37" customFormat="1" ht="12.6" customHeight="1">
      <c r="B9" s="33"/>
      <c r="E9" s="186"/>
      <c r="F9" s="186"/>
      <c r="G9" s="186"/>
    </row>
    <row r="10" spans="2:11" s="37" customFormat="1" ht="12.6" customHeight="1">
      <c r="B10" s="153"/>
      <c r="C10" s="51" t="s">
        <v>83</v>
      </c>
      <c r="D10" s="185" t="str">
        <f>D7</f>
        <v>CBD</v>
      </c>
      <c r="E10" s="185" t="str">
        <f t="shared" ref="E10:G10" si="0">E7</f>
        <v>Urban</v>
      </c>
      <c r="F10" s="185" t="str">
        <f t="shared" si="0"/>
        <v>Short rural</v>
      </c>
      <c r="G10" s="185" t="str">
        <f t="shared" si="0"/>
        <v>Long rural</v>
      </c>
      <c r="H10" s="154"/>
    </row>
    <row r="11" spans="2:11" s="37" customFormat="1" ht="40.5" customHeight="1">
      <c r="B11" s="34" t="s">
        <v>49</v>
      </c>
      <c r="C11" s="187" t="s">
        <v>102</v>
      </c>
      <c r="D11" s="84"/>
      <c r="E11" s="84">
        <v>35780</v>
      </c>
      <c r="F11" s="84">
        <v>35780</v>
      </c>
      <c r="G11" s="84"/>
      <c r="H11" s="91" t="s">
        <v>139</v>
      </c>
      <c r="I11" s="42"/>
      <c r="J11" s="42"/>
      <c r="K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9">
        <f>D17/D16-1</f>
        <v>2.1567217828901697E-3</v>
      </c>
    </row>
    <row r="14" spans="2:11" s="37" customFormat="1" ht="12.6" customHeight="1">
      <c r="D14" s="120"/>
      <c r="E14" s="155"/>
      <c r="F14" s="155"/>
      <c r="G14" s="155"/>
      <c r="H14" s="155"/>
    </row>
    <row r="15" spans="2:11" s="37" customFormat="1" ht="12.6" customHeight="1">
      <c r="B15" s="35" t="s">
        <v>24</v>
      </c>
      <c r="C15" s="35"/>
      <c r="D15" s="120"/>
    </row>
    <row r="16" spans="2:11" s="37" customFormat="1" ht="12.6" customHeight="1">
      <c r="B16" s="41">
        <v>45536</v>
      </c>
      <c r="C16" s="41"/>
      <c r="D16" s="82">
        <v>139.1</v>
      </c>
      <c r="E16" s="90" t="s">
        <v>101</v>
      </c>
    </row>
    <row r="17" spans="2:9" s="37" customFormat="1" ht="12.6" customHeight="1">
      <c r="B17" s="41">
        <v>45627</v>
      </c>
      <c r="C17" s="196"/>
      <c r="D17" s="82">
        <v>139.4</v>
      </c>
      <c r="E17" s="90" t="s">
        <v>151</v>
      </c>
    </row>
    <row r="18" spans="2:9" ht="12.6" customHeight="1"/>
    <row r="19" spans="2:9">
      <c r="E19" s="156"/>
      <c r="F19" s="157"/>
      <c r="G19" s="157"/>
      <c r="H19" s="157"/>
      <c r="I19" s="157"/>
    </row>
    <row r="20" spans="2:9">
      <c r="E20" s="158"/>
      <c r="F20" s="158"/>
      <c r="G20" s="158"/>
      <c r="H20" s="158"/>
      <c r="I20" s="158"/>
    </row>
  </sheetData>
  <hyperlinks>
    <hyperlink ref="C11" r:id="rId1" display="AER, Value of customer reliability review, final report, December 2024, p. 5 (Table 2 Business VCR values) and p. 62 (Table 20 NEM-wide and regional VCR)." xr:uid="{745CD5D6-6CFE-4211-9A51-C19CACF291EE}"/>
    <hyperlink ref="E16" r:id="rId2" display="https://www.aer.gov.au/system/files/2024-12/2024-12-18 AER - Final report - 2024 VCR review_0.pdf" xr:uid="{B1DF086C-A5F6-49B0-B8D4-86545DD66F80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67"/>
  <sheetViews>
    <sheetView zoomScaleNormal="100" workbookViewId="0">
      <selection activeCell="G66" sqref="G66"/>
    </sheetView>
  </sheetViews>
  <sheetFormatPr defaultColWidth="9.140625" defaultRowHeight="11.25"/>
  <cols>
    <col min="1" max="1" width="56" style="93" bestFit="1" customWidth="1"/>
    <col min="2" max="2" width="13" style="93" customWidth="1"/>
    <col min="3" max="4" width="11.140625" style="93" bestFit="1" customWidth="1"/>
    <col min="5" max="5" width="10.5703125" style="93" bestFit="1" customWidth="1"/>
    <col min="6" max="6" width="12.28515625" style="93" customWidth="1"/>
    <col min="7" max="7" width="13.42578125" style="93" customWidth="1"/>
    <col min="8" max="16384" width="9.140625" style="93"/>
  </cols>
  <sheetData>
    <row r="2" spans="1:10">
      <c r="A2" s="69" t="s">
        <v>112</v>
      </c>
    </row>
    <row r="3" spans="1:10">
      <c r="A3" s="68" t="s">
        <v>71</v>
      </c>
      <c r="B3" s="177" t="s">
        <v>83</v>
      </c>
      <c r="C3" s="177" t="s">
        <v>8</v>
      </c>
      <c r="D3" s="180" t="s">
        <v>9</v>
      </c>
      <c r="E3" s="180" t="s">
        <v>11</v>
      </c>
      <c r="F3" s="177" t="s">
        <v>60</v>
      </c>
      <c r="G3" s="177" t="s">
        <v>108</v>
      </c>
    </row>
    <row r="4" spans="1:10" ht="11.25" customHeight="1">
      <c r="A4" s="184" t="s">
        <v>72</v>
      </c>
      <c r="B4" s="221" t="s">
        <v>148</v>
      </c>
      <c r="C4" s="74"/>
      <c r="D4" s="74"/>
      <c r="E4" s="73"/>
      <c r="F4" s="73"/>
      <c r="G4" s="74"/>
    </row>
    <row r="5" spans="1:10">
      <c r="A5" s="184" t="s">
        <v>73</v>
      </c>
      <c r="B5" s="222"/>
      <c r="C5" s="211">
        <f>C57+C65</f>
        <v>24.235941229664295</v>
      </c>
      <c r="D5" s="211">
        <f t="shared" ref="D5:G6" si="0">D57+D65</f>
        <v>31.303659536906341</v>
      </c>
      <c r="E5" s="211">
        <f t="shared" si="0"/>
        <v>25.403383015419973</v>
      </c>
      <c r="F5" s="211">
        <f t="shared" si="0"/>
        <v>25.734033331924579</v>
      </c>
      <c r="G5" s="210">
        <f t="shared" si="0"/>
        <v>32.597595074712387</v>
      </c>
    </row>
    <row r="6" spans="1:10">
      <c r="A6" s="184" t="s">
        <v>74</v>
      </c>
      <c r="B6" s="222"/>
      <c r="C6" s="211">
        <f>C58+C66</f>
        <v>44.95754463968089</v>
      </c>
      <c r="D6" s="211">
        <f t="shared" si="0"/>
        <v>91.285460284020473</v>
      </c>
      <c r="E6" s="211">
        <f t="shared" si="0"/>
        <v>87.578050149268421</v>
      </c>
      <c r="F6" s="211">
        <f t="shared" si="0"/>
        <v>108.36565106523908</v>
      </c>
      <c r="G6" s="210">
        <f t="shared" si="0"/>
        <v>59.471611917075379</v>
      </c>
    </row>
    <row r="7" spans="1:10">
      <c r="A7" s="184" t="s">
        <v>75</v>
      </c>
      <c r="B7" s="222"/>
      <c r="C7" s="70"/>
      <c r="D7" s="70"/>
      <c r="E7" s="73"/>
      <c r="F7" s="73"/>
      <c r="G7" s="70"/>
    </row>
    <row r="8" spans="1:10">
      <c r="A8" s="184"/>
      <c r="B8" s="222"/>
      <c r="C8" s="70"/>
      <c r="D8" s="70"/>
      <c r="E8" s="73"/>
      <c r="F8" s="73"/>
      <c r="G8" s="70"/>
    </row>
    <row r="9" spans="1:10">
      <c r="A9" s="184" t="s">
        <v>76</v>
      </c>
      <c r="B9" s="222"/>
      <c r="C9" s="73"/>
      <c r="D9" s="73"/>
      <c r="E9" s="73"/>
      <c r="F9" s="73"/>
      <c r="G9" s="73"/>
    </row>
    <row r="10" spans="1:10">
      <c r="A10" s="184" t="s">
        <v>77</v>
      </c>
      <c r="B10" s="222"/>
      <c r="C10" s="73">
        <v>0.38057299999999999</v>
      </c>
      <c r="D10" s="73">
        <v>0.39263829449620852</v>
      </c>
      <c r="E10" s="73">
        <v>0.335796480000006</v>
      </c>
      <c r="F10" s="73">
        <v>0.36466026495680398</v>
      </c>
      <c r="G10" s="211">
        <v>0.4116508265427945</v>
      </c>
      <c r="I10" s="209"/>
      <c r="J10" s="93" t="s">
        <v>157</v>
      </c>
    </row>
    <row r="11" spans="1:10">
      <c r="A11" s="184" t="s">
        <v>78</v>
      </c>
      <c r="B11" s="222"/>
      <c r="C11" s="73">
        <v>0.74750700000000003</v>
      </c>
      <c r="D11" s="73">
        <v>1.2860885430473938</v>
      </c>
      <c r="E11" s="73">
        <v>1.144518989999997</v>
      </c>
      <c r="F11" s="73">
        <v>1.7696806448635525</v>
      </c>
      <c r="G11" s="211">
        <v>0.65583182640144611</v>
      </c>
    </row>
    <row r="12" spans="1:10">
      <c r="A12" s="184" t="s">
        <v>79</v>
      </c>
      <c r="B12" s="222"/>
      <c r="C12" s="71"/>
      <c r="D12" s="71"/>
      <c r="E12" s="73"/>
      <c r="F12" s="73"/>
      <c r="G12" s="71"/>
    </row>
    <row r="13" spans="1:10">
      <c r="A13" s="184"/>
      <c r="B13" s="222"/>
      <c r="C13" s="74"/>
      <c r="D13" s="74"/>
      <c r="E13" s="73"/>
      <c r="F13" s="73"/>
      <c r="G13" s="74"/>
    </row>
    <row r="14" spans="1:10">
      <c r="A14" s="184" t="s">
        <v>104</v>
      </c>
      <c r="B14" s="222"/>
      <c r="C14" s="73"/>
      <c r="D14" s="74"/>
      <c r="E14" s="73"/>
      <c r="F14" s="73"/>
      <c r="G14" s="74"/>
    </row>
    <row r="15" spans="1:10">
      <c r="A15" s="184" t="s">
        <v>105</v>
      </c>
      <c r="B15" s="222"/>
      <c r="C15" s="73">
        <v>0.86428899999999997</v>
      </c>
      <c r="D15" s="73">
        <v>0.94171786560000026</v>
      </c>
      <c r="E15" s="73">
        <v>0.75179999999999969</v>
      </c>
      <c r="F15" s="73">
        <v>0.86132799999999998</v>
      </c>
      <c r="G15" s="210">
        <v>0.83691700000000002</v>
      </c>
    </row>
    <row r="16" spans="1:10">
      <c r="A16" s="184" t="s">
        <v>106</v>
      </c>
      <c r="B16" s="222"/>
      <c r="C16" s="201">
        <v>1.757398</v>
      </c>
      <c r="D16" s="73">
        <v>2.3263056149999986</v>
      </c>
      <c r="E16" s="73">
        <v>2.319300000000001</v>
      </c>
      <c r="F16" s="73">
        <v>3.0118800000000001</v>
      </c>
      <c r="G16" s="210">
        <v>1.6714179999999998</v>
      </c>
    </row>
    <row r="17" spans="1:11">
      <c r="A17" s="184" t="s">
        <v>107</v>
      </c>
      <c r="B17" s="222"/>
      <c r="C17" s="70"/>
      <c r="D17" s="70"/>
      <c r="E17" s="73"/>
      <c r="F17" s="73"/>
      <c r="G17" s="70"/>
    </row>
    <row r="18" spans="1:11">
      <c r="A18" s="184"/>
      <c r="B18" s="206"/>
      <c r="C18" s="70"/>
      <c r="D18" s="70"/>
      <c r="E18" s="73"/>
      <c r="F18" s="73"/>
      <c r="G18" s="70"/>
    </row>
    <row r="19" spans="1:11" ht="33.75">
      <c r="A19" s="184" t="s">
        <v>145</v>
      </c>
      <c r="B19" s="205" t="s">
        <v>147</v>
      </c>
      <c r="C19" s="201">
        <v>0.78026214340786426</v>
      </c>
      <c r="D19" s="73">
        <v>0.81195291276788406</v>
      </c>
      <c r="E19" s="73">
        <v>0.82906694755407495</v>
      </c>
      <c r="F19" s="73">
        <v>0.82495582925767552</v>
      </c>
      <c r="G19" s="73">
        <v>0.81987500926314749</v>
      </c>
    </row>
    <row r="20" spans="1:11">
      <c r="C20" s="94"/>
    </row>
    <row r="23" spans="1:11">
      <c r="A23" s="69" t="s">
        <v>111</v>
      </c>
    </row>
    <row r="24" spans="1:11">
      <c r="A24" s="68" t="s">
        <v>133</v>
      </c>
      <c r="B24" s="177" t="s">
        <v>83</v>
      </c>
      <c r="C24" s="180" t="s">
        <v>150</v>
      </c>
      <c r="D24" s="180" t="s">
        <v>9</v>
      </c>
      <c r="E24" s="180" t="s">
        <v>11</v>
      </c>
      <c r="F24" s="177" t="s">
        <v>60</v>
      </c>
      <c r="G24" s="177" t="s">
        <v>108</v>
      </c>
    </row>
    <row r="25" spans="1:11" ht="24.75" customHeight="1">
      <c r="A25" s="200" t="s">
        <v>114</v>
      </c>
      <c r="B25" s="96" t="s">
        <v>117</v>
      </c>
      <c r="C25" s="75">
        <v>3.3355258588163107E-2</v>
      </c>
      <c r="D25" s="75">
        <v>2.6472340591209578E-2</v>
      </c>
      <c r="E25" s="75">
        <v>3.4895708184114901E-2</v>
      </c>
      <c r="F25" s="75">
        <v>2.9051673551100294E-2</v>
      </c>
      <c r="G25" s="215">
        <v>2.9916167435720519E-2</v>
      </c>
    </row>
    <row r="26" spans="1:11">
      <c r="A26" s="175" t="s">
        <v>115</v>
      </c>
      <c r="B26" s="75"/>
      <c r="C26" s="188">
        <v>4.4999999999999998E-2</v>
      </c>
      <c r="D26" s="188">
        <v>4.4999999999999998E-2</v>
      </c>
      <c r="E26" s="188">
        <v>4.4999999999999998E-2</v>
      </c>
      <c r="F26" s="188">
        <v>4.4999999999999998E-2</v>
      </c>
      <c r="G26" s="188">
        <v>4.4999999999999998E-2</v>
      </c>
    </row>
    <row r="27" spans="1:11">
      <c r="A27" s="175" t="s">
        <v>80</v>
      </c>
      <c r="B27" s="75"/>
      <c r="C27" s="86">
        <f>IF(C25&gt;C26,C25-C26,0)</f>
        <v>0</v>
      </c>
      <c r="D27" s="86">
        <f t="shared" ref="D27:F27" si="1">IF(D25&gt;D26,D25-D26,0)</f>
        <v>0</v>
      </c>
      <c r="E27" s="86">
        <f>IF(E25&gt;E26,E25-E26,0)</f>
        <v>0</v>
      </c>
      <c r="F27" s="86">
        <f t="shared" si="1"/>
        <v>0</v>
      </c>
      <c r="G27" s="86">
        <f t="shared" ref="G27" si="2">IF(G25&gt;G26,G25-G26,0)</f>
        <v>0</v>
      </c>
      <c r="H27" s="179">
        <f>SUM(C27:G27)</f>
        <v>0</v>
      </c>
    </row>
    <row r="28" spans="1:11">
      <c r="A28" s="175"/>
      <c r="B28" s="95"/>
      <c r="C28" s="95"/>
      <c r="D28" s="95"/>
      <c r="E28" s="95"/>
      <c r="F28" s="95"/>
      <c r="G28" s="176"/>
    </row>
    <row r="29" spans="1:11">
      <c r="B29" s="177" t="s">
        <v>83</v>
      </c>
      <c r="F29" s="223" t="s">
        <v>116</v>
      </c>
      <c r="G29" s="223"/>
      <c r="H29" s="223"/>
      <c r="I29" s="223"/>
      <c r="J29" s="223"/>
      <c r="K29" s="223"/>
    </row>
    <row r="30" spans="1:11">
      <c r="A30" s="97" t="s">
        <v>121</v>
      </c>
      <c r="B30" s="96" t="s">
        <v>122</v>
      </c>
      <c r="C30" s="72"/>
      <c r="D30" s="161">
        <f>H27</f>
        <v>0</v>
      </c>
      <c r="E30" s="72"/>
      <c r="F30" s="55" t="s">
        <v>97</v>
      </c>
      <c r="G30" s="55"/>
      <c r="H30" s="94" t="s">
        <v>98</v>
      </c>
    </row>
    <row r="31" spans="1:11" ht="19.5" customHeight="1">
      <c r="A31" s="97" t="s">
        <v>124</v>
      </c>
      <c r="B31" s="224" t="s">
        <v>123</v>
      </c>
      <c r="C31" s="72"/>
      <c r="D31" s="87">
        <f>D30*0.6</f>
        <v>0</v>
      </c>
      <c r="E31" s="72"/>
    </row>
    <row r="32" spans="1:11" ht="19.5" customHeight="1">
      <c r="A32" s="97" t="s">
        <v>125</v>
      </c>
      <c r="B32" s="225"/>
      <c r="C32" s="72"/>
      <c r="D32" s="87">
        <f>D30*0.4</f>
        <v>0</v>
      </c>
      <c r="E32" s="72"/>
    </row>
    <row r="33" spans="1:8">
      <c r="A33" s="97"/>
      <c r="B33" s="98"/>
      <c r="C33" s="99"/>
      <c r="D33" s="100"/>
      <c r="E33" s="99"/>
    </row>
    <row r="34" spans="1:8">
      <c r="A34" s="68" t="s">
        <v>109</v>
      </c>
      <c r="B34" s="177" t="s">
        <v>83</v>
      </c>
      <c r="C34" s="180" t="str">
        <f>'Output | Draft Decision tables'!C6</f>
        <v>Urban</v>
      </c>
      <c r="D34" s="180" t="str">
        <f>'Output | Draft Decision tables'!D6</f>
        <v>Short rural</v>
      </c>
      <c r="E34" s="177"/>
    </row>
    <row r="35" spans="1:8" ht="22.5">
      <c r="A35" s="140" t="s">
        <v>81</v>
      </c>
      <c r="B35" s="96" t="s">
        <v>120</v>
      </c>
      <c r="C35" s="202">
        <v>8.5999999999999993E-2</v>
      </c>
      <c r="D35" s="78">
        <v>8.0999999999999996E-3</v>
      </c>
      <c r="E35" s="78"/>
      <c r="F35" s="94"/>
    </row>
    <row r="36" spans="1:8">
      <c r="A36" s="97" t="s">
        <v>118</v>
      </c>
      <c r="B36" s="75"/>
      <c r="C36" s="88">
        <f>$D31*C$35/(SUM($C$35:$E$35))</f>
        <v>0</v>
      </c>
      <c r="D36" s="87">
        <f>$D31*D$35/(SUM($C$35:$E$35))</f>
        <v>0</v>
      </c>
      <c r="E36" s="88"/>
    </row>
    <row r="37" spans="1:8">
      <c r="A37" s="97" t="s">
        <v>99</v>
      </c>
      <c r="B37" s="75"/>
      <c r="C37" s="89">
        <f>(C36/C35*100)/4</f>
        <v>0</v>
      </c>
      <c r="D37" s="89">
        <f>(D36/D35*100)/4</f>
        <v>0</v>
      </c>
      <c r="E37" s="89"/>
      <c r="F37" s="94" t="s">
        <v>97</v>
      </c>
      <c r="G37" s="94"/>
      <c r="H37" s="94" t="s">
        <v>98</v>
      </c>
    </row>
    <row r="38" spans="1:8">
      <c r="A38" s="97"/>
      <c r="B38" s="95"/>
      <c r="C38" s="101"/>
      <c r="D38" s="101"/>
      <c r="E38" s="101"/>
      <c r="F38" s="94"/>
      <c r="G38" s="94"/>
      <c r="H38" s="94"/>
    </row>
    <row r="39" spans="1:8">
      <c r="A39" s="68" t="s">
        <v>110</v>
      </c>
      <c r="B39" s="177" t="s">
        <v>83</v>
      </c>
      <c r="C39" s="180" t="str">
        <f>'Output | Draft Decision tables'!C6</f>
        <v>Urban</v>
      </c>
      <c r="D39" s="180" t="str">
        <f>'Output | Draft Decision tables'!D6</f>
        <v>Short rural</v>
      </c>
      <c r="E39" s="177"/>
      <c r="F39" s="94"/>
      <c r="G39" s="94"/>
      <c r="H39" s="94"/>
    </row>
    <row r="40" spans="1:8" ht="22.5">
      <c r="A40" s="140" t="s">
        <v>82</v>
      </c>
      <c r="B40" s="96" t="s">
        <v>120</v>
      </c>
      <c r="C40" s="78">
        <v>3.5564</v>
      </c>
      <c r="D40" s="78">
        <v>0.36659999999999998</v>
      </c>
      <c r="E40" s="78"/>
      <c r="F40" s="94"/>
    </row>
    <row r="41" spans="1:8">
      <c r="A41" s="97" t="s">
        <v>119</v>
      </c>
      <c r="B41" s="70"/>
      <c r="C41" s="88">
        <f>$D32*C$40/SUM($C$40:$E$40)</f>
        <v>0</v>
      </c>
      <c r="D41" s="87">
        <f t="shared" ref="D41" si="3">$D32*D$40/SUM($C$40:$E$40)</f>
        <v>0</v>
      </c>
      <c r="E41" s="88"/>
    </row>
    <row r="42" spans="1:8">
      <c r="A42" s="97" t="s">
        <v>100</v>
      </c>
      <c r="B42" s="70"/>
      <c r="C42" s="89">
        <f>(C41/C40*100)/4</f>
        <v>0</v>
      </c>
      <c r="D42" s="89">
        <f t="shared" ref="D42" si="4">(D41/D40*100)/4</f>
        <v>0</v>
      </c>
      <c r="E42" s="89"/>
      <c r="F42" s="94" t="s">
        <v>97</v>
      </c>
      <c r="G42" s="94"/>
      <c r="H42" s="94" t="s">
        <v>98</v>
      </c>
    </row>
    <row r="44" spans="1:8">
      <c r="A44" s="69" t="s">
        <v>140</v>
      </c>
    </row>
    <row r="45" spans="1:8" ht="21" customHeight="1">
      <c r="A45" s="68" t="s">
        <v>113</v>
      </c>
      <c r="B45" s="177" t="s">
        <v>83</v>
      </c>
      <c r="C45" s="181" t="s">
        <v>85</v>
      </c>
    </row>
    <row r="46" spans="1:8">
      <c r="A46" s="77" t="s">
        <v>10</v>
      </c>
      <c r="B46" s="226" t="s">
        <v>137</v>
      </c>
      <c r="C46" s="71"/>
    </row>
    <row r="47" spans="1:8">
      <c r="A47" s="77" t="str">
        <f>'Output | Draft Decision tables'!C6</f>
        <v>Urban</v>
      </c>
      <c r="B47" s="227"/>
      <c r="C47" s="92">
        <v>7934292.9332146384</v>
      </c>
    </row>
    <row r="48" spans="1:8">
      <c r="A48" s="77" t="str">
        <f>'Output | Draft Decision tables'!D6</f>
        <v>Short rural</v>
      </c>
      <c r="B48" s="227"/>
      <c r="C48" s="92">
        <v>793358.78874818969</v>
      </c>
    </row>
    <row r="49" spans="1:8">
      <c r="A49" s="77" t="s">
        <v>142</v>
      </c>
      <c r="B49" s="228"/>
      <c r="C49" s="71"/>
    </row>
    <row r="52" spans="1:8">
      <c r="H52" s="117"/>
    </row>
    <row r="53" spans="1:8">
      <c r="H53" s="178"/>
    </row>
    <row r="54" spans="1:8">
      <c r="A54" s="69" t="s">
        <v>112</v>
      </c>
    </row>
    <row r="55" spans="1:8">
      <c r="A55" s="68" t="s">
        <v>71</v>
      </c>
      <c r="B55" s="177" t="s">
        <v>83</v>
      </c>
      <c r="C55" s="177" t="s">
        <v>8</v>
      </c>
      <c r="D55" s="180" t="s">
        <v>9</v>
      </c>
      <c r="E55" s="180" t="s">
        <v>11</v>
      </c>
      <c r="F55" s="177" t="s">
        <v>60</v>
      </c>
      <c r="G55" s="177" t="s">
        <v>108</v>
      </c>
    </row>
    <row r="56" spans="1:8" ht="19.5" customHeight="1">
      <c r="A56" s="184" t="s">
        <v>72</v>
      </c>
      <c r="B56" s="219" t="s">
        <v>156</v>
      </c>
      <c r="C56" s="74"/>
      <c r="D56" s="74"/>
      <c r="E56" s="73"/>
      <c r="F56" s="73"/>
      <c r="G56" s="74"/>
    </row>
    <row r="57" spans="1:8" ht="19.5" customHeight="1">
      <c r="A57" s="184" t="s">
        <v>73</v>
      </c>
      <c r="B57" s="220"/>
      <c r="C57" s="73">
        <v>24.243884999999999</v>
      </c>
      <c r="D57" s="73">
        <v>31.33502029361566</v>
      </c>
      <c r="E57" s="73">
        <v>25.472967759999957</v>
      </c>
      <c r="F57" s="73">
        <v>25.855927358312375</v>
      </c>
      <c r="G57" s="210">
        <v>32.785119749539966</v>
      </c>
    </row>
    <row r="58" spans="1:8" ht="19.5" customHeight="1">
      <c r="A58" s="184" t="s">
        <v>74</v>
      </c>
      <c r="B58" s="220"/>
      <c r="C58" s="73">
        <v>44.960450999999999</v>
      </c>
      <c r="D58" s="73">
        <v>91.296934208679772</v>
      </c>
      <c r="E58" s="73">
        <v>87.603508859999891</v>
      </c>
      <c r="F58" s="73">
        <v>108.41024798355819</v>
      </c>
      <c r="G58" s="210">
        <v>59.54022097823885</v>
      </c>
    </row>
    <row r="59" spans="1:8" ht="19.5" customHeight="1">
      <c r="A59" s="184" t="s">
        <v>75</v>
      </c>
      <c r="B59" s="220"/>
      <c r="C59" s="70"/>
      <c r="D59" s="70"/>
      <c r="E59" s="73"/>
      <c r="F59" s="73"/>
      <c r="G59" s="70"/>
    </row>
    <row r="62" spans="1:8">
      <c r="A62" s="69" t="s">
        <v>154</v>
      </c>
    </row>
    <row r="63" spans="1:8">
      <c r="A63" s="68" t="s">
        <v>71</v>
      </c>
      <c r="B63" s="177" t="s">
        <v>83</v>
      </c>
      <c r="C63" s="177" t="s">
        <v>8</v>
      </c>
      <c r="D63" s="180" t="s">
        <v>9</v>
      </c>
      <c r="E63" s="180" t="s">
        <v>11</v>
      </c>
      <c r="F63" s="177" t="s">
        <v>60</v>
      </c>
      <c r="G63" s="177" t="s">
        <v>108</v>
      </c>
    </row>
    <row r="64" spans="1:8" ht="21" customHeight="1">
      <c r="A64" s="184" t="s">
        <v>72</v>
      </c>
      <c r="B64" s="219" t="s">
        <v>155</v>
      </c>
      <c r="C64" s="74"/>
      <c r="D64" s="74"/>
      <c r="E64" s="73"/>
      <c r="F64" s="73"/>
      <c r="G64" s="74"/>
    </row>
    <row r="65" spans="1:7" ht="21" customHeight="1">
      <c r="A65" s="184" t="s">
        <v>73</v>
      </c>
      <c r="B65" s="220"/>
      <c r="C65" s="211">
        <v>-7.943770335702505E-3</v>
      </c>
      <c r="D65" s="211">
        <v>-3.1360756709317122E-2</v>
      </c>
      <c r="E65" s="211">
        <v>-6.9584744579983843E-2</v>
      </c>
      <c r="F65" s="211">
        <v>-0.12189402638779563</v>
      </c>
      <c r="G65" s="211">
        <v>-0.18752467482757981</v>
      </c>
    </row>
    <row r="66" spans="1:7" ht="21" customHeight="1">
      <c r="A66" s="184" t="s">
        <v>74</v>
      </c>
      <c r="B66" s="220"/>
      <c r="C66" s="211">
        <v>-2.9063603191089881E-3</v>
      </c>
      <c r="D66" s="211">
        <v>-1.1473924659303275E-2</v>
      </c>
      <c r="E66" s="211">
        <v>-2.5458710731470255E-2</v>
      </c>
      <c r="F66" s="211">
        <v>-4.4596918319119515E-2</v>
      </c>
      <c r="G66" s="211">
        <v>-6.8609061163474636E-2</v>
      </c>
    </row>
    <row r="67" spans="1:7" ht="21" customHeight="1">
      <c r="A67" s="184" t="s">
        <v>75</v>
      </c>
      <c r="B67" s="220"/>
      <c r="C67" s="70"/>
      <c r="D67" s="70"/>
      <c r="E67" s="73"/>
      <c r="F67" s="73"/>
      <c r="G67" s="70"/>
    </row>
  </sheetData>
  <mergeCells count="6">
    <mergeCell ref="B64:B67"/>
    <mergeCell ref="B4:B17"/>
    <mergeCell ref="F29:K29"/>
    <mergeCell ref="B31:B32"/>
    <mergeCell ref="B46:B49"/>
    <mergeCell ref="B56:B59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42"/>
  <sheetViews>
    <sheetView workbookViewId="0">
      <selection activeCell="H43" sqref="H43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25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2"/>
      <c r="P2" s="44"/>
      <c r="Q2" s="44"/>
      <c r="R2" s="44"/>
      <c r="S2" s="103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12</v>
      </c>
      <c r="C4" s="45"/>
      <c r="D4" s="45"/>
      <c r="E4" s="45"/>
      <c r="F4" s="45"/>
      <c r="G4" s="45"/>
      <c r="H4" s="45"/>
      <c r="I4" s="45"/>
      <c r="K4" s="45" t="s">
        <v>12</v>
      </c>
      <c r="L4" s="45"/>
      <c r="M4" s="45"/>
      <c r="N4" s="45"/>
      <c r="O4" s="45"/>
      <c r="P4" s="45"/>
      <c r="Q4" s="45"/>
      <c r="R4" s="45"/>
      <c r="T4" s="45" t="s">
        <v>12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126</v>
      </c>
      <c r="U6" s="48"/>
      <c r="V6" s="40"/>
      <c r="W6" s="40"/>
      <c r="X6" s="40"/>
      <c r="Y6" s="40"/>
      <c r="Z6" s="40"/>
      <c r="AA6" s="40"/>
    </row>
    <row r="7" spans="2:27" s="33" customFormat="1">
      <c r="B7" s="52" t="s">
        <v>0</v>
      </c>
      <c r="C7" s="50" t="s">
        <v>8</v>
      </c>
      <c r="D7" s="50" t="s">
        <v>9</v>
      </c>
      <c r="E7" s="50" t="s">
        <v>11</v>
      </c>
      <c r="F7" s="50" t="s">
        <v>60</v>
      </c>
      <c r="G7" s="50" t="s">
        <v>84</v>
      </c>
      <c r="H7" s="50" t="s">
        <v>13</v>
      </c>
      <c r="I7" s="50" t="s">
        <v>14</v>
      </c>
      <c r="K7" s="49" t="s">
        <v>0</v>
      </c>
      <c r="L7" s="50" t="s">
        <v>8</v>
      </c>
      <c r="M7" s="50" t="s">
        <v>9</v>
      </c>
      <c r="N7" s="50" t="s">
        <v>11</v>
      </c>
      <c r="O7" s="50" t="s">
        <v>60</v>
      </c>
      <c r="P7" s="50" t="s">
        <v>84</v>
      </c>
      <c r="Q7" s="50" t="s">
        <v>13</v>
      </c>
      <c r="R7" s="50" t="s">
        <v>14</v>
      </c>
      <c r="T7" s="52" t="s">
        <v>0</v>
      </c>
      <c r="U7" s="50" t="s">
        <v>8</v>
      </c>
      <c r="V7" s="50" t="s">
        <v>9</v>
      </c>
      <c r="W7" s="50" t="s">
        <v>11</v>
      </c>
      <c r="X7" s="50" t="s">
        <v>60</v>
      </c>
      <c r="Y7" s="50" t="s">
        <v>84</v>
      </c>
      <c r="Z7" s="50" t="s">
        <v>13</v>
      </c>
      <c r="AA7" s="50" t="s">
        <v>14</v>
      </c>
    </row>
    <row r="8" spans="2:27" s="33" customFormat="1">
      <c r="B8" s="34" t="s">
        <v>10</v>
      </c>
      <c r="C8" s="171"/>
      <c r="D8" s="170"/>
      <c r="E8" s="170"/>
      <c r="F8" s="170"/>
      <c r="G8" s="104"/>
      <c r="H8" s="79"/>
      <c r="I8" s="79"/>
      <c r="K8" s="34" t="s">
        <v>10</v>
      </c>
      <c r="L8" s="171"/>
      <c r="M8" s="170"/>
      <c r="N8" s="170"/>
      <c r="O8" s="170"/>
      <c r="P8" s="104"/>
      <c r="Q8" s="79"/>
      <c r="R8" s="79"/>
      <c r="T8" s="34" t="s">
        <v>10</v>
      </c>
      <c r="U8" s="170"/>
      <c r="V8" s="170"/>
      <c r="W8" s="170"/>
      <c r="X8" s="170"/>
      <c r="Y8" s="104"/>
      <c r="Z8" s="79"/>
      <c r="AA8" s="79"/>
    </row>
    <row r="9" spans="2:27" s="33" customFormat="1">
      <c r="B9" s="34" t="s">
        <v>1</v>
      </c>
      <c r="C9" s="170">
        <f>'Cap adjustment'!C5</f>
        <v>24.235941229664295</v>
      </c>
      <c r="D9" s="170">
        <f>'Cap adjustment'!D5</f>
        <v>31.303659536906341</v>
      </c>
      <c r="E9" s="170">
        <f>'Cap adjustment'!E5</f>
        <v>25.403383015419973</v>
      </c>
      <c r="F9" s="170">
        <f>'Cap adjustment'!F5</f>
        <v>25.734033331924579</v>
      </c>
      <c r="G9" s="213">
        <f>'Cap adjustment'!G5</f>
        <v>32.597595074712387</v>
      </c>
      <c r="H9" s="79">
        <f>AVERAGE(C9:F9)</f>
        <v>26.669254278478796</v>
      </c>
      <c r="I9" s="79">
        <f>AVERAGE($C9:G9)</f>
        <v>27.854922437725513</v>
      </c>
      <c r="K9" s="34" t="s">
        <v>1</v>
      </c>
      <c r="L9" s="170">
        <f>'Cap adjustment'!C10</f>
        <v>0.38057299999999999</v>
      </c>
      <c r="M9" s="170">
        <f>'Cap adjustment'!D10</f>
        <v>0.39263829449620852</v>
      </c>
      <c r="N9" s="170">
        <f>'Cap adjustment'!E10</f>
        <v>0.335796480000006</v>
      </c>
      <c r="O9" s="170">
        <f>'Cap adjustment'!F10</f>
        <v>0.36466026495680398</v>
      </c>
      <c r="P9" s="213">
        <f>'Cap adjustment'!G10</f>
        <v>0.4116508265427945</v>
      </c>
      <c r="Q9" s="79">
        <f>AVERAGE(L9:O9)</f>
        <v>0.36841700986325465</v>
      </c>
      <c r="R9" s="79">
        <f>AVERAGE($L9:$P9)</f>
        <v>0.37706377319916262</v>
      </c>
      <c r="T9" s="34" t="s">
        <v>1</v>
      </c>
      <c r="U9" s="170">
        <f>'Cap adjustment'!C15</f>
        <v>0.86428899999999997</v>
      </c>
      <c r="V9" s="170">
        <f>'Cap adjustment'!D15</f>
        <v>0.94171786560000026</v>
      </c>
      <c r="W9" s="170">
        <f>'Cap adjustment'!E15</f>
        <v>0.75179999999999969</v>
      </c>
      <c r="X9" s="170">
        <f>'Cap adjustment'!F15</f>
        <v>0.86132799999999998</v>
      </c>
      <c r="Y9" s="213">
        <f>'Cap adjustment'!G15</f>
        <v>0.83691700000000002</v>
      </c>
      <c r="Z9" s="79">
        <f>AVERAGE(U9:X9)</f>
        <v>0.85478371639999995</v>
      </c>
      <c r="AA9" s="79">
        <f>AVERAGE(U9:Y9)</f>
        <v>0.85121037312000003</v>
      </c>
    </row>
    <row r="10" spans="2:27" s="33" customFormat="1">
      <c r="B10" s="34" t="s">
        <v>138</v>
      </c>
      <c r="C10" s="170">
        <f>'Cap adjustment'!C6</f>
        <v>44.95754463968089</v>
      </c>
      <c r="D10" s="170">
        <f>'Cap adjustment'!D6</f>
        <v>91.285460284020473</v>
      </c>
      <c r="E10" s="170">
        <f>'Cap adjustment'!E6</f>
        <v>87.578050149268421</v>
      </c>
      <c r="F10" s="170">
        <f>'Cap adjustment'!F6</f>
        <v>108.36565106523908</v>
      </c>
      <c r="G10" s="213">
        <f>'Cap adjustment'!G6</f>
        <v>59.471611917075379</v>
      </c>
      <c r="H10" s="79">
        <f>AVERAGE(C10:F10)</f>
        <v>83.046676534552219</v>
      </c>
      <c r="I10" s="79">
        <f>AVERAGE($C10:G10)</f>
        <v>78.331663611056854</v>
      </c>
      <c r="K10" s="34" t="s">
        <v>138</v>
      </c>
      <c r="L10" s="170">
        <f>'Cap adjustment'!C11</f>
        <v>0.74750700000000003</v>
      </c>
      <c r="M10" s="170">
        <f>'Cap adjustment'!D11</f>
        <v>1.2860885430473938</v>
      </c>
      <c r="N10" s="170">
        <f>'Cap adjustment'!E11</f>
        <v>1.144518989999997</v>
      </c>
      <c r="O10" s="170">
        <f>'Cap adjustment'!F11</f>
        <v>1.7696806448635525</v>
      </c>
      <c r="P10" s="213">
        <f>'Cap adjustment'!G11</f>
        <v>0.65583182640144611</v>
      </c>
      <c r="Q10" s="79">
        <f>AVERAGE(L10:O10)</f>
        <v>1.236948794477736</v>
      </c>
      <c r="R10" s="79">
        <f>AVERAGE($L10:$P10)</f>
        <v>1.1207254008624781</v>
      </c>
      <c r="T10" s="34" t="s">
        <v>138</v>
      </c>
      <c r="U10" s="170">
        <f>'Cap adjustment'!C16</f>
        <v>1.757398</v>
      </c>
      <c r="V10" s="170">
        <f>'Cap adjustment'!D16</f>
        <v>2.3263056149999986</v>
      </c>
      <c r="W10" s="170">
        <f>'Cap adjustment'!E16</f>
        <v>2.319300000000001</v>
      </c>
      <c r="X10" s="170">
        <f>'Cap adjustment'!F16</f>
        <v>3.0118800000000001</v>
      </c>
      <c r="Y10" s="213">
        <f>'Cap adjustment'!G16</f>
        <v>1.6714179999999998</v>
      </c>
      <c r="Z10" s="79">
        <f>AVERAGE(U10:X10)</f>
        <v>2.3537209037499998</v>
      </c>
      <c r="AA10" s="79">
        <f>AVERAGE(U10:Y10)</f>
        <v>2.2172603229999996</v>
      </c>
    </row>
    <row r="11" spans="2:27" s="33" customFormat="1">
      <c r="B11" s="34" t="s">
        <v>144</v>
      </c>
      <c r="C11" s="171"/>
      <c r="D11" s="170"/>
      <c r="E11" s="170"/>
      <c r="F11" s="170"/>
      <c r="G11" s="213"/>
      <c r="H11" s="79"/>
      <c r="I11" s="79"/>
      <c r="K11" s="34" t="s">
        <v>144</v>
      </c>
      <c r="L11" s="171"/>
      <c r="M11" s="170"/>
      <c r="N11" s="170"/>
      <c r="O11" s="170"/>
      <c r="P11" s="104"/>
      <c r="Q11" s="79"/>
      <c r="R11" s="79"/>
      <c r="T11" s="34" t="s">
        <v>144</v>
      </c>
      <c r="U11" s="170"/>
      <c r="V11" s="170"/>
      <c r="W11" s="170"/>
      <c r="X11" s="170"/>
      <c r="Y11" s="104"/>
      <c r="Z11" s="79"/>
      <c r="AA11" s="79"/>
    </row>
    <row r="12" spans="2:27" s="33" customFormat="1">
      <c r="B12" s="34" t="s">
        <v>149</v>
      </c>
      <c r="C12" s="104">
        <f>'Cap adjustment'!C19</f>
        <v>0.78026214340786426</v>
      </c>
      <c r="D12" s="104">
        <f>'Cap adjustment'!D19</f>
        <v>0.81195291276788406</v>
      </c>
      <c r="E12" s="104">
        <f>'Cap adjustment'!E19</f>
        <v>0.82906694755407495</v>
      </c>
      <c r="F12" s="104">
        <f>'Cap adjustment'!F19</f>
        <v>0.82495582925767552</v>
      </c>
      <c r="G12" s="212">
        <f>'Cap adjustment'!G19</f>
        <v>0.81987500926314749</v>
      </c>
      <c r="H12" s="79">
        <f t="shared" ref="H12" si="0">AVERAGE(C12:F12)</f>
        <v>0.8115594582468747</v>
      </c>
      <c r="I12" s="79">
        <f>AVERAGE($C12:G12)</f>
        <v>0.8132225684501293</v>
      </c>
      <c r="K12" s="34"/>
      <c r="L12" s="104"/>
      <c r="M12" s="104"/>
      <c r="N12" s="104"/>
      <c r="O12" s="104"/>
      <c r="P12" s="104"/>
      <c r="Q12" s="79"/>
      <c r="R12" s="79"/>
      <c r="T12" s="34"/>
      <c r="U12" s="104"/>
      <c r="V12" s="104"/>
      <c r="W12" s="104"/>
      <c r="X12" s="104"/>
      <c r="Y12" s="104"/>
      <c r="Z12" s="79"/>
      <c r="AA12" s="79"/>
    </row>
    <row r="13" spans="2:27">
      <c r="B13" s="53"/>
      <c r="C13" s="54"/>
      <c r="D13" s="54"/>
      <c r="E13" s="54"/>
      <c r="F13" s="54"/>
      <c r="G13" s="54"/>
      <c r="H13" s="54"/>
      <c r="I13" s="54"/>
      <c r="K13" s="53"/>
      <c r="L13" s="54"/>
      <c r="M13" s="54"/>
      <c r="N13" s="54"/>
      <c r="O13" s="54"/>
      <c r="P13" s="54"/>
      <c r="Q13" s="54"/>
      <c r="R13" s="76"/>
      <c r="T13" s="53"/>
      <c r="U13" s="54"/>
      <c r="V13" s="54"/>
      <c r="W13" s="54"/>
      <c r="X13" s="54"/>
      <c r="Y13" s="54"/>
      <c r="Z13" s="54"/>
      <c r="AA13" s="54"/>
    </row>
    <row r="14" spans="2:27">
      <c r="C14" s="55"/>
      <c r="L14" s="55"/>
      <c r="U14" s="55"/>
    </row>
    <row r="16" spans="2:27" s="33" customFormat="1">
      <c r="B16" s="45" t="s">
        <v>53</v>
      </c>
      <c r="C16" s="45"/>
      <c r="D16" s="45"/>
      <c r="E16" s="45"/>
      <c r="F16" s="45"/>
      <c r="G16" s="45"/>
      <c r="H16" s="45"/>
      <c r="I16" s="45"/>
      <c r="K16" s="45" t="s">
        <v>128</v>
      </c>
      <c r="L16" s="45"/>
      <c r="M16" s="45"/>
      <c r="N16" s="45"/>
      <c r="O16" s="45"/>
      <c r="P16" s="45"/>
      <c r="Q16" s="45"/>
      <c r="R16" s="45"/>
      <c r="T16" s="45" t="s">
        <v>53</v>
      </c>
      <c r="U16" s="45"/>
      <c r="V16" s="45"/>
      <c r="W16" s="45"/>
      <c r="X16" s="45"/>
      <c r="Y16" s="45"/>
      <c r="Z16" s="45"/>
      <c r="AA16" s="45"/>
    </row>
    <row r="18" spans="2:27" s="33" customFormat="1">
      <c r="B18" s="46" t="s">
        <v>7</v>
      </c>
      <c r="C18" s="40"/>
      <c r="D18" s="40"/>
      <c r="E18" s="40"/>
      <c r="F18" s="40"/>
      <c r="G18" s="40"/>
      <c r="H18" s="40"/>
      <c r="I18" s="40"/>
      <c r="K18" s="46" t="s">
        <v>6</v>
      </c>
      <c r="T18" s="46" t="s">
        <v>126</v>
      </c>
      <c r="U18" s="40"/>
      <c r="V18" s="40"/>
      <c r="W18" s="40"/>
      <c r="X18" s="40"/>
      <c r="Y18" s="40"/>
      <c r="Z18" s="40"/>
      <c r="AA18" s="40"/>
    </row>
    <row r="19" spans="2:27" s="33" customFormat="1">
      <c r="B19" s="52" t="s">
        <v>0</v>
      </c>
      <c r="C19" s="50" t="s">
        <v>8</v>
      </c>
      <c r="D19" s="50" t="s">
        <v>9</v>
      </c>
      <c r="E19" s="50" t="s">
        <v>11</v>
      </c>
      <c r="F19" s="50" t="s">
        <v>60</v>
      </c>
      <c r="G19" s="50" t="s">
        <v>84</v>
      </c>
      <c r="H19" s="50" t="s">
        <v>13</v>
      </c>
      <c r="I19" s="50" t="s">
        <v>14</v>
      </c>
      <c r="K19" s="49" t="s">
        <v>0</v>
      </c>
      <c r="L19" s="50" t="s">
        <v>8</v>
      </c>
      <c r="M19" s="50" t="s">
        <v>9</v>
      </c>
      <c r="N19" s="50" t="s">
        <v>11</v>
      </c>
      <c r="O19" s="50" t="s">
        <v>60</v>
      </c>
      <c r="P19" s="50" t="s">
        <v>84</v>
      </c>
      <c r="Q19" s="50" t="s">
        <v>13</v>
      </c>
      <c r="R19" s="50" t="s">
        <v>14</v>
      </c>
      <c r="T19" s="52" t="s">
        <v>0</v>
      </c>
      <c r="U19" s="50" t="s">
        <v>8</v>
      </c>
      <c r="V19" s="50" t="s">
        <v>9</v>
      </c>
      <c r="W19" s="50" t="s">
        <v>11</v>
      </c>
      <c r="X19" s="50" t="s">
        <v>60</v>
      </c>
      <c r="Y19" s="50" t="s">
        <v>84</v>
      </c>
      <c r="Z19" s="50" t="s">
        <v>13</v>
      </c>
      <c r="AA19" s="50" t="s">
        <v>14</v>
      </c>
    </row>
    <row r="20" spans="2:27" s="33" customFormat="1">
      <c r="B20" s="34" t="s">
        <v>10</v>
      </c>
      <c r="C20" s="171"/>
      <c r="D20" s="170"/>
      <c r="E20" s="170"/>
      <c r="F20" s="170"/>
      <c r="G20" s="104"/>
      <c r="H20" s="79"/>
      <c r="I20" s="79"/>
      <c r="K20" s="34" t="s">
        <v>10</v>
      </c>
      <c r="L20" s="171"/>
      <c r="M20" s="170"/>
      <c r="N20" s="170"/>
      <c r="O20" s="170"/>
      <c r="P20" s="104"/>
      <c r="Q20" s="79"/>
      <c r="R20" s="79"/>
      <c r="T20" s="34" t="s">
        <v>10</v>
      </c>
      <c r="U20" s="170"/>
      <c r="V20" s="170"/>
      <c r="W20" s="170"/>
      <c r="X20" s="170"/>
      <c r="Y20" s="104"/>
      <c r="Z20" s="79"/>
      <c r="AA20" s="79"/>
    </row>
    <row r="21" spans="2:27" s="33" customFormat="1">
      <c r="B21" s="34" t="s">
        <v>1</v>
      </c>
      <c r="C21" s="104">
        <f>'Cap adjustment'!$C$37</f>
        <v>0</v>
      </c>
      <c r="D21" s="104">
        <f>'Cap adjustment'!$C$37</f>
        <v>0</v>
      </c>
      <c r="E21" s="104">
        <f>'Cap adjustment'!$C$37</f>
        <v>0</v>
      </c>
      <c r="F21" s="104">
        <f>'Cap adjustment'!$C$37</f>
        <v>0</v>
      </c>
      <c r="G21" s="212">
        <f>'Cap adjustment'!$C$37</f>
        <v>0</v>
      </c>
      <c r="H21" s="79">
        <f t="shared" ref="H21:H22" si="1">AVERAGE(C21:F21)</f>
        <v>0</v>
      </c>
      <c r="I21" s="79">
        <f t="shared" ref="I21:I22" si="2">AVERAGE(C21:G21)</f>
        <v>0</v>
      </c>
      <c r="K21" s="34" t="s">
        <v>1</v>
      </c>
      <c r="L21" s="104">
        <f>'Cap adjustment'!$C$42</f>
        <v>0</v>
      </c>
      <c r="M21" s="104">
        <f>'Cap adjustment'!$C$42</f>
        <v>0</v>
      </c>
      <c r="N21" s="104">
        <f>'Cap adjustment'!$C$42</f>
        <v>0</v>
      </c>
      <c r="O21" s="104">
        <f>'Cap adjustment'!$C$42</f>
        <v>0</v>
      </c>
      <c r="P21" s="212">
        <f>'Cap adjustment'!$C$42</f>
        <v>0</v>
      </c>
      <c r="Q21" s="79">
        <f>AVERAGE(L21:O21)</f>
        <v>0</v>
      </c>
      <c r="R21" s="79">
        <f>AVERAGE(L21:P21)</f>
        <v>0</v>
      </c>
      <c r="T21" s="34" t="s">
        <v>1</v>
      </c>
      <c r="U21" s="170">
        <v>0</v>
      </c>
      <c r="V21" s="170">
        <v>0</v>
      </c>
      <c r="W21" s="170">
        <v>0</v>
      </c>
      <c r="X21" s="170">
        <v>0</v>
      </c>
      <c r="Y21" s="213">
        <v>0</v>
      </c>
      <c r="Z21" s="79">
        <f t="shared" ref="Z21:Z22" si="3">AVERAGE(U21:X21)</f>
        <v>0</v>
      </c>
      <c r="AA21" s="79">
        <f t="shared" ref="AA21:AA22" si="4">AVERAGE(U21:Y21)</f>
        <v>0</v>
      </c>
    </row>
    <row r="22" spans="2:27" s="33" customFormat="1">
      <c r="B22" s="34" t="s">
        <v>138</v>
      </c>
      <c r="C22" s="104">
        <f>'Cap adjustment'!$D$37</f>
        <v>0</v>
      </c>
      <c r="D22" s="104">
        <f>'Cap adjustment'!$D$37</f>
        <v>0</v>
      </c>
      <c r="E22" s="104">
        <f>'Cap adjustment'!$D$37</f>
        <v>0</v>
      </c>
      <c r="F22" s="104">
        <f>'Cap adjustment'!$D$37</f>
        <v>0</v>
      </c>
      <c r="G22" s="212">
        <f>'Cap adjustment'!$D$37</f>
        <v>0</v>
      </c>
      <c r="H22" s="79">
        <f t="shared" si="1"/>
        <v>0</v>
      </c>
      <c r="I22" s="79">
        <f t="shared" si="2"/>
        <v>0</v>
      </c>
      <c r="K22" s="34" t="s">
        <v>138</v>
      </c>
      <c r="L22" s="104">
        <f>'Cap adjustment'!$D$42</f>
        <v>0</v>
      </c>
      <c r="M22" s="104">
        <f>'Cap adjustment'!$D$42</f>
        <v>0</v>
      </c>
      <c r="N22" s="104">
        <f>'Cap adjustment'!$D$42</f>
        <v>0</v>
      </c>
      <c r="O22" s="104">
        <f>'Cap adjustment'!$D$42</f>
        <v>0</v>
      </c>
      <c r="P22" s="212">
        <f>'Cap adjustment'!$D$42</f>
        <v>0</v>
      </c>
      <c r="Q22" s="79">
        <f>AVERAGE(L22:O22)</f>
        <v>0</v>
      </c>
      <c r="R22" s="79">
        <f>AVERAGE(L22:P22)</f>
        <v>0</v>
      </c>
      <c r="T22" s="34" t="s">
        <v>138</v>
      </c>
      <c r="U22" s="170">
        <v>0</v>
      </c>
      <c r="V22" s="170">
        <v>0</v>
      </c>
      <c r="W22" s="170">
        <v>0</v>
      </c>
      <c r="X22" s="170">
        <v>0</v>
      </c>
      <c r="Y22" s="213">
        <v>0</v>
      </c>
      <c r="Z22" s="79">
        <f t="shared" si="3"/>
        <v>0</v>
      </c>
      <c r="AA22" s="79">
        <f t="shared" si="4"/>
        <v>0</v>
      </c>
    </row>
    <row r="23" spans="2:27" s="33" customFormat="1">
      <c r="B23" s="34" t="s">
        <v>144</v>
      </c>
      <c r="C23" s="104"/>
      <c r="D23" s="104"/>
      <c r="E23" s="104"/>
      <c r="F23" s="104"/>
      <c r="G23" s="212"/>
      <c r="H23" s="79"/>
      <c r="I23" s="79"/>
      <c r="K23" s="34" t="s">
        <v>144</v>
      </c>
      <c r="L23" s="104"/>
      <c r="M23" s="104"/>
      <c r="N23" s="104"/>
      <c r="O23" s="104"/>
      <c r="P23" s="172"/>
      <c r="Q23" s="79"/>
      <c r="R23" s="79"/>
      <c r="T23" s="34" t="s">
        <v>144</v>
      </c>
      <c r="U23" s="104"/>
      <c r="V23" s="104"/>
      <c r="W23" s="104"/>
      <c r="X23" s="104"/>
      <c r="Y23" s="173"/>
      <c r="Z23" s="79"/>
      <c r="AA23" s="79"/>
    </row>
    <row r="24" spans="2:27" s="33" customFormat="1">
      <c r="B24" s="34" t="s">
        <v>149</v>
      </c>
      <c r="C24" s="208">
        <v>0</v>
      </c>
      <c r="D24" s="208">
        <v>0</v>
      </c>
      <c r="E24" s="208">
        <v>0</v>
      </c>
      <c r="F24" s="208">
        <v>0</v>
      </c>
      <c r="G24" s="214">
        <v>0</v>
      </c>
      <c r="H24" s="79">
        <f t="shared" ref="H24" si="5">AVERAGE(C24:F24)</f>
        <v>0</v>
      </c>
      <c r="I24" s="79">
        <f t="shared" ref="I24" si="6">AVERAGE(C24:G24)</f>
        <v>0</v>
      </c>
      <c r="K24" s="34"/>
      <c r="L24" s="172"/>
      <c r="M24" s="172"/>
      <c r="N24" s="172"/>
      <c r="O24" s="172"/>
      <c r="P24" s="172"/>
      <c r="Q24" s="85"/>
      <c r="R24" s="85"/>
      <c r="T24" s="34"/>
      <c r="U24" s="174"/>
      <c r="V24" s="174"/>
      <c r="W24" s="174"/>
      <c r="X24" s="174"/>
      <c r="Y24" s="174"/>
      <c r="Z24" s="79"/>
      <c r="AA24" s="79"/>
    </row>
    <row r="25" spans="2:27">
      <c r="B25" s="53"/>
      <c r="C25" s="54"/>
      <c r="D25" s="54"/>
      <c r="E25" s="54"/>
      <c r="F25" s="54"/>
      <c r="G25" s="54"/>
      <c r="H25" s="54"/>
      <c r="I25" s="54"/>
      <c r="K25" s="53"/>
      <c r="L25" s="54"/>
      <c r="M25" s="54"/>
      <c r="N25" s="54"/>
      <c r="O25" s="54"/>
      <c r="P25" s="54"/>
      <c r="Q25" s="54"/>
      <c r="R25" s="54"/>
      <c r="T25" s="53"/>
      <c r="U25" s="54"/>
      <c r="V25" s="54"/>
      <c r="W25" s="54"/>
      <c r="X25" s="54"/>
      <c r="Y25" s="54"/>
      <c r="Z25" s="54"/>
      <c r="AA25" s="54"/>
    </row>
    <row r="28" spans="2:27" s="33" customFormat="1">
      <c r="B28" s="45" t="s">
        <v>15</v>
      </c>
      <c r="C28" s="45"/>
      <c r="D28" s="45"/>
      <c r="E28" s="45"/>
      <c r="F28" s="45"/>
      <c r="G28" s="45"/>
      <c r="H28" s="45"/>
      <c r="I28" s="45"/>
      <c r="K28" s="45" t="s">
        <v>15</v>
      </c>
      <c r="L28" s="45"/>
      <c r="M28" s="45"/>
      <c r="N28" s="45"/>
      <c r="O28" s="45"/>
      <c r="P28" s="45"/>
      <c r="Q28" s="45"/>
      <c r="R28" s="45"/>
      <c r="T28" s="45" t="s">
        <v>15</v>
      </c>
      <c r="U28" s="45"/>
      <c r="V28" s="45"/>
      <c r="W28" s="45"/>
      <c r="X28" s="45"/>
      <c r="Y28" s="45"/>
      <c r="Z28" s="45"/>
      <c r="AA28" s="45"/>
    </row>
    <row r="30" spans="2:27" s="33" customFormat="1">
      <c r="B30" s="46" t="s">
        <v>7</v>
      </c>
      <c r="C30" s="40"/>
      <c r="D30" s="40"/>
      <c r="E30" s="40"/>
      <c r="F30" s="40"/>
      <c r="G30" s="40"/>
      <c r="H30" s="40"/>
      <c r="I30" s="40"/>
      <c r="K30" s="46" t="s">
        <v>6</v>
      </c>
      <c r="T30" s="46" t="s">
        <v>126</v>
      </c>
      <c r="U30" s="40"/>
      <c r="V30" s="40"/>
      <c r="W30" s="40"/>
      <c r="X30" s="40"/>
      <c r="Y30" s="40"/>
      <c r="Z30" s="40"/>
      <c r="AA30" s="40"/>
    </row>
    <row r="31" spans="2:27" s="33" customFormat="1">
      <c r="B31" s="52" t="s">
        <v>0</v>
      </c>
      <c r="C31" s="50" t="s">
        <v>8</v>
      </c>
      <c r="D31" s="50" t="s">
        <v>9</v>
      </c>
      <c r="E31" s="50" t="s">
        <v>11</v>
      </c>
      <c r="F31" s="50" t="s">
        <v>60</v>
      </c>
      <c r="G31" s="50" t="s">
        <v>84</v>
      </c>
      <c r="H31" s="50" t="s">
        <v>13</v>
      </c>
      <c r="I31" s="50" t="s">
        <v>14</v>
      </c>
      <c r="K31" s="49" t="s">
        <v>0</v>
      </c>
      <c r="L31" s="50" t="s">
        <v>8</v>
      </c>
      <c r="M31" s="50" t="s">
        <v>9</v>
      </c>
      <c r="N31" s="50" t="s">
        <v>11</v>
      </c>
      <c r="O31" s="50" t="s">
        <v>60</v>
      </c>
      <c r="P31" s="50" t="s">
        <v>84</v>
      </c>
      <c r="Q31" s="50" t="s">
        <v>13</v>
      </c>
      <c r="R31" s="50" t="s">
        <v>14</v>
      </c>
      <c r="T31" s="52" t="s">
        <v>0</v>
      </c>
      <c r="U31" s="50" t="s">
        <v>8</v>
      </c>
      <c r="V31" s="50" t="s">
        <v>9</v>
      </c>
      <c r="W31" s="50" t="s">
        <v>11</v>
      </c>
      <c r="X31" s="50" t="s">
        <v>60</v>
      </c>
      <c r="Y31" s="50" t="s">
        <v>84</v>
      </c>
      <c r="Z31" s="50" t="s">
        <v>13</v>
      </c>
      <c r="AA31" s="50" t="s">
        <v>14</v>
      </c>
    </row>
    <row r="32" spans="2:27" s="33" customFormat="1">
      <c r="B32" s="34" t="s">
        <v>10</v>
      </c>
      <c r="C32" s="171"/>
      <c r="D32" s="170"/>
      <c r="E32" s="170"/>
      <c r="F32" s="170"/>
      <c r="G32" s="104"/>
      <c r="H32" s="79"/>
      <c r="I32" s="79"/>
      <c r="K32" s="34" t="s">
        <v>10</v>
      </c>
      <c r="L32" s="171"/>
      <c r="M32" s="170"/>
      <c r="N32" s="170"/>
      <c r="O32" s="170"/>
      <c r="P32" s="104"/>
      <c r="Q32" s="79"/>
      <c r="R32" s="79"/>
      <c r="T32" s="34" t="s">
        <v>10</v>
      </c>
      <c r="U32" s="170"/>
      <c r="V32" s="170"/>
      <c r="W32" s="170"/>
      <c r="X32" s="170"/>
      <c r="Y32" s="104"/>
      <c r="Z32" s="79"/>
      <c r="AA32" s="79"/>
    </row>
    <row r="33" spans="2:27" s="33" customFormat="1">
      <c r="B33" s="34" t="s">
        <v>1</v>
      </c>
      <c r="C33" s="104">
        <f t="shared" ref="C33:F36" si="7">C9+C21</f>
        <v>24.235941229664295</v>
      </c>
      <c r="D33" s="104">
        <f t="shared" si="7"/>
        <v>31.303659536906341</v>
      </c>
      <c r="E33" s="104">
        <f t="shared" si="7"/>
        <v>25.403383015419973</v>
      </c>
      <c r="F33" s="104">
        <f t="shared" si="7"/>
        <v>25.734033331924579</v>
      </c>
      <c r="G33" s="212">
        <f t="shared" ref="G33" si="8">G9+G21</f>
        <v>32.597595074712387</v>
      </c>
      <c r="H33" s="79">
        <f t="shared" ref="H33:H34" si="9">AVERAGE(C33:F33)</f>
        <v>26.669254278478796</v>
      </c>
      <c r="I33" s="79">
        <f>AVERAGE($C33:G33)</f>
        <v>27.854922437725513</v>
      </c>
      <c r="K33" s="34" t="s">
        <v>1</v>
      </c>
      <c r="L33" s="104">
        <f t="shared" ref="L33:O33" si="10">L9+L21</f>
        <v>0.38057299999999999</v>
      </c>
      <c r="M33" s="104">
        <f t="shared" si="10"/>
        <v>0.39263829449620852</v>
      </c>
      <c r="N33" s="104">
        <f t="shared" si="10"/>
        <v>0.335796480000006</v>
      </c>
      <c r="O33" s="104">
        <f t="shared" si="10"/>
        <v>0.36466026495680398</v>
      </c>
      <c r="P33" s="212">
        <f t="shared" ref="P33" si="11">P9+P21</f>
        <v>0.4116508265427945</v>
      </c>
      <c r="Q33" s="79">
        <f>AVERAGE(L33:O33)</f>
        <v>0.36841700986325465</v>
      </c>
      <c r="R33" s="79">
        <f>AVERAGE($L33:$P33)</f>
        <v>0.37706377319916262</v>
      </c>
      <c r="T33" s="34" t="s">
        <v>1</v>
      </c>
      <c r="U33" s="104">
        <f t="shared" ref="U33:X33" si="12">U9+U21</f>
        <v>0.86428899999999997</v>
      </c>
      <c r="V33" s="104">
        <f t="shared" si="12"/>
        <v>0.94171786560000026</v>
      </c>
      <c r="W33" s="104">
        <f t="shared" si="12"/>
        <v>0.75179999999999969</v>
      </c>
      <c r="X33" s="104">
        <f t="shared" si="12"/>
        <v>0.86132799999999998</v>
      </c>
      <c r="Y33" s="212">
        <f t="shared" ref="Y33" si="13">Y9+Y21</f>
        <v>0.83691700000000002</v>
      </c>
      <c r="Z33" s="79">
        <f t="shared" ref="Z33:Z34" si="14">AVERAGE(U33:X33)</f>
        <v>0.85478371639999995</v>
      </c>
      <c r="AA33" s="79">
        <f>AVERAGE(U33:Y33)</f>
        <v>0.85121037312000003</v>
      </c>
    </row>
    <row r="34" spans="2:27" s="33" customFormat="1">
      <c r="B34" s="34" t="s">
        <v>138</v>
      </c>
      <c r="C34" s="104">
        <f t="shared" si="7"/>
        <v>44.95754463968089</v>
      </c>
      <c r="D34" s="104">
        <f t="shared" si="7"/>
        <v>91.285460284020473</v>
      </c>
      <c r="E34" s="104">
        <f t="shared" si="7"/>
        <v>87.578050149268421</v>
      </c>
      <c r="F34" s="104">
        <f t="shared" si="7"/>
        <v>108.36565106523908</v>
      </c>
      <c r="G34" s="212">
        <f t="shared" ref="G34" si="15">G10+G22</f>
        <v>59.471611917075379</v>
      </c>
      <c r="H34" s="79">
        <f t="shared" si="9"/>
        <v>83.046676534552219</v>
      </c>
      <c r="I34" s="79">
        <f>AVERAGE($C34:G34)</f>
        <v>78.331663611056854</v>
      </c>
      <c r="K34" s="34" t="s">
        <v>138</v>
      </c>
      <c r="L34" s="104">
        <f t="shared" ref="L34:O34" si="16">L10+L22</f>
        <v>0.74750700000000003</v>
      </c>
      <c r="M34" s="104">
        <f t="shared" si="16"/>
        <v>1.2860885430473938</v>
      </c>
      <c r="N34" s="104">
        <f t="shared" si="16"/>
        <v>1.144518989999997</v>
      </c>
      <c r="O34" s="104">
        <f t="shared" si="16"/>
        <v>1.7696806448635525</v>
      </c>
      <c r="P34" s="212">
        <f t="shared" ref="P34" si="17">P10+P22</f>
        <v>0.65583182640144611</v>
      </c>
      <c r="Q34" s="79">
        <f>AVERAGE(L34:O34)</f>
        <v>1.236948794477736</v>
      </c>
      <c r="R34" s="79">
        <f>AVERAGE($L34:$P34)</f>
        <v>1.1207254008624781</v>
      </c>
      <c r="T34" s="34" t="s">
        <v>138</v>
      </c>
      <c r="U34" s="104">
        <f t="shared" ref="U34:X34" si="18">U10+U22</f>
        <v>1.757398</v>
      </c>
      <c r="V34" s="104">
        <f t="shared" si="18"/>
        <v>2.3263056149999986</v>
      </c>
      <c r="W34" s="104">
        <f t="shared" si="18"/>
        <v>2.319300000000001</v>
      </c>
      <c r="X34" s="104">
        <f t="shared" si="18"/>
        <v>3.0118800000000001</v>
      </c>
      <c r="Y34" s="212">
        <f t="shared" ref="Y34" si="19">Y10+Y22</f>
        <v>1.6714179999999998</v>
      </c>
      <c r="Z34" s="79">
        <f t="shared" si="14"/>
        <v>2.3537209037499998</v>
      </c>
      <c r="AA34" s="79">
        <f>AVERAGE(U34:Y34)</f>
        <v>2.2172603229999996</v>
      </c>
    </row>
    <row r="35" spans="2:27" s="33" customFormat="1">
      <c r="B35" s="34" t="s">
        <v>144</v>
      </c>
      <c r="C35" s="104"/>
      <c r="D35" s="104"/>
      <c r="E35" s="104"/>
      <c r="F35" s="104"/>
      <c r="G35" s="212"/>
      <c r="H35" s="79"/>
      <c r="I35" s="79"/>
      <c r="K35" s="34" t="s">
        <v>144</v>
      </c>
      <c r="L35" s="104"/>
      <c r="M35" s="104"/>
      <c r="N35" s="104"/>
      <c r="O35" s="104"/>
      <c r="P35" s="104"/>
      <c r="Q35" s="79"/>
      <c r="R35" s="79"/>
      <c r="T35" s="34" t="s">
        <v>144</v>
      </c>
      <c r="U35" s="104"/>
      <c r="V35" s="104"/>
      <c r="W35" s="104"/>
      <c r="X35" s="104"/>
      <c r="Y35" s="104"/>
      <c r="Z35" s="79"/>
      <c r="AA35" s="79"/>
    </row>
    <row r="36" spans="2:27" s="33" customFormat="1">
      <c r="B36" s="34" t="s">
        <v>149</v>
      </c>
      <c r="C36" s="104">
        <f t="shared" si="7"/>
        <v>0.78026214340786426</v>
      </c>
      <c r="D36" s="104">
        <f t="shared" si="7"/>
        <v>0.81195291276788406</v>
      </c>
      <c r="E36" s="104">
        <f t="shared" si="7"/>
        <v>0.82906694755407495</v>
      </c>
      <c r="F36" s="104">
        <f t="shared" si="7"/>
        <v>0.82495582925767552</v>
      </c>
      <c r="G36" s="212">
        <f t="shared" ref="G36" si="20">G12+G24</f>
        <v>0.81987500926314749</v>
      </c>
      <c r="H36" s="79">
        <f t="shared" ref="H36" si="21">AVERAGE(C36:F36)</f>
        <v>0.8115594582468747</v>
      </c>
      <c r="I36" s="79">
        <f>AVERAGE($C36:G36)</f>
        <v>0.8132225684501293</v>
      </c>
      <c r="K36" s="34"/>
      <c r="L36" s="104"/>
      <c r="M36" s="104"/>
      <c r="N36" s="104"/>
      <c r="O36" s="104"/>
      <c r="P36" s="174"/>
      <c r="Q36" s="79"/>
      <c r="R36" s="79"/>
      <c r="T36" s="34"/>
      <c r="U36" s="104"/>
      <c r="V36" s="104"/>
      <c r="W36" s="104"/>
      <c r="X36" s="104"/>
      <c r="Y36" s="104"/>
      <c r="Z36" s="79"/>
      <c r="AA36" s="79"/>
    </row>
    <row r="37" spans="2:27">
      <c r="B37" s="53"/>
      <c r="C37" s="54"/>
      <c r="D37" s="54"/>
      <c r="E37" s="54"/>
      <c r="F37" s="54"/>
      <c r="G37" s="54"/>
      <c r="H37" s="54"/>
      <c r="I37" s="54"/>
      <c r="K37" s="53"/>
      <c r="L37" s="54"/>
      <c r="M37" s="54"/>
      <c r="N37" s="54"/>
      <c r="O37" s="54"/>
      <c r="P37" s="54"/>
      <c r="Q37" s="54"/>
      <c r="R37" s="54"/>
      <c r="T37" s="53"/>
      <c r="U37" s="54"/>
      <c r="V37" s="54"/>
      <c r="W37" s="54"/>
      <c r="X37" s="54"/>
      <c r="Y37" s="54"/>
      <c r="Z37" s="54"/>
      <c r="AA37" s="54"/>
    </row>
    <row r="39" spans="2:27">
      <c r="C39" s="66"/>
      <c r="D39" s="66"/>
      <c r="E39" s="66"/>
      <c r="F39" s="66"/>
      <c r="L39" s="66"/>
      <c r="M39" s="66"/>
      <c r="N39" s="66"/>
      <c r="O39" s="66"/>
      <c r="U39" s="66"/>
      <c r="V39" s="66"/>
      <c r="W39" s="66"/>
      <c r="X39" s="66"/>
    </row>
    <row r="40" spans="2:27">
      <c r="C40" s="66"/>
      <c r="D40" s="66"/>
      <c r="E40" s="66"/>
      <c r="F40" s="66"/>
      <c r="L40" s="66"/>
      <c r="M40" s="66"/>
      <c r="N40" s="66"/>
      <c r="O40" s="66"/>
      <c r="U40" s="66"/>
      <c r="V40" s="66"/>
      <c r="W40" s="66"/>
      <c r="X40" s="66"/>
    </row>
    <row r="41" spans="2:27">
      <c r="C41" s="66"/>
      <c r="D41" s="66"/>
      <c r="E41" s="66"/>
      <c r="F41" s="66"/>
      <c r="V41" s="66"/>
      <c r="W41" s="66"/>
      <c r="X41" s="66"/>
    </row>
    <row r="42" spans="2:27">
      <c r="V42" s="67"/>
      <c r="W42" s="67"/>
      <c r="X42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55"/>
  <sheetViews>
    <sheetView zoomScaleNormal="100" workbookViewId="0">
      <selection activeCell="C34" sqref="C34"/>
    </sheetView>
  </sheetViews>
  <sheetFormatPr defaultColWidth="9.140625" defaultRowHeight="11.25"/>
  <cols>
    <col min="1" max="1" width="2.5703125" style="93" customWidth="1"/>
    <col min="2" max="2" width="71.140625" style="93" customWidth="1"/>
    <col min="3" max="3" width="13.140625" style="106" customWidth="1"/>
    <col min="4" max="5" width="18.42578125" style="93" customWidth="1"/>
    <col min="6" max="6" width="13.28515625" style="93" customWidth="1"/>
    <col min="7" max="7" width="10.5703125" style="93" customWidth="1"/>
    <col min="8" max="16384" width="9.140625" style="93"/>
  </cols>
  <sheetData>
    <row r="2" spans="2:7" ht="15">
      <c r="B2" s="32" t="s">
        <v>18</v>
      </c>
      <c r="C2" s="63"/>
      <c r="D2" s="64"/>
      <c r="E2" s="64"/>
      <c r="F2" s="189"/>
      <c r="G2" s="195" t="s">
        <v>136</v>
      </c>
    </row>
    <row r="4" spans="2:7">
      <c r="B4" s="49" t="s">
        <v>43</v>
      </c>
      <c r="C4" s="51"/>
      <c r="D4" s="51" t="str">
        <f>'Output | Draft Decision tables'!C6</f>
        <v>Urban</v>
      </c>
      <c r="E4" s="51" t="str">
        <f>'Output | Draft Decision tables'!D6</f>
        <v>Short rural</v>
      </c>
      <c r="F4" s="190"/>
    </row>
    <row r="5" spans="2:7" s="37" customFormat="1">
      <c r="B5" s="56" t="s">
        <v>129</v>
      </c>
      <c r="C5" s="57" t="s">
        <v>66</v>
      </c>
      <c r="D5" s="167">
        <f>'STPIS inputs'!E11</f>
        <v>35780</v>
      </c>
      <c r="E5" s="167">
        <f>'STPIS inputs'!F11</f>
        <v>35780</v>
      </c>
      <c r="F5" s="191"/>
    </row>
    <row r="6" spans="2:7" s="37" customFormat="1">
      <c r="B6" s="56" t="s">
        <v>50</v>
      </c>
      <c r="C6" s="57" t="s">
        <v>67</v>
      </c>
      <c r="D6" s="167">
        <f>'STPIS inputs'!E8</f>
        <v>7934292.9332146384</v>
      </c>
      <c r="E6" s="167">
        <f>'STPIS inputs'!F8</f>
        <v>793358.78874818969</v>
      </c>
      <c r="F6" s="191"/>
    </row>
    <row r="7" spans="2:7" s="37" customFormat="1">
      <c r="B7" s="56" t="s">
        <v>51</v>
      </c>
      <c r="C7" s="57" t="s">
        <v>2</v>
      </c>
      <c r="D7" s="168">
        <f>'STPIS inputs'!$D$5</f>
        <v>538932332.42721808</v>
      </c>
      <c r="E7" s="168">
        <f>'STPIS inputs'!$D$5</f>
        <v>538932332.42721808</v>
      </c>
      <c r="F7" s="192"/>
    </row>
    <row r="8" spans="2:7" s="37" customFormat="1">
      <c r="B8" s="56" t="s">
        <v>4</v>
      </c>
      <c r="C8" s="57" t="s">
        <v>69</v>
      </c>
      <c r="D8" s="169">
        <f>+'Annual performance and targets'!I33</f>
        <v>27.854922437725513</v>
      </c>
      <c r="E8" s="169">
        <f>+'Annual performance and targets'!I34</f>
        <v>78.331663611056854</v>
      </c>
      <c r="F8" s="193"/>
    </row>
    <row r="9" spans="2:7" s="37" customFormat="1">
      <c r="B9" s="56" t="s">
        <v>3</v>
      </c>
      <c r="C9" s="57" t="s">
        <v>68</v>
      </c>
      <c r="D9" s="169">
        <f>+'Annual performance and targets'!R33</f>
        <v>0.37706377319916262</v>
      </c>
      <c r="E9" s="169">
        <f>+'Annual performance and targets'!R34</f>
        <v>1.1207254008624781</v>
      </c>
      <c r="F9" s="193"/>
    </row>
    <row r="10" spans="2:7" s="37" customFormat="1">
      <c r="B10" s="56" t="s">
        <v>127</v>
      </c>
      <c r="C10" s="57" t="s">
        <v>126</v>
      </c>
      <c r="D10" s="169">
        <f>'Annual performance and targets'!AA33</f>
        <v>0.85121037312000003</v>
      </c>
      <c r="E10" s="169">
        <f>'Annual performance and targets'!AA34</f>
        <v>2.2172603229999996</v>
      </c>
      <c r="F10" s="193"/>
    </row>
    <row r="11" spans="2:7" s="37" customFormat="1">
      <c r="B11" s="56" t="s">
        <v>58</v>
      </c>
      <c r="C11" s="57" t="s">
        <v>70</v>
      </c>
      <c r="D11" s="82">
        <f>$I$50</f>
        <v>1.5</v>
      </c>
      <c r="E11" s="82">
        <f>$I$50</f>
        <v>1.5</v>
      </c>
      <c r="F11" s="120"/>
    </row>
    <row r="12" spans="2:7" s="37" customFormat="1">
      <c r="B12" s="56" t="s">
        <v>55</v>
      </c>
      <c r="C12" s="57" t="s">
        <v>5</v>
      </c>
      <c r="D12" s="166">
        <f>'STPIS inputs'!$D$13</f>
        <v>2.1567217828901697E-3</v>
      </c>
      <c r="E12" s="166">
        <f>'STPIS inputs'!$D$13</f>
        <v>2.1567217828901697E-3</v>
      </c>
      <c r="F12" s="194"/>
    </row>
    <row r="13" spans="2:7" s="37" customFormat="1">
      <c r="B13" s="56" t="s">
        <v>19</v>
      </c>
      <c r="C13" s="57"/>
      <c r="D13" s="83">
        <f>((D5*(1+D12)*(1-(1/(1+D11)))*D6)/D7)/(365.25*24*60)*100</f>
        <v>6.0221075168508956E-2</v>
      </c>
      <c r="E13" s="83">
        <f>((E5*(1+E12)*(1-(1/(1+E11)))*E6)/E7)/(365.25*24*60)*100</f>
        <v>6.0215723889897729E-3</v>
      </c>
      <c r="F13" s="229"/>
    </row>
    <row r="14" spans="2:7" s="37" customFormat="1">
      <c r="B14" s="56" t="s">
        <v>20</v>
      </c>
      <c r="C14" s="57"/>
      <c r="D14" s="83">
        <f>((((((D5*(1+D12))/(1+D11))*D6))/D7)/(365.25*24*60))*(D8/D9)*100</f>
        <v>2.9658172740083319</v>
      </c>
      <c r="E14" s="83">
        <f>((((((E5*(1+E12))/(1+E11))*E6))/E7)/(365.25*24*60))*(E8/E9)*100</f>
        <v>0.28058004956491189</v>
      </c>
      <c r="F14" s="229"/>
    </row>
    <row r="15" spans="2:7" s="37" customFormat="1">
      <c r="B15" s="56" t="s">
        <v>135</v>
      </c>
      <c r="C15" s="57"/>
      <c r="D15" s="83">
        <f>D14*$N$55</f>
        <v>0.23726538192066657</v>
      </c>
      <c r="E15" s="83">
        <f>E14*$N$55</f>
        <v>2.2446403965192954E-2</v>
      </c>
      <c r="F15" s="229"/>
    </row>
    <row r="18" spans="2:3">
      <c r="C18" s="162"/>
    </row>
    <row r="19" spans="2:3">
      <c r="C19" s="162"/>
    </row>
    <row r="21" spans="2:3">
      <c r="B21" s="163"/>
    </row>
    <row r="22" spans="2:3">
      <c r="B22" s="163"/>
    </row>
    <row r="24" spans="2:3">
      <c r="B24" s="164"/>
    </row>
    <row r="25" spans="2:3">
      <c r="B25" s="163"/>
    </row>
    <row r="26" spans="2:3">
      <c r="B26" s="165"/>
    </row>
    <row r="50" spans="9:14">
      <c r="I50" s="197">
        <v>1.5</v>
      </c>
    </row>
    <row r="55" spans="9:14">
      <c r="N55" s="198">
        <v>0.08</v>
      </c>
    </row>
  </sheetData>
  <mergeCells count="1">
    <mergeCell ref="F13:F15"/>
  </mergeCells>
  <hyperlinks>
    <hyperlink ref="G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33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48</v>
      </c>
      <c r="C3" s="16" t="s">
        <v>34</v>
      </c>
      <c r="D3" s="16" t="s">
        <v>35</v>
      </c>
      <c r="E3" s="17"/>
      <c r="F3" s="18"/>
      <c r="G3" s="19"/>
      <c r="H3" s="14"/>
    </row>
    <row r="4" spans="1:34" s="9" customFormat="1" ht="11.25">
      <c r="B4" s="10"/>
      <c r="D4" s="9" t="s">
        <v>36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44</v>
      </c>
      <c r="D5" s="9" t="s">
        <v>46</v>
      </c>
      <c r="E5" s="11"/>
      <c r="F5" s="12"/>
      <c r="G5" s="13"/>
      <c r="H5" s="14"/>
    </row>
    <row r="6" spans="1:34">
      <c r="B6" s="26">
        <v>45168</v>
      </c>
      <c r="C6" s="20" t="s">
        <v>45</v>
      </c>
      <c r="D6" s="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Output | Draft Decision tables</vt:lpstr>
      <vt:lpstr>STPIS inputs</vt:lpstr>
      <vt:lpstr>Cap adjustment</vt:lpstr>
      <vt:lpstr>Annual performance and targets</vt:lpstr>
      <vt:lpstr>Incentive rates calc</vt:lpstr>
      <vt:lpstr>Change log</vt:lpstr>
      <vt:lpstr>'Cap adjustment'!energy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2025-11-28T05:37:19Z</dcterms:created>
  <dcterms:modified xsi:type="dcterms:W3CDTF">2025-11-28T05:37:30Z</dcterms:modified>
</cp:coreProperties>
</file>