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gig365.sharepoint.com/sites/SAAccessArrangement2026-31/Shared Documents/Revised Final Plan/AGN SA REVISED FINAL PLAN - ATTACHMENTS FOR UPLOAD/"/>
    </mc:Choice>
  </mc:AlternateContent>
  <xr:revisionPtr revIDLastSave="2" documentId="8_{808CD478-E0A4-4A3D-A21A-1EEDF2B790A8}" xr6:coauthVersionLast="47" xr6:coauthVersionMax="47" xr10:uidLastSave="{EDC1826E-F80C-4DAB-ADB9-545000CC031D}"/>
  <bookViews>
    <workbookView xWindow="28680" yWindow="-165" windowWidth="29040" windowHeight="17520" tabRatio="804" xr2:uid="{00000000-000D-0000-FFFF-FFFF00000000}"/>
  </bookViews>
  <sheets>
    <sheet name="Cover" sheetId="63" r:id="rId1"/>
    <sheet name="Index" sheetId="1" r:id="rId2"/>
    <sheet name="Input|General" sheetId="54" r:id="rId3"/>
    <sheet name="Input|Inflation" sheetId="55" r:id="rId4"/>
    <sheet name="Input|Reported opex" sheetId="58" r:id="rId5"/>
    <sheet name="Input|Rate of change" sheetId="2" r:id="rId6"/>
    <sheet name="Input|Step changes" sheetId="53" r:id="rId7"/>
    <sheet name="Calc|Ancillary Ref Services" sheetId="62" r:id="rId8"/>
    <sheet name="Calc|Opex forecast" sheetId="42" r:id="rId9"/>
    <sheet name="Output|Models" sheetId="44" r:id="rId10"/>
    <sheet name="Lookup|Tables" sheetId="4" r:id="rId11"/>
    <sheet name="Check|List" sheetId="16" r:id="rId12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'Lookup|Tables'!$H$73:$H$78</definedName>
    <definedName name="thousands">'Lookup|Tables'!$G$18</definedName>
    <definedName name="unit">'Lookup|Tables'!$G$22</definedName>
    <definedName name="units">'Input|General'!$G$15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9" i="2" l="1"/>
  <c r="F28" i="62"/>
  <c r="P32" i="62"/>
  <c r="Q32" i="62"/>
  <c r="R32" i="62"/>
  <c r="S32" i="62"/>
  <c r="O32" i="62"/>
  <c r="M37" i="62"/>
  <c r="O18" i="62"/>
  <c r="P18" i="62" s="1"/>
  <c r="Q18" i="62" s="1"/>
  <c r="R18" i="62" s="1"/>
  <c r="S18" i="62" s="1"/>
  <c r="B2" i="62"/>
  <c r="F31" i="62"/>
  <c r="F30" i="62"/>
  <c r="F29" i="62"/>
  <c r="F27" i="62"/>
  <c r="T4" i="62"/>
  <c r="T10" i="62" s="1"/>
  <c r="T20" i="62" s="1"/>
  <c r="S4" i="62"/>
  <c r="R4" i="62"/>
  <c r="Q4" i="62"/>
  <c r="P4" i="62"/>
  <c r="O4" i="62"/>
  <c r="N4" i="62"/>
  <c r="N24" i="62" s="1"/>
  <c r="N36" i="62" s="1"/>
  <c r="M4" i="62"/>
  <c r="L4" i="62"/>
  <c r="K4" i="62"/>
  <c r="J4" i="62"/>
  <c r="J24" i="62" s="1"/>
  <c r="J36" i="62" s="1"/>
  <c r="B1" i="62"/>
  <c r="M20" i="62" l="1"/>
  <c r="N10" i="62"/>
  <c r="N20" i="62" s="1"/>
  <c r="J10" i="62"/>
  <c r="J20" i="62" s="1"/>
  <c r="K10" i="62"/>
  <c r="K20" i="62" s="1"/>
  <c r="P24" i="62"/>
  <c r="L10" i="62"/>
  <c r="Q24" i="62"/>
  <c r="O24" i="62"/>
  <c r="R24" i="62"/>
  <c r="S24" i="62"/>
  <c r="O10" i="62"/>
  <c r="P10" i="62"/>
  <c r="Q10" i="62"/>
  <c r="T24" i="62"/>
  <c r="T36" i="62" s="1"/>
  <c r="R10" i="62"/>
  <c r="S10" i="62"/>
  <c r="K24" i="62"/>
  <c r="L24" i="62"/>
  <c r="L36" i="62" l="1"/>
  <c r="K36" i="62"/>
  <c r="L20" i="62"/>
  <c r="W18" i="62"/>
  <c r="K93" i="2" l="1"/>
  <c r="L93" i="2"/>
  <c r="M93" i="2"/>
  <c r="J93" i="2"/>
  <c r="X93" i="2" s="1"/>
  <c r="T40" i="2" l="1"/>
  <c r="S40" i="2"/>
  <c r="R40" i="2"/>
  <c r="Q40" i="2"/>
  <c r="P40" i="2"/>
  <c r="I67" i="4" l="1"/>
  <c r="H67" i="4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H78" i="55" l="1"/>
  <c r="H80" i="55"/>
  <c r="H84" i="55" s="1"/>
  <c r="H77" i="55"/>
  <c r="H88" i="55" l="1"/>
  <c r="H79" i="55"/>
  <c r="H82" i="55"/>
  <c r="H83" i="55" l="1"/>
  <c r="H86" i="55"/>
  <c r="H81" i="55"/>
  <c r="H87" i="55" l="1"/>
  <c r="H85" i="55"/>
  <c r="V87" i="55"/>
  <c r="V88" i="55"/>
  <c r="W31" i="53" l="1"/>
  <c r="W30" i="53"/>
  <c r="W29" i="53"/>
  <c r="W17" i="53"/>
  <c r="W18" i="53"/>
  <c r="W19" i="53"/>
  <c r="V66" i="58"/>
  <c r="V67" i="58"/>
  <c r="V55" i="58"/>
  <c r="I85" i="55" l="1"/>
  <c r="V85" i="55" s="1"/>
  <c r="I86" i="55"/>
  <c r="V86" i="55" s="1"/>
  <c r="V54" i="58"/>
  <c r="V45" i="58"/>
  <c r="V44" i="58"/>
  <c r="V23" i="58"/>
  <c r="V24" i="58"/>
  <c r="V25" i="58"/>
  <c r="V26" i="58"/>
  <c r="V27" i="58"/>
  <c r="B2" i="55"/>
  <c r="I87" i="55" l="1"/>
  <c r="I88" i="55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E91" i="2"/>
  <c r="E90" i="2"/>
  <c r="E89" i="2"/>
  <c r="E88" i="2"/>
  <c r="E87" i="2"/>
  <c r="E86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S67" i="42" l="1"/>
  <c r="C7" i="4"/>
  <c r="S15" i="54"/>
  <c r="F39" i="53"/>
  <c r="E31" i="53"/>
  <c r="E30" i="53"/>
  <c r="E29" i="53"/>
  <c r="E28" i="53"/>
  <c r="E27" i="53"/>
  <c r="F31" i="53"/>
  <c r="F30" i="53"/>
  <c r="F29" i="53"/>
  <c r="F28" i="53"/>
  <c r="E19" i="53"/>
  <c r="E18" i="53"/>
  <c r="E17" i="53"/>
  <c r="E16" i="53"/>
  <c r="E15" i="53"/>
  <c r="E14" i="53"/>
  <c r="E13" i="53"/>
  <c r="E12" i="53"/>
  <c r="F19" i="53"/>
  <c r="F18" i="53"/>
  <c r="F17" i="53"/>
  <c r="F16" i="53"/>
  <c r="F15" i="53"/>
  <c r="F14" i="53"/>
  <c r="F13" i="53"/>
  <c r="F12" i="53"/>
  <c r="F13" i="58"/>
  <c r="F24" i="58" s="1"/>
  <c r="F69" i="58"/>
  <c r="F67" i="58"/>
  <c r="F66" i="58"/>
  <c r="F43" i="42"/>
  <c r="F40" i="42"/>
  <c r="E69" i="58"/>
  <c r="E67" i="58"/>
  <c r="E66" i="58"/>
  <c r="E65" i="58"/>
  <c r="E64" i="58"/>
  <c r="E63" i="58"/>
  <c r="E57" i="58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58"/>
  <c r="E20" i="58"/>
  <c r="E19" i="58"/>
  <c r="E13" i="58"/>
  <c r="E15" i="58" s="1"/>
  <c r="J4" i="42"/>
  <c r="J49" i="42" s="1"/>
  <c r="K4" i="42"/>
  <c r="K102" i="42" s="1"/>
  <c r="L4" i="42"/>
  <c r="L102" i="42" s="1"/>
  <c r="M4" i="42"/>
  <c r="M31" i="42" s="1"/>
  <c r="N4" i="42"/>
  <c r="N102" i="42" s="1"/>
  <c r="O4" i="42"/>
  <c r="O102" i="42" s="1"/>
  <c r="P4" i="42"/>
  <c r="P58" i="42" s="1"/>
  <c r="Q4" i="42"/>
  <c r="Q102" i="42" s="1"/>
  <c r="R4" i="42"/>
  <c r="R102" i="42" s="1"/>
  <c r="S4" i="42"/>
  <c r="S102" i="42" s="1"/>
  <c r="T4" i="42"/>
  <c r="T90" i="42" s="1"/>
  <c r="J4" i="58"/>
  <c r="J10" i="58" s="1"/>
  <c r="F8" i="42"/>
  <c r="F24" i="42" s="1"/>
  <c r="E18" i="44"/>
  <c r="C18" i="44"/>
  <c r="C95" i="42"/>
  <c r="E95" i="42"/>
  <c r="C96" i="42"/>
  <c r="E96" i="42"/>
  <c r="E16" i="44"/>
  <c r="C15" i="44"/>
  <c r="C16" i="44"/>
  <c r="C17" i="44"/>
  <c r="C94" i="42"/>
  <c r="C93" i="42"/>
  <c r="T4" i="44"/>
  <c r="T11" i="44" s="1"/>
  <c r="T18" i="44" s="1"/>
  <c r="U4" i="2"/>
  <c r="H79" i="4"/>
  <c r="G79" i="4" s="1"/>
  <c r="T4" i="53"/>
  <c r="T37" i="53" s="1"/>
  <c r="T41" i="53" s="1"/>
  <c r="T4" i="58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3" i="4"/>
  <c r="G73" i="4" s="1"/>
  <c r="N47" i="58"/>
  <c r="O47" i="58"/>
  <c r="P47" i="58"/>
  <c r="Q47" i="58"/>
  <c r="R47" i="58"/>
  <c r="S47" i="58"/>
  <c r="C96" i="2" a="1"/>
  <c r="C99" i="2" s="1"/>
  <c r="C91" i="2"/>
  <c r="C90" i="2"/>
  <c r="C89" i="2"/>
  <c r="C88" i="2"/>
  <c r="C87" i="2"/>
  <c r="C86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8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8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S21" i="53" s="1"/>
  <c r="R4" i="53"/>
  <c r="R37" i="53" s="1"/>
  <c r="R41" i="53" s="1"/>
  <c r="Q4" i="53"/>
  <c r="Q37" i="53" s="1"/>
  <c r="Q41" i="53" s="1"/>
  <c r="P4" i="53"/>
  <c r="O4" i="53"/>
  <c r="O37" i="53" s="1"/>
  <c r="O41" i="53" s="1"/>
  <c r="N4" i="53"/>
  <c r="N10" i="53" s="1"/>
  <c r="N21" i="53" s="1"/>
  <c r="M4" i="53"/>
  <c r="M37" i="53" s="1"/>
  <c r="M41" i="53" s="1"/>
  <c r="L4" i="53"/>
  <c r="L37" i="53" s="1"/>
  <c r="L41" i="53" s="1"/>
  <c r="K4" i="53"/>
  <c r="J4" i="53"/>
  <c r="J37" i="53" s="1"/>
  <c r="J41" i="53" s="1"/>
  <c r="J4" i="2"/>
  <c r="J96" i="2" s="1"/>
  <c r="T4" i="2"/>
  <c r="T75" i="2" s="1"/>
  <c r="S4" i="2"/>
  <c r="S64" i="2" s="1"/>
  <c r="S73" i="2" s="1"/>
  <c r="R4" i="2"/>
  <c r="R49" i="2" s="1"/>
  <c r="R60" i="2" s="1"/>
  <c r="Q4" i="2"/>
  <c r="Q94" i="2" s="1"/>
  <c r="P4" i="2"/>
  <c r="P10" i="2" s="1"/>
  <c r="P12" i="2" s="1"/>
  <c r="O4" i="2"/>
  <c r="O64" i="2" s="1"/>
  <c r="O73" i="2" s="1"/>
  <c r="N4" i="2"/>
  <c r="M4" i="2"/>
  <c r="M96" i="2" s="1"/>
  <c r="L4" i="2"/>
  <c r="L103" i="2" s="1"/>
  <c r="L10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J81" i="2"/>
  <c r="K81" i="2"/>
  <c r="L81" i="2"/>
  <c r="M81" i="2"/>
  <c r="J82" i="2"/>
  <c r="K82" i="2"/>
  <c r="L82" i="2"/>
  <c r="M82" i="2"/>
  <c r="J77" i="2"/>
  <c r="K77" i="2"/>
  <c r="L77" i="2"/>
  <c r="M77" i="2"/>
  <c r="O77" i="2"/>
  <c r="P77" i="2"/>
  <c r="Q77" i="2"/>
  <c r="R77" i="2"/>
  <c r="S77" i="2"/>
  <c r="T77" i="2"/>
  <c r="N77" i="2"/>
  <c r="R23" i="42"/>
  <c r="R31" i="42"/>
  <c r="R46" i="4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V75" i="2"/>
  <c r="C2" i="58"/>
  <c r="C1" i="58"/>
  <c r="E17" i="44"/>
  <c r="E15" i="44"/>
  <c r="E14" i="44"/>
  <c r="C13" i="44"/>
  <c r="C14" i="44"/>
  <c r="E104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R90" i="42"/>
  <c r="E50" i="42"/>
  <c r="E47" i="42"/>
  <c r="E44" i="42"/>
  <c r="E41" i="42"/>
  <c r="E38" i="42"/>
  <c r="E86" i="42"/>
  <c r="E106" i="42"/>
  <c r="C77" i="42"/>
  <c r="C78" i="42"/>
  <c r="C79" i="42"/>
  <c r="C80" i="42"/>
  <c r="C81" i="42"/>
  <c r="C82" i="42"/>
  <c r="C83" i="42"/>
  <c r="C84" i="42"/>
  <c r="C92" i="42"/>
  <c r="E54" i="42"/>
  <c r="E52" i="42"/>
  <c r="E13" i="42"/>
  <c r="E15" i="42"/>
  <c r="E13" i="44"/>
  <c r="E105" i="42"/>
  <c r="E17" i="42"/>
  <c r="E77" i="42"/>
  <c r="E78" i="42"/>
  <c r="E79" i="42"/>
  <c r="E80" i="42"/>
  <c r="E81" i="42"/>
  <c r="E82" i="42"/>
  <c r="E83" i="42"/>
  <c r="E84" i="42"/>
  <c r="E92" i="42"/>
  <c r="E93" i="42"/>
  <c r="E94" i="42"/>
  <c r="E98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P6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05" i="2"/>
  <c r="B2" i="2"/>
  <c r="B1" i="2"/>
  <c r="C72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M47" i="58"/>
  <c r="M57" i="58"/>
  <c r="U75" i="2" l="1"/>
  <c r="U94" i="2"/>
  <c r="O17" i="62"/>
  <c r="O13" i="62"/>
  <c r="O15" i="62"/>
  <c r="O14" i="62"/>
  <c r="O16" i="62"/>
  <c r="O12" i="62"/>
  <c r="E40" i="42"/>
  <c r="E43" i="42"/>
  <c r="E46" i="42"/>
  <c r="E28" i="42"/>
  <c r="E21" i="42"/>
  <c r="F46" i="42"/>
  <c r="F49" i="42"/>
  <c r="E49" i="42"/>
  <c r="F28" i="42"/>
  <c r="E12" i="42"/>
  <c r="E37" i="42"/>
  <c r="M14" i="42"/>
  <c r="T75" i="42"/>
  <c r="T104" i="42"/>
  <c r="L49" i="42"/>
  <c r="K16" i="42"/>
  <c r="K12" i="42"/>
  <c r="K104" i="42"/>
  <c r="S16" i="42"/>
  <c r="S90" i="42"/>
  <c r="K49" i="42"/>
  <c r="K90" i="42"/>
  <c r="S46" i="42"/>
  <c r="L46" i="42"/>
  <c r="S12" i="42"/>
  <c r="L106" i="42"/>
  <c r="S75" i="42"/>
  <c r="S43" i="42"/>
  <c r="L40" i="42"/>
  <c r="S21" i="42"/>
  <c r="M12" i="42"/>
  <c r="L105" i="42"/>
  <c r="E23" i="42"/>
  <c r="M43" i="42"/>
  <c r="K31" i="42"/>
  <c r="S23" i="42"/>
  <c r="L19" i="42"/>
  <c r="K106" i="42"/>
  <c r="L90" i="42"/>
  <c r="K40" i="42"/>
  <c r="S31" i="42"/>
  <c r="M90" i="42"/>
  <c r="J34" i="58"/>
  <c r="L12" i="42"/>
  <c r="K19" i="42"/>
  <c r="T105" i="42"/>
  <c r="K105" i="42"/>
  <c r="S14" i="42"/>
  <c r="S37" i="42"/>
  <c r="L23" i="42"/>
  <c r="L37" i="42"/>
  <c r="L16" i="42"/>
  <c r="L10" i="42"/>
  <c r="L104" i="42"/>
  <c r="L75" i="42"/>
  <c r="L43" i="42"/>
  <c r="F17" i="44"/>
  <c r="P21" i="42"/>
  <c r="R10" i="53"/>
  <c r="R21" i="53" s="1"/>
  <c r="P16" i="42"/>
  <c r="P23" i="42"/>
  <c r="P14" i="42"/>
  <c r="P43" i="42"/>
  <c r="S40" i="42"/>
  <c r="S33" i="42"/>
  <c r="S19" i="42"/>
  <c r="S10" i="42"/>
  <c r="S49" i="42"/>
  <c r="S35" i="42"/>
  <c r="R43" i="42"/>
  <c r="R33" i="42"/>
  <c r="J90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5" i="53"/>
  <c r="R33" i="53" s="1"/>
  <c r="P12" i="42"/>
  <c r="P90" i="42"/>
  <c r="P40" i="42"/>
  <c r="M24" i="2"/>
  <c r="J10" i="53"/>
  <c r="P49" i="42"/>
  <c r="Q90" i="42"/>
  <c r="E19" i="42"/>
  <c r="P10" i="42"/>
  <c r="J25" i="53"/>
  <c r="J33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0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7" i="42"/>
  <c r="F54" i="42"/>
  <c r="F86" i="42"/>
  <c r="N75" i="42"/>
  <c r="F104" i="42"/>
  <c r="F19" i="58"/>
  <c r="F41" i="42"/>
  <c r="F20" i="58"/>
  <c r="F13" i="42"/>
  <c r="F15" i="42"/>
  <c r="N90" i="42"/>
  <c r="F78" i="42"/>
  <c r="F92" i="42"/>
  <c r="P49" i="2"/>
  <c r="P60" i="2" s="1"/>
  <c r="P75" i="2"/>
  <c r="N12" i="42"/>
  <c r="F35" i="42"/>
  <c r="L21" i="42"/>
  <c r="F95" i="42"/>
  <c r="F93" i="42"/>
  <c r="N40" i="42"/>
  <c r="F96" i="42"/>
  <c r="F17" i="42"/>
  <c r="F79" i="42"/>
  <c r="N46" i="42"/>
  <c r="Q34" i="58"/>
  <c r="F33" i="42"/>
  <c r="F80" i="42"/>
  <c r="F94" i="42"/>
  <c r="F44" i="42"/>
  <c r="F47" i="42"/>
  <c r="F81" i="42"/>
  <c r="F98" i="42"/>
  <c r="N10" i="42"/>
  <c r="N19" i="42"/>
  <c r="F26" i="42"/>
  <c r="F29" i="42"/>
  <c r="N16" i="42"/>
  <c r="F20" i="42"/>
  <c r="F13" i="44"/>
  <c r="F82" i="42"/>
  <c r="F105" i="42"/>
  <c r="N21" i="42"/>
  <c r="F21" i="58"/>
  <c r="N49" i="42"/>
  <c r="F38" i="42"/>
  <c r="F50" i="42"/>
  <c r="F83" i="42"/>
  <c r="F106" i="42"/>
  <c r="F14" i="44"/>
  <c r="N43" i="42"/>
  <c r="N37" i="42"/>
  <c r="N23" i="42"/>
  <c r="F31" i="42"/>
  <c r="L14" i="42"/>
  <c r="F52" i="42"/>
  <c r="N14" i="42"/>
  <c r="F84" i="42"/>
  <c r="F15" i="44"/>
  <c r="M10" i="53"/>
  <c r="M21" i="53" s="1"/>
  <c r="M25" i="53"/>
  <c r="M33" i="53" s="1"/>
  <c r="N25" i="53"/>
  <c r="N33" i="53" s="1"/>
  <c r="S24" i="2"/>
  <c r="S10" i="2"/>
  <c r="S12" i="2" s="1"/>
  <c r="O10" i="53"/>
  <c r="O21" i="53" s="1"/>
  <c r="T10" i="53"/>
  <c r="T21" i="53" s="1"/>
  <c r="O25" i="53"/>
  <c r="O33" i="53" s="1"/>
  <c r="F16" i="44"/>
  <c r="T12" i="42"/>
  <c r="L58" i="42"/>
  <c r="F23" i="58"/>
  <c r="S58" i="42"/>
  <c r="S36" i="2"/>
  <c r="S47" i="2" s="1"/>
  <c r="J14" i="42"/>
  <c r="J43" i="42"/>
  <c r="J31" i="42"/>
  <c r="J33" i="42"/>
  <c r="G80" i="4"/>
  <c r="J58" i="42"/>
  <c r="J61" i="42" s="1"/>
  <c r="J75" i="42"/>
  <c r="M103" i="2"/>
  <c r="M107" i="2" s="1"/>
  <c r="J14" i="2"/>
  <c r="L14" i="2"/>
  <c r="N10" i="58"/>
  <c r="N28" i="42" s="1"/>
  <c r="Q12" i="42"/>
  <c r="J102" i="42"/>
  <c r="Q46" i="42"/>
  <c r="J46" i="42"/>
  <c r="J10" i="42"/>
  <c r="J19" i="42"/>
  <c r="F22" i="42"/>
  <c r="J106" i="42"/>
  <c r="M36" i="2"/>
  <c r="M47" i="2" s="1"/>
  <c r="J10" i="2"/>
  <c r="J12" i="2" s="1"/>
  <c r="J12" i="42"/>
  <c r="Q19" i="42"/>
  <c r="J21" i="42"/>
  <c r="J61" i="58"/>
  <c r="J105" i="42"/>
  <c r="Q10" i="42"/>
  <c r="J40" i="42"/>
  <c r="Q31" i="42"/>
  <c r="L49" i="2"/>
  <c r="L60" i="2" s="1"/>
  <c r="Q21" i="42"/>
  <c r="J23" i="42"/>
  <c r="F25" i="58"/>
  <c r="J104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2" i="42"/>
  <c r="M34" i="58"/>
  <c r="M14" i="2"/>
  <c r="Q23" i="42"/>
  <c r="N34" i="58"/>
  <c r="N58" i="42"/>
  <c r="N61" i="42" s="1"/>
  <c r="F29" i="58"/>
  <c r="O58" i="42"/>
  <c r="M10" i="2"/>
  <c r="Q49" i="42"/>
  <c r="Q35" i="42"/>
  <c r="C96" i="2"/>
  <c r="P64" i="2"/>
  <c r="P73" i="2" s="1"/>
  <c r="Q49" i="2"/>
  <c r="Q60" i="2" s="1"/>
  <c r="R10" i="2"/>
  <c r="R12" i="2" s="1"/>
  <c r="M98" i="2"/>
  <c r="P14" i="2"/>
  <c r="C9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1" i="53" s="1"/>
  <c r="T64" i="2"/>
  <c r="T73" i="2" s="1"/>
  <c r="J103" i="2"/>
  <c r="J107" i="2" s="1"/>
  <c r="O10" i="2"/>
  <c r="K21" i="42"/>
  <c r="U103" i="2"/>
  <c r="U107" i="2" s="1"/>
  <c r="Q58" i="42"/>
  <c r="F27" i="58"/>
  <c r="K75" i="42"/>
  <c r="J15" i="44"/>
  <c r="K43" i="42"/>
  <c r="K37" i="42"/>
  <c r="P36" i="2"/>
  <c r="P47" i="2" s="1"/>
  <c r="Q75" i="2"/>
  <c r="M64" i="2"/>
  <c r="M73" i="2" s="1"/>
  <c r="K23" i="42"/>
  <c r="J97" i="2"/>
  <c r="N37" i="53"/>
  <c r="N41" i="53" s="1"/>
  <c r="K35" i="42"/>
  <c r="K58" i="42"/>
  <c r="K61" i="42" s="1"/>
  <c r="R58" i="42"/>
  <c r="T102" i="42"/>
  <c r="Q36" i="2"/>
  <c r="Q47" i="2" s="1"/>
  <c r="Q64" i="2"/>
  <c r="Q73" i="2" s="1"/>
  <c r="R10" i="58"/>
  <c r="R28" i="42" s="1"/>
  <c r="F15" i="58"/>
  <c r="K13" i="44"/>
  <c r="S25" i="53"/>
  <c r="S33" i="53" s="1"/>
  <c r="R35" i="42"/>
  <c r="F22" i="58"/>
  <c r="K14" i="44"/>
  <c r="K46" i="42"/>
  <c r="Q103" i="2"/>
  <c r="Q107" i="2" s="1"/>
  <c r="S37" i="53"/>
  <c r="S41" i="53" s="1"/>
  <c r="O75" i="2"/>
  <c r="K33" i="42"/>
  <c r="R34" i="58"/>
  <c r="L25" i="53"/>
  <c r="L33" i="53" s="1"/>
  <c r="K14" i="42"/>
  <c r="K18" i="44"/>
  <c r="K10" i="42"/>
  <c r="Q24" i="2"/>
  <c r="Q10" i="2"/>
  <c r="Q12" i="2" s="1"/>
  <c r="Q14" i="2"/>
  <c r="O61" i="58"/>
  <c r="O10" i="58"/>
  <c r="O34" i="58"/>
  <c r="P37" i="53"/>
  <c r="P41" i="53" s="1"/>
  <c r="P10" i="53"/>
  <c r="P21" i="53" s="1"/>
  <c r="P25" i="53"/>
  <c r="P33" i="53" s="1"/>
  <c r="N94" i="2"/>
  <c r="N64" i="2"/>
  <c r="N73" i="2" s="1"/>
  <c r="N24" i="2"/>
  <c r="N103" i="2"/>
  <c r="N107" i="2" s="1"/>
  <c r="N75" i="2"/>
  <c r="N14" i="2"/>
  <c r="N10" i="2"/>
  <c r="N49" i="2"/>
  <c r="N60" i="2" s="1"/>
  <c r="N36" i="2"/>
  <c r="N47" i="2" s="1"/>
  <c r="P10" i="58"/>
  <c r="P34" i="58"/>
  <c r="P61" i="58"/>
  <c r="K25" i="53"/>
  <c r="K33" i="53" s="1"/>
  <c r="K10" i="53"/>
  <c r="K21" i="53" s="1"/>
  <c r="K37" i="53"/>
  <c r="K41" i="53" s="1"/>
  <c r="Q96" i="2"/>
  <c r="Q99" i="2"/>
  <c r="Q98" i="2"/>
  <c r="Q97" i="2"/>
  <c r="P68" i="42" a="1"/>
  <c r="P68" i="42" s="1"/>
  <c r="S1" i="54"/>
  <c r="G10" i="16" s="1"/>
  <c r="K61" i="58"/>
  <c r="K10" i="58"/>
  <c r="S61" i="58"/>
  <c r="S10" i="58"/>
  <c r="R94" i="2"/>
  <c r="R64" i="2"/>
  <c r="R73" i="2" s="1"/>
  <c r="R24" i="2"/>
  <c r="R103" i="2"/>
  <c r="R107" i="2" s="1"/>
  <c r="R75" i="2"/>
  <c r="R14" i="2"/>
  <c r="R36" i="2"/>
  <c r="R47" i="2" s="1"/>
  <c r="L10" i="58"/>
  <c r="L34" i="58"/>
  <c r="L61" i="58"/>
  <c r="K10" i="2"/>
  <c r="K14" i="2"/>
  <c r="K24" i="2"/>
  <c r="K64" i="2"/>
  <c r="K73" i="2" s="1"/>
  <c r="K103" i="2"/>
  <c r="K107" i="2" s="1"/>
  <c r="K36" i="2"/>
  <c r="K47" i="2" s="1"/>
  <c r="K75" i="2"/>
  <c r="K49" i="2"/>
  <c r="K60" i="2" s="1"/>
  <c r="M102" i="42"/>
  <c r="M40" i="42"/>
  <c r="M75" i="42"/>
  <c r="M35" i="42"/>
  <c r="M16" i="42"/>
  <c r="M33" i="42"/>
  <c r="M23" i="42"/>
  <c r="M46" i="42"/>
  <c r="M21" i="42"/>
  <c r="M37" i="42"/>
  <c r="M58" i="42"/>
  <c r="M61" i="42" s="1"/>
  <c r="M19" i="42"/>
  <c r="M10" i="42"/>
  <c r="M49" i="42"/>
  <c r="P65" i="42" a="1"/>
  <c r="P65" i="42" s="1"/>
  <c r="M97" i="2"/>
  <c r="M99" i="2"/>
  <c r="J99" i="2"/>
  <c r="J98" i="2"/>
  <c r="S103" i="2"/>
  <c r="S107" i="2" s="1"/>
  <c r="O49" i="2"/>
  <c r="O60" i="2" s="1"/>
  <c r="S75" i="2"/>
  <c r="O94" i="2"/>
  <c r="S94" i="2"/>
  <c r="C98" i="2"/>
  <c r="U36" i="2"/>
  <c r="U47" i="2" s="1"/>
  <c r="T25" i="53"/>
  <c r="T33" i="53" s="1"/>
  <c r="J14" i="44"/>
  <c r="O103" i="2"/>
  <c r="O107" i="2" s="1"/>
  <c r="L10" i="2"/>
  <c r="M10" i="58"/>
  <c r="M28" i="42" s="1"/>
  <c r="Q61" i="58"/>
  <c r="P94" i="2"/>
  <c r="T94" i="2"/>
  <c r="O24" i="2"/>
  <c r="S14" i="2"/>
  <c r="U64" i="2"/>
  <c r="U73" i="2" s="1"/>
  <c r="Q10" i="53"/>
  <c r="Q21" i="53" s="1"/>
  <c r="T103" i="2"/>
  <c r="T107" i="2" s="1"/>
  <c r="P24" i="2"/>
  <c r="T10" i="2"/>
  <c r="T12" i="2" s="1"/>
  <c r="L75" i="2"/>
  <c r="O14" i="2"/>
  <c r="K16" i="44"/>
  <c r="J18" i="44"/>
  <c r="O36" i="2"/>
  <c r="O47" i="2" s="1"/>
  <c r="Q25" i="53"/>
  <c r="Q33" i="53" s="1"/>
  <c r="P103" i="2"/>
  <c r="P107" i="2" s="1"/>
  <c r="L24" i="2"/>
  <c r="T14" i="2"/>
  <c r="L64" i="2"/>
  <c r="L73" i="2" s="1"/>
  <c r="U49" i="2"/>
  <c r="U60" i="2" s="1"/>
  <c r="S49" i="2"/>
  <c r="S60" i="2" s="1"/>
  <c r="T49" i="2"/>
  <c r="T60" i="2" s="1"/>
  <c r="P12" i="62" l="1"/>
  <c r="O26" i="62"/>
  <c r="O20" i="62"/>
  <c r="P16" i="62"/>
  <c r="O30" i="62"/>
  <c r="P14" i="62"/>
  <c r="O28" i="62"/>
  <c r="P15" i="62"/>
  <c r="O29" i="62"/>
  <c r="O27" i="62"/>
  <c r="P13" i="62"/>
  <c r="O31" i="62"/>
  <c r="P17" i="62"/>
  <c r="T71" i="42" a="1"/>
  <c r="T71" i="42" s="1"/>
  <c r="Q28" i="42"/>
  <c r="P61" i="42"/>
  <c r="P70" i="42" s="1"/>
  <c r="O65" i="42" a="1"/>
  <c r="O65" i="42" s="1"/>
  <c r="S65" i="42" a="1"/>
  <c r="S65" i="42" s="1"/>
  <c r="L68" i="42" a="1"/>
  <c r="L68" i="42" s="1"/>
  <c r="L61" i="42"/>
  <c r="L70" i="42" s="1"/>
  <c r="R65" i="42" a="1"/>
  <c r="R65" i="42" s="1"/>
  <c r="Q65" i="42" a="1"/>
  <c r="Q65" i="42" s="1"/>
  <c r="W28" i="53"/>
  <c r="V53" i="58"/>
  <c r="V20" i="58"/>
  <c r="W14" i="53"/>
  <c r="W16" i="53"/>
  <c r="W12" i="53"/>
  <c r="W13" i="53"/>
  <c r="W15" i="53"/>
  <c r="V43" i="58"/>
  <c r="J28" i="42"/>
  <c r="V65" i="58"/>
  <c r="V63" i="58"/>
  <c r="V64" i="58"/>
  <c r="J21" i="53"/>
  <c r="W21" i="53" s="1"/>
  <c r="W27" i="53"/>
  <c r="V22" i="58"/>
  <c r="V52" i="58"/>
  <c r="V21" i="58"/>
  <c r="J68" i="42" a="1"/>
  <c r="J68" i="42" s="1"/>
  <c r="J70" i="42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V42" i="58"/>
  <c r="V51" i="58"/>
  <c r="O68" i="42" a="1"/>
  <c r="O68" i="42" s="1"/>
  <c r="V19" i="58"/>
  <c r="V71" i="58"/>
  <c r="V69" i="58"/>
  <c r="W33" i="53"/>
  <c r="Q68" i="42" a="1"/>
  <c r="Q68" i="42" s="1"/>
  <c r="N65" i="42" a="1"/>
  <c r="N65" i="42" s="1"/>
  <c r="L28" i="42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1" i="53"/>
  <c r="X60" i="2"/>
  <c r="L96" i="2"/>
  <c r="L98" i="2"/>
  <c r="L99" i="2"/>
  <c r="L97" i="2"/>
  <c r="O28" i="42"/>
  <c r="K98" i="2"/>
  <c r="K97" i="2"/>
  <c r="K96" i="2"/>
  <c r="K99" i="2"/>
  <c r="C16" i="2" a="1"/>
  <c r="K12" i="2"/>
  <c r="C26" i="2" a="1"/>
  <c r="P99" i="2"/>
  <c r="P98" i="2"/>
  <c r="P97" i="2"/>
  <c r="P96" i="2"/>
  <c r="S98" i="2"/>
  <c r="S97" i="2"/>
  <c r="S96" i="2"/>
  <c r="S99" i="2"/>
  <c r="X47" i="2"/>
  <c r="N97" i="2"/>
  <c r="N98" i="2"/>
  <c r="N99" i="2"/>
  <c r="N96" i="2"/>
  <c r="O99" i="2"/>
  <c r="O97" i="2"/>
  <c r="O98" i="2"/>
  <c r="O96" i="2"/>
  <c r="M65" i="42" a="1"/>
  <c r="M65" i="42" s="1"/>
  <c r="M68" i="42" a="1"/>
  <c r="M68" i="42" s="1"/>
  <c r="X107" i="2"/>
  <c r="R98" i="2"/>
  <c r="R96" i="2"/>
  <c r="R97" i="2"/>
  <c r="R99" i="2"/>
  <c r="T97" i="2"/>
  <c r="T98" i="2"/>
  <c r="T99" i="2"/>
  <c r="T96" i="2"/>
  <c r="X73" i="2"/>
  <c r="P29" i="62" l="1"/>
  <c r="Q15" i="62"/>
  <c r="P28" i="62"/>
  <c r="Q14" i="62"/>
  <c r="Q16" i="62"/>
  <c r="P30" i="62"/>
  <c r="P31" i="62"/>
  <c r="Q17" i="62"/>
  <c r="O34" i="62"/>
  <c r="O36" i="62"/>
  <c r="Q13" i="62"/>
  <c r="P27" i="62"/>
  <c r="Q12" i="62"/>
  <c r="P26" i="62"/>
  <c r="P20" i="62"/>
  <c r="O61" i="42"/>
  <c r="O70" i="42" s="1"/>
  <c r="S1" i="53"/>
  <c r="G14" i="16" s="1"/>
  <c r="S61" i="42"/>
  <c r="S70" i="42" s="1"/>
  <c r="Q61" i="42"/>
  <c r="Q70" i="42" s="1"/>
  <c r="R61" i="42"/>
  <c r="R70" i="42" s="1"/>
  <c r="M62" i="42" a="1"/>
  <c r="M62" i="42" s="1"/>
  <c r="S1" i="58"/>
  <c r="G12" i="16" s="1"/>
  <c r="N70" i="42"/>
  <c r="N62" i="42" a="1"/>
  <c r="N62" i="42" s="1"/>
  <c r="T1" i="2"/>
  <c r="G13" i="16" s="1"/>
  <c r="C31" i="2"/>
  <c r="C27" i="2"/>
  <c r="C26" i="2"/>
  <c r="C29" i="2"/>
  <c r="C32" i="2"/>
  <c r="C30" i="2"/>
  <c r="C28" i="2"/>
  <c r="M70" i="42"/>
  <c r="C16" i="2"/>
  <c r="C17" i="2"/>
  <c r="C18" i="2"/>
  <c r="C21" i="2"/>
  <c r="C19" i="2"/>
  <c r="C20" i="2"/>
  <c r="C22" i="2"/>
  <c r="Q31" i="62" l="1"/>
  <c r="R17" i="62"/>
  <c r="Q30" i="62"/>
  <c r="R16" i="62"/>
  <c r="P36" i="62"/>
  <c r="R14" i="62"/>
  <c r="Q28" i="62"/>
  <c r="R12" i="62"/>
  <c r="Q26" i="62"/>
  <c r="Q20" i="62"/>
  <c r="P34" i="62"/>
  <c r="Q29" i="62"/>
  <c r="R15" i="62"/>
  <c r="Q27" i="62"/>
  <c r="R13" i="62"/>
  <c r="N71" i="42" a="1"/>
  <c r="N71" i="42" s="1"/>
  <c r="M71" i="42" a="1"/>
  <c r="M71" i="42" s="1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K29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J16" i="2"/>
  <c r="K16" i="2" s="1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Q36" i="62" l="1"/>
  <c r="Q34" i="62"/>
  <c r="S12" i="62"/>
  <c r="W12" i="62" s="1"/>
  <c r="R26" i="62"/>
  <c r="R20" i="62"/>
  <c r="S14" i="62"/>
  <c r="R28" i="62"/>
  <c r="R27" i="62"/>
  <c r="S13" i="62"/>
  <c r="R30" i="62"/>
  <c r="S16" i="62"/>
  <c r="S15" i="62"/>
  <c r="R29" i="62"/>
  <c r="R31" i="62"/>
  <c r="S17" i="62"/>
  <c r="Q71" i="42" a="1"/>
  <c r="Q71" i="42" s="1"/>
  <c r="O71" i="42" a="1"/>
  <c r="O71" i="42" s="1"/>
  <c r="P71" i="42" a="1"/>
  <c r="P71" i="42" s="1"/>
  <c r="S71" i="42" a="1"/>
  <c r="S71" i="42" s="1"/>
  <c r="R71" i="42" a="1"/>
  <c r="R71" i="42" s="1"/>
  <c r="Q84" i="42"/>
  <c r="J29" i="42"/>
  <c r="T29" i="42"/>
  <c r="Q47" i="42"/>
  <c r="J47" i="42"/>
  <c r="N96" i="42"/>
  <c r="N18" i="44" s="1"/>
  <c r="R82" i="42"/>
  <c r="O82" i="42"/>
  <c r="P82" i="42"/>
  <c r="K95" i="42"/>
  <c r="T47" i="42"/>
  <c r="S79" i="42"/>
  <c r="O94" i="42"/>
  <c r="O16" i="44" s="1"/>
  <c r="O78" i="42"/>
  <c r="P29" i="42"/>
  <c r="L96" i="42"/>
  <c r="M81" i="42"/>
  <c r="R47" i="42"/>
  <c r="N78" i="42"/>
  <c r="J84" i="42"/>
  <c r="S81" i="42"/>
  <c r="S93" i="42"/>
  <c r="S15" i="44" s="1"/>
  <c r="L29" i="42"/>
  <c r="N47" i="42"/>
  <c r="Q29" i="42"/>
  <c r="P47" i="42"/>
  <c r="P96" i="42"/>
  <c r="P18" i="44" s="1"/>
  <c r="Q96" i="42"/>
  <c r="Q18" i="44" s="1"/>
  <c r="O81" i="42"/>
  <c r="M95" i="42"/>
  <c r="M17" i="44" s="1"/>
  <c r="L93" i="42"/>
  <c r="N77" i="42"/>
  <c r="N83" i="42"/>
  <c r="J80" i="42"/>
  <c r="N50" i="42"/>
  <c r="L50" i="42"/>
  <c r="N82" i="42"/>
  <c r="O77" i="42"/>
  <c r="M82" i="42"/>
  <c r="N81" i="42"/>
  <c r="R96" i="42"/>
  <c r="R18" i="44" s="1"/>
  <c r="S50" i="42"/>
  <c r="S96" i="42"/>
  <c r="S18" i="44" s="1"/>
  <c r="L81" i="42"/>
  <c r="L95" i="42"/>
  <c r="M77" i="42"/>
  <c r="T84" i="42"/>
  <c r="L77" i="42"/>
  <c r="M29" i="42"/>
  <c r="R50" i="42"/>
  <c r="P93" i="42"/>
  <c r="P15" i="44" s="1"/>
  <c r="J81" i="42"/>
  <c r="K47" i="42"/>
  <c r="S29" i="42"/>
  <c r="N29" i="42"/>
  <c r="Q81" i="42"/>
  <c r="R81" i="42"/>
  <c r="R93" i="42"/>
  <c r="R15" i="44" s="1"/>
  <c r="S78" i="42"/>
  <c r="K93" i="42"/>
  <c r="S83" i="42"/>
  <c r="O95" i="42"/>
  <c r="O17" i="44" s="1"/>
  <c r="P84" i="42"/>
  <c r="O29" i="42"/>
  <c r="J96" i="42"/>
  <c r="J77" i="42"/>
  <c r="P95" i="42"/>
  <c r="P17" i="44" s="1"/>
  <c r="J82" i="42"/>
  <c r="M93" i="42"/>
  <c r="M15" i="44" s="1"/>
  <c r="M47" i="42"/>
  <c r="M96" i="42"/>
  <c r="M18" i="44" s="1"/>
  <c r="R29" i="42"/>
  <c r="K96" i="42"/>
  <c r="K82" i="42"/>
  <c r="N80" i="42"/>
  <c r="Q78" i="42"/>
  <c r="R78" i="42"/>
  <c r="O84" i="42"/>
  <c r="S77" i="42"/>
  <c r="M50" i="42"/>
  <c r="L82" i="42"/>
  <c r="P81" i="42"/>
  <c r="S82" i="42"/>
  <c r="O96" i="42"/>
  <c r="O18" i="44" s="1"/>
  <c r="N93" i="42"/>
  <c r="N15" i="44" s="1"/>
  <c r="Q93" i="42"/>
  <c r="Q15" i="44" s="1"/>
  <c r="K80" i="42"/>
  <c r="N94" i="42"/>
  <c r="N16" i="44" s="1"/>
  <c r="Q83" i="42"/>
  <c r="R95" i="42"/>
  <c r="R17" i="44" s="1"/>
  <c r="J17" i="2"/>
  <c r="J27" i="2" s="1"/>
  <c r="K79" i="42"/>
  <c r="S95" i="42"/>
  <c r="S17" i="44" s="1"/>
  <c r="L79" i="42"/>
  <c r="N95" i="42"/>
  <c r="N17" i="44" s="1"/>
  <c r="M78" i="42"/>
  <c r="M83" i="42"/>
  <c r="T50" i="42"/>
  <c r="L47" i="42"/>
  <c r="P79" i="42"/>
  <c r="R80" i="42"/>
  <c r="S84" i="42"/>
  <c r="K50" i="42"/>
  <c r="Q94" i="42"/>
  <c r="Q16" i="44" s="1"/>
  <c r="O50" i="42"/>
  <c r="Q79" i="42"/>
  <c r="K94" i="42"/>
  <c r="K77" i="42"/>
  <c r="N84" i="42"/>
  <c r="S47" i="42"/>
  <c r="K83" i="42"/>
  <c r="M94" i="42"/>
  <c r="L84" i="42"/>
  <c r="Q77" i="42"/>
  <c r="Q50" i="42"/>
  <c r="P78" i="42"/>
  <c r="R79" i="42"/>
  <c r="S80" i="42"/>
  <c r="N79" i="42"/>
  <c r="Q95" i="42"/>
  <c r="Q17" i="44" s="1"/>
  <c r="J95" i="42"/>
  <c r="S94" i="42"/>
  <c r="S16" i="44" s="1"/>
  <c r="O47" i="42"/>
  <c r="J79" i="42"/>
  <c r="L80" i="42"/>
  <c r="P80" i="42"/>
  <c r="P77" i="42"/>
  <c r="O79" i="42"/>
  <c r="R77" i="42"/>
  <c r="J26" i="2"/>
  <c r="J93" i="42"/>
  <c r="O93" i="42"/>
  <c r="O15" i="44" s="1"/>
  <c r="K81" i="42"/>
  <c r="R84" i="42"/>
  <c r="J78" i="42"/>
  <c r="L78" i="42"/>
  <c r="M84" i="42"/>
  <c r="K78" i="42"/>
  <c r="P50" i="42"/>
  <c r="O83" i="42"/>
  <c r="O80" i="42"/>
  <c r="Q80" i="42"/>
  <c r="Q82" i="42"/>
  <c r="L83" i="42"/>
  <c r="M79" i="42"/>
  <c r="M80" i="42"/>
  <c r="J83" i="42"/>
  <c r="R83" i="42"/>
  <c r="L94" i="42"/>
  <c r="J94" i="42"/>
  <c r="K84" i="42"/>
  <c r="P94" i="42"/>
  <c r="P16" i="44" s="1"/>
  <c r="R94" i="42"/>
  <c r="R16" i="44" s="1"/>
  <c r="J50" i="42"/>
  <c r="P83" i="42"/>
  <c r="K26" i="2"/>
  <c r="R13" i="42"/>
  <c r="R26" i="42" s="1"/>
  <c r="R20" i="42"/>
  <c r="P20" i="42"/>
  <c r="P13" i="42"/>
  <c r="P26" i="42" s="1"/>
  <c r="O20" i="42"/>
  <c r="O13" i="42"/>
  <c r="S13" i="42"/>
  <c r="S26" i="42" s="1"/>
  <c r="S20" i="42"/>
  <c r="Q20" i="42"/>
  <c r="Q13" i="42"/>
  <c r="Q26" i="42" s="1"/>
  <c r="S30" i="62" l="1"/>
  <c r="W30" i="62" s="1"/>
  <c r="W16" i="62"/>
  <c r="S27" i="62"/>
  <c r="W27" i="62" s="1"/>
  <c r="W13" i="62"/>
  <c r="S28" i="62"/>
  <c r="W14" i="62"/>
  <c r="R34" i="62"/>
  <c r="R36" i="62"/>
  <c r="S26" i="62"/>
  <c r="S20" i="62"/>
  <c r="W20" i="62" s="1"/>
  <c r="S31" i="62"/>
  <c r="W31" i="62" s="1"/>
  <c r="W17" i="62"/>
  <c r="S29" i="62"/>
  <c r="W29" i="62" s="1"/>
  <c r="W15" i="62"/>
  <c r="S86" i="42"/>
  <c r="N86" i="42"/>
  <c r="O86" i="42"/>
  <c r="M16" i="44"/>
  <c r="Q86" i="42"/>
  <c r="M86" i="42"/>
  <c r="J86" i="42"/>
  <c r="L86" i="42"/>
  <c r="K86" i="42"/>
  <c r="P86" i="42"/>
  <c r="R86" i="42"/>
  <c r="S34" i="62" l="1"/>
  <c r="S36" i="62"/>
  <c r="W36" i="62" s="1"/>
  <c r="W26" i="62"/>
  <c r="I71" i="55"/>
  <c r="V71" i="55" s="1"/>
  <c r="S1" i="62" l="1"/>
  <c r="I72" i="55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I79" i="55"/>
  <c r="V79" i="55" s="1"/>
  <c r="V74" i="55" l="1"/>
  <c r="L12" i="2"/>
  <c r="I81" i="55"/>
  <c r="V81" i="55" s="1"/>
  <c r="I83" i="55"/>
  <c r="V83" i="55" s="1"/>
  <c r="I78" i="55"/>
  <c r="M12" i="2" s="1"/>
  <c r="L28" i="2" l="1"/>
  <c r="K18" i="2"/>
  <c r="L16" i="2"/>
  <c r="L17" i="2"/>
  <c r="M18" i="2"/>
  <c r="M28" i="2" s="1"/>
  <c r="M29" i="2"/>
  <c r="L19" i="2"/>
  <c r="I82" i="55"/>
  <c r="I77" i="55"/>
  <c r="V77" i="55" s="1"/>
  <c r="O12" i="2"/>
  <c r="V78" i="55"/>
  <c r="K19" i="2" l="1"/>
  <c r="L29" i="2"/>
  <c r="M17" i="2"/>
  <c r="L27" i="2"/>
  <c r="M16" i="2"/>
  <c r="L26" i="2"/>
  <c r="J18" i="2"/>
  <c r="J28" i="2" s="1"/>
  <c r="K28" i="2"/>
  <c r="V82" i="55"/>
  <c r="V1" i="55" s="1"/>
  <c r="G11" i="16" s="1"/>
  <c r="S1" i="16" s="1"/>
  <c r="V1" i="62" s="1"/>
  <c r="N12" i="2"/>
  <c r="N18" i="2" s="1"/>
  <c r="N21" i="2"/>
  <c r="O20" i="2"/>
  <c r="O31" i="2"/>
  <c r="V1" i="4" l="1"/>
  <c r="V1" i="53"/>
  <c r="M92" i="42"/>
  <c r="N92" i="42"/>
  <c r="K92" i="42"/>
  <c r="K98" i="42" s="1"/>
  <c r="L92" i="42"/>
  <c r="L98" i="42" s="1"/>
  <c r="J92" i="42"/>
  <c r="O30" i="2"/>
  <c r="T38" i="42"/>
  <c r="J38" i="42"/>
  <c r="O38" i="42"/>
  <c r="Q41" i="42"/>
  <c r="R38" i="42"/>
  <c r="N38" i="42"/>
  <c r="L44" i="42"/>
  <c r="S38" i="42"/>
  <c r="N44" i="42"/>
  <c r="P41" i="42"/>
  <c r="K38" i="42"/>
  <c r="O41" i="42"/>
  <c r="K44" i="42"/>
  <c r="R44" i="42"/>
  <c r="P44" i="42"/>
  <c r="T41" i="42"/>
  <c r="T44" i="42"/>
  <c r="P38" i="42"/>
  <c r="J41" i="42"/>
  <c r="M44" i="42"/>
  <c r="S41" i="42"/>
  <c r="S44" i="42"/>
  <c r="K41" i="42"/>
  <c r="J44" i="42"/>
  <c r="N41" i="42"/>
  <c r="Q38" i="42"/>
  <c r="R41" i="42"/>
  <c r="M38" i="42"/>
  <c r="M41" i="42"/>
  <c r="L38" i="42"/>
  <c r="O44" i="42"/>
  <c r="L41" i="42"/>
  <c r="Q44" i="42"/>
  <c r="O18" i="2"/>
  <c r="O28" i="2" s="1"/>
  <c r="N28" i="2"/>
  <c r="M26" i="2"/>
  <c r="N16" i="2"/>
  <c r="M27" i="2"/>
  <c r="N17" i="2"/>
  <c r="N19" i="2"/>
  <c r="M20" i="2"/>
  <c r="N30" i="2"/>
  <c r="K29" i="2"/>
  <c r="J19" i="2"/>
  <c r="J29" i="2" s="1"/>
  <c r="V1" i="58"/>
  <c r="W1" i="44"/>
  <c r="X1" i="2"/>
  <c r="Y1" i="55"/>
  <c r="V1" i="54"/>
  <c r="W1" i="42"/>
  <c r="N20" i="42"/>
  <c r="N13" i="42"/>
  <c r="N26" i="42" s="1"/>
  <c r="N31" i="2"/>
  <c r="M21" i="2"/>
  <c r="O14" i="44" l="1"/>
  <c r="O98" i="42"/>
  <c r="R14" i="44"/>
  <c r="R98" i="42"/>
  <c r="N14" i="44"/>
  <c r="N98" i="42"/>
  <c r="P14" i="44"/>
  <c r="P98" i="42"/>
  <c r="S14" i="44"/>
  <c r="S98" i="42"/>
  <c r="J98" i="42"/>
  <c r="Q14" i="44"/>
  <c r="Q98" i="42"/>
  <c r="M14" i="44"/>
  <c r="M98" i="42"/>
  <c r="Q52" i="42"/>
  <c r="Q54" i="42" s="1"/>
  <c r="R52" i="42"/>
  <c r="R54" i="42" s="1"/>
  <c r="M52" i="42"/>
  <c r="M54" i="42" s="1"/>
  <c r="K52" i="42"/>
  <c r="K54" i="42" s="1"/>
  <c r="O52" i="42"/>
  <c r="O54" i="42" s="1"/>
  <c r="P52" i="42"/>
  <c r="P54" i="42" s="1"/>
  <c r="J52" i="42"/>
  <c r="J54" i="42" s="1"/>
  <c r="S52" i="42"/>
  <c r="S54" i="42" s="1"/>
  <c r="L20" i="2"/>
  <c r="M30" i="2"/>
  <c r="N29" i="2"/>
  <c r="O19" i="2"/>
  <c r="O29" i="2" s="1"/>
  <c r="O17" i="2"/>
  <c r="O27" i="2" s="1"/>
  <c r="N27" i="2"/>
  <c r="N26" i="2"/>
  <c r="O16" i="2"/>
  <c r="L31" i="42"/>
  <c r="M31" i="2"/>
  <c r="L21" i="2"/>
  <c r="M20" i="42"/>
  <c r="M13" i="42"/>
  <c r="M26" i="42" s="1"/>
  <c r="P17" i="42" l="1"/>
  <c r="N15" i="42"/>
  <c r="S17" i="42"/>
  <c r="J22" i="42"/>
  <c r="S22" i="42"/>
  <c r="T24" i="42"/>
  <c r="O24" i="42"/>
  <c r="O26" i="2"/>
  <c r="Q24" i="42"/>
  <c r="K15" i="42"/>
  <c r="R24" i="42"/>
  <c r="Q17" i="42"/>
  <c r="J24" i="42"/>
  <c r="T15" i="42"/>
  <c r="J17" i="42"/>
  <c r="L22" i="42"/>
  <c r="P15" i="42"/>
  <c r="S15" i="42"/>
  <c r="O17" i="42"/>
  <c r="K17" i="42"/>
  <c r="Q15" i="42"/>
  <c r="L15" i="42"/>
  <c r="M24" i="42"/>
  <c r="L24" i="42"/>
  <c r="R15" i="42"/>
  <c r="T22" i="42"/>
  <c r="R17" i="42"/>
  <c r="K24" i="42"/>
  <c r="T17" i="42"/>
  <c r="P24" i="42"/>
  <c r="J15" i="42"/>
  <c r="N24" i="42"/>
  <c r="O22" i="42"/>
  <c r="R22" i="42"/>
  <c r="M17" i="42"/>
  <c r="M15" i="42"/>
  <c r="N22" i="42"/>
  <c r="K22" i="42"/>
  <c r="N17" i="42"/>
  <c r="Q22" i="42"/>
  <c r="O15" i="42"/>
  <c r="L17" i="42"/>
  <c r="M22" i="42"/>
  <c r="P22" i="42"/>
  <c r="S24" i="42"/>
  <c r="K20" i="2"/>
  <c r="L30" i="2"/>
  <c r="L31" i="2"/>
  <c r="K21" i="2"/>
  <c r="L13" i="42"/>
  <c r="L26" i="42" s="1"/>
  <c r="L20" i="42"/>
  <c r="N31" i="42" l="1"/>
  <c r="J20" i="2"/>
  <c r="J30" i="2" s="1"/>
  <c r="K30" i="2"/>
  <c r="K13" i="42"/>
  <c r="K26" i="42" s="1"/>
  <c r="K20" i="42"/>
  <c r="K31" i="2"/>
  <c r="J21" i="2"/>
  <c r="J31" i="2" s="1"/>
  <c r="J13" i="42" l="1"/>
  <c r="J26" i="42" s="1"/>
  <c r="J20" i="42"/>
  <c r="N35" i="42" l="1"/>
  <c r="L35" i="42"/>
  <c r="L33" i="42"/>
  <c r="N33" i="42"/>
  <c r="L52" i="42" l="1"/>
  <c r="L54" i="42" s="1"/>
  <c r="N52" i="42"/>
  <c r="N54" i="42" l="1"/>
  <c r="M104" i="42" l="1"/>
  <c r="M13" i="44" s="1"/>
  <c r="N104" i="42"/>
  <c r="N13" i="44" s="1"/>
  <c r="M105" i="42"/>
  <c r="M106" i="42" s="1"/>
  <c r="N105" i="42"/>
  <c r="N106" i="42" s="1"/>
  <c r="R104" i="42"/>
  <c r="Q104" i="42"/>
  <c r="R105" i="42"/>
  <c r="R106" i="42" s="1"/>
  <c r="O104" i="42"/>
  <c r="S104" i="42"/>
  <c r="O105" i="42"/>
  <c r="P105" i="42"/>
  <c r="P106" i="42" s="1"/>
  <c r="Q105" i="42"/>
  <c r="Q106" i="42" s="1"/>
  <c r="P104" i="42"/>
  <c r="S105" i="42"/>
  <c r="S106" i="42" s="1"/>
  <c r="P13" i="44" l="1"/>
  <c r="Q13" i="44"/>
  <c r="S13" i="44"/>
  <c r="R13" i="44"/>
  <c r="O106" i="42"/>
  <c r="O13" i="4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  <author>Nicole Haddock</author>
  </authors>
  <commentList>
    <comment ref="M18" authorId="0" shapeId="0" xr:uid="{A6CF283E-3D30-4B12-B0AA-5C32E728361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Jul24-Jun25 residential disconnection data </t>
        </r>
      </text>
    </comment>
    <comment ref="O18" authorId="0" shapeId="0" xr:uid="{5AE7D146-D41F-4281-8C41-5D49A270F15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Applies Core disconnection forecast growth % (25/26 and 26/27 for first year)</t>
        </r>
      </text>
    </comment>
    <comment ref="M24" authorId="1" shapeId="0" xr:uid="{08477166-0BC6-4F75-96E6-8FE89D72AA4B}">
      <text>
        <r>
          <rPr>
            <b/>
            <sz val="9"/>
            <color indexed="81"/>
            <rFont val="Tahoma"/>
            <family val="2"/>
          </rPr>
          <t>Nicole Haddock:</t>
        </r>
        <r>
          <rPr>
            <sz val="9"/>
            <color indexed="81"/>
            <rFont val="Tahoma"/>
            <family val="2"/>
          </rPr>
          <t xml:space="preserve">
2025/26 charges plus forecast CPI inflation (Dec25/Dec24) of 3.3%</t>
        </r>
      </text>
    </comment>
    <comment ref="M32" authorId="0" shapeId="0" xr:uid="{4C871793-7937-4E82-A200-103FA8A043C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Jul24-Jun25 residential disconnection data </t>
        </r>
      </text>
    </comment>
  </commentList>
</comments>
</file>

<file path=xl/sharedStrings.xml><?xml version="1.0" encoding="utf-8"?>
<sst xmlns="http://schemas.openxmlformats.org/spreadsheetml/2006/main" count="803" uniqueCount="241">
  <si>
    <t>AER opex model v2.4</t>
  </si>
  <si>
    <t>Index</t>
  </si>
  <si>
    <t>Model index</t>
  </si>
  <si>
    <t>Sheet Name</t>
  </si>
  <si>
    <t>Sheet Description</t>
  </si>
  <si>
    <t>Input | General</t>
  </si>
  <si>
    <t>Inputs NSP name, regulatory years for the current and forecast regulatory control periods etc.</t>
  </si>
  <si>
    <t>Input | Inflation</t>
  </si>
  <si>
    <t>Inputs inflation data.</t>
  </si>
  <si>
    <t>Input | Reported opex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</si>
  <si>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</si>
  <si>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Rate of change</t>
  </si>
  <si>
    <t>Inputs the inputs required to forecast input price growth, output growth and productivity growth.</t>
  </si>
  <si>
    <t>Input | Step changes</t>
  </si>
  <si>
    <t>Inputs step changes, category specific forecasts and debt raising costs.</t>
  </si>
  <si>
    <t>Calc | Ancillary Ref Services</t>
  </si>
  <si>
    <t>Inputs Ancillary Reference Services (ARS) volume forecasts, including abolishments, and calculates ARS expenditure forecasts for PTRM</t>
  </si>
  <si>
    <t>Calc | Opex Forecast</t>
  </si>
  <si>
    <t>Calculates the opex forecast.</t>
  </si>
  <si>
    <t>Output | Models</t>
  </si>
  <si>
    <t>Outputs the forecasts needed as a post tax revenue model inputs.</t>
  </si>
  <si>
    <t>Lookup | Tables</t>
  </si>
  <si>
    <t>Includes the lookup tables used within this opex model.</t>
  </si>
  <si>
    <t>Check | List</t>
  </si>
  <si>
    <t>Shows a summary of the checks from each sheet within the model</t>
  </si>
  <si>
    <t>End</t>
  </si>
  <si>
    <t>Back to Index</t>
  </si>
  <si>
    <t>Key:</t>
  </si>
  <si>
    <t>Input</t>
  </si>
  <si>
    <t>External Link</t>
  </si>
  <si>
    <t>Internal Link</t>
  </si>
  <si>
    <t>Worksheet check:</t>
  </si>
  <si>
    <t>Overall Check:</t>
  </si>
  <si>
    <t>Input | General inputs</t>
  </si>
  <si>
    <t>Inputs</t>
  </si>
  <si>
    <t>Source</t>
  </si>
  <si>
    <t>Value</t>
  </si>
  <si>
    <t>NSP name</t>
  </si>
  <si>
    <t>NSP</t>
  </si>
  <si>
    <t>AGN SA</t>
  </si>
  <si>
    <t>Decision stage</t>
  </si>
  <si>
    <t>AER</t>
  </si>
  <si>
    <t>Revised proposal</t>
  </si>
  <si>
    <t>Year ending</t>
  </si>
  <si>
    <t>Current regulatory control period, first year</t>
  </si>
  <si>
    <t>Forecast base year</t>
  </si>
  <si>
    <t>Current regulatory control period, last year</t>
  </si>
  <si>
    <t>Forecast regulatory control period, first year</t>
  </si>
  <si>
    <t>Forecast regulatory control period, last year</t>
  </si>
  <si>
    <t>Units</t>
  </si>
  <si>
    <t>$millions</t>
  </si>
  <si>
    <t>Index value, new base</t>
  </si>
  <si>
    <t>Percentage Change from Corresponding Quarter of Previous Year</t>
  </si>
  <si>
    <t>Forecast annual CPI growth</t>
  </si>
  <si>
    <t>Forecast and actual index value</t>
  </si>
  <si>
    <t>ABS</t>
  </si>
  <si>
    <t>Calculated</t>
  </si>
  <si>
    <t>RBA</t>
  </si>
  <si>
    <t>Unit</t>
  </si>
  <si>
    <t>index</t>
  </si>
  <si>
    <t>Percent</t>
  </si>
  <si>
    <t/>
  </si>
  <si>
    <t>Basis</t>
  </si>
  <si>
    <t>Input | Approved forecast opex</t>
  </si>
  <si>
    <t>Cost category</t>
  </si>
  <si>
    <t>Notes</t>
  </si>
  <si>
    <t>Total reference services opex (inc. ARS)</t>
  </si>
  <si>
    <t>AER PTRM for the current control period.</t>
  </si>
  <si>
    <t>Total opex</t>
  </si>
  <si>
    <t>Approved category specific forecasts</t>
  </si>
  <si>
    <t>Approved forecasts should be entered as positive values.</t>
  </si>
  <si>
    <t>UAG</t>
  </si>
  <si>
    <t>Ancillary Reference Services</t>
  </si>
  <si>
    <t>Debit raising costs</t>
  </si>
  <si>
    <t>Total opex, categories forecast specifically</t>
  </si>
  <si>
    <t>Actual</t>
  </si>
  <si>
    <t>Estimate</t>
  </si>
  <si>
    <t>RIN</t>
  </si>
  <si>
    <t>nominal</t>
  </si>
  <si>
    <t>Annual RIN for each year and/or reset RIN.</t>
  </si>
  <si>
    <t>Categories of opex to be excluded from forecast opex (excluding category specific forecasts)</t>
  </si>
  <si>
    <t>Movements in provisions</t>
  </si>
  <si>
    <t>These inputs should be entered as reported.</t>
  </si>
  <si>
    <t>Ancillary service opex</t>
  </si>
  <si>
    <t>Total opex to be trended</t>
  </si>
  <si>
    <t>Expenditure related to category specific forecasts</t>
  </si>
  <si>
    <t>Debt raising costs</t>
  </si>
  <si>
    <t>These inputs should be entered as positive values.</t>
  </si>
  <si>
    <t>UAFG</t>
  </si>
  <si>
    <t>Input | Adjustments</t>
  </si>
  <si>
    <t>Adjustment</t>
  </si>
  <si>
    <t>External</t>
  </si>
  <si>
    <t>Adjustments can be postive or negative.</t>
  </si>
  <si>
    <t>Non-recurrent efficiency gain in the base year</t>
  </si>
  <si>
    <t>Enter zero if no adjustment is required. Must match the EBSS.</t>
  </si>
  <si>
    <t>Efficiency adjustment</t>
  </si>
  <si>
    <t>Per cent</t>
  </si>
  <si>
    <t>Enter zero if no adjustment is required.</t>
  </si>
  <si>
    <t>Inflation</t>
  </si>
  <si>
    <t>calculated</t>
  </si>
  <si>
    <t>CPI indexes (real to real)</t>
  </si>
  <si>
    <t>CPI indexes (nominal to real)</t>
  </si>
  <si>
    <t>Input | Forecast price change</t>
  </si>
  <si>
    <t>Forecast price change</t>
  </si>
  <si>
    <t>WPI - EGWWS - Oxford Economics</t>
  </si>
  <si>
    <t>external</t>
  </si>
  <si>
    <t>WPI - DAE</t>
  </si>
  <si>
    <t>Average</t>
  </si>
  <si>
    <t>CPI</t>
  </si>
  <si>
    <t>Check</t>
  </si>
  <si>
    <t>Ok/Check</t>
  </si>
  <si>
    <t>n/a</t>
  </si>
  <si>
    <t>Weights</t>
  </si>
  <si>
    <t>Input | Forecast output growth</t>
  </si>
  <si>
    <t>Output measure</t>
  </si>
  <si>
    <t>Customer numbers (#) (CIE forecast)</t>
  </si>
  <si>
    <t>number</t>
  </si>
  <si>
    <t>Mains Length (km)</t>
  </si>
  <si>
    <t>Growth rate</t>
  </si>
  <si>
    <t>Output weights</t>
  </si>
  <si>
    <t>Output</t>
  </si>
  <si>
    <t>Forecast output growth</t>
  </si>
  <si>
    <t>Input | Forecast productivity</t>
  </si>
  <si>
    <t>Partial factor productivity</t>
  </si>
  <si>
    <t>Input |Step changes</t>
  </si>
  <si>
    <t>Step change</t>
  </si>
  <si>
    <t>Overheads to be expensed (capex to opex)</t>
  </si>
  <si>
    <t>Transition from APA - AGN IT costs</t>
  </si>
  <si>
    <t>Cybersecurity (Data privacy/security &amp; Access control)</t>
  </si>
  <si>
    <t>Application upgrades &amp; enhancements</t>
  </si>
  <si>
    <t>Abolishments for safety at redundant sites</t>
  </si>
  <si>
    <t>Input | Category specifc forecasts</t>
  </si>
  <si>
    <t>Category specific forecasts</t>
  </si>
  <si>
    <t>Input | Debt raising costs</t>
  </si>
  <si>
    <t>Debt Raising Costs</t>
  </si>
  <si>
    <t>PTRM</t>
  </si>
  <si>
    <t>Input |Ancillary Reference Services</t>
  </si>
  <si>
    <t>Forecast Volumes</t>
  </si>
  <si>
    <t>Special Meter Read</t>
  </si>
  <si>
    <t>AGN</t>
  </si>
  <si>
    <t>Service no.</t>
  </si>
  <si>
    <t>Disconnection</t>
  </si>
  <si>
    <t>Reconnection</t>
  </si>
  <si>
    <t>Meter Removal</t>
  </si>
  <si>
    <t>Meter Reinstallation</t>
  </si>
  <si>
    <t>Meter Gas and Installation Test</t>
  </si>
  <si>
    <t>Service abolishment</t>
  </si>
  <si>
    <t>Input | Ancillary Reference Services Costs</t>
  </si>
  <si>
    <t>Forecast Expenditure</t>
  </si>
  <si>
    <t>Forecast charge 2026/27 ($)</t>
  </si>
  <si>
    <t>$ million</t>
  </si>
  <si>
    <t>Total ARS forecast expenditure</t>
  </si>
  <si>
    <t>$million</t>
  </si>
  <si>
    <t>Calc | Estimated final year expenditure</t>
  </si>
  <si>
    <t>Reported opex, total</t>
  </si>
  <si>
    <t>Inputs|Reported opex</t>
  </si>
  <si>
    <t>Approved forecast opex, base year, total</t>
  </si>
  <si>
    <t>Approved forecast opex, final year, total</t>
  </si>
  <si>
    <t>Reported opex, category specific forecasts</t>
  </si>
  <si>
    <t>Approved forecast opex, base year, category specific forecasts</t>
  </si>
  <si>
    <t>Approved forecast opex, final year, category specific forecasts</t>
  </si>
  <si>
    <t>Reported base year opex</t>
  </si>
  <si>
    <t>Add back non-recurrent efficiency gains in the base year</t>
  </si>
  <si>
    <t>Add estimated change in opex between the base year and the final year</t>
  </si>
  <si>
    <t>Estimated final year opex</t>
  </si>
  <si>
    <t>Remove estimated final year opex for categories forecast specifically</t>
  </si>
  <si>
    <t>Adjusted final year opex</t>
  </si>
  <si>
    <t>Calc | Rate of change</t>
  </si>
  <si>
    <t>Rate of change</t>
  </si>
  <si>
    <t>Forecast output change, year-on-year</t>
  </si>
  <si>
    <t>Forecast output change, cumulative</t>
  </si>
  <si>
    <t>Forecast price change, year-on-year</t>
  </si>
  <si>
    <t>Forecast price change, cumulative</t>
  </si>
  <si>
    <t>Forecast productivity change, year-on-year</t>
  </si>
  <si>
    <t>Forecast productivity change, cumulative</t>
  </si>
  <si>
    <t>Forecast rate of change, year-on-year</t>
  </si>
  <si>
    <t>Forecast rate of change, cumulative</t>
  </si>
  <si>
    <t>Calc | Step changes</t>
  </si>
  <si>
    <t>Step changes</t>
  </si>
  <si>
    <t>Total step changes</t>
  </si>
  <si>
    <t>Calc | Category specific forecasts</t>
  </si>
  <si>
    <t>Total category specific forecasts</t>
  </si>
  <si>
    <t>Calc | Total forecast operating expenditure</t>
  </si>
  <si>
    <t>Total forecast opex, excluding category specific forecasts</t>
  </si>
  <si>
    <t>Total forecast opex, excluding debt raising costs</t>
  </si>
  <si>
    <t>Total forecast opex, including debt raising costs</t>
  </si>
  <si>
    <t>Inputs for Post Tax Revenue Model</t>
  </si>
  <si>
    <t>Note. The dollar base should be consistent with the post tax revenue model</t>
  </si>
  <si>
    <t>Operating expenditure</t>
  </si>
  <si>
    <t>Calc | Opex forecast</t>
  </si>
  <si>
    <t>Stage</t>
  </si>
  <si>
    <t>Ref</t>
  </si>
  <si>
    <t>Pre-submission</t>
  </si>
  <si>
    <t>Network</t>
  </si>
  <si>
    <t>Proposal</t>
  </si>
  <si>
    <t>Draft decision</t>
  </si>
  <si>
    <t>Final decision</t>
  </si>
  <si>
    <t>Unit Denominations</t>
  </si>
  <si>
    <t>Dollars</t>
  </si>
  <si>
    <t>$dollars</t>
  </si>
  <si>
    <t>Thousands</t>
  </si>
  <si>
    <t>$000</t>
  </si>
  <si>
    <t>Millions</t>
  </si>
  <si>
    <t>unit</t>
  </si>
  <si>
    <t>Number</t>
  </si>
  <si>
    <t>Factor</t>
  </si>
  <si>
    <t>factor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</si>
  <si>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</si>
  <si>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</si>
  <si>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</si>
  <si>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</si>
  <si>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</si>
  <si>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</si>
  <si>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</si>
  <si>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</si>
  <si>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</si>
  <si>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</si>
  <si>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</si>
  <si>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</si>
  <si>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</si>
  <si>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</si>
  <si>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</si>
  <si>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</si>
  <si>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</si>
  <si>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Regulatory years</t>
  </si>
  <si>
    <t>Year</t>
  </si>
  <si>
    <t>Previous period year 0</t>
  </si>
  <si>
    <t>Previous period year 1</t>
  </si>
  <si>
    <t>Previous period year 2</t>
  </si>
  <si>
    <t>Previous period year 3</t>
  </si>
  <si>
    <t>Previous period year 4</t>
  </si>
  <si>
    <t>Previous period year 5</t>
  </si>
  <si>
    <t>Previous period year 6</t>
  </si>
  <si>
    <t>Forecast period year 1</t>
  </si>
  <si>
    <t>Forecast period year 2</t>
  </si>
  <si>
    <t>Forecast period year 3</t>
  </si>
  <si>
    <t>Forecast period year 4</t>
  </si>
  <si>
    <t>Forecast period year 5</t>
  </si>
  <si>
    <t>Check List</t>
  </si>
  <si>
    <t>Sheet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</si>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</sst>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#,##0.0_ ;\-#,##0.0\ "/>
    <numFmt numFmtId="210" formatCode="#,##0.00000000000000"/>
    <numFmt numFmtId="211" formatCode="_(* #,##0_);_(* \(#,##0\);_(* &quot;-&quot;??_);_(@_)"/>
  </numFmts>
  <fonts count="97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7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7" fontId="13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4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5" fontId="22" fillId="4" borderId="0" applyNumberFormat="0" applyFont="0" applyBorder="0" applyAlignment="0">
      <alignment horizontal="right"/>
    </xf>
    <xf numFmtId="165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5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5" fontId="22" fillId="36" borderId="0" applyFont="0" applyBorder="0" applyAlignment="0">
      <alignment horizontal="right"/>
      <protection locked="0"/>
    </xf>
    <xf numFmtId="165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5" fontId="22" fillId="10" borderId="0" applyFont="0" applyBorder="0">
      <alignment horizontal="right"/>
      <protection locked="0"/>
    </xf>
    <xf numFmtId="165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7" fontId="13" fillId="0" borderId="0" applyFont="0" applyFill="0" applyBorder="0" applyAlignment="0" applyProtection="0"/>
    <xf numFmtId="167" fontId="22" fillId="0" borderId="0" applyFont="0" applyFill="0" applyBorder="0" applyAlignment="0" applyProtection="0"/>
    <xf numFmtId="165" fontId="22" fillId="4" borderId="0" applyNumberFormat="0" applyFont="0" applyBorder="0" applyAlignment="0">
      <alignment horizontal="right"/>
    </xf>
    <xf numFmtId="165" fontId="22" fillId="4" borderId="0" applyNumberFormat="0" applyFont="0" applyBorder="0" applyAlignment="0">
      <alignment horizontal="right"/>
    </xf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36" borderId="0" applyFont="0" applyBorder="0" applyAlignment="0">
      <alignment horizontal="right"/>
      <protection locked="0"/>
    </xf>
    <xf numFmtId="165" fontId="22" fillId="36" borderId="0" applyFont="0" applyBorder="0" applyAlignment="0">
      <alignment horizontal="right"/>
      <protection locked="0"/>
    </xf>
    <xf numFmtId="165" fontId="22" fillId="10" borderId="0" applyFont="0" applyBorder="0">
      <alignment horizontal="right"/>
      <protection locked="0"/>
    </xf>
    <xf numFmtId="165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0" fontId="2" fillId="0" borderId="0"/>
    <xf numFmtId="167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  <xf numFmtId="44" fontId="13" fillId="0" borderId="0" applyFont="0" applyFill="0" applyBorder="0" applyAlignment="0" applyProtection="0"/>
  </cellStyleXfs>
  <cellXfs count="216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7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7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6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6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7" fontId="12" fillId="0" borderId="3" xfId="0" applyNumberFormat="1" applyFont="1" applyBorder="1" applyAlignment="1">
      <alignment horizontal="center"/>
    </xf>
    <xf numFmtId="167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6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7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7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6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209" fontId="6" fillId="0" borderId="0" xfId="0" applyNumberFormat="1" applyFont="1" applyAlignment="1">
      <alignment horizontal="center"/>
    </xf>
    <xf numFmtId="193" fontId="6" fillId="53" borderId="3" xfId="0" applyNumberFormat="1" applyFont="1" applyFill="1" applyBorder="1" applyAlignment="1" applyProtection="1">
      <alignment horizontal="center"/>
      <protection locked="0"/>
    </xf>
    <xf numFmtId="195" fontId="6" fillId="0" borderId="0" xfId="0" applyNumberFormat="1" applyFont="1"/>
    <xf numFmtId="43" fontId="6" fillId="0" borderId="0" xfId="0" applyNumberFormat="1" applyFont="1"/>
    <xf numFmtId="10" fontId="20" fillId="0" borderId="0" xfId="2" applyNumberFormat="1" applyFont="1" applyFill="1" applyBorder="1" applyAlignment="1" applyProtection="1">
      <alignment horizontal="center"/>
      <protection locked="0"/>
    </xf>
    <xf numFmtId="182" fontId="6" fillId="0" borderId="0" xfId="2" applyNumberFormat="1" applyFont="1"/>
    <xf numFmtId="10" fontId="14" fillId="0" borderId="0" xfId="2" applyNumberFormat="1" applyFont="1" applyFill="1" applyProtection="1">
      <protection locked="0"/>
    </xf>
    <xf numFmtId="10" fontId="23" fillId="0" borderId="0" xfId="2" applyNumberFormat="1" applyFont="1" applyAlignment="1" applyProtection="1">
      <alignment horizontal="center"/>
    </xf>
    <xf numFmtId="182" fontId="23" fillId="0" borderId="0" xfId="2" applyNumberFormat="1" applyFont="1" applyAlignment="1" applyProtection="1">
      <alignment horizontal="center"/>
      <protection locked="0"/>
    </xf>
    <xf numFmtId="9" fontId="6" fillId="0" borderId="0" xfId="2" applyFont="1"/>
    <xf numFmtId="210" fontId="0" fillId="39" borderId="4" xfId="0" applyNumberFormat="1" applyFill="1" applyBorder="1" applyAlignment="1">
      <alignment wrapText="1"/>
    </xf>
    <xf numFmtId="182" fontId="14" fillId="0" borderId="0" xfId="2" applyNumberFormat="1" applyFont="1" applyFill="1" applyProtection="1">
      <protection locked="0"/>
    </xf>
    <xf numFmtId="204" fontId="23" fillId="0" borderId="0" xfId="0" applyNumberFormat="1" applyFont="1" applyAlignment="1">
      <alignment horizontal="center" wrapText="1"/>
    </xf>
    <xf numFmtId="204" fontId="0" fillId="0" borderId="4" xfId="0" applyNumberFormat="1" applyBorder="1" applyAlignment="1">
      <alignment horizontal="center"/>
    </xf>
    <xf numFmtId="167" fontId="23" fillId="0" borderId="4" xfId="6" applyFont="1" applyBorder="1" applyAlignment="1" applyProtection="1">
      <alignment horizontal="center" vertical="center"/>
    </xf>
    <xf numFmtId="2" fontId="0" fillId="41" borderId="3" xfId="306" applyNumberFormat="1" applyFont="1" applyFill="1" applyBorder="1" applyAlignment="1" applyProtection="1">
      <alignment horizontal="center" vertical="center"/>
      <protection locked="0"/>
    </xf>
    <xf numFmtId="167" fontId="15" fillId="52" borderId="0" xfId="6" applyFont="1" applyFill="1" applyBorder="1" applyAlignment="1" applyProtection="1">
      <alignment horizontal="center"/>
    </xf>
    <xf numFmtId="211" fontId="0" fillId="52" borderId="0" xfId="6" applyNumberFormat="1" applyFont="1" applyFill="1" applyBorder="1" applyAlignment="1" applyProtection="1">
      <alignment horizontal="center"/>
      <protection locked="0"/>
    </xf>
    <xf numFmtId="182" fontId="15" fillId="54" borderId="0" xfId="2" applyNumberFormat="1" applyFont="1" applyFill="1" applyBorder="1" applyAlignment="1" applyProtection="1">
      <alignment horizontal="center"/>
      <protection locked="0"/>
    </xf>
    <xf numFmtId="182" fontId="15" fillId="0" borderId="0" xfId="2" applyNumberFormat="1" applyFont="1" applyFill="1" applyBorder="1" applyAlignment="1" applyProtection="1">
      <alignment horizontal="center"/>
      <protection locked="0"/>
    </xf>
    <xf numFmtId="168" fontId="15" fillId="38" borderId="0" xfId="6" applyNumberFormat="1" applyFont="1" applyFill="1" applyAlignment="1">
      <alignment horizontal="right" vertical="center"/>
    </xf>
    <xf numFmtId="168" fontId="15" fillId="38" borderId="0" xfId="6" applyNumberFormat="1" applyFont="1" applyFill="1" applyAlignment="1">
      <alignment horizontal="center" vertical="center"/>
    </xf>
    <xf numFmtId="211" fontId="0" fillId="40" borderId="0" xfId="6" applyNumberFormat="1" applyFont="1" applyFill="1" applyBorder="1" applyAlignment="1" applyProtection="1">
      <alignment horizontal="center"/>
      <protection locked="0"/>
    </xf>
    <xf numFmtId="211" fontId="0" fillId="40" borderId="3" xfId="6" applyNumberFormat="1" applyFont="1" applyFill="1" applyBorder="1" applyAlignment="1" applyProtection="1">
      <alignment horizontal="center"/>
      <protection locked="0"/>
    </xf>
    <xf numFmtId="0" fontId="74" fillId="38" borderId="2" xfId="0" applyFont="1" applyFill="1" applyBorder="1" applyAlignment="1">
      <alignment horizontal="center"/>
    </xf>
  </cellXfs>
  <cellStyles count="307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" xfId="306" builtinId="4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20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0</xdr:colOff>
      <xdr:row>1048576</xdr:row>
      <xdr:rowOff>34925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4F19668E-4345-4E1E-926E-6F70E95E3AAB}"/>
            </a:ext>
            <a:ext uri="{147F2762-F138-4A5C-976F-8EAC2B608ADB}">
              <a16:predDERef xmlns:a16="http://schemas.microsoft.com/office/drawing/2014/main" pred="{EC422D63-18D4-C46E-FE53-408EA044B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19800" cy="7271385"/>
        </a:xfrm>
        <a:prstGeom prst="rect">
          <a:avLst/>
        </a:prstGeom>
      </xdr:spPr>
    </xdr:pic>
    <xdr:clientData/>
  </xdr:twoCellAnchor>
  <xdr:oneCellAnchor>
    <xdr:from>
      <xdr:col>0</xdr:col>
      <xdr:colOff>371475</xdr:colOff>
      <xdr:row>3</xdr:row>
      <xdr:rowOff>133350</xdr:rowOff>
    </xdr:from>
    <xdr:ext cx="5572125" cy="3762375"/>
    <xdr:sp macro="" textlink="">
      <xdr:nvSpPr>
        <xdr:cNvPr id="3" name="TextBox 2" title="5etw34ytqw3">
          <a:extLst>
            <a:ext uri="{FF2B5EF4-FFF2-40B4-BE49-F238E27FC236}">
              <a16:creationId xmlns:a16="http://schemas.microsoft.com/office/drawing/2014/main" id="{58E1632D-9E63-4676-BBDB-345592502745}"/>
            </a:ext>
            <a:ext uri="{147F2762-F138-4A5C-976F-8EAC2B608ADB}">
              <a16:predDERef xmlns:a16="http://schemas.microsoft.com/office/drawing/2014/main" pred="{87C08B3D-FED8-D4B9-4F18-8521A7C426AA}"/>
            </a:ext>
          </a:extLst>
        </xdr:cNvPr>
        <xdr:cNvSpPr txBox="1"/>
      </xdr:nvSpPr>
      <xdr:spPr>
        <a:xfrm>
          <a:off x="371475" y="704850"/>
          <a:ext cx="5572125" cy="376237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2000">
              <a:solidFill>
                <a:schemeClr val="bg1"/>
              </a:solidFill>
              <a:effectLst/>
              <a:latin typeface="Bree Serif" panose="02000503040000020004" pitchFamily="2" charset="0"/>
              <a:ea typeface="+mn-ea"/>
              <a:cs typeface="+mn-cs"/>
            </a:rPr>
            <a:t>Attachment 8.1A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2000">
            <a:solidFill>
              <a:schemeClr val="bg1"/>
            </a:solidFill>
            <a:effectLst/>
            <a:latin typeface="Bree Serif" panose="02000503040000020004" pitchFamily="2" charset="0"/>
            <a:ea typeface="+mn-ea"/>
            <a:cs typeface="+mn-cs"/>
          </a:endParaRPr>
        </a:p>
        <a:p>
          <a:r>
            <a:rPr lang="en-AU" sz="2500" u="none" baseline="0">
              <a:solidFill>
                <a:schemeClr val="bg1"/>
              </a:solidFill>
              <a:latin typeface="Bree Serif" panose="02000503040000020004" pitchFamily="2" charset="0"/>
            </a:rPr>
            <a:t>Revised Final Plan</a:t>
          </a:r>
        </a:p>
        <a:p>
          <a:r>
            <a:rPr lang="en-AU" sz="2500" u="none" baseline="0">
              <a:solidFill>
                <a:schemeClr val="bg1"/>
              </a:solidFill>
              <a:latin typeface="Bree Serif" panose="02000503040000020004" pitchFamily="2" charset="0"/>
            </a:rPr>
            <a:t>Opex Forecast Model</a:t>
          </a:r>
        </a:p>
        <a:p>
          <a:br>
            <a:rPr lang="en-AU" sz="2500" u="none" baseline="0">
              <a:solidFill>
                <a:schemeClr val="bg1"/>
              </a:solidFill>
              <a:latin typeface="Bree Serif" panose="02000503040000020004" pitchFamily="2" charset="0"/>
            </a:rPr>
          </a:br>
          <a:r>
            <a:rPr lang="en-AU" sz="1800" b="0" baseline="0">
              <a:solidFill>
                <a:schemeClr val="bg1"/>
              </a:solidFill>
              <a:latin typeface="Bree Serif" panose="02000503040000020004" pitchFamily="2" charset="0"/>
            </a:rPr>
            <a:t>January 2026</a:t>
          </a:r>
          <a:endParaRPr lang="en-AU" sz="1800" baseline="0">
            <a:solidFill>
              <a:schemeClr val="bg1"/>
            </a:solidFill>
            <a:latin typeface="Bree Serif" panose="02000503040000020004" pitchFamily="2" charset="0"/>
          </a:endParaRPr>
        </a:p>
        <a:p>
          <a:endParaRPr lang="en-AU" sz="1800" baseline="0">
            <a:solidFill>
              <a:schemeClr val="bg1"/>
            </a:solidFill>
            <a:latin typeface="Bree Serif" panose="02000503040000020004" pitchFamily="2" charset="0"/>
          </a:endParaRPr>
        </a:p>
        <a:p>
          <a:endParaRPr lang="en-AU" sz="1800" baseline="0">
            <a:solidFill>
              <a:schemeClr val="bg1"/>
            </a:solidFill>
            <a:latin typeface="Bree Serif" panose="02000503040000020004" pitchFamily="2" charset="0"/>
          </a:endParaRPr>
        </a:p>
        <a:p>
          <a:endParaRPr lang="en-AU" sz="1800" baseline="0">
            <a:solidFill>
              <a:schemeClr val="bg1"/>
            </a:solidFill>
            <a:latin typeface="Bree Serif" panose="02000503040000020004" pitchFamily="2" charset="0"/>
          </a:endParaRPr>
        </a:p>
        <a:p>
          <a:r>
            <a:rPr lang="en-AU" sz="1800" baseline="0">
              <a:solidFill>
                <a:srgbClr val="00B0F0"/>
              </a:solidFill>
              <a:latin typeface="Bree Serif" panose="02000503040000020004" pitchFamily="2" charset="0"/>
            </a:rPr>
            <a:t>Public</a:t>
          </a:r>
        </a:p>
      </xdr:txBody>
    </xdr:sp>
    <xdr:clientData/>
  </xdr:oneCellAnchor>
  <xdr:twoCellAnchor>
    <xdr:from>
      <xdr:col>0</xdr:col>
      <xdr:colOff>428625</xdr:colOff>
      <xdr:row>18</xdr:row>
      <xdr:rowOff>69850</xdr:rowOff>
    </xdr:from>
    <xdr:to>
      <xdr:col>9</xdr:col>
      <xdr:colOff>0</xdr:colOff>
      <xdr:row>18</xdr:row>
      <xdr:rowOff>79375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DF7FFAC4-F4CA-4ED8-ADFB-9C6003BDBE68}"/>
            </a:ext>
          </a:extLst>
        </xdr:cNvPr>
        <xdr:cNvCxnSpPr/>
      </xdr:nvCxnSpPr>
      <xdr:spPr>
        <a:xfrm flipV="1">
          <a:off x="428625" y="2641600"/>
          <a:ext cx="4371975" cy="9525"/>
        </a:xfrm>
        <a:prstGeom prst="line">
          <a:avLst/>
        </a:prstGeom>
        <a:ln w="25400">
          <a:solidFill>
            <a:schemeClr val="bg1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304800</xdr:colOff>
      <xdr:row>33</xdr:row>
      <xdr:rowOff>0</xdr:rowOff>
    </xdr:from>
    <xdr:to>
      <xdr:col>5</xdr:col>
      <xdr:colOff>71755</xdr:colOff>
      <xdr:row>38</xdr:row>
      <xdr:rowOff>119380</xdr:rowOff>
    </xdr:to>
    <xdr:pic>
      <xdr:nvPicPr>
        <xdr:cNvPr id="5" name="Picture 8">
          <a:extLst>
            <a:ext uri="{FF2B5EF4-FFF2-40B4-BE49-F238E27FC236}">
              <a16:creationId xmlns:a16="http://schemas.microsoft.com/office/drawing/2014/main" id="{C13D11DF-8525-45D1-B158-39D59EF06AEA}"/>
            </a:ext>
            <a:ext uri="{147F2762-F138-4A5C-976F-8EAC2B608ADB}">
              <a16:predDERef xmlns:a16="http://schemas.microsoft.com/office/drawing/2014/main" pred="{DF7FFAC4-F4CA-4ED8-ADFB-9C6003BDB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800" y="4714875"/>
          <a:ext cx="2428875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0E13C-5056-4752-95D6-03CDB2733E59}">
  <dimension ref="A1:L57"/>
  <sheetViews>
    <sheetView tabSelected="1" workbookViewId="0">
      <selection activeCell="A58" sqref="A58:XFD1048576"/>
    </sheetView>
  </sheetViews>
  <sheetFormatPr defaultColWidth="0" defaultRowHeight="11.25" zeroHeight="1"/>
  <cols>
    <col min="1" max="11" width="9.1640625" customWidth="1"/>
    <col min="12" max="12" width="12" customWidth="1"/>
    <col min="13" max="16384" width="9.1640625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D1" sqref="D1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26</v>
      </c>
      <c r="L1" s="28" t="s">
        <v>27</v>
      </c>
      <c r="M1" s="46" t="s">
        <v>28</v>
      </c>
      <c r="N1" s="11" t="s">
        <v>29</v>
      </c>
      <c r="O1" s="12" t="s">
        <v>30</v>
      </c>
      <c r="R1" s="28" t="s">
        <v>31</v>
      </c>
      <c r="S1" s="29" t="s">
        <v>111</v>
      </c>
      <c r="T1" s="29"/>
      <c r="V1" s="188" t="s">
        <v>32</v>
      </c>
      <c r="W1" s="29" t="str">
        <f>'Check|List'!$S$1</f>
        <v>Ok</v>
      </c>
    </row>
    <row r="2" spans="1:27" s="31" customFormat="1" ht="13.5" thickBot="1">
      <c r="B2" s="30" t="str">
        <f>Index!$C$14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43</v>
      </c>
      <c r="K3" s="100"/>
      <c r="L3" s="100"/>
      <c r="M3" s="105"/>
      <c r="N3" s="215"/>
      <c r="O3" s="215"/>
      <c r="P3" s="215"/>
      <c r="Q3" s="215"/>
      <c r="R3" s="215"/>
      <c r="S3" s="215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35</v>
      </c>
      <c r="E4" s="56" t="s">
        <v>58</v>
      </c>
      <c r="F4" s="57" t="s">
        <v>62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186</v>
      </c>
      <c r="C8" s="32"/>
      <c r="D8" s="32"/>
      <c r="E8" s="51" t="s">
        <v>50</v>
      </c>
      <c r="F8" s="111">
        <f>DATE(PPLastYear,MONTH('Input|General'!$G$9),1)</f>
        <v>46174</v>
      </c>
      <c r="G8" s="33"/>
      <c r="H8" s="33"/>
      <c r="I8" s="33"/>
      <c r="J8" s="40" t="s">
        <v>187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188</v>
      </c>
      <c r="D11" s="20" t="s">
        <v>35</v>
      </c>
      <c r="E11" s="20" t="s">
        <v>58</v>
      </c>
      <c r="F11" s="20" t="s">
        <v>62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65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forecast'!C104</f>
        <v>Total forecast opex, excluding category specific forecasts</v>
      </c>
      <c r="D13" s="24" t="s">
        <v>189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0</v>
      </c>
      <c r="K13" s="104">
        <f>IF(K11="",0,'Calc|Opex forecast'!K104*INDEX('Input|Rate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0</v>
      </c>
      <c r="L13" s="104">
        <f>IF(L11="",0,'Calc|Opex forecast'!L104*INDEX('Input|Rate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0</v>
      </c>
      <c r="M13" s="104">
        <f>IF(M11="",0,'Calc|Opex forecast'!M104*INDEX('Input|Rate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0</v>
      </c>
      <c r="N13" s="104">
        <f>IF(N11="",0,'Calc|Opex forecast'!N104*INDEX('Input|Rate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0</v>
      </c>
      <c r="O13" s="104">
        <f ca="1">IF(O11="",0,'Calc|Opex forecast'!O104*INDEX('Input|Rate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88.111894843075987</v>
      </c>
      <c r="P13" s="104">
        <f ca="1">IF(P11="",0,'Calc|Opex forecast'!P104*INDEX('Input|Rate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82.615555374426691</v>
      </c>
      <c r="Q13" s="104">
        <f ca="1">IF(Q11="",0,'Calc|Opex forecast'!Q104*INDEX('Input|Rate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82.05313220712469</v>
      </c>
      <c r="R13" s="104">
        <f ca="1">IF(R11="",0,'Calc|Opex forecast'!R104*INDEX('Input|Rate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79.058352111610844</v>
      </c>
      <c r="S13" s="104">
        <f ca="1">IF(S11="",0,'Calc|Opex forecast'!S104*INDEX('Input|Rate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76.954113130773692</v>
      </c>
      <c r="T13" s="104">
        <f>IF(T11="",0,'Calc|Opex forecast'!T104*INDEX('Input|Rate of change'!$C$14:$P$22,MATCH('Calc|Opex forecast'!$F$104,'Input|Rate of change'!$C$14:$C$22,0),MATCH('Output|Models'!$F13,'Input|Rate of change'!$C$14:$P$14,0))*IF('Calc|Opex forecast'!$E$104="$millions",1000000,IF('Calc|Opex forecast'!$E$104="$000",1000,1))/IF($E13="$millions",1000000,IF($E13="$000",1000,1)))</f>
        <v>0</v>
      </c>
      <c r="U13" s="15"/>
      <c r="V13" s="91"/>
    </row>
    <row r="14" spans="1:27">
      <c r="C14" s="15" t="str">
        <f>'Input|Step changes'!C27</f>
        <v>UAG</v>
      </c>
      <c r="D14" s="24" t="s">
        <v>189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0</v>
      </c>
      <c r="K14" s="104">
        <f>IF(K$11="",0,'Calc|Opex forecast'!K92*INDEX('Input|Rate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0</v>
      </c>
      <c r="L14" s="104">
        <f>IF(L$11="",0,'Calc|Opex forecast'!L92*INDEX('Input|Rate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0</v>
      </c>
      <c r="M14" s="104">
        <f>IF(M$11="",0,'Calc|Opex forecast'!M92*INDEX('Input|Rate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0</v>
      </c>
      <c r="N14" s="104">
        <f>IF(N$11="",0,'Calc|Opex forecast'!N92*INDEX('Input|Rate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0</v>
      </c>
      <c r="O14" s="104">
        <f>IF(O$11="",0,'Calc|Opex forecast'!O92*INDEX('Input|Rate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3.7035009840000002</v>
      </c>
      <c r="P14" s="104">
        <f>IF(P$11="",0,'Calc|Opex forecast'!P92*INDEX('Input|Rate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3.8092450360000005</v>
      </c>
      <c r="Q14" s="104">
        <f>IF(Q$11="",0,'Calc|Opex forecast'!Q92*INDEX('Input|Rate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3.951876548</v>
      </c>
      <c r="R14" s="104">
        <f>IF(R$11="",0,'Calc|Opex forecast'!R92*INDEX('Input|Rate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4.0576205999999999</v>
      </c>
      <c r="S14" s="104">
        <f>IF(S$11="",0,'Calc|Opex forecast'!S92*INDEX('Input|Rate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4.178119635999999</v>
      </c>
      <c r="T14" s="104">
        <f>IF(T$11="",0,'Calc|Opex forecast'!T92*INDEX('Input|Rate of change'!$C$14:$P$22,MATCH('Calc|Opex forecast'!$F92,'Input|Rate of change'!$C$14:$C$22,0),MATCH('Output|Models'!$F14,'Input|Rate of change'!$C$14:$P$14,0))*IF('Calc|Opex forecast'!$E92="$millions",1000000,IF('Calc|Opex forecast'!$E92="$000",1000,1))/IF($E14="$millions",1000000,IF($E14="$000",1000,1)))</f>
        <v>0</v>
      </c>
      <c r="U14" s="15"/>
      <c r="V14" s="91"/>
    </row>
    <row r="15" spans="1:27">
      <c r="C15" s="15">
        <f>'Input|Step changes'!C28</f>
        <v>0</v>
      </c>
      <c r="D15" s="24" t="s">
        <v>189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K15" s="104">
        <f>IF(K$11="",0,'Calc|Opex forecast'!K93*INDEX('Input|Rate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L15" s="104">
        <f>IF(L$11="",0,'Calc|Opex forecast'!L93*INDEX('Input|Rate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M15" s="104">
        <f>IF(M$11="",0,'Calc|Opex forecast'!M93*INDEX('Input|Rate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N15" s="104">
        <f>IF(N$11="",0,'Calc|Opex forecast'!N93*INDEX('Input|Rate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O15" s="104">
        <f>IF(O$11="",0,'Calc|Opex forecast'!O93*INDEX('Input|Rate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P15" s="104">
        <f>IF(P$11="",0,'Calc|Opex forecast'!P93*INDEX('Input|Rate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Q15" s="104">
        <f>IF(Q$11="",0,'Calc|Opex forecast'!Q93*INDEX('Input|Rate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R15" s="104">
        <f>IF(R$11="",0,'Calc|Opex forecast'!R93*INDEX('Input|Rate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S15" s="104">
        <f>IF(S$11="",0,'Calc|Opex forecast'!S93*INDEX('Input|Rate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T15" s="104">
        <f>IF(T$11="",0,'Calc|Opex forecast'!T93*INDEX('Input|Rate of change'!$C$14:$P$22,MATCH('Calc|Opex forecast'!$F93,'Input|Rate of change'!$C$14:$C$22,0),MATCH('Output|Models'!$F15,'Input|Rate of change'!$C$14:$P$14,0))*IF('Calc|Opex forecast'!$E93="$millions",1000000,IF('Calc|Opex forecast'!$E93="$000",1000,1))/IF($E15="$millions",1000000,IF($E15="$000",1000,1)))</f>
        <v>0</v>
      </c>
      <c r="U15" s="15"/>
      <c r="V15" s="91"/>
    </row>
    <row r="16" spans="1:27">
      <c r="C16" s="15">
        <f>'Input|Step changes'!C29</f>
        <v>0</v>
      </c>
      <c r="D16" s="24" t="s">
        <v>189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K16" s="104">
        <f>IF(K$11="",0,'Calc|Opex forecast'!K94*INDEX('Input|Rate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L16" s="104">
        <f>IF(L$11="",0,'Calc|Opex forecast'!L94*INDEX('Input|Rate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M16" s="104">
        <f>IF(M$11="",0,'Calc|Opex forecast'!M94*INDEX('Input|Rate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N16" s="104">
        <f>IF(N$11="",0,'Calc|Opex forecast'!N94*INDEX('Input|Rate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O16" s="104">
        <f>IF(O$11="",0,'Calc|Opex forecast'!O94*INDEX('Input|Rate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P16" s="104">
        <f>IF(P$11="",0,'Calc|Opex forecast'!P94*INDEX('Input|Rate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Q16" s="104">
        <f>IF(Q$11="",0,'Calc|Opex forecast'!Q94*INDEX('Input|Rate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R16" s="104">
        <f>IF(R$11="",0,'Calc|Opex forecast'!R94*INDEX('Input|Rate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S16" s="104">
        <f>IF(S$11="",0,'Calc|Opex forecast'!S94*INDEX('Input|Rate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T16" s="104">
        <f>IF(T$11="",0,'Calc|Opex forecast'!T94*INDEX('Input|Rate of change'!$C$14:$P$22,MATCH('Calc|Opex forecast'!$F94,'Input|Rate of change'!$C$14:$C$22,0),MATCH('Output|Models'!$F16,'Input|Rate of change'!$C$14:$P$14,0))*IF('Calc|Opex forecast'!$E94="$millions",1000000,IF('Calc|Opex forecast'!$E94="$000",1000,1))/IF($E16="$millions",1000000,IF($E16="$000",1000,1)))</f>
        <v>0</v>
      </c>
      <c r="U16" s="15"/>
      <c r="V16" s="91"/>
    </row>
    <row r="17" spans="1:24">
      <c r="C17" s="15">
        <f>'Input|Step changes'!C30</f>
        <v>0</v>
      </c>
      <c r="D17" s="24" t="s">
        <v>189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K17" s="104">
        <f>IF(K$11="",0,'Calc|Opex forecast'!K95*INDEX('Input|Rate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L17" s="104">
        <f>IF(L$11="",0,'Calc|Opex forecast'!L95*INDEX('Input|Rate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M17" s="104">
        <f>IF(M$11="",0,'Calc|Opex forecast'!M95*INDEX('Input|Rate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N17" s="104">
        <f>IF(N$11="",0,'Calc|Opex forecast'!N95*INDEX('Input|Rate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O17" s="104">
        <f>IF(O$11="",0,'Calc|Opex forecast'!O95*INDEX('Input|Rate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P17" s="104">
        <f>IF(P$11="",0,'Calc|Opex forecast'!P95*INDEX('Input|Rate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Q17" s="104">
        <f>IF(Q$11="",0,'Calc|Opex forecast'!Q95*INDEX('Input|Rate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R17" s="104">
        <f>IF(R$11="",0,'Calc|Opex forecast'!R95*INDEX('Input|Rate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S17" s="104">
        <f>IF(S$11="",0,'Calc|Opex forecast'!S95*INDEX('Input|Rate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T17" s="104">
        <f>IF(T$11="",0,'Calc|Opex forecast'!T95*INDEX('Input|Rate of change'!$C$14:$P$22,MATCH('Calc|Opex forecast'!$F95,'Input|Rate of change'!$C$14:$C$22,0),MATCH('Output|Models'!$F17,'Input|Rate of change'!$C$14:$P$14,0))*IF('Calc|Opex forecast'!$E95="$millions",1000000,IF('Calc|Opex forecast'!$E95="$000",1000,1))/IF($E17="$millions",1000000,IF($E17="$000",1000,1)))</f>
        <v>0</v>
      </c>
      <c r="U17" s="15"/>
      <c r="V17" s="112"/>
    </row>
    <row r="18" spans="1:24">
      <c r="C18" s="15">
        <f>'Input|Step changes'!C31</f>
        <v>0</v>
      </c>
      <c r="D18" s="24" t="s">
        <v>189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K18" s="104">
        <f>IF(K$11="",0,'Calc|Opex forecast'!K96*INDEX('Input|Rate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L18" s="104">
        <f>IF(L$11="",0,'Calc|Opex forecast'!L96*INDEX('Input|Rate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M18" s="104">
        <f>IF(M$11="",0,'Calc|Opex forecast'!M96*INDEX('Input|Rate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N18" s="104">
        <f>IF(N$11="",0,'Calc|Opex forecast'!N96*INDEX('Input|Rate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O18" s="104">
        <f>IF(O$11="",0,'Calc|Opex forecast'!O96*INDEX('Input|Rate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P18" s="104">
        <f>IF(P$11="",0,'Calc|Opex forecast'!P96*INDEX('Input|Rate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Q18" s="104">
        <f>IF(Q$11="",0,'Calc|Opex forecast'!Q96*INDEX('Input|Rate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R18" s="104">
        <f>IF(R$11="",0,'Calc|Opex forecast'!R96*INDEX('Input|Rate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S18" s="104">
        <f>IF(S$11="",0,'Calc|Opex forecast'!S96*INDEX('Input|Rate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T18" s="104">
        <f>IF(T$11="",0,'Calc|Opex forecast'!T96*INDEX('Input|Rate of change'!$C$14:$P$22,MATCH('Calc|Opex forecast'!$F96,'Input|Rate of change'!$C$14:$C$22,0),MATCH('Output|Models'!$F18,'Input|Rate of change'!$C$14:$P$14,0))*IF('Calc|Opex forecast'!$E96="$millions",1000000,IF('Calc|Opex forecast'!$E96="$000",1000,1))/IF($E18="$millions",1000000,IF($E18="$000",1000,1)))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25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'Lookup|Tables'!$H$48:$H$68</xm:f>
          </x14:formula1>
          <xm:sqref>F8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6"/>
  <sheetViews>
    <sheetView showGridLines="0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26</v>
      </c>
      <c r="L1" s="28" t="s">
        <v>27</v>
      </c>
      <c r="M1" s="46" t="s">
        <v>28</v>
      </c>
      <c r="N1" s="11" t="s">
        <v>29</v>
      </c>
      <c r="O1" s="12" t="s">
        <v>30</v>
      </c>
      <c r="R1" s="28"/>
      <c r="S1" s="29"/>
      <c r="U1" s="188" t="s">
        <v>32</v>
      </c>
      <c r="V1" s="29" t="str">
        <f>'Check|List'!$S$1</f>
        <v>Ok</v>
      </c>
    </row>
    <row r="2" spans="1:30" s="27" customFormat="1" ht="12.75">
      <c r="B2" s="41" t="str">
        <f>Index!$C$15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190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35</v>
      </c>
      <c r="E7" s="20"/>
      <c r="F7" s="14"/>
      <c r="G7" s="14" t="s">
        <v>191</v>
      </c>
      <c r="H7" s="14"/>
    </row>
    <row r="8" spans="1:30">
      <c r="C8" s="15" t="s">
        <v>192</v>
      </c>
      <c r="D8" s="16" t="s">
        <v>193</v>
      </c>
      <c r="E8" s="16"/>
      <c r="F8" s="16"/>
      <c r="G8" s="39" t="s">
        <v>192</v>
      </c>
    </row>
    <row r="9" spans="1:30">
      <c r="C9" s="15" t="s">
        <v>194</v>
      </c>
      <c r="D9" s="16" t="s">
        <v>193</v>
      </c>
      <c r="E9" s="16"/>
      <c r="F9" s="16"/>
      <c r="G9" s="39" t="s">
        <v>194</v>
      </c>
    </row>
    <row r="10" spans="1:30">
      <c r="C10" s="15" t="s">
        <v>195</v>
      </c>
      <c r="D10" s="16" t="s">
        <v>41</v>
      </c>
      <c r="E10" s="16"/>
      <c r="F10" s="16"/>
      <c r="G10" s="39" t="s">
        <v>195</v>
      </c>
      <c r="T10" s="17"/>
    </row>
    <row r="11" spans="1:30">
      <c r="C11" s="15" t="s">
        <v>42</v>
      </c>
      <c r="D11" s="16" t="s">
        <v>193</v>
      </c>
      <c r="E11" s="16"/>
      <c r="F11" s="16"/>
      <c r="G11" s="39" t="s">
        <v>42</v>
      </c>
    </row>
    <row r="12" spans="1:30">
      <c r="C12" s="15" t="s">
        <v>196</v>
      </c>
      <c r="D12" s="16" t="s">
        <v>41</v>
      </c>
      <c r="E12" s="16"/>
      <c r="F12" s="16"/>
      <c r="G12" s="39" t="s">
        <v>196</v>
      </c>
      <c r="T12" s="17"/>
    </row>
    <row r="13" spans="1:30">
      <c r="F13" s="8"/>
      <c r="G13" s="8"/>
    </row>
    <row r="14" spans="1:30" customFormat="1" ht="12.75">
      <c r="A14" s="32"/>
      <c r="B14" s="38" t="s">
        <v>197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35</v>
      </c>
      <c r="E16" s="20"/>
      <c r="F16" s="14"/>
      <c r="G16" s="14" t="s">
        <v>191</v>
      </c>
      <c r="H16" s="14"/>
    </row>
    <row r="17" spans="1:30">
      <c r="C17" s="15" t="s">
        <v>198</v>
      </c>
      <c r="D17" s="16" t="s">
        <v>41</v>
      </c>
      <c r="E17" s="16"/>
      <c r="F17" s="16"/>
      <c r="G17" s="39" t="s">
        <v>199</v>
      </c>
    </row>
    <row r="18" spans="1:30">
      <c r="C18" s="15" t="s">
        <v>200</v>
      </c>
      <c r="D18" s="16" t="s">
        <v>41</v>
      </c>
      <c r="E18" s="16"/>
      <c r="F18" s="16"/>
      <c r="G18" s="39" t="s">
        <v>201</v>
      </c>
    </row>
    <row r="19" spans="1:30">
      <c r="C19" s="15" t="s">
        <v>202</v>
      </c>
      <c r="D19" s="16" t="s">
        <v>41</v>
      </c>
      <c r="E19" s="16"/>
      <c r="F19" s="16"/>
      <c r="G19" s="39" t="s">
        <v>50</v>
      </c>
      <c r="T19" s="17"/>
    </row>
    <row r="20" spans="1:30">
      <c r="F20" s="8"/>
      <c r="G20" s="8"/>
    </row>
    <row r="21" spans="1:30">
      <c r="C21" s="15" t="s">
        <v>60</v>
      </c>
      <c r="D21" s="16" t="s">
        <v>41</v>
      </c>
      <c r="E21" s="16"/>
      <c r="F21" s="16"/>
      <c r="G21" s="39" t="s">
        <v>96</v>
      </c>
    </row>
    <row r="22" spans="1:30">
      <c r="C22" s="15" t="s">
        <v>58</v>
      </c>
      <c r="D22" s="16" t="s">
        <v>41</v>
      </c>
      <c r="E22" s="16"/>
      <c r="F22" s="16"/>
      <c r="G22" s="39" t="s">
        <v>203</v>
      </c>
    </row>
    <row r="23" spans="1:30">
      <c r="C23" s="15" t="s">
        <v>204</v>
      </c>
      <c r="D23" s="16" t="s">
        <v>41</v>
      </c>
      <c r="E23" s="16"/>
      <c r="F23" s="16"/>
      <c r="G23" s="39" t="s">
        <v>116</v>
      </c>
    </row>
    <row r="24" spans="1:30">
      <c r="C24" s="15" t="s">
        <v>205</v>
      </c>
      <c r="D24" s="16" t="s">
        <v>41</v>
      </c>
      <c r="E24" s="16"/>
      <c r="F24" s="16"/>
      <c r="G24" s="39" t="s">
        <v>206</v>
      </c>
    </row>
    <row r="25" spans="1:30">
      <c r="C25" s="15"/>
      <c r="D25" s="16"/>
      <c r="E25" s="16"/>
      <c r="F25" s="16"/>
      <c r="G25" s="8"/>
    </row>
    <row r="26" spans="1:30">
      <c r="C26" s="15" t="s">
        <v>75</v>
      </c>
      <c r="D26" s="16" t="s">
        <v>41</v>
      </c>
      <c r="E26" s="16"/>
      <c r="F26" s="16"/>
      <c r="G26" s="39" t="s">
        <v>75</v>
      </c>
    </row>
    <row r="27" spans="1:30">
      <c r="C27" s="15" t="s">
        <v>76</v>
      </c>
      <c r="D27" s="16" t="s">
        <v>41</v>
      </c>
      <c r="E27" s="16"/>
      <c r="F27" s="16"/>
      <c r="G27" s="39" t="s">
        <v>76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207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35</v>
      </c>
      <c r="E31" s="20"/>
      <c r="F31" s="14"/>
      <c r="G31" s="14" t="s">
        <v>191</v>
      </c>
      <c r="H31" s="14"/>
    </row>
    <row r="32" spans="1:30">
      <c r="C32" s="15" t="s">
        <v>208</v>
      </c>
      <c r="D32" s="16" t="s">
        <v>41</v>
      </c>
      <c r="E32" s="16"/>
      <c r="F32" s="16"/>
      <c r="G32" s="92">
        <v>36526</v>
      </c>
      <c r="H32" s="14"/>
    </row>
    <row r="33" spans="1:30">
      <c r="C33" s="15" t="s">
        <v>209</v>
      </c>
      <c r="D33" s="16" t="s">
        <v>41</v>
      </c>
      <c r="E33" s="16"/>
      <c r="F33" s="16"/>
      <c r="G33" s="92">
        <v>36557</v>
      </c>
      <c r="H33" s="14"/>
    </row>
    <row r="34" spans="1:30">
      <c r="C34" s="15" t="s">
        <v>210</v>
      </c>
      <c r="D34" s="16" t="s">
        <v>41</v>
      </c>
      <c r="E34" s="16"/>
      <c r="F34" s="16"/>
      <c r="G34" s="92">
        <v>36586</v>
      </c>
      <c r="H34" s="14"/>
    </row>
    <row r="35" spans="1:30">
      <c r="C35" s="15" t="s">
        <v>211</v>
      </c>
      <c r="D35" s="16" t="s">
        <v>41</v>
      </c>
      <c r="E35" s="16"/>
      <c r="F35" s="16"/>
      <c r="G35" s="92">
        <v>36617</v>
      </c>
    </row>
    <row r="36" spans="1:30">
      <c r="C36" s="15" t="s">
        <v>212</v>
      </c>
      <c r="D36" s="16" t="s">
        <v>41</v>
      </c>
      <c r="E36" s="16"/>
      <c r="F36" s="16"/>
      <c r="G36" s="92">
        <v>36647</v>
      </c>
    </row>
    <row r="37" spans="1:30">
      <c r="C37" s="15" t="s">
        <v>213</v>
      </c>
      <c r="D37" s="16" t="s">
        <v>41</v>
      </c>
      <c r="E37" s="16"/>
      <c r="F37" s="16"/>
      <c r="G37" s="92">
        <v>36678</v>
      </c>
      <c r="T37" s="17"/>
    </row>
    <row r="38" spans="1:30">
      <c r="C38" s="15" t="s">
        <v>214</v>
      </c>
      <c r="D38" s="16" t="s">
        <v>41</v>
      </c>
      <c r="E38" s="16"/>
      <c r="F38" s="16"/>
      <c r="G38" s="92">
        <v>36708</v>
      </c>
      <c r="T38" s="17"/>
    </row>
    <row r="39" spans="1:30">
      <c r="C39" s="15" t="s">
        <v>215</v>
      </c>
      <c r="D39" s="16" t="s">
        <v>41</v>
      </c>
      <c r="E39" s="16"/>
      <c r="F39" s="16"/>
      <c r="G39" s="92">
        <v>36739</v>
      </c>
      <c r="T39" s="17"/>
    </row>
    <row r="40" spans="1:30">
      <c r="C40" s="15" t="s">
        <v>216</v>
      </c>
      <c r="D40" s="16" t="s">
        <v>41</v>
      </c>
      <c r="E40" s="16"/>
      <c r="F40" s="16"/>
      <c r="G40" s="92">
        <v>36770</v>
      </c>
      <c r="T40" s="17"/>
    </row>
    <row r="41" spans="1:30">
      <c r="C41" s="15" t="s">
        <v>217</v>
      </c>
      <c r="D41" s="16" t="s">
        <v>41</v>
      </c>
      <c r="E41" s="16"/>
      <c r="F41" s="16"/>
      <c r="G41" s="92">
        <v>36800</v>
      </c>
      <c r="T41" s="17"/>
    </row>
    <row r="42" spans="1:30">
      <c r="C42" s="15" t="s">
        <v>218</v>
      </c>
      <c r="D42" s="16" t="s">
        <v>41</v>
      </c>
      <c r="E42" s="16"/>
      <c r="F42" s="16"/>
      <c r="G42" s="92">
        <v>36831</v>
      </c>
      <c r="T42" s="17"/>
    </row>
    <row r="43" spans="1:30">
      <c r="C43" s="15" t="s">
        <v>219</v>
      </c>
      <c r="D43" s="16" t="s">
        <v>41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220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35</v>
      </c>
      <c r="E47" s="20"/>
      <c r="F47" s="14"/>
      <c r="G47" s="14" t="s">
        <v>221</v>
      </c>
      <c r="H47" s="14" t="s">
        <v>222</v>
      </c>
      <c r="I47" s="14" t="s">
        <v>223</v>
      </c>
    </row>
    <row r="48" spans="1:30">
      <c r="C48" s="97">
        <v>40695</v>
      </c>
      <c r="D48" s="16" t="s">
        <v>41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41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8" si="0">G49-1&amp;"–"&amp;RIGHT(G49,2)</f>
        <v>2011–12</v>
      </c>
    </row>
    <row r="50" spans="3:20">
      <c r="C50" s="97">
        <v>41426</v>
      </c>
      <c r="D50" s="16" t="s">
        <v>41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41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41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41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41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41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41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41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41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41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41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41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41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41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41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41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41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41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ref="I67" si="1">G67-1&amp;"–"&amp;RIGHT(G67,2)</f>
        <v>2029–30</v>
      </c>
      <c r="T67" s="17"/>
    </row>
    <row r="68" spans="1:30">
      <c r="C68" s="97">
        <v>48000</v>
      </c>
      <c r="D68" s="16" t="s">
        <v>41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si="0"/>
        <v>2030–31</v>
      </c>
      <c r="T68" s="17"/>
    </row>
    <row r="69" spans="1:30"/>
    <row r="70" spans="1:30" customFormat="1" ht="12.75">
      <c r="A70" s="32"/>
      <c r="B70" s="38" t="s">
        <v>224</v>
      </c>
      <c r="C70" s="32"/>
      <c r="D70" s="32"/>
      <c r="E70" s="32"/>
      <c r="F70" s="33"/>
      <c r="G70" s="33"/>
      <c r="H70" s="33"/>
      <c r="I70" s="33"/>
      <c r="J70" s="34"/>
      <c r="K70" s="35"/>
      <c r="L70" s="34"/>
      <c r="M70" s="35"/>
      <c r="N70" s="34"/>
      <c r="O70" s="34"/>
      <c r="P70" s="34"/>
      <c r="Q70" s="34"/>
      <c r="R70" s="34"/>
      <c r="S70" s="34"/>
      <c r="T70" s="34"/>
      <c r="U70" s="34"/>
      <c r="V70" s="35"/>
      <c r="W70" s="35"/>
      <c r="X70" s="36"/>
      <c r="Y70" s="36"/>
      <c r="Z70" s="36"/>
      <c r="AA70" s="36"/>
      <c r="AB70" s="36"/>
      <c r="AC70" s="37"/>
      <c r="AD70" s="37"/>
    </row>
    <row r="71" spans="1:30"/>
    <row r="72" spans="1:30">
      <c r="C72" s="13" t="str">
        <f>B70</f>
        <v>Regulatory years</v>
      </c>
      <c r="D72" s="20" t="s">
        <v>35</v>
      </c>
      <c r="E72" s="20"/>
      <c r="F72" s="14"/>
      <c r="G72" s="14" t="s">
        <v>225</v>
      </c>
      <c r="H72" s="14" t="s">
        <v>43</v>
      </c>
    </row>
    <row r="73" spans="1:30">
      <c r="C73" s="15" t="s">
        <v>226</v>
      </c>
      <c r="D73" s="16" t="s">
        <v>99</v>
      </c>
      <c r="E73" s="20"/>
      <c r="F73" s="14"/>
      <c r="G73" s="106" t="str">
        <f>IF(H73="","",IF(MONTH(H73)=12,YEAR(H73),YEAR(H73)-1&amp;"–"&amp;RIGHT(YEAR(H73),2)))</f>
        <v>2020–21</v>
      </c>
      <c r="H73" s="107">
        <f>DATE(PPFirstYear-1,MONTH('Input|General'!$G$9),1)</f>
        <v>44348</v>
      </c>
    </row>
    <row r="74" spans="1:30">
      <c r="C74" s="15" t="s">
        <v>227</v>
      </c>
      <c r="D74" s="16" t="s">
        <v>99</v>
      </c>
      <c r="E74" s="16"/>
      <c r="F74" s="16"/>
      <c r="G74" s="106" t="str">
        <f t="shared" ref="G74:G83" si="2">IF(H74="","",IF(MONTH(H74)=12,YEAR(H74),YEAR(H74)-1&amp;"–"&amp;RIGHT(YEAR(H74),2)))</f>
        <v>2021–22</v>
      </c>
      <c r="H74" s="107">
        <f>DATE(PPFirstYear,MONTH('Input|General'!$G$9),1)</f>
        <v>44713</v>
      </c>
    </row>
    <row r="75" spans="1:30">
      <c r="C75" s="15" t="s">
        <v>228</v>
      </c>
      <c r="D75" s="16" t="s">
        <v>99</v>
      </c>
      <c r="E75" s="16"/>
      <c r="F75" s="16"/>
      <c r="G75" s="106" t="str">
        <f t="shared" si="2"/>
        <v>2022–23</v>
      </c>
      <c r="H75" s="107">
        <f>IF(PPLastYear-PPFirstYear&lt;1,"",DATE(PPFirstYear+1,MONTH('Input|General'!$G$9),1))</f>
        <v>45078</v>
      </c>
    </row>
    <row r="76" spans="1:30">
      <c r="C76" s="15" t="s">
        <v>229</v>
      </c>
      <c r="D76" s="16" t="s">
        <v>99</v>
      </c>
      <c r="E76" s="16"/>
      <c r="F76" s="16"/>
      <c r="G76" s="106" t="str">
        <f t="shared" si="2"/>
        <v>2023–24</v>
      </c>
      <c r="H76" s="107">
        <f>IF(PPLastYear-PPFirstYear&lt;2,"",DATE(PPFirstYear+2,MONTH('Input|General'!$G$9),1))</f>
        <v>45444</v>
      </c>
    </row>
    <row r="77" spans="1:30">
      <c r="C77" s="15" t="s">
        <v>230</v>
      </c>
      <c r="D77" s="16" t="s">
        <v>99</v>
      </c>
      <c r="E77" s="16"/>
      <c r="F77" s="16"/>
      <c r="G77" s="106" t="str">
        <f t="shared" si="2"/>
        <v>2024–25</v>
      </c>
      <c r="H77" s="107">
        <f>IF(PPLastYear-PPFirstYear&lt;3,"",DATE(PPFirstYear+3,MONTH('Input|General'!$G$9),1))</f>
        <v>45809</v>
      </c>
    </row>
    <row r="78" spans="1:30">
      <c r="C78" s="15" t="s">
        <v>231</v>
      </c>
      <c r="D78" s="16" t="s">
        <v>99</v>
      </c>
      <c r="E78" s="16"/>
      <c r="F78" s="16"/>
      <c r="G78" s="106" t="str">
        <f t="shared" si="2"/>
        <v>2025–26</v>
      </c>
      <c r="H78" s="107">
        <f>IF(PPLastYear-PPFirstYear&lt;4,"",DATE(PPFirstYear+4,MONTH('Input|General'!$G$9),1))</f>
        <v>46174</v>
      </c>
    </row>
    <row r="79" spans="1:30">
      <c r="C79" s="15" t="s">
        <v>232</v>
      </c>
      <c r="D79" s="16" t="s">
        <v>99</v>
      </c>
      <c r="E79" s="16"/>
      <c r="F79" s="16"/>
      <c r="G79" s="106" t="str">
        <f t="shared" si="2"/>
        <v/>
      </c>
      <c r="H79" s="107" t="str">
        <f>IF(PPLastYear-PPFirstYear&lt;5,"",DATE(PPFirstYear+5,MONTH('Input|General'!$G$9),1))</f>
        <v/>
      </c>
    </row>
    <row r="80" spans="1:30">
      <c r="C80" s="15" t="s">
        <v>233</v>
      </c>
      <c r="D80" s="16" t="s">
        <v>99</v>
      </c>
      <c r="E80" s="16"/>
      <c r="F80" s="16"/>
      <c r="G80" s="106" t="str">
        <f t="shared" si="2"/>
        <v>2026–27</v>
      </c>
      <c r="H80" s="107">
        <f>DATE(FPFirstYear,MONTH('Input|General'!$G$9),1)</f>
        <v>46539</v>
      </c>
      <c r="T80" s="17"/>
    </row>
    <row r="81" spans="1:30">
      <c r="C81" s="15" t="s">
        <v>234</v>
      </c>
      <c r="D81" s="16" t="s">
        <v>99</v>
      </c>
      <c r="E81" s="16"/>
      <c r="F81" s="16"/>
      <c r="G81" s="106" t="str">
        <f t="shared" si="2"/>
        <v>2027–28</v>
      </c>
      <c r="H81" s="107">
        <f>IF(FPLastYear-FPFirstYear&lt;1,"",DATE(FPFirstYear+1,MONTH('Input|General'!$G$9),1))</f>
        <v>46905</v>
      </c>
      <c r="T81" s="17"/>
    </row>
    <row r="82" spans="1:30">
      <c r="C82" s="15" t="s">
        <v>235</v>
      </c>
      <c r="D82" s="16" t="s">
        <v>99</v>
      </c>
      <c r="E82" s="16"/>
      <c r="F82" s="16"/>
      <c r="G82" s="106" t="str">
        <f t="shared" si="2"/>
        <v>2028–29</v>
      </c>
      <c r="H82" s="107">
        <f>IF(FPLastYear-FPFirstYear&lt;2,"",DATE(FPFirstYear+2,MONTH('Input|General'!$G$9),1))</f>
        <v>47270</v>
      </c>
      <c r="T82" s="17"/>
    </row>
    <row r="83" spans="1:30">
      <c r="C83" s="15" t="s">
        <v>236</v>
      </c>
      <c r="D83" s="16" t="s">
        <v>99</v>
      </c>
      <c r="E83" s="16"/>
      <c r="F83" s="16"/>
      <c r="G83" s="106" t="str">
        <f t="shared" si="2"/>
        <v>2029–30</v>
      </c>
      <c r="H83" s="107">
        <f>IF(FPLastYear-FPFirstYear&lt;3,"",DATE(FPFirstYear+3,MONTH('Input|General'!$G$9),1))</f>
        <v>47635</v>
      </c>
      <c r="T83" s="17"/>
    </row>
    <row r="84" spans="1:30">
      <c r="C84" s="15" t="s">
        <v>237</v>
      </c>
      <c r="D84" s="16" t="s">
        <v>99</v>
      </c>
      <c r="E84" s="16"/>
      <c r="F84" s="16"/>
      <c r="G84" s="106" t="str">
        <f>IF(H84="","",IF(MONTH(H84)=12,YEAR(H84),YEAR(H84)-1&amp;"–"&amp;RIGHT(YEAR(H84),2)))</f>
        <v>2030–31</v>
      </c>
      <c r="H84" s="107">
        <f>IF(FPLastYear-FPFirstYear&lt;4,"",DATE(FPFirstYear+4,MONTH('Input|General'!$G$9),1))</f>
        <v>48000</v>
      </c>
      <c r="T84" s="17"/>
    </row>
    <row r="85" spans="1:30">
      <c r="C85" s="15"/>
      <c r="D85" s="16"/>
      <c r="E85" s="16"/>
      <c r="F85" s="16"/>
      <c r="G85" s="113"/>
      <c r="H85" s="114"/>
      <c r="T85" s="17"/>
    </row>
    <row r="86" spans="1:30" customFormat="1" ht="12.75">
      <c r="A86" s="32"/>
      <c r="B86" s="38" t="s">
        <v>25</v>
      </c>
      <c r="C86" s="32"/>
      <c r="D86" s="32"/>
      <c r="E86" s="32"/>
      <c r="F86" s="33"/>
      <c r="G86" s="33"/>
      <c r="H86" s="33"/>
      <c r="I86" s="33"/>
      <c r="J86" s="34"/>
      <c r="K86" s="35"/>
      <c r="L86" s="34"/>
      <c r="M86" s="35"/>
      <c r="N86" s="34"/>
      <c r="O86" s="34"/>
      <c r="P86" s="34"/>
      <c r="Q86" s="34"/>
      <c r="R86" s="34"/>
      <c r="S86" s="34"/>
      <c r="T86" s="34"/>
      <c r="U86" s="34"/>
      <c r="V86" s="35"/>
      <c r="W86" s="35"/>
      <c r="X86" s="36"/>
      <c r="Y86" s="36"/>
      <c r="Z86" s="36"/>
      <c r="AA86" s="36"/>
      <c r="AB86" s="36"/>
      <c r="AC86" s="37"/>
      <c r="AD86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9:Q69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26</v>
      </c>
      <c r="L1" s="28" t="s">
        <v>27</v>
      </c>
      <c r="M1" s="46" t="s">
        <v>28</v>
      </c>
      <c r="N1" s="11" t="s">
        <v>29</v>
      </c>
      <c r="O1" s="12" t="s">
        <v>30</v>
      </c>
      <c r="R1" s="188" t="s">
        <v>32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Index!$C$16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238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239</v>
      </c>
      <c r="D9" s="14" t="s">
        <v>35</v>
      </c>
      <c r="E9" s="14" t="s">
        <v>58</v>
      </c>
      <c r="F9" s="14"/>
      <c r="G9" s="14" t="s">
        <v>240</v>
      </c>
    </row>
    <row r="10" spans="1:30">
      <c r="C10" s="15" t="str">
        <f>Index!C7</f>
        <v>Input | General</v>
      </c>
      <c r="D10" s="189" t="str">
        <f>C10</f>
        <v>Input | General</v>
      </c>
      <c r="E10" s="16" t="s">
        <v>110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9" t="str">
        <f>C11</f>
        <v>Input | Inflation</v>
      </c>
      <c r="E11" s="16" t="s">
        <v>110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9" t="str">
        <f t="shared" ref="D12:D16" si="0">C12</f>
        <v>Input | Reported opex</v>
      </c>
      <c r="E12" s="16" t="s">
        <v>110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9" t="str">
        <f t="shared" si="0"/>
        <v>Input | Rate of change</v>
      </c>
      <c r="E13" s="16" t="s">
        <v>110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9" t="str">
        <f t="shared" si="0"/>
        <v>Input | Step changes</v>
      </c>
      <c r="E14" s="16" t="s">
        <v>110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Index!C13</f>
        <v>Calc | Opex Forecast</v>
      </c>
      <c r="D15" s="189" t="str">
        <f t="shared" si="0"/>
        <v>Calc | Opex Forecast</v>
      </c>
      <c r="E15" s="16" t="s">
        <v>110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Index!C14</f>
        <v>Output | Models</v>
      </c>
      <c r="D16" s="189" t="str">
        <f t="shared" si="0"/>
        <v>Output | Models</v>
      </c>
      <c r="E16" s="16" t="s">
        <v>110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25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2"/>
  <sheetViews>
    <sheetView showGridLines="0" workbookViewId="0">
      <selection activeCell="D18" sqref="D18"/>
    </sheetView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0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2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3</v>
      </c>
      <c r="D6" s="9" t="s">
        <v>4</v>
      </c>
    </row>
    <row r="7" spans="1:30">
      <c r="C7" s="186" t="s">
        <v>5</v>
      </c>
      <c r="D7" s="8" t="s">
        <v>6</v>
      </c>
    </row>
    <row r="8" spans="1:30">
      <c r="C8" s="186" t="s">
        <v>7</v>
      </c>
      <c r="D8" s="8" t="s">
        <v>8</v>
      </c>
    </row>
    <row r="9" spans="1:30">
      <c r="C9" s="186" t="s">
        <v>9</v>
      </c>
      <c r="D9" s="8" t="s">
        <v>10</v>
      </c>
    </row>
    <row r="10" spans="1:30">
      <c r="C10" s="186" t="s">
        <v>11</v>
      </c>
      <c r="D10" s="8" t="s">
        <v>12</v>
      </c>
    </row>
    <row r="11" spans="1:30">
      <c r="C11" s="186" t="s">
        <v>13</v>
      </c>
      <c r="D11" s="8" t="s">
        <v>14</v>
      </c>
    </row>
    <row r="12" spans="1:30">
      <c r="C12" s="186" t="s">
        <v>15</v>
      </c>
      <c r="D12" s="8" t="s">
        <v>16</v>
      </c>
    </row>
    <row r="13" spans="1:30">
      <c r="C13" s="186" t="s">
        <v>17</v>
      </c>
      <c r="D13" s="8" t="s">
        <v>18</v>
      </c>
    </row>
    <row r="14" spans="1:30">
      <c r="C14" s="186" t="s">
        <v>19</v>
      </c>
      <c r="D14" s="8" t="s">
        <v>20</v>
      </c>
    </row>
    <row r="15" spans="1:30">
      <c r="C15" s="186" t="s">
        <v>21</v>
      </c>
      <c r="D15" s="8" t="s">
        <v>22</v>
      </c>
    </row>
    <row r="16" spans="1:30">
      <c r="C16" s="186" t="s">
        <v>23</v>
      </c>
      <c r="D16" s="8" t="s">
        <v>24</v>
      </c>
    </row>
    <row r="17" spans="1:30" ht="12.75">
      <c r="C17" s="10"/>
      <c r="D17" s="7"/>
    </row>
    <row r="18" spans="1:30" customFormat="1" ht="12.75">
      <c r="A18" s="32"/>
      <c r="B18" s="38" t="s">
        <v>25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  <c r="F25" s="23"/>
    </row>
    <row r="26" spans="1:30" hidden="1">
      <c r="C26" s="7"/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idden="1">
      <c r="D31" s="7"/>
    </row>
    <row r="32" spans="1:30" ht="12.75" hidden="1">
      <c r="C32" s="10"/>
      <c r="D32" s="7"/>
    </row>
  </sheetData>
  <dataValidations count="1">
    <dataValidation type="custom" allowBlank="1" showInputMessage="1" showErrorMessage="1" sqref="C7:C11 C13:C16" xr:uid="{73EEE128-5A6A-4B61-9619-39A5DEFFE384}">
      <formula1>"&lt;0&gt;0"</formula1>
    </dataValidation>
  </dataValidations>
  <hyperlinks>
    <hyperlink ref="C13" location="'Calc|Opex forecast'!A1" display="Calc | Opex Forecast" xr:uid="{00000000-0004-0000-0100-000001000000}"/>
    <hyperlink ref="C14" location="'Output|Models'!A1" display="Output | Models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  <hyperlink ref="C12" location="'Calc|Ancillary Ref Services'!A1" display="Calc | Ancillary Ref Services" xr:uid="{A8E0BEBD-AED2-486A-83A9-773761479952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>
      <selection activeCell="G8" sqref="G8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26</v>
      </c>
      <c r="L1" s="28" t="s">
        <v>27</v>
      </c>
      <c r="M1" s="46" t="s">
        <v>28</v>
      </c>
      <c r="N1" s="11" t="s">
        <v>29</v>
      </c>
      <c r="O1" s="12" t="s">
        <v>30</v>
      </c>
      <c r="R1" s="28" t="s">
        <v>31</v>
      </c>
      <c r="S1" s="29" t="str">
        <f>IF(COUNTA($S$5:$S$16)=COUNTIF($S5:$S17,"OK"),"OK","Check")</f>
        <v>OK</v>
      </c>
      <c r="U1" s="188" t="s">
        <v>32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33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34</v>
      </c>
      <c r="D6" s="20" t="s">
        <v>35</v>
      </c>
      <c r="E6" s="20"/>
      <c r="F6" s="14"/>
      <c r="G6" s="14" t="s">
        <v>36</v>
      </c>
      <c r="H6" s="14"/>
      <c r="I6" s="8"/>
    </row>
    <row r="7" spans="1:30">
      <c r="C7" s="8" t="s">
        <v>37</v>
      </c>
      <c r="D7" s="16" t="s">
        <v>38</v>
      </c>
      <c r="E7" s="8"/>
      <c r="F7" s="8"/>
      <c r="G7" s="39" t="s">
        <v>39</v>
      </c>
      <c r="H7" s="8"/>
      <c r="I7" s="8"/>
      <c r="S7" s="81" t="str">
        <f>IF(COUNTBLANK($G7),"Check","Ok")</f>
        <v>Ok</v>
      </c>
    </row>
    <row r="8" spans="1:30">
      <c r="C8" s="8" t="s">
        <v>40</v>
      </c>
      <c r="D8" s="16" t="s">
        <v>41</v>
      </c>
      <c r="E8" s="8"/>
      <c r="F8" s="8"/>
      <c r="G8" s="39" t="s">
        <v>42</v>
      </c>
      <c r="H8" s="8"/>
      <c r="I8" s="8"/>
      <c r="S8" s="81" t="str">
        <f>IF(COUNTBLANK($G8),"Check","Ok")</f>
        <v>Ok</v>
      </c>
    </row>
    <row r="9" spans="1:30">
      <c r="C9" s="8" t="s">
        <v>43</v>
      </c>
      <c r="D9" s="16" t="s">
        <v>38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44</v>
      </c>
      <c r="D10" s="16" t="s">
        <v>38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45</v>
      </c>
      <c r="D11" s="16" t="s">
        <v>38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46</v>
      </c>
      <c r="D12" s="16" t="s">
        <v>38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47</v>
      </c>
      <c r="D13" s="16" t="s">
        <v>38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48</v>
      </c>
      <c r="D14" s="16" t="s">
        <v>38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49</v>
      </c>
      <c r="D15" s="16" t="s">
        <v>38</v>
      </c>
      <c r="E15" s="8"/>
      <c r="F15" s="8"/>
      <c r="G15" s="93" t="s">
        <v>50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25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201" priority="1" operator="equal">
      <formula>"Check"</formula>
    </cfRule>
    <cfRule type="cellIs" dxfId="200" priority="2" operator="equal">
      <formula>"Ok"</formula>
    </cfRule>
  </conditionalFormatting>
  <conditionalFormatting sqref="S7:S15">
    <cfRule type="cellIs" dxfId="199" priority="5" operator="equal">
      <formula>"Check"</formula>
    </cfRule>
    <cfRule type="cellIs" dxfId="198" priority="6" operator="equal">
      <formula>"Ok"</formula>
    </cfRule>
  </conditionalFormatting>
  <conditionalFormatting sqref="V1">
    <cfRule type="cellIs" dxfId="197" priority="3" operator="equal">
      <formula>"Check"</formula>
    </cfRule>
    <cfRule type="cellIs" dxfId="196" priority="4" operator="equal">
      <formula>"Ok"</formula>
    </cfRule>
  </conditionalFormatting>
  <conditionalFormatting sqref="W14:W16">
    <cfRule type="cellIs" dxfId="195" priority="13" operator="equal">
      <formula>"Check"</formula>
    </cfRule>
    <cfRule type="cellIs" dxfId="194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'Lookup|Tables'!$G$48:$G$68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workbookViewId="0">
      <selection activeCell="G40" sqref="G40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9" width="15" style="16" customWidth="1"/>
    <col min="10" max="10" width="10.5" style="16" customWidth="1"/>
    <col min="11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7" t="s">
        <v>26</v>
      </c>
      <c r="O1" s="28" t="s">
        <v>27</v>
      </c>
      <c r="P1" s="46" t="s">
        <v>28</v>
      </c>
      <c r="Q1" s="11" t="s">
        <v>29</v>
      </c>
      <c r="R1" s="12" t="s">
        <v>30</v>
      </c>
      <c r="U1" s="28" t="s">
        <v>31</v>
      </c>
      <c r="V1" s="29" t="str">
        <f>IF(COUNTA($V$5:$V$89)=COUNTIF($V5:$V90,"OK"),"OK","Check")</f>
        <v>OK</v>
      </c>
      <c r="X1" s="188" t="s">
        <v>32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33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51</v>
      </c>
      <c r="E6" s="47" t="s">
        <v>52</v>
      </c>
      <c r="F6" s="47" t="s">
        <v>51</v>
      </c>
      <c r="G6" s="47" t="s">
        <v>53</v>
      </c>
      <c r="H6" s="47" t="s">
        <v>54</v>
      </c>
      <c r="I6" s="47" t="s">
        <v>52</v>
      </c>
      <c r="J6" s="47"/>
      <c r="K6" s="8"/>
      <c r="L6" s="8"/>
    </row>
    <row r="7" spans="1:33">
      <c r="C7" s="9" t="s">
        <v>35</v>
      </c>
      <c r="D7" s="50" t="s">
        <v>55</v>
      </c>
      <c r="E7" s="50" t="s">
        <v>56</v>
      </c>
      <c r="F7" s="50" t="s">
        <v>55</v>
      </c>
      <c r="G7" s="50" t="s">
        <v>57</v>
      </c>
      <c r="H7" s="50" t="s">
        <v>56</v>
      </c>
      <c r="I7" s="50" t="s">
        <v>56</v>
      </c>
      <c r="J7" s="50"/>
      <c r="K7" s="8"/>
      <c r="L7" s="8"/>
    </row>
    <row r="8" spans="1:33">
      <c r="C8" s="9" t="s">
        <v>58</v>
      </c>
      <c r="D8" s="50" t="s">
        <v>59</v>
      </c>
      <c r="E8" s="50" t="s">
        <v>60</v>
      </c>
      <c r="F8" s="50" t="s">
        <v>59</v>
      </c>
      <c r="G8" s="50" t="s">
        <v>60</v>
      </c>
      <c r="H8" s="50" t="s">
        <v>59</v>
      </c>
      <c r="I8" s="50" t="s">
        <v>60</v>
      </c>
      <c r="J8" s="50"/>
      <c r="K8" s="8"/>
      <c r="L8" s="8"/>
    </row>
    <row r="9" spans="1:33">
      <c r="C9" s="49">
        <v>39172</v>
      </c>
      <c r="D9" s="48">
        <v>155.6</v>
      </c>
      <c r="E9" s="8"/>
      <c r="F9" s="191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>
      <c r="C10" s="49">
        <v>39263</v>
      </c>
      <c r="D10" s="48">
        <v>157.5</v>
      </c>
      <c r="E10" s="8"/>
      <c r="F10" s="191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>
      <c r="C11" s="49">
        <v>39355</v>
      </c>
      <c r="D11" s="48">
        <v>158.6</v>
      </c>
      <c r="E11" s="8"/>
      <c r="F11" s="191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>
      <c r="C12" s="49">
        <v>39447</v>
      </c>
      <c r="D12" s="48">
        <v>160.1</v>
      </c>
      <c r="E12" s="8"/>
      <c r="F12" s="191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>
      <c r="C13" s="49">
        <v>39538</v>
      </c>
      <c r="D13" s="48">
        <v>162.19999999999999</v>
      </c>
      <c r="E13" s="72">
        <f>D13/D9-1</f>
        <v>4.2416452442159303E-2</v>
      </c>
      <c r="F13" s="191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>
      <c r="C14" s="49">
        <v>39629</v>
      </c>
      <c r="D14" s="48">
        <v>164.6</v>
      </c>
      <c r="E14" s="72">
        <f t="shared" ref="E14:E29" si="0">D14/D10-1</f>
        <v>4.5079365079365052E-2</v>
      </c>
      <c r="F14" s="191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>
      <c r="C15" s="49">
        <v>39721</v>
      </c>
      <c r="D15" s="48">
        <v>166.5</v>
      </c>
      <c r="E15" s="72">
        <f t="shared" si="0"/>
        <v>4.9810844892812067E-2</v>
      </c>
      <c r="F15" s="191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>
      <c r="C16" s="49">
        <v>39813</v>
      </c>
      <c r="D16" s="48">
        <v>166</v>
      </c>
      <c r="E16" s="72">
        <f t="shared" si="0"/>
        <v>3.6851967520299844E-2</v>
      </c>
      <c r="F16" s="191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>
      <c r="C17" s="49">
        <v>39903</v>
      </c>
      <c r="D17" s="48">
        <v>166.2</v>
      </c>
      <c r="E17" s="72">
        <f t="shared" si="0"/>
        <v>2.4660912453760897E-2</v>
      </c>
      <c r="F17" s="191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>
      <c r="C18" s="49">
        <v>39994</v>
      </c>
      <c r="D18" s="48">
        <v>167</v>
      </c>
      <c r="E18" s="72">
        <f t="shared" si="0"/>
        <v>1.4580801944106936E-2</v>
      </c>
      <c r="F18" s="191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>
      <c r="C19" s="49">
        <v>40086</v>
      </c>
      <c r="D19" s="48">
        <v>168.6</v>
      </c>
      <c r="E19" s="72">
        <f t="shared" si="0"/>
        <v>1.2612612612612484E-2</v>
      </c>
      <c r="F19" s="191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>
      <c r="C20" s="49">
        <v>40178</v>
      </c>
      <c r="D20" s="48">
        <v>169.5</v>
      </c>
      <c r="E20" s="72">
        <f t="shared" si="0"/>
        <v>2.108433734939763E-2</v>
      </c>
      <c r="F20" s="191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>
      <c r="C21" s="49">
        <v>40268</v>
      </c>
      <c r="D21" s="48">
        <v>171</v>
      </c>
      <c r="E21" s="72">
        <f t="shared" si="0"/>
        <v>2.8880866425992746E-2</v>
      </c>
      <c r="F21" s="192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>
      <c r="C22" s="49">
        <v>40359</v>
      </c>
      <c r="D22" s="48">
        <v>172.1</v>
      </c>
      <c r="E22" s="72">
        <f t="shared" si="0"/>
        <v>3.0538922155688653E-2</v>
      </c>
      <c r="F22" s="192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>
      <c r="C23" s="49">
        <v>40451</v>
      </c>
      <c r="D23" s="48">
        <v>173.3</v>
      </c>
      <c r="E23" s="72">
        <f t="shared" si="0"/>
        <v>2.7876631079478242E-2</v>
      </c>
      <c r="F23" s="192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>
      <c r="C24" s="49">
        <v>40543</v>
      </c>
      <c r="D24" s="48">
        <v>174</v>
      </c>
      <c r="E24" s="72">
        <f t="shared" si="0"/>
        <v>2.6548672566371723E-2</v>
      </c>
      <c r="F24" s="192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>
      <c r="C25" s="49">
        <v>40633</v>
      </c>
      <c r="D25" s="48">
        <v>176.7</v>
      </c>
      <c r="E25" s="72">
        <f t="shared" si="0"/>
        <v>3.3333333333333215E-2</v>
      </c>
      <c r="F25" s="192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>
      <c r="C26" s="49">
        <v>40724</v>
      </c>
      <c r="D26" s="48">
        <v>178.3</v>
      </c>
      <c r="E26" s="72">
        <f t="shared" si="0"/>
        <v>3.6025566531086683E-2</v>
      </c>
      <c r="F26" s="192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>
      <c r="C27" s="49">
        <v>40816</v>
      </c>
      <c r="D27" s="48">
        <v>179.4</v>
      </c>
      <c r="E27" s="72">
        <f t="shared" si="0"/>
        <v>3.5199076745527913E-2</v>
      </c>
      <c r="F27" s="192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>
      <c r="C28" s="49">
        <v>40908</v>
      </c>
      <c r="D28" s="48">
        <v>179.4</v>
      </c>
      <c r="E28" s="72">
        <f t="shared" si="0"/>
        <v>3.1034482758620641E-2</v>
      </c>
      <c r="F28" s="192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>
      <c r="C29" s="49">
        <v>40999</v>
      </c>
      <c r="D29" s="48">
        <v>179.5</v>
      </c>
      <c r="E29" s="72">
        <f t="shared" si="0"/>
        <v>1.5846066779853007E-2</v>
      </c>
      <c r="F29" s="192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>
      <c r="C30" s="49">
        <v>41090</v>
      </c>
      <c r="D30" s="8"/>
      <c r="E30" s="8"/>
      <c r="F30" s="192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>
      <c r="C31" s="49">
        <v>41182</v>
      </c>
      <c r="D31" s="8"/>
      <c r="E31" s="8"/>
      <c r="F31" s="192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>
      <c r="C32" s="49">
        <v>41274</v>
      </c>
      <c r="D32" s="8"/>
      <c r="E32" s="8"/>
      <c r="F32" s="192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>
      <c r="C33" s="49">
        <v>41364</v>
      </c>
      <c r="D33" s="8"/>
      <c r="E33" s="8"/>
      <c r="F33" s="192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>
      <c r="C34" s="49">
        <v>41455</v>
      </c>
      <c r="D34" s="8"/>
      <c r="E34" s="8"/>
      <c r="F34" s="192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>
      <c r="C35" s="49">
        <v>41547</v>
      </c>
      <c r="D35" s="8"/>
      <c r="E35" s="8"/>
      <c r="F35" s="192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>
      <c r="C36" s="49">
        <v>41639</v>
      </c>
      <c r="D36" s="8"/>
      <c r="E36" s="8"/>
      <c r="F36" s="192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>
      <c r="C37" s="49">
        <v>41729</v>
      </c>
      <c r="D37" s="8"/>
      <c r="E37" s="8"/>
      <c r="F37" s="192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>
      <c r="C38" s="49">
        <v>41820</v>
      </c>
      <c r="D38" s="8"/>
      <c r="E38" s="8"/>
      <c r="F38" s="192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>
      <c r="C39" s="49">
        <v>41912</v>
      </c>
      <c r="D39" s="8"/>
      <c r="E39" s="8"/>
      <c r="F39" s="192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>
      <c r="C40" s="49">
        <v>42004</v>
      </c>
      <c r="D40" s="8"/>
      <c r="E40" s="8"/>
      <c r="F40" s="192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>
      <c r="C41" s="49">
        <v>42094</v>
      </c>
      <c r="D41" s="8"/>
      <c r="E41" s="8"/>
      <c r="F41" s="192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>
      <c r="C42" s="49">
        <v>42185</v>
      </c>
      <c r="D42" s="8"/>
      <c r="E42" s="8"/>
      <c r="F42" s="192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>
      <c r="C43" s="49">
        <v>42277</v>
      </c>
      <c r="D43" s="8"/>
      <c r="E43" s="8"/>
      <c r="F43" s="192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>
      <c r="C44" s="49">
        <v>42369</v>
      </c>
      <c r="D44" s="8"/>
      <c r="E44" s="8"/>
      <c r="F44" s="192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>
      <c r="C45" s="49">
        <v>42460</v>
      </c>
      <c r="D45" s="8"/>
      <c r="E45" s="8"/>
      <c r="F45" s="192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>
      <c r="C46" s="49">
        <v>42551</v>
      </c>
      <c r="D46" s="8"/>
      <c r="E46" s="8"/>
      <c r="F46" s="192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>
      <c r="C47" s="49">
        <v>42643</v>
      </c>
      <c r="D47" s="8"/>
      <c r="E47" s="8"/>
      <c r="F47" s="192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>
      <c r="C48" s="49">
        <v>42735</v>
      </c>
      <c r="D48" s="8"/>
      <c r="E48" s="8"/>
      <c r="F48" s="192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>
      <c r="C49" s="49">
        <v>42825</v>
      </c>
      <c r="D49" s="8"/>
      <c r="E49" s="8"/>
      <c r="F49" s="192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>
      <c r="C50" s="49">
        <v>42916</v>
      </c>
      <c r="D50" s="8"/>
      <c r="E50" s="8"/>
      <c r="F50" s="192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>
      <c r="C51" s="49">
        <v>43008</v>
      </c>
      <c r="D51" s="8"/>
      <c r="E51" s="8"/>
      <c r="F51" s="192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>
      <c r="C52" s="49">
        <v>43100</v>
      </c>
      <c r="D52" s="8"/>
      <c r="E52" s="8"/>
      <c r="F52" s="192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>
      <c r="C53" s="49">
        <v>43190</v>
      </c>
      <c r="D53" s="8"/>
      <c r="E53" s="8"/>
      <c r="F53" s="192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>
      <c r="C54" s="49">
        <v>43281</v>
      </c>
      <c r="D54" s="8"/>
      <c r="E54" s="8"/>
      <c r="F54" s="192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>
      <c r="C55" s="49">
        <v>43373</v>
      </c>
      <c r="D55" s="8"/>
      <c r="E55" s="8"/>
      <c r="F55" s="192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>
      <c r="C56" s="49">
        <v>43465</v>
      </c>
      <c r="D56" s="8"/>
      <c r="E56" s="8"/>
      <c r="F56" s="192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>
      <c r="C57" s="49">
        <v>43555</v>
      </c>
      <c r="D57" s="8"/>
      <c r="E57" s="8"/>
      <c r="F57" s="192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>
      <c r="C58" s="49">
        <v>43646</v>
      </c>
      <c r="D58" s="8"/>
      <c r="E58" s="8"/>
      <c r="F58" s="192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>
      <c r="C59" s="49">
        <v>43738</v>
      </c>
      <c r="D59" s="8"/>
      <c r="E59" s="8"/>
      <c r="F59" s="192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>
      <c r="C60" s="49">
        <v>43830</v>
      </c>
      <c r="D60" s="8"/>
      <c r="E60" s="8"/>
      <c r="F60" s="192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>
      <c r="C61" s="49">
        <v>43921</v>
      </c>
      <c r="D61" s="8"/>
      <c r="E61" s="8"/>
      <c r="F61" s="192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>
      <c r="C62" s="49">
        <v>44012</v>
      </c>
      <c r="D62" s="8"/>
      <c r="E62" s="8"/>
      <c r="F62" s="192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>
      <c r="C63" s="49">
        <v>44104</v>
      </c>
      <c r="D63" s="8"/>
      <c r="E63" s="8"/>
      <c r="F63" s="192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>
      <c r="C64" s="49">
        <v>44196</v>
      </c>
      <c r="D64" s="8"/>
      <c r="E64" s="8"/>
      <c r="F64" s="192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>
      <c r="C65" s="49">
        <v>44286</v>
      </c>
      <c r="D65" s="8"/>
      <c r="E65" s="8"/>
      <c r="F65" s="192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>
      <c r="C66" s="49">
        <v>44377</v>
      </c>
      <c r="D66" s="8"/>
      <c r="E66" s="8"/>
      <c r="F66" s="192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>
      <c r="C67" s="49">
        <v>44469</v>
      </c>
      <c r="D67" s="8"/>
      <c r="E67" s="8"/>
      <c r="F67" s="192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>
      <c r="C68" s="49">
        <v>44561</v>
      </c>
      <c r="D68" s="8"/>
      <c r="E68" s="8"/>
      <c r="F68" s="192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>
      <c r="C69" s="49">
        <v>44651</v>
      </c>
      <c r="D69" s="8"/>
      <c r="E69" s="8"/>
      <c r="F69" s="192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>
      <c r="C70" s="49">
        <v>44742</v>
      </c>
      <c r="D70" s="8"/>
      <c r="E70" s="8"/>
      <c r="F70" s="192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>
      <c r="C71" s="49">
        <v>44834</v>
      </c>
      <c r="D71" s="8"/>
      <c r="E71" s="8"/>
      <c r="F71" s="192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>
      <c r="C72" s="49">
        <v>44926</v>
      </c>
      <c r="D72" s="8"/>
      <c r="E72" s="8"/>
      <c r="F72" s="192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>
      <c r="C73" s="49">
        <v>45016</v>
      </c>
      <c r="D73" s="8"/>
      <c r="E73" s="8"/>
      <c r="F73" s="192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>
      <c r="C74" s="49">
        <v>45107</v>
      </c>
      <c r="D74" s="8"/>
      <c r="E74" s="8"/>
      <c r="F74" s="192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5"/>
      <c r="K74" s="8"/>
      <c r="L74" s="8"/>
      <c r="V74" s="81" t="str">
        <f>IF(C74&gt;EOMONTH(DATE('Input|General'!$G$12,MONTH('Input|General'!$G$9),1),0),"Ok",IF(I74="","Check","Ok"))</f>
        <v>Ok</v>
      </c>
    </row>
    <row r="75" spans="3:22">
      <c r="C75" s="49">
        <v>45199</v>
      </c>
      <c r="D75" s="8"/>
      <c r="E75" s="8"/>
      <c r="F75" s="192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>
      <c r="C76" s="49">
        <v>45291</v>
      </c>
      <c r="D76" s="8"/>
      <c r="E76" s="8"/>
      <c r="F76" s="192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90"/>
      <c r="K76" s="8"/>
      <c r="L76" s="8"/>
      <c r="V76" s="81" t="str">
        <f>IF(C76&gt;EOMONTH(DATE('Input|General'!$G$12,MONTH('Input|General'!$G$9),1),0),"Ok",IF(I76="","Check","Ok"))</f>
        <v>Ok</v>
      </c>
    </row>
    <row r="77" spans="3:22">
      <c r="C77" s="49">
        <v>45382</v>
      </c>
      <c r="D77" s="8"/>
      <c r="E77" s="8"/>
      <c r="F77" s="192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>
      <c r="C78" s="49">
        <v>45473</v>
      </c>
      <c r="D78" s="8"/>
      <c r="E78" s="8"/>
      <c r="F78" s="192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90"/>
      <c r="K78" s="8"/>
      <c r="L78" s="8"/>
      <c r="V78" s="81" t="str">
        <f>IF(C78&gt;EOMONTH(DATE('Input|General'!$G$12,MONTH('Input|General'!$G$9),1),0),"Ok",IF(I78="","Check","Ok"))</f>
        <v>Ok</v>
      </c>
    </row>
    <row r="79" spans="3:22">
      <c r="C79" s="49">
        <v>45565</v>
      </c>
      <c r="D79" s="8"/>
      <c r="E79" s="8"/>
      <c r="F79" s="192">
        <v>139.1</v>
      </c>
      <c r="G79" s="110"/>
      <c r="H79" s="117">
        <f>IF(F79="",IF(COUNT(G79:G$88)=0,"",IF(ISBLANK(G79),AVERAGE(H78,H80),(1+G79)*H75)),F79)</f>
        <v>139.1</v>
      </c>
      <c r="I79" s="72">
        <f>IF(H79="","",H79/H75-1)</f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>
      <c r="C80" s="49">
        <v>45657</v>
      </c>
      <c r="D80" s="8"/>
      <c r="E80" s="8"/>
      <c r="F80" s="192">
        <v>139.4</v>
      </c>
      <c r="G80" s="110"/>
      <c r="H80" s="117">
        <f>IF(F80="",IF(COUNT(G80:G$88)=0,"",IF(ISBLANK(G80),AVERAGE(H79,H81),(1+G80)*H76)),F80)</f>
        <v>139.4</v>
      </c>
      <c r="I80" s="72">
        <f t="shared" ref="I80:I84" si="3">IF(H80="","",H80/H76-1)</f>
        <v>2.4246877296105973E-2</v>
      </c>
      <c r="J80" s="190"/>
      <c r="K80" s="8"/>
      <c r="L80" s="8"/>
      <c r="V80" s="81" t="str">
        <f>IF(C80&gt;EOMONTH(DATE('Input|General'!$G$12,MONTH('Input|General'!$G$9),1),0),"Ok",IF(I80="","Check","Ok"))</f>
        <v>Ok</v>
      </c>
    </row>
    <row r="81" spans="1:50">
      <c r="C81" s="49">
        <v>45747</v>
      </c>
      <c r="D81" s="8"/>
      <c r="E81" s="8"/>
      <c r="F81" s="192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>
      <c r="C82" s="49">
        <v>45838</v>
      </c>
      <c r="D82" s="8"/>
      <c r="E82" s="8"/>
      <c r="F82" s="192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3"/>
        <v>2.0893371757924939E-2</v>
      </c>
      <c r="J82" s="190"/>
      <c r="K82" s="8"/>
      <c r="L82" s="8"/>
      <c r="M82" s="196"/>
      <c r="V82" s="81" t="str">
        <f>IF(C82&gt;EOMONTH(DATE('Input|General'!$G$12,MONTH('Input|General'!$G$9),1),0),"Ok",IF(I82="","Check","Ok"))</f>
        <v>Ok</v>
      </c>
    </row>
    <row r="83" spans="1:50">
      <c r="C83" s="49">
        <v>45930</v>
      </c>
      <c r="D83" s="8"/>
      <c r="E83" s="8"/>
      <c r="F83" s="192" t="s">
        <v>61</v>
      </c>
      <c r="G83" s="110"/>
      <c r="H83" s="117">
        <f>IF(F83="",IF(COUNT(G83:G$88)=0,"",IF(ISBLANK(G83),AVERAGE(H82,H84),(1+G83)*H79)),F83)</f>
        <v>142.8501</v>
      </c>
      <c r="I83" s="72">
        <f t="shared" si="3"/>
        <v>2.6959741193386177E-2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>
      <c r="C84" s="49">
        <v>46022</v>
      </c>
      <c r="D84" s="8"/>
      <c r="E84" s="8"/>
      <c r="F84" s="192" t="s">
        <v>61</v>
      </c>
      <c r="G84" s="209">
        <v>3.3000000000000002E-2</v>
      </c>
      <c r="H84" s="117">
        <f>IF(F84="",IF(COUNT(G84:G$88)=0,"",IF(ISBLANK(G84),AVERAGE(H83,H85),(1+G84)*H80)),F84)</f>
        <v>144.00020000000001</v>
      </c>
      <c r="I84" s="72">
        <f t="shared" si="3"/>
        <v>3.2999999999999918E-2</v>
      </c>
      <c r="J84" s="190"/>
      <c r="K84" s="8"/>
      <c r="L84" s="8"/>
      <c r="V84" s="81" t="str">
        <f>IF(C84&gt;EOMONTH(DATE('Input|General'!$G$12,MONTH('Input|General'!$G$9),1),0),"Ok",IF(I84="","Check","Ok"))</f>
        <v>Ok</v>
      </c>
    </row>
    <row r="85" spans="1:50">
      <c r="C85" s="49">
        <v>46112</v>
      </c>
      <c r="D85" s="8"/>
      <c r="E85" s="8"/>
      <c r="F85" s="192" t="s">
        <v>61</v>
      </c>
      <c r="G85" s="210"/>
      <c r="H85" s="117">
        <f>IF(F85="",IF(COUNT(G85:G$88)=0,"",IF(ISBLANK(G85),AVERAGE(H84,H86),(1+G85)*H81)),F85)</f>
        <v>145.47154999999998</v>
      </c>
      <c r="I85" s="72">
        <f t="shared" ref="I85:I88" si="4">IF(H85="","",H85/H81-1)</f>
        <v>3.3912935323383131E-2</v>
      </c>
      <c r="J85" s="190"/>
      <c r="K85" s="8"/>
      <c r="L85" s="8"/>
      <c r="V85" s="81" t="str">
        <f>IF(C85&gt;EOMONTH(DATE('Input|General'!$G$12,MONTH('Input|General'!$G$9),1),0),"Ok",IF(I85="","Check","Ok"))</f>
        <v>Ok</v>
      </c>
    </row>
    <row r="86" spans="1:50">
      <c r="C86" s="49">
        <v>46203</v>
      </c>
      <c r="D86" s="8"/>
      <c r="E86" s="8"/>
      <c r="F86" s="192" t="s">
        <v>61</v>
      </c>
      <c r="G86" s="210">
        <v>3.6999999999999998E-2</v>
      </c>
      <c r="H86" s="117">
        <f>IF(F86="",IF(COUNT(G86:G$88)=0,"",IF(ISBLANK(G86),AVERAGE(H85,H87),(1+G86)*H82)),F86)</f>
        <v>146.94289999999998</v>
      </c>
      <c r="I86" s="72">
        <f t="shared" si="4"/>
        <v>3.6999999999999922E-2</v>
      </c>
      <c r="J86" s="197"/>
      <c r="K86" s="8"/>
      <c r="L86" s="8"/>
      <c r="V86" s="81" t="str">
        <f>IF(C86&gt;EOMONTH(DATE('Input|General'!$G$12,MONTH('Input|General'!$G$9),1),0),"Ok",IF(I86="","Check","Ok"))</f>
        <v>Ok</v>
      </c>
    </row>
    <row r="87" spans="1:50">
      <c r="C87" s="49">
        <v>46295</v>
      </c>
      <c r="D87" s="8"/>
      <c r="E87" s="8"/>
      <c r="F87" s="192" t="s">
        <v>61</v>
      </c>
      <c r="G87" s="210"/>
      <c r="H87" s="117">
        <f>IF(F87="",IF(COUNT(G87:G$88)=0,"",IF(ISBLANK(G87),AVERAGE(H86,H88),(1+G87)*H83)),F87)</f>
        <v>147.41555269999998</v>
      </c>
      <c r="I87" s="72">
        <f t="shared" si="4"/>
        <v>3.1959744515404509E-2</v>
      </c>
      <c r="J87" s="190"/>
      <c r="K87" s="8"/>
      <c r="L87" s="8"/>
      <c r="V87" s="81" t="str">
        <f>IF(C87&gt;EOMONTH(DATE('Input|General'!$G$12,MONTH('Input|General'!$G$9),1),0),"Ok",IF(I87="","Check","Ok"))</f>
        <v>Ok</v>
      </c>
    </row>
    <row r="88" spans="1:50">
      <c r="C88" s="49">
        <v>46387</v>
      </c>
      <c r="D88" s="8"/>
      <c r="E88" s="8"/>
      <c r="F88" s="192" t="s">
        <v>61</v>
      </c>
      <c r="G88" s="210">
        <v>2.7E-2</v>
      </c>
      <c r="H88" s="117">
        <f>IF(F88="",IF(COUNT(G88:G$88)=0,"",IF(ISBLANK(G88),AVERAGE(H87,H89),(1+G88)*H84)),F88)</f>
        <v>147.8882054</v>
      </c>
      <c r="I88" s="72">
        <f t="shared" si="4"/>
        <v>2.6999999999999913E-2</v>
      </c>
      <c r="J88" s="202"/>
      <c r="K88" s="8"/>
      <c r="L88" s="8"/>
      <c r="V88" s="81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25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idden="1">
      <c r="J91" s="20"/>
      <c r="K91" s="20"/>
    </row>
    <row r="92" spans="1:50" hidden="1">
      <c r="J92" s="20"/>
      <c r="K92" s="20"/>
    </row>
    <row r="93" spans="1:50" s="16" customFormat="1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93" priority="1">
      <formula>F21=""</formula>
    </cfRule>
  </conditionalFormatting>
  <conditionalFormatting sqref="V1">
    <cfRule type="cellIs" dxfId="192" priority="6" operator="equal">
      <formula>"Check"</formula>
    </cfRule>
    <cfRule type="cellIs" dxfId="191" priority="7" operator="equal">
      <formula>"Ok"</formula>
    </cfRule>
  </conditionalFormatting>
  <conditionalFormatting sqref="V9:V88">
    <cfRule type="cellIs" dxfId="190" priority="12" operator="equal">
      <formula>"Check"</formula>
    </cfRule>
    <cfRule type="cellIs" dxfId="189" priority="13" operator="equal">
      <formula>"Ok"</formula>
    </cfRule>
  </conditionalFormatting>
  <conditionalFormatting sqref="Y1">
    <cfRule type="cellIs" dxfId="188" priority="8" operator="equal">
      <formula>"Check"</formula>
    </cfRule>
    <cfRule type="cellIs" dxfId="187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topLeftCell="A24" zoomScaleNormal="100" workbookViewId="0">
      <selection activeCell="U25" sqref="U25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7" t="s">
        <v>26</v>
      </c>
      <c r="K1" s="27"/>
      <c r="L1" s="28" t="s">
        <v>27</v>
      </c>
      <c r="M1" s="46" t="s">
        <v>28</v>
      </c>
      <c r="N1" s="11" t="s">
        <v>29</v>
      </c>
      <c r="O1" s="12" t="s">
        <v>30</v>
      </c>
      <c r="P1" s="27"/>
      <c r="Q1" s="27"/>
      <c r="R1" s="28" t="s">
        <v>31</v>
      </c>
      <c r="S1" s="29" t="str">
        <f>IF(COUNTA($V$8:$V$73)=COUNTIF($V$8:$V$73,"OK"),"OK","Check")</f>
        <v>OK</v>
      </c>
      <c r="T1" s="29"/>
      <c r="U1" s="188" t="s">
        <v>32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43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35</v>
      </c>
      <c r="E4" s="56" t="s">
        <v>58</v>
      </c>
      <c r="F4" s="57" t="s">
        <v>62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63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64</v>
      </c>
      <c r="D10" s="121" t="s">
        <v>35</v>
      </c>
      <c r="E10" s="121" t="s">
        <v>58</v>
      </c>
      <c r="F10" s="121" t="s">
        <v>62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65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66</v>
      </c>
      <c r="D13" s="120" t="s">
        <v>41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72.457727338638861</v>
      </c>
      <c r="K13" s="129">
        <v>73.027142496677541</v>
      </c>
      <c r="L13" s="129">
        <v>73.529640386550341</v>
      </c>
      <c r="M13" s="129">
        <v>74.125052159160077</v>
      </c>
      <c r="N13" s="129">
        <v>74.835674838838244</v>
      </c>
      <c r="O13" s="129"/>
      <c r="P13" s="129"/>
      <c r="Q13" s="129"/>
      <c r="R13" s="129"/>
      <c r="S13" s="129"/>
      <c r="T13" s="129"/>
      <c r="U13" s="17" t="s">
        <v>67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72.457727338638861</v>
      </c>
      <c r="K15" s="133">
        <f t="shared" ref="K15:S15" si="1">K13</f>
        <v>73.027142496677541</v>
      </c>
      <c r="L15" s="133">
        <f t="shared" si="1"/>
        <v>73.529640386550341</v>
      </c>
      <c r="M15" s="133">
        <f t="shared" si="1"/>
        <v>74.125052159160077</v>
      </c>
      <c r="N15" s="133">
        <f t="shared" si="1"/>
        <v>74.835674838838244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69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/>
      <c r="D19" s="120" t="s">
        <v>41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7" t="s">
        <v>70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71</v>
      </c>
      <c r="D20" s="120" t="s">
        <v>41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8.0845199999999995</v>
      </c>
      <c r="K20" s="129">
        <v>8.0845199999999995</v>
      </c>
      <c r="L20" s="129">
        <v>8.0845199999999995</v>
      </c>
      <c r="M20" s="129">
        <v>8.0845199999999995</v>
      </c>
      <c r="N20" s="129">
        <v>8.0845199999999995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72</v>
      </c>
      <c r="D21" s="120" t="s">
        <v>41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>
        <v>2.4178770339636597</v>
      </c>
      <c r="K21" s="129">
        <v>2.4427069340348702</v>
      </c>
      <c r="L21" s="129">
        <v>2.4704071107983498</v>
      </c>
      <c r="M21" s="129">
        <v>2.5009726664399499</v>
      </c>
      <c r="N21" s="129">
        <v>2.5308427142726901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 t="s">
        <v>73</v>
      </c>
      <c r="D22" s="120" t="s">
        <v>41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>
        <v>0.848657175796944</v>
      </c>
      <c r="K22" s="129">
        <v>0.85787568707611506</v>
      </c>
      <c r="L22" s="129">
        <v>0.86246460827563598</v>
      </c>
      <c r="M22" s="129">
        <v>0.86405396696106407</v>
      </c>
      <c r="N22" s="129">
        <v>0.86881746281799599</v>
      </c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41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41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41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41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41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74</v>
      </c>
      <c r="D29" s="131" t="s">
        <v>56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11.351054209760603</v>
      </c>
      <c r="K29" s="133">
        <f t="shared" ref="K29:S29" si="5">SUM(K19:K27)</f>
        <v>11.385102621110985</v>
      </c>
      <c r="L29" s="133">
        <f t="shared" si="5"/>
        <v>11.417391719073985</v>
      </c>
      <c r="M29" s="133">
        <f t="shared" si="5"/>
        <v>11.449546633401013</v>
      </c>
      <c r="N29" s="133">
        <f t="shared" si="5"/>
        <v>11.484180177090686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9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75</v>
      </c>
      <c r="K33" s="129" t="s">
        <v>75</v>
      </c>
      <c r="L33" s="129" t="s">
        <v>75</v>
      </c>
      <c r="M33" s="129" t="s">
        <v>76</v>
      </c>
      <c r="N33" s="129" t="s">
        <v>76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64</v>
      </c>
      <c r="D34" s="121" t="s">
        <v>35</v>
      </c>
      <c r="E34" s="121" t="s">
        <v>58</v>
      </c>
      <c r="F34" s="121" t="s">
        <v>62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65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77</v>
      </c>
      <c r="E37" s="120" t="str">
        <f>units</f>
        <v>$millions</v>
      </c>
      <c r="F37" s="134" t="s">
        <v>78</v>
      </c>
      <c r="G37" s="121"/>
      <c r="H37" s="121"/>
      <c r="I37" s="120"/>
      <c r="J37" s="129">
        <v>57.746838591205893</v>
      </c>
      <c r="K37" s="129">
        <v>60.608130694982243</v>
      </c>
      <c r="L37" s="129">
        <v>61.399287859949723</v>
      </c>
      <c r="M37" s="129">
        <v>68.671002999999999</v>
      </c>
      <c r="N37" s="129"/>
      <c r="O37" s="129"/>
      <c r="P37" s="129"/>
      <c r="Q37" s="129"/>
      <c r="R37" s="129"/>
      <c r="S37" s="129"/>
      <c r="T37" s="129"/>
      <c r="U37" s="17" t="s">
        <v>79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80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81</v>
      </c>
      <c r="D41" s="120" t="s">
        <v>77</v>
      </c>
      <c r="E41" s="120" t="str">
        <f>units</f>
        <v>$millions</v>
      </c>
      <c r="F41" s="134" t="s">
        <v>78</v>
      </c>
      <c r="G41" s="121"/>
      <c r="H41" s="121"/>
      <c r="I41" s="120"/>
      <c r="J41" s="129">
        <v>0.3104579946991079</v>
      </c>
      <c r="K41" s="129">
        <v>0.15749160924950831</v>
      </c>
      <c r="L41" s="129">
        <v>0.35127704546760002</v>
      </c>
      <c r="M41" s="129">
        <v>-0.64</v>
      </c>
      <c r="N41" s="129"/>
      <c r="O41" s="129"/>
      <c r="P41" s="129"/>
      <c r="Q41" s="129"/>
      <c r="R41" s="129"/>
      <c r="S41" s="129"/>
      <c r="T41" s="129"/>
      <c r="U41" s="17" t="s">
        <v>82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/>
      <c r="D42" s="120" t="s">
        <v>77</v>
      </c>
      <c r="E42" s="120" t="str">
        <f>units</f>
        <v>$millions</v>
      </c>
      <c r="F42" s="134" t="s">
        <v>78</v>
      </c>
      <c r="G42" s="121"/>
      <c r="H42" s="121"/>
      <c r="I42" s="120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7"/>
      <c r="V42" s="64" t="str">
        <f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 t="s">
        <v>83</v>
      </c>
      <c r="D43" s="120" t="s">
        <v>77</v>
      </c>
      <c r="E43" s="120" t="str">
        <f>units</f>
        <v>$millions</v>
      </c>
      <c r="F43" s="134" t="s">
        <v>78</v>
      </c>
      <c r="G43" s="121"/>
      <c r="H43" s="121"/>
      <c r="I43" s="120"/>
      <c r="J43" s="129">
        <v>2.0073176999999998</v>
      </c>
      <c r="K43" s="129">
        <v>1.8515069</v>
      </c>
      <c r="L43" s="129">
        <v>2.0873046</v>
      </c>
      <c r="M43" s="129">
        <v>2.435486</v>
      </c>
      <c r="N43" s="129"/>
      <c r="O43" s="129"/>
      <c r="P43" s="129"/>
      <c r="Q43" s="129"/>
      <c r="R43" s="129"/>
      <c r="S43" s="129"/>
      <c r="T43" s="129"/>
      <c r="U43" s="17"/>
      <c r="V43" s="64" t="str">
        <f>IF(ISBLANK(C43),IF(COUNT(J43:T43)=0,"Ok","Check"),IF(AND(COUNT(J43:T43)&gt;=COUNTIF($J$33:$T$33,"Actual"),COUNT(J43:T43)&lt;=COUNT($J$34:$T$34)),"Ok","Check"))</f>
        <v>Ok</v>
      </c>
    </row>
    <row r="44" spans="1:22">
      <c r="A44" s="17"/>
      <c r="B44" s="17"/>
      <c r="C44" s="127"/>
      <c r="D44" s="120" t="s">
        <v>77</v>
      </c>
      <c r="E44" s="120" t="str">
        <f>units</f>
        <v>$millions</v>
      </c>
      <c r="F44" s="134" t="s">
        <v>78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>IF(ISBLANK(C44),IF(COUNT(J44:T44)=0,"Ok","Check"),IF(AND(COUNT(J44:T44)&gt;=COUNTIF($J$33:$T$33,"Actual"),COUNT(J44:T44)&lt;=COUNT($J$34:$T$34)),"Ok","Check"))</f>
        <v>Ok</v>
      </c>
    </row>
    <row r="45" spans="1:22">
      <c r="A45" s="17"/>
      <c r="B45" s="17"/>
      <c r="C45" s="127"/>
      <c r="D45" s="120" t="s">
        <v>77</v>
      </c>
      <c r="E45" s="120" t="str">
        <f>units</f>
        <v>$millions</v>
      </c>
      <c r="F45" s="134" t="s">
        <v>78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>IF(ISBLANK(C45),IF(COUNT(J45:T45)=0,"Ok","Check"),IF(AND(COUNT(J45:T45)&gt;=COUNTIF($J$33:$T$33,"Actual"),COUNT(J45:T45)&lt;=COUNT($J$34:$T$34)),"Ok","Check"))</f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84</v>
      </c>
      <c r="D47" s="131" t="s">
        <v>56</v>
      </c>
      <c r="E47" s="135" t="str">
        <f>units</f>
        <v>$millions</v>
      </c>
      <c r="F47" s="132" t="s">
        <v>78</v>
      </c>
      <c r="G47" s="121"/>
      <c r="H47" s="121"/>
      <c r="I47" s="120"/>
      <c r="J47" s="133">
        <f>J37-SUM(J41:J45)</f>
        <v>55.429062896506785</v>
      </c>
      <c r="K47" s="133">
        <f t="shared" ref="K47:S47" si="7">K37-SUM(K41:K45)</f>
        <v>58.599132185732735</v>
      </c>
      <c r="L47" s="133">
        <f t="shared" si="7"/>
        <v>58.960706214482123</v>
      </c>
      <c r="M47" s="133">
        <f t="shared" si="7"/>
        <v>66.875517000000002</v>
      </c>
      <c r="N47" s="133">
        <f t="shared" si="7"/>
        <v>0</v>
      </c>
      <c r="O47" s="133">
        <f t="shared" si="7"/>
        <v>0</v>
      </c>
      <c r="P47" s="133">
        <f t="shared" si="7"/>
        <v>0</v>
      </c>
      <c r="Q47" s="133">
        <f t="shared" si="7"/>
        <v>0</v>
      </c>
      <c r="R47" s="133">
        <f t="shared" si="7"/>
        <v>0</v>
      </c>
      <c r="S47" s="133">
        <f t="shared" si="7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85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86</v>
      </c>
      <c r="D51" s="120" t="s">
        <v>77</v>
      </c>
      <c r="E51" s="120" t="str">
        <f>units</f>
        <v>$millions</v>
      </c>
      <c r="F51" s="134" t="s">
        <v>78</v>
      </c>
      <c r="G51" s="121"/>
      <c r="H51" s="121"/>
      <c r="I51" s="120"/>
      <c r="J51" s="129">
        <v>1.31888168860796</v>
      </c>
      <c r="K51" s="129">
        <v>1.33754029437796</v>
      </c>
      <c r="L51" s="129">
        <v>1.7041610103700602</v>
      </c>
      <c r="M51" s="129">
        <v>2.0142669999999998</v>
      </c>
      <c r="N51" s="129"/>
      <c r="O51" s="129"/>
      <c r="P51" s="129"/>
      <c r="Q51" s="129"/>
      <c r="R51" s="129"/>
      <c r="S51" s="129"/>
      <c r="T51" s="129"/>
      <c r="U51" s="17" t="s">
        <v>87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88</v>
      </c>
      <c r="D52" s="120" t="s">
        <v>77</v>
      </c>
      <c r="E52" s="120" t="str">
        <f>units</f>
        <v>$millions</v>
      </c>
      <c r="F52" s="134" t="s">
        <v>78</v>
      </c>
      <c r="G52" s="121"/>
      <c r="H52" s="121"/>
      <c r="I52" s="120"/>
      <c r="J52" s="129">
        <v>5.2572470400000002</v>
      </c>
      <c r="K52" s="129">
        <v>3.49260115</v>
      </c>
      <c r="L52" s="129">
        <v>0.39416686000000001</v>
      </c>
      <c r="M52" s="129">
        <v>-0.115828</v>
      </c>
      <c r="N52" s="129"/>
      <c r="O52" s="129"/>
      <c r="P52" s="129"/>
      <c r="Q52" s="129"/>
      <c r="R52" s="129"/>
      <c r="S52" s="129"/>
      <c r="T52" s="129"/>
      <c r="U52" s="17"/>
      <c r="V52" s="64" t="str">
        <f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/>
      <c r="D53" s="120" t="s">
        <v>77</v>
      </c>
      <c r="E53" s="120" t="str">
        <f>units</f>
        <v>$millions</v>
      </c>
      <c r="F53" s="134" t="s">
        <v>78</v>
      </c>
      <c r="G53" s="121"/>
      <c r="H53" s="121"/>
      <c r="I53" s="120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7"/>
      <c r="V53" s="64" t="str">
        <f>IF(ISBLANK(C53),IF(COUNT(J53:T53)=0,"Ok","Check"),IF(AND(COUNT(J53:T53)&gt;=COUNTIF($J$33:$T$33,"Actual"),COUNT(J53:T53)&lt;=COUNT($J$34:$T$34)),"Ok","Check"))</f>
        <v>Ok</v>
      </c>
    </row>
    <row r="54" spans="1:22">
      <c r="A54" s="17"/>
      <c r="B54" s="17"/>
      <c r="C54" s="127"/>
      <c r="D54" s="120" t="s">
        <v>77</v>
      </c>
      <c r="E54" s="120" t="str">
        <f>units</f>
        <v>$millions</v>
      </c>
      <c r="F54" s="134" t="s">
        <v>78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>IF(ISBLANK(C54),IF(COUNT(J54:T54)=0,"Ok","Check"),IF(AND(COUNT(J54:T54)&gt;=COUNTIF($J$33:$T$33,"Actual"),COUNT(J54:T54)&lt;=COUNT($J$34:$T$34)),"Ok","Check"))</f>
        <v>Ok</v>
      </c>
    </row>
    <row r="55" spans="1:22">
      <c r="A55" s="17"/>
      <c r="B55" s="17"/>
      <c r="C55" s="127"/>
      <c r="D55" s="120" t="s">
        <v>77</v>
      </c>
      <c r="E55" s="120" t="str">
        <f>units</f>
        <v>$millions</v>
      </c>
      <c r="F55" s="134" t="s">
        <v>78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74</v>
      </c>
      <c r="D57" s="131" t="s">
        <v>56</v>
      </c>
      <c r="E57" s="135" t="str">
        <f>units</f>
        <v>$millions</v>
      </c>
      <c r="F57" s="132" t="s">
        <v>78</v>
      </c>
      <c r="G57" s="121"/>
      <c r="H57" s="121"/>
      <c r="I57" s="120"/>
      <c r="J57" s="137">
        <f>SUM(J51:J55)</f>
        <v>6.5761287286079604</v>
      </c>
      <c r="K57" s="137">
        <f t="shared" ref="K57:S57" si="8">SUM(K51:K55)</f>
        <v>4.8301414443779596</v>
      </c>
      <c r="L57" s="137">
        <f t="shared" si="8"/>
        <v>2.0983278703700603</v>
      </c>
      <c r="M57" s="137">
        <f t="shared" si="8"/>
        <v>1.8984389999999998</v>
      </c>
      <c r="N57" s="137">
        <f t="shared" si="8"/>
        <v>0</v>
      </c>
      <c r="O57" s="137">
        <f t="shared" si="8"/>
        <v>0</v>
      </c>
      <c r="P57" s="137">
        <f t="shared" si="8"/>
        <v>0</v>
      </c>
      <c r="Q57" s="137">
        <f t="shared" si="8"/>
        <v>0</v>
      </c>
      <c r="R57" s="137">
        <f t="shared" si="8"/>
        <v>0</v>
      </c>
      <c r="S57" s="137">
        <f t="shared" si="8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89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90</v>
      </c>
      <c r="D61" s="121" t="s">
        <v>35</v>
      </c>
      <c r="E61" s="121" t="s">
        <v>58</v>
      </c>
      <c r="F61" s="121" t="s">
        <v>62</v>
      </c>
      <c r="G61" s="121"/>
      <c r="H61" s="121"/>
      <c r="I61" s="121"/>
      <c r="J61" s="123" t="str">
        <f t="shared" ref="J61:S61" si="9">IF(YEAR(J$4)=PPLastYear,J$4,"")</f>
        <v/>
      </c>
      <c r="K61" s="123" t="str">
        <f t="shared" si="9"/>
        <v/>
      </c>
      <c r="L61" s="123" t="str">
        <f t="shared" si="9"/>
        <v/>
      </c>
      <c r="M61" s="123" t="str">
        <f t="shared" si="9"/>
        <v/>
      </c>
      <c r="N61" s="123">
        <f t="shared" si="9"/>
        <v>46174</v>
      </c>
      <c r="O61" s="123" t="str">
        <f t="shared" si="9"/>
        <v/>
      </c>
      <c r="P61" s="123" t="str">
        <f t="shared" si="9"/>
        <v/>
      </c>
      <c r="Q61" s="123" t="str">
        <f t="shared" si="9"/>
        <v/>
      </c>
      <c r="R61" s="123" t="str">
        <f t="shared" si="9"/>
        <v/>
      </c>
      <c r="S61" s="123" t="str">
        <f t="shared" si="9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/>
      <c r="D63" s="120" t="s">
        <v>91</v>
      </c>
      <c r="E63" s="120" t="str">
        <f>units</f>
        <v>$millions</v>
      </c>
      <c r="F63" s="139">
        <v>45809</v>
      </c>
      <c r="G63" s="121"/>
      <c r="H63" s="121"/>
      <c r="I63" s="121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7" t="s">
        <v>92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91</v>
      </c>
      <c r="E64" s="120" t="str">
        <f>units</f>
        <v>$millions</v>
      </c>
      <c r="F64" s="139">
        <v>45809</v>
      </c>
      <c r="G64" s="121"/>
      <c r="H64" s="121"/>
      <c r="I64" s="121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2"/>
      <c r="V64" s="64" t="str">
        <f t="shared" ref="V64:V67" si="10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91</v>
      </c>
      <c r="E65" s="120" t="str">
        <f>units</f>
        <v>$millions</v>
      </c>
      <c r="F65" s="139">
        <v>45809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 t="shared" si="10"/>
        <v>Ok</v>
      </c>
    </row>
    <row r="66" spans="1:22">
      <c r="A66" s="17"/>
      <c r="B66" s="17"/>
      <c r="C66" s="127"/>
      <c r="D66" s="120" t="s">
        <v>91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0"/>
        <v>Ok</v>
      </c>
    </row>
    <row r="67" spans="1:22">
      <c r="A67" s="17"/>
      <c r="B67" s="17"/>
      <c r="C67" s="127"/>
      <c r="D67" s="120" t="s">
        <v>91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0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93</v>
      </c>
      <c r="D69" s="120" t="s">
        <v>91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94</v>
      </c>
      <c r="V69" s="64" t="str">
        <f t="shared" ref="V69:V71" si="11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95</v>
      </c>
      <c r="D71" s="120" t="s">
        <v>91</v>
      </c>
      <c r="E71" s="120" t="s">
        <v>96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97</v>
      </c>
      <c r="V71" s="64" t="str">
        <f t="shared" si="11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25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41:L44 N41:T44 J45:T45">
    <cfRule type="expression" dxfId="186" priority="3">
      <formula>J$34=J$4</formula>
    </cfRule>
  </conditionalFormatting>
  <conditionalFormatting sqref="J51:L52 N51:T52 J53:T55">
    <cfRule type="expression" dxfId="185" priority="24">
      <formula>J$34=J$4</formula>
    </cfRule>
  </conditionalFormatting>
  <conditionalFormatting sqref="J13:T13">
    <cfRule type="expression" dxfId="184" priority="34">
      <formula>J$10=J$4</formula>
    </cfRule>
  </conditionalFormatting>
  <conditionalFormatting sqref="J15:T15">
    <cfRule type="cellIs" dxfId="183" priority="37" operator="equal">
      <formula>0</formula>
    </cfRule>
  </conditionalFormatting>
  <conditionalFormatting sqref="J19:T27">
    <cfRule type="expression" dxfId="182" priority="29">
      <formula>J$10=J$4</formula>
    </cfRule>
  </conditionalFormatting>
  <conditionalFormatting sqref="J29:T29">
    <cfRule type="cellIs" dxfId="181" priority="30" operator="equal">
      <formula>0</formula>
    </cfRule>
  </conditionalFormatting>
  <conditionalFormatting sqref="J33:T33 N37:T37">
    <cfRule type="expression" dxfId="180" priority="35">
      <formula>J$34=J$4</formula>
    </cfRule>
  </conditionalFormatting>
  <conditionalFormatting sqref="J37:T37">
    <cfRule type="expression" dxfId="179" priority="33">
      <formula>J$10=J$4</formula>
    </cfRule>
  </conditionalFormatting>
  <conditionalFormatting sqref="J47:T47">
    <cfRule type="cellIs" dxfId="178" priority="32" operator="equal">
      <formula>0</formula>
    </cfRule>
  </conditionalFormatting>
  <conditionalFormatting sqref="J57:T57">
    <cfRule type="cellIs" dxfId="177" priority="36" operator="equal">
      <formula>0</formula>
    </cfRule>
  </conditionalFormatting>
  <conditionalFormatting sqref="J63:T67">
    <cfRule type="expression" dxfId="176" priority="31">
      <formula>J$61=J$4</formula>
    </cfRule>
  </conditionalFormatting>
  <conditionalFormatting sqref="J69:T69 J71:T71">
    <cfRule type="expression" dxfId="175" priority="66">
      <formula>J$61=J$4</formula>
    </cfRule>
  </conditionalFormatting>
  <conditionalFormatting sqref="M41:M44">
    <cfRule type="expression" dxfId="174" priority="2">
      <formula>M$10=M$4</formula>
    </cfRule>
  </conditionalFormatting>
  <conditionalFormatting sqref="M51:M52">
    <cfRule type="expression" dxfId="173" priority="1">
      <formula>M$10=M$4</formula>
    </cfRule>
  </conditionalFormatting>
  <conditionalFormatting sqref="S1:T1">
    <cfRule type="cellIs" dxfId="172" priority="55" operator="equal">
      <formula>"Ok"</formula>
    </cfRule>
    <cfRule type="cellIs" dxfId="171" priority="54" operator="equal">
      <formula>"Check"</formula>
    </cfRule>
  </conditionalFormatting>
  <conditionalFormatting sqref="V1">
    <cfRule type="cellIs" dxfId="170" priority="83" operator="equal">
      <formula>"Check"</formula>
    </cfRule>
    <cfRule type="cellIs" dxfId="169" priority="84" operator="equal">
      <formula>"Ok"</formula>
    </cfRule>
  </conditionalFormatting>
  <conditionalFormatting sqref="V13">
    <cfRule type="cellIs" dxfId="168" priority="23" operator="equal">
      <formula>"Ok"</formula>
    </cfRule>
    <cfRule type="cellIs" dxfId="167" priority="22" operator="equal">
      <formula>"Check"</formula>
    </cfRule>
  </conditionalFormatting>
  <conditionalFormatting sqref="V15">
    <cfRule type="cellIs" dxfId="166" priority="85" operator="equal">
      <formula>"Check"</formula>
    </cfRule>
    <cfRule type="cellIs" dxfId="165" priority="86" operator="equal">
      <formula>"Ok"</formula>
    </cfRule>
  </conditionalFormatting>
  <conditionalFormatting sqref="V19:V27">
    <cfRule type="cellIs" dxfId="164" priority="20" operator="equal">
      <formula>"Check"</formula>
    </cfRule>
    <cfRule type="cellIs" dxfId="163" priority="21" operator="equal">
      <formula>"Ok"</formula>
    </cfRule>
  </conditionalFormatting>
  <conditionalFormatting sqref="V29">
    <cfRule type="cellIs" dxfId="162" priority="62" operator="equal">
      <formula>"Check"</formula>
    </cfRule>
    <cfRule type="cellIs" dxfId="161" priority="63" operator="equal">
      <formula>"Ok"</formula>
    </cfRule>
  </conditionalFormatting>
  <conditionalFormatting sqref="V37">
    <cfRule type="cellIs" dxfId="160" priority="16" operator="equal">
      <formula>"Check"</formula>
    </cfRule>
    <cfRule type="cellIs" dxfId="159" priority="17" operator="equal">
      <formula>"Ok"</formula>
    </cfRule>
  </conditionalFormatting>
  <conditionalFormatting sqref="V41:V45">
    <cfRule type="cellIs" dxfId="158" priority="12" operator="equal">
      <formula>"Check"</formula>
    </cfRule>
    <cfRule type="cellIs" dxfId="157" priority="13" operator="equal">
      <formula>"Ok"</formula>
    </cfRule>
  </conditionalFormatting>
  <conditionalFormatting sqref="V47">
    <cfRule type="cellIs" dxfId="156" priority="70" operator="equal">
      <formula>"Ok"</formula>
    </cfRule>
    <cfRule type="cellIs" dxfId="155" priority="69" operator="equal">
      <formula>"Check"</formula>
    </cfRule>
  </conditionalFormatting>
  <conditionalFormatting sqref="V48:V50">
    <cfRule type="cellIs" dxfId="154" priority="77" operator="equal">
      <formula>"Check"</formula>
    </cfRule>
    <cfRule type="cellIs" dxfId="153" priority="78" operator="equal">
      <formula>"Ok"</formula>
    </cfRule>
  </conditionalFormatting>
  <conditionalFormatting sqref="V51:V55">
    <cfRule type="cellIs" dxfId="152" priority="10" operator="equal">
      <formula>"Check"</formula>
    </cfRule>
    <cfRule type="cellIs" dxfId="151" priority="11" operator="equal">
      <formula>"Ok"</formula>
    </cfRule>
  </conditionalFormatting>
  <conditionalFormatting sqref="V52:V55">
    <cfRule type="cellIs" dxfId="150" priority="89" operator="equal">
      <formula>"Check"</formula>
    </cfRule>
    <cfRule type="cellIs" dxfId="149" priority="90" operator="equal">
      <formula>"Ok"</formula>
    </cfRule>
  </conditionalFormatting>
  <conditionalFormatting sqref="V57">
    <cfRule type="cellIs" dxfId="148" priority="87" operator="equal">
      <formula>"Check"</formula>
    </cfRule>
    <cfRule type="cellIs" dxfId="147" priority="88" operator="equal">
      <formula>"Ok"</formula>
    </cfRule>
  </conditionalFormatting>
  <conditionalFormatting sqref="V63:V67">
    <cfRule type="cellIs" dxfId="146" priority="9" operator="equal">
      <formula>"Ok"</formula>
    </cfRule>
    <cfRule type="cellIs" dxfId="145" priority="8" operator="equal">
      <formula>"Check"</formula>
    </cfRule>
  </conditionalFormatting>
  <conditionalFormatting sqref="V69">
    <cfRule type="cellIs" dxfId="144" priority="7" operator="equal">
      <formula>"Ok"</formula>
    </cfRule>
    <cfRule type="cellIs" dxfId="143" priority="6" operator="equal">
      <formula>"Check"</formula>
    </cfRule>
  </conditionalFormatting>
  <conditionalFormatting sqref="V71">
    <cfRule type="cellIs" dxfId="142" priority="5" operator="equal">
      <formula>"Ok"</formula>
    </cfRule>
    <cfRule type="cellIs" dxfId="141" priority="4" operator="equal">
      <formula>"Check"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37:T37 J19:T27 J13:T13 N51:T55 J53:M55 J51:L51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09"/>
  <sheetViews>
    <sheetView showGridLines="0" topLeftCell="A29" zoomScaleNormal="100" workbookViewId="0">
      <selection activeCell="P73" sqref="P73 P77:Q77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7" t="s">
        <v>26</v>
      </c>
      <c r="M1" s="28" t="s">
        <v>27</v>
      </c>
      <c r="N1" s="46" t="s">
        <v>28</v>
      </c>
      <c r="O1" s="11" t="s">
        <v>29</v>
      </c>
      <c r="P1" s="12" t="s">
        <v>30</v>
      </c>
      <c r="S1" s="28" t="s">
        <v>31</v>
      </c>
      <c r="T1" s="29" t="str">
        <f>IF(COUNTIF(X5:X108,"Check")=0,"Ok","Check")</f>
        <v>Ok</v>
      </c>
      <c r="U1" s="29"/>
      <c r="W1" s="188" t="s">
        <v>32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43</v>
      </c>
      <c r="K3" s="215"/>
      <c r="L3" s="215"/>
      <c r="M3" s="215"/>
      <c r="N3" s="105"/>
      <c r="O3" s="215"/>
      <c r="P3" s="215"/>
      <c r="Q3" s="215"/>
      <c r="R3" s="215"/>
      <c r="S3" s="215"/>
      <c r="T3" s="215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35</v>
      </c>
      <c r="E4" s="56" t="s">
        <v>58</v>
      </c>
      <c r="F4" s="144" t="s">
        <v>62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7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98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98</v>
      </c>
      <c r="D12" s="150" t="s">
        <v>99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IF(J10=J4,LOOKUP(EOMONTH(J4,0),'Input|Inflation'!$C$9:$C$84,'Input|Inflation'!$I$9:$I$84),"")</f>
        <v>3.8461538461538325E-2</v>
      </c>
      <c r="K12" s="148">
        <f>IF(K10=K4,LOOKUP(EOMONTH(K4,0),'Input|Inflation'!$C$9:$C$84,'Input|Inflation'!$I$9:$I$84),"")</f>
        <v>6.1447811447811418E-2</v>
      </c>
      <c r="L12" s="148">
        <f>IF(L10=L4,LOOKUP(EOMONTH(L4,0),'Input|Inflation'!$C$9:$C$84,'Input|Inflation'!$I$9:$I$84),"")</f>
        <v>6.0269627279936566E-2</v>
      </c>
      <c r="M12" s="148">
        <f>IF(M10=M4,LOOKUP(EOMONTH(M4,0),'Input|Inflation'!$C$9:$C$84,'Input|Inflation'!$I$9:$I$84),"")</f>
        <v>3.8145100972326373E-2</v>
      </c>
      <c r="N12" s="148">
        <f>IF(N10=N4,LOOKUP(EOMONTH(N4,0),'Input|Inflation'!$C$9:$C$84,'Input|Inflation'!$I$9:$I$84),"")</f>
        <v>2.0893371757924939E-2</v>
      </c>
      <c r="O12" s="148">
        <f>IF(O10=O4,LOOKUP(EOMONTH(O4,0),'Input|Inflation'!$C$9:$C$84,'Input|Inflation'!$I$9:$I$84),"")</f>
        <v>3.2999999999999918E-2</v>
      </c>
      <c r="P12" s="148" t="str">
        <f>IF(P10=P4,LOOKUP(EOMONTH(P4,0),'Input|Inflation'!$C$9:$C$84,'Input|Inflation'!$I$9:$I$84),"")</f>
        <v/>
      </c>
      <c r="Q12" s="148" t="str">
        <f>IF(Q10=Q4,LOOKUP(EOMONTH(Q4,0),'Input|Inflation'!$C$9:$C$84,'Input|Inflation'!$I$9:$I$84),"")</f>
        <v/>
      </c>
      <c r="R12" s="148" t="str">
        <f>IF(R10=R4,LOOKUP(EOMONTH(R4,0),'Input|Inflation'!$C$9:$C$84,'Input|Inflation'!$I$9:$I$84),"")</f>
        <v/>
      </c>
      <c r="S12" s="148" t="str">
        <f>IF(S10=S4,LOOKUP(EOMONTH(S4,0),'Input|Inflation'!$C$9:$C$84,'Input|Inflation'!$I$9:$I$84),"")</f>
        <v/>
      </c>
      <c r="T12" s="148" t="str">
        <f>IF(T10=T4,LOOKUP(EOMONTH(T4,0),'Input|Inflation'!$C$9:$C$84,'Input|Inflation'!$I$9:$I$84),"")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100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22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1.1683501683501687</v>
      </c>
      <c r="N16" s="154">
        <f t="shared" si="3"/>
        <v>1.1927609427609429</v>
      </c>
      <c r="O16" s="154">
        <f t="shared" ref="O16:P21" si="4">IF(AND($C16&gt;O$14,ISNONTEXT($C16)),P16/(1+O$12),IF(AND($C16=O$14,O$14=O$4),1,IF(AND($C16&lt;O$14,O$14=O$4),N16*(1+O$12),0)))</f>
        <v>1.2321220538720539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si="3"/>
        <v>0.94210943695479776</v>
      </c>
      <c r="K17" s="154">
        <f t="shared" si="3"/>
        <v>1</v>
      </c>
      <c r="L17" s="154">
        <f t="shared" si="3"/>
        <v>1.0602696272799366</v>
      </c>
      <c r="M17" s="154">
        <f t="shared" si="3"/>
        <v>1.1007137192704206</v>
      </c>
      <c r="N17" s="154">
        <f t="shared" si="3"/>
        <v>1.1237113402061858</v>
      </c>
      <c r="O17" s="154">
        <f t="shared" si="4"/>
        <v>1.1607938144329899</v>
      </c>
      <c r="P17" s="154">
        <f t="shared" si="4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si="3"/>
        <v>0.88855646970830215</v>
      </c>
      <c r="K18" s="154">
        <f t="shared" si="3"/>
        <v>0.94315632011967088</v>
      </c>
      <c r="L18" s="154">
        <f t="shared" si="3"/>
        <v>1</v>
      </c>
      <c r="M18" s="154">
        <f t="shared" si="3"/>
        <v>1.0381451009723264</v>
      </c>
      <c r="N18" s="154">
        <f t="shared" si="3"/>
        <v>1.0598354525056097</v>
      </c>
      <c r="O18" s="154">
        <f t="shared" si="4"/>
        <v>1.0948100224382948</v>
      </c>
      <c r="P18" s="154">
        <f t="shared" si="4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si="3"/>
        <v>0.85590778097982689</v>
      </c>
      <c r="K19" s="154">
        <f t="shared" si="3"/>
        <v>0.90850144092218998</v>
      </c>
      <c r="L19" s="154">
        <f t="shared" si="3"/>
        <v>0.96325648414985565</v>
      </c>
      <c r="M19" s="154">
        <f t="shared" si="3"/>
        <v>1</v>
      </c>
      <c r="N19" s="154">
        <f t="shared" si="3"/>
        <v>1.0208933717579249</v>
      </c>
      <c r="O19" s="154">
        <f t="shared" si="4"/>
        <v>1.0545828530259365</v>
      </c>
      <c r="P19" s="154">
        <f t="shared" si="4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 t="shared" si="3"/>
        <v>0.83839096683133374</v>
      </c>
      <c r="K20" s="154">
        <f t="shared" si="3"/>
        <v>0.88990825688073383</v>
      </c>
      <c r="L20" s="154">
        <f t="shared" si="3"/>
        <v>0.9435426958362737</v>
      </c>
      <c r="M20" s="154">
        <f t="shared" si="3"/>
        <v>0.97953422724064942</v>
      </c>
      <c r="N20" s="154">
        <f t="shared" si="3"/>
        <v>1</v>
      </c>
      <c r="O20" s="154">
        <f t="shared" si="4"/>
        <v>1.0329999999999999</v>
      </c>
      <c r="P20" s="154">
        <f t="shared" si="4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 t="shared" si="3"/>
        <v>0.8116079059354635</v>
      </c>
      <c r="K21" s="154">
        <f t="shared" si="3"/>
        <v>0.86147943550893891</v>
      </c>
      <c r="L21" s="154">
        <f t="shared" si="3"/>
        <v>0.91340047999639284</v>
      </c>
      <c r="M21" s="154">
        <f t="shared" si="3"/>
        <v>0.94824223353402659</v>
      </c>
      <c r="N21" s="154">
        <f t="shared" si="3"/>
        <v>0.96805421103581812</v>
      </c>
      <c r="O21" s="154">
        <f t="shared" si="4"/>
        <v>1</v>
      </c>
      <c r="P21" s="154">
        <f t="shared" si="4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 t="shared" si="3"/>
        <v>0</v>
      </c>
      <c r="K22" s="154">
        <f t="shared" si="3"/>
        <v>0</v>
      </c>
      <c r="L22" s="154">
        <f t="shared" si="3"/>
        <v>0</v>
      </c>
      <c r="M22" s="154">
        <f t="shared" si="3"/>
        <v>0</v>
      </c>
      <c r="N22" s="154">
        <f t="shared" si="3"/>
        <v>0</v>
      </c>
      <c r="O22" s="154">
        <f>IF(AND($C22&gt;O$14,ISNONTEXT($C22)),P22/(1+P$12),IF(AND($C22=O$14,O$14=O$4),1,IF(AND($C22&lt;O$14,O$14=O$4),N22*(1+O$12),0)))</f>
        <v>0</v>
      </c>
      <c r="P22" s="154">
        <f>IF(AND($C22&gt;P$14,ISNONTEXT($C22)),Q22/(1+Q$12),IF(AND($C22=P$14,P$14=P$4),1,IF(AND($C22&lt;P$14,P$14=P$4),O22*(1+P$12),0)))</f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101</v>
      </c>
      <c r="D24" s="120"/>
      <c r="E24" s="120"/>
      <c r="F24" s="120"/>
      <c r="G24" s="120"/>
      <c r="H24" s="120"/>
      <c r="I24" s="120"/>
      <c r="J24" s="123">
        <f t="shared" ref="J24:T24" si="6">IF(YEAR(J$4)&lt;=PPLastYear,J$4,"")</f>
        <v>44348</v>
      </c>
      <c r="K24" s="123">
        <f t="shared" si="6"/>
        <v>44713</v>
      </c>
      <c r="L24" s="123">
        <f t="shared" si="6"/>
        <v>45078</v>
      </c>
      <c r="M24" s="123">
        <f t="shared" si="6"/>
        <v>45444</v>
      </c>
      <c r="N24" s="123">
        <f t="shared" si="6"/>
        <v>45809</v>
      </c>
      <c r="O24" s="123">
        <f t="shared" si="6"/>
        <v>46174</v>
      </c>
      <c r="P24" s="123" t="str">
        <f t="shared" si="6"/>
        <v/>
      </c>
      <c r="Q24" s="123" t="str">
        <f t="shared" si="6"/>
        <v/>
      </c>
      <c r="R24" s="123" t="str">
        <f t="shared" si="6"/>
        <v/>
      </c>
      <c r="S24" s="123" t="str">
        <f t="shared" si="6"/>
        <v/>
      </c>
      <c r="T24" s="123" t="str">
        <f t="shared" si="6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7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 t="shared" ref="J26:T26" si="8">IF(AND(J$24=J$4,ISNONTEXT($C26)),1/J16*(1+J$12)^0.5,0)</f>
        <v>1.019049330730136</v>
      </c>
      <c r="K26" s="154">
        <f t="shared" si="8"/>
        <v>0.970623220902322</v>
      </c>
      <c r="L26" s="154">
        <f t="shared" si="8"/>
        <v>0.9149412196307648</v>
      </c>
      <c r="M26" s="154">
        <f t="shared" si="8"/>
        <v>0.87207935204504272</v>
      </c>
      <c r="N26" s="154">
        <f t="shared" si="8"/>
        <v>0.84710409750758409</v>
      </c>
      <c r="O26" s="154">
        <f t="shared" si="8"/>
        <v>0.82489074242907312</v>
      </c>
      <c r="P26" s="154">
        <f t="shared" si="8"/>
        <v>0</v>
      </c>
      <c r="Q26" s="154">
        <f t="shared" si="8"/>
        <v>0</v>
      </c>
      <c r="R26" s="154">
        <f t="shared" si="8"/>
        <v>0</v>
      </c>
      <c r="S26" s="154">
        <f t="shared" si="8"/>
        <v>0</v>
      </c>
      <c r="T26" s="154">
        <f t="shared" si="8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7"/>
        <v>calculated</v>
      </c>
      <c r="E27" s="120" t="str">
        <f t="shared" ref="E27:E32" si="9">IF(ISNONTEXT($C27),"index","")</f>
        <v>index</v>
      </c>
      <c r="F27" s="120"/>
      <c r="G27" s="120"/>
      <c r="H27" s="120"/>
      <c r="I27" s="154"/>
      <c r="J27" s="154">
        <f t="shared" ref="J27:T27" si="10">IF(AND(J$24=J$4,ISNONTEXT($C27)),1/J17*(1+J$12)^0.5,0)</f>
        <v>1.0816676818608599</v>
      </c>
      <c r="K27" s="154">
        <f t="shared" si="10"/>
        <v>1.0302658935671953</v>
      </c>
      <c r="L27" s="154">
        <f t="shared" si="10"/>
        <v>0.97116235518046667</v>
      </c>
      <c r="M27" s="154">
        <f t="shared" si="10"/>
        <v>0.92566671963703617</v>
      </c>
      <c r="N27" s="154">
        <f t="shared" si="10"/>
        <v>0.89915679036789842</v>
      </c>
      <c r="O27" s="154">
        <f t="shared" si="10"/>
        <v>0.8755784732348999</v>
      </c>
      <c r="P27" s="154">
        <f t="shared" si="10"/>
        <v>0</v>
      </c>
      <c r="Q27" s="154">
        <f t="shared" si="10"/>
        <v>0</v>
      </c>
      <c r="R27" s="154">
        <f t="shared" si="10"/>
        <v>0</v>
      </c>
      <c r="S27" s="154">
        <f t="shared" si="10"/>
        <v>0</v>
      </c>
      <c r="T27" s="154">
        <f t="shared" si="10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7"/>
        <v>calculated</v>
      </c>
      <c r="E28" s="120" t="str">
        <f t="shared" si="9"/>
        <v>index</v>
      </c>
      <c r="F28" s="120"/>
      <c r="G28" s="120"/>
      <c r="H28" s="120"/>
      <c r="I28" s="154"/>
      <c r="J28" s="154">
        <f t="shared" ref="J28:T28" si="11">IF(AND(J$24=J$4,ISNONTEXT($C28)),1/J18*(1+J$12)^0.5,0)</f>
        <v>1.1468593898873669</v>
      </c>
      <c r="K28" s="154">
        <f t="shared" si="11"/>
        <v>1.0923596349717211</v>
      </c>
      <c r="L28" s="154">
        <f t="shared" si="11"/>
        <v>1.0296939483554988</v>
      </c>
      <c r="M28" s="154">
        <f t="shared" si="11"/>
        <v>0.98145630781500182</v>
      </c>
      <c r="N28" s="154">
        <f t="shared" si="11"/>
        <v>0.95334863498959588</v>
      </c>
      <c r="O28" s="154">
        <f t="shared" si="11"/>
        <v>0.92834926147110319</v>
      </c>
      <c r="P28" s="154">
        <f t="shared" si="11"/>
        <v>0</v>
      </c>
      <c r="Q28" s="154">
        <f t="shared" si="11"/>
        <v>0</v>
      </c>
      <c r="R28" s="154">
        <f t="shared" si="11"/>
        <v>0</v>
      </c>
      <c r="S28" s="154">
        <f t="shared" si="11"/>
        <v>0</v>
      </c>
      <c r="T28" s="154">
        <f t="shared" si="11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7"/>
        <v>calculated</v>
      </c>
      <c r="E29" s="120" t="str">
        <f t="shared" si="9"/>
        <v>index</v>
      </c>
      <c r="F29" s="120"/>
      <c r="G29" s="120"/>
      <c r="H29" s="120"/>
      <c r="I29" s="154"/>
      <c r="J29" s="154">
        <f t="shared" ref="J29:T29" si="12">IF(AND(J$24=J$4,ISNONTEXT($C29)),1/J19*(1+J$12)^0.5,0)</f>
        <v>1.1906064571156811</v>
      </c>
      <c r="K29" s="154">
        <f t="shared" si="12"/>
        <v>1.1340278035458109</v>
      </c>
      <c r="L29" s="154">
        <f t="shared" si="12"/>
        <v>1.0689717279861126</v>
      </c>
      <c r="M29" s="154">
        <f t="shared" si="12"/>
        <v>1.0188940577765317</v>
      </c>
      <c r="N29" s="154">
        <f t="shared" si="12"/>
        <v>0.98971421493310363</v>
      </c>
      <c r="O29" s="154">
        <f t="shared" si="12"/>
        <v>0.96376123778750311</v>
      </c>
      <c r="P29" s="154">
        <f t="shared" si="12"/>
        <v>0</v>
      </c>
      <c r="Q29" s="154">
        <f t="shared" si="12"/>
        <v>0</v>
      </c>
      <c r="R29" s="154">
        <f t="shared" si="12"/>
        <v>0</v>
      </c>
      <c r="S29" s="154">
        <f t="shared" si="12"/>
        <v>0</v>
      </c>
      <c r="T29" s="154">
        <f t="shared" si="12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7"/>
        <v>calculated</v>
      </c>
      <c r="E30" s="120" t="str">
        <f t="shared" si="9"/>
        <v>index</v>
      </c>
      <c r="F30" s="120"/>
      <c r="G30" s="120"/>
      <c r="H30" s="120"/>
      <c r="I30" s="154"/>
      <c r="J30" s="154">
        <f t="shared" ref="J30:T30" si="13">IF(AND(J$24=J$4,ISNONTEXT($C30)),1/J20*(1+J$12)^0.5,0)</f>
        <v>1.215482240441585</v>
      </c>
      <c r="K30" s="154">
        <f t="shared" si="13"/>
        <v>1.1577214680291166</v>
      </c>
      <c r="L30" s="154">
        <f t="shared" si="13"/>
        <v>1.0913061516976379</v>
      </c>
      <c r="M30" s="154">
        <f t="shared" si="13"/>
        <v>1.0401821901075974</v>
      </c>
      <c r="N30" s="154">
        <f t="shared" si="13"/>
        <v>1.0103926819598037</v>
      </c>
      <c r="O30" s="154">
        <f t="shared" si="13"/>
        <v>0.98389745961447539</v>
      </c>
      <c r="P30" s="154">
        <f t="shared" si="13"/>
        <v>0</v>
      </c>
      <c r="Q30" s="154">
        <f t="shared" si="13"/>
        <v>0</v>
      </c>
      <c r="R30" s="154">
        <f t="shared" si="13"/>
        <v>0</v>
      </c>
      <c r="S30" s="154">
        <f t="shared" si="13"/>
        <v>0</v>
      </c>
      <c r="T30" s="154">
        <f t="shared" si="13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7"/>
        <v>calculated</v>
      </c>
      <c r="E31" s="120" t="str">
        <f t="shared" si="9"/>
        <v>index</v>
      </c>
      <c r="F31" s="120"/>
      <c r="G31" s="120"/>
      <c r="H31" s="120"/>
      <c r="I31" s="154"/>
      <c r="J31" s="154">
        <f t="shared" ref="J31:T31" si="14">IF(AND(J$24=J$4,ISNONTEXT($C31)),1/J21*(1+J$12)^0.5,0)</f>
        <v>1.2555931543761572</v>
      </c>
      <c r="K31" s="154">
        <f t="shared" si="14"/>
        <v>1.1959262764740772</v>
      </c>
      <c r="L31" s="154">
        <f t="shared" si="14"/>
        <v>1.1273192547036597</v>
      </c>
      <c r="M31" s="154">
        <f t="shared" si="14"/>
        <v>1.0745082023811483</v>
      </c>
      <c r="N31" s="154">
        <f t="shared" si="14"/>
        <v>1.0437356404644771</v>
      </c>
      <c r="O31" s="154">
        <f t="shared" si="14"/>
        <v>1.016366075781753</v>
      </c>
      <c r="P31" s="154">
        <f t="shared" si="14"/>
        <v>0</v>
      </c>
      <c r="Q31" s="154">
        <f t="shared" si="14"/>
        <v>0</v>
      </c>
      <c r="R31" s="154">
        <f t="shared" si="14"/>
        <v>0</v>
      </c>
      <c r="S31" s="154">
        <f t="shared" si="14"/>
        <v>0</v>
      </c>
      <c r="T31" s="154">
        <f t="shared" si="14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7"/>
        <v/>
      </c>
      <c r="E32" s="120" t="str">
        <f t="shared" si="9"/>
        <v/>
      </c>
      <c r="F32" s="120"/>
      <c r="G32" s="120"/>
      <c r="H32" s="120"/>
      <c r="I32" s="154"/>
      <c r="J32" s="154">
        <f t="shared" ref="J32:T32" si="15">IF(AND(J$24=J$4,ISNONTEXT($C32)),1/J22*(1+J$12)^0.5,0)</f>
        <v>0</v>
      </c>
      <c r="K32" s="154">
        <f t="shared" si="15"/>
        <v>0</v>
      </c>
      <c r="L32" s="154">
        <f t="shared" si="15"/>
        <v>0</v>
      </c>
      <c r="M32" s="154">
        <f t="shared" si="15"/>
        <v>0</v>
      </c>
      <c r="N32" s="154">
        <f t="shared" si="15"/>
        <v>0</v>
      </c>
      <c r="O32" s="154">
        <f t="shared" si="15"/>
        <v>0</v>
      </c>
      <c r="P32" s="154">
        <f t="shared" si="15"/>
        <v>0</v>
      </c>
      <c r="Q32" s="154">
        <f t="shared" si="15"/>
        <v>0</v>
      </c>
      <c r="R32" s="154">
        <f t="shared" si="15"/>
        <v>0</v>
      </c>
      <c r="S32" s="154">
        <f t="shared" si="15"/>
        <v>0</v>
      </c>
      <c r="T32" s="154">
        <f t="shared" si="15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102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103</v>
      </c>
      <c r="D36" s="121" t="s">
        <v>35</v>
      </c>
      <c r="E36" s="121" t="s">
        <v>58</v>
      </c>
      <c r="F36" s="120"/>
      <c r="G36" s="120"/>
      <c r="H36" s="120"/>
      <c r="I36" s="120"/>
      <c r="J36" s="138" t="str">
        <f t="shared" ref="J36:U36" si="16">IF(YEAR(J$4)&gt;=FPFirstYear,IF(YEAR(J$4)&lt;=FPLastYear,J$4,""),"")</f>
        <v/>
      </c>
      <c r="K36" s="138" t="str">
        <f t="shared" si="16"/>
        <v/>
      </c>
      <c r="L36" s="138" t="str">
        <f t="shared" si="16"/>
        <v/>
      </c>
      <c r="M36" s="138" t="str">
        <f t="shared" si="16"/>
        <v/>
      </c>
      <c r="N36" s="138" t="str">
        <f t="shared" si="16"/>
        <v/>
      </c>
      <c r="O36" s="138" t="str">
        <f t="shared" si="16"/>
        <v/>
      </c>
      <c r="P36" s="138">
        <f t="shared" si="16"/>
        <v>46539</v>
      </c>
      <c r="Q36" s="138">
        <f t="shared" si="16"/>
        <v>46905</v>
      </c>
      <c r="R36" s="138">
        <f t="shared" si="16"/>
        <v>47270</v>
      </c>
      <c r="S36" s="138">
        <f t="shared" si="16"/>
        <v>47635</v>
      </c>
      <c r="T36" s="138">
        <f t="shared" si="16"/>
        <v>48000</v>
      </c>
      <c r="U36" s="138" t="str">
        <f t="shared" si="16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104</v>
      </c>
      <c r="D38" s="120" t="s">
        <v>105</v>
      </c>
      <c r="E38" s="120" t="str">
        <f t="shared" ref="E38:E45" si="17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8.9999999999999993E-3</v>
      </c>
      <c r="Q38" s="159">
        <v>8.9999999999999993E-3</v>
      </c>
      <c r="R38" s="159">
        <v>1.0999999999999999E-2</v>
      </c>
      <c r="S38" s="159">
        <v>1.2999999999999999E-2</v>
      </c>
      <c r="T38" s="159">
        <v>1.2999999999999999E-2</v>
      </c>
      <c r="U38" s="17"/>
      <c r="V38" s="17"/>
      <c r="W38" s="17"/>
    </row>
    <row r="39" spans="1:34" ht="11.25" customHeight="1" outlineLevel="1">
      <c r="A39" s="17"/>
      <c r="B39" s="17"/>
      <c r="C39" s="161" t="s">
        <v>106</v>
      </c>
      <c r="D39" s="120" t="s">
        <v>105</v>
      </c>
      <c r="E39" s="120" t="str">
        <f t="shared" si="17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3.8798929437231511E-3</v>
      </c>
      <c r="Q39" s="160">
        <v>6.6052851497420129E-3</v>
      </c>
      <c r="R39" s="160">
        <v>7.1333552110515175E-3</v>
      </c>
      <c r="S39" s="160">
        <v>9.9681148278605303E-3</v>
      </c>
      <c r="T39" s="160">
        <v>9.7491999988594813E-3</v>
      </c>
      <c r="U39" s="17"/>
      <c r="V39" s="17"/>
      <c r="W39" s="17"/>
    </row>
    <row r="40" spans="1:34" ht="11.25" customHeight="1" outlineLevel="1">
      <c r="A40" s="17"/>
      <c r="B40" s="17"/>
      <c r="C40" s="127" t="s">
        <v>107</v>
      </c>
      <c r="D40" s="120" t="s">
        <v>105</v>
      </c>
      <c r="E40" s="120" t="str">
        <f t="shared" si="17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6.4399464718615752E-3</v>
      </c>
      <c r="Q40" s="160">
        <f t="shared" ref="Q40:T40" si="18">AVERAGE(Q38:Q39)</f>
        <v>7.8026425748710061E-3</v>
      </c>
      <c r="R40" s="160">
        <f t="shared" si="18"/>
        <v>9.0666776055257584E-3</v>
      </c>
      <c r="S40" s="160">
        <f t="shared" si="18"/>
        <v>1.1484057413930264E-2</v>
      </c>
      <c r="T40" s="160">
        <f t="shared" si="18"/>
        <v>1.1374599999429739E-2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105</v>
      </c>
      <c r="E41" s="120" t="str">
        <f t="shared" si="17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105</v>
      </c>
      <c r="E42" s="120" t="str">
        <f t="shared" si="17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105</v>
      </c>
      <c r="E43" s="120" t="str">
        <f t="shared" si="17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105</v>
      </c>
      <c r="E44" s="120" t="str">
        <f t="shared" si="17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108</v>
      </c>
      <c r="D45" s="120" t="s">
        <v>105</v>
      </c>
      <c r="E45" s="120" t="str">
        <f t="shared" si="17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109</v>
      </c>
      <c r="D47" s="120" t="s">
        <v>99</v>
      </c>
      <c r="E47" s="120" t="s">
        <v>110</v>
      </c>
      <c r="F47" s="120" t="s">
        <v>111</v>
      </c>
      <c r="G47" s="120"/>
      <c r="H47" s="120"/>
      <c r="I47" s="120"/>
      <c r="J47" s="165" t="str">
        <f t="shared" ref="J47:U47" si="19">IF(J36=J4,IF(COUNTA($C38:$C45)=COUNT(J38:J45),"Ok","Check"),"")</f>
        <v/>
      </c>
      <c r="K47" s="165" t="str">
        <f t="shared" si="19"/>
        <v/>
      </c>
      <c r="L47" s="165" t="str">
        <f t="shared" si="19"/>
        <v/>
      </c>
      <c r="M47" s="165" t="str">
        <f t="shared" si="19"/>
        <v/>
      </c>
      <c r="N47" s="165" t="str">
        <f t="shared" si="19"/>
        <v/>
      </c>
      <c r="O47" s="165" t="str">
        <f t="shared" si="19"/>
        <v/>
      </c>
      <c r="P47" s="165" t="str">
        <f t="shared" si="19"/>
        <v>Ok</v>
      </c>
      <c r="Q47" s="165" t="str">
        <f t="shared" si="19"/>
        <v>Ok</v>
      </c>
      <c r="R47" s="165" t="str">
        <f t="shared" si="19"/>
        <v>Ok</v>
      </c>
      <c r="S47" s="165" t="str">
        <f t="shared" si="19"/>
        <v>Ok</v>
      </c>
      <c r="T47" s="165" t="str">
        <f t="shared" si="19"/>
        <v>Ok</v>
      </c>
      <c r="U47" s="165" t="str">
        <f t="shared" si="19"/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112</v>
      </c>
      <c r="D49" s="121" t="s">
        <v>35</v>
      </c>
      <c r="E49" s="121" t="s">
        <v>58</v>
      </c>
      <c r="F49" s="120"/>
      <c r="G49" s="120"/>
      <c r="H49" s="120"/>
      <c r="I49" s="120"/>
      <c r="J49" s="138" t="str">
        <f t="shared" ref="J49:U49" si="20">IF(YEAR(J$4)&gt;=FPFirstYear,IF(YEAR(J$4)&lt;=FPLastYear,J$4,""),"")</f>
        <v/>
      </c>
      <c r="K49" s="138" t="str">
        <f t="shared" si="20"/>
        <v/>
      </c>
      <c r="L49" s="138" t="str">
        <f t="shared" si="20"/>
        <v/>
      </c>
      <c r="M49" s="138" t="str">
        <f t="shared" si="20"/>
        <v/>
      </c>
      <c r="N49" s="138" t="str">
        <f t="shared" si="20"/>
        <v/>
      </c>
      <c r="O49" s="138" t="str">
        <f t="shared" si="20"/>
        <v/>
      </c>
      <c r="P49" s="138">
        <f t="shared" si="20"/>
        <v>46539</v>
      </c>
      <c r="Q49" s="138">
        <f t="shared" si="20"/>
        <v>46905</v>
      </c>
      <c r="R49" s="138">
        <f t="shared" si="20"/>
        <v>47270</v>
      </c>
      <c r="S49" s="138">
        <f t="shared" si="20"/>
        <v>47635</v>
      </c>
      <c r="T49" s="138">
        <f t="shared" si="20"/>
        <v>48000</v>
      </c>
      <c r="U49" s="138" t="str">
        <f t="shared" si="20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21">C38</f>
        <v>WPI - EGWWS - Oxford Economics</v>
      </c>
      <c r="D51" s="120" t="s">
        <v>105</v>
      </c>
      <c r="E51" s="120" t="str">
        <f t="shared" ref="E51:E58" si="22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21"/>
        <v>WPI - DAE</v>
      </c>
      <c r="D52" s="120" t="s">
        <v>105</v>
      </c>
      <c r="E52" s="120" t="str">
        <f t="shared" si="22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21"/>
        <v>Average</v>
      </c>
      <c r="D53" s="120" t="s">
        <v>105</v>
      </c>
      <c r="E53" s="120" t="str">
        <f t="shared" si="22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0.62</v>
      </c>
      <c r="Q53" s="143">
        <v>0.62</v>
      </c>
      <c r="R53" s="143">
        <v>0.62</v>
      </c>
      <c r="S53" s="143">
        <v>0.62</v>
      </c>
      <c r="T53" s="143">
        <v>0.62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21"/>
        <v>0</v>
      </c>
      <c r="D54" s="120" t="s">
        <v>105</v>
      </c>
      <c r="E54" s="120" t="str">
        <f t="shared" si="22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21"/>
        <v>0</v>
      </c>
      <c r="D55" s="120" t="s">
        <v>105</v>
      </c>
      <c r="E55" s="120" t="str">
        <f t="shared" si="22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21"/>
        <v>0</v>
      </c>
      <c r="D56" s="120" t="s">
        <v>105</v>
      </c>
      <c r="E56" s="120" t="str">
        <f t="shared" si="22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21"/>
        <v>0</v>
      </c>
      <c r="D57" s="120" t="s">
        <v>105</v>
      </c>
      <c r="E57" s="120" t="str">
        <f t="shared" si="22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21"/>
        <v>CPI</v>
      </c>
      <c r="D58" s="120" t="s">
        <v>105</v>
      </c>
      <c r="E58" s="120" t="str">
        <f t="shared" si="22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0.38</v>
      </c>
      <c r="Q58" s="143">
        <v>0.38</v>
      </c>
      <c r="R58" s="143">
        <v>0.38</v>
      </c>
      <c r="S58" s="143">
        <v>0.38</v>
      </c>
      <c r="T58" s="143">
        <v>0.38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109</v>
      </c>
      <c r="D60" s="120" t="s">
        <v>99</v>
      </c>
      <c r="E60" s="120" t="s">
        <v>110</v>
      </c>
      <c r="F60" s="120" t="s">
        <v>111</v>
      </c>
      <c r="G60" s="120"/>
      <c r="H60" s="120"/>
      <c r="I60" s="120"/>
      <c r="J60" s="165" t="str">
        <f t="shared" ref="J60:U60" si="23">IF(J49=J$4,IF(SUM(J51:J58)=1,"Ok","Check"),"")</f>
        <v/>
      </c>
      <c r="K60" s="165" t="str">
        <f t="shared" si="23"/>
        <v/>
      </c>
      <c r="L60" s="165" t="str">
        <f t="shared" si="23"/>
        <v/>
      </c>
      <c r="M60" s="165" t="str">
        <f t="shared" si="23"/>
        <v/>
      </c>
      <c r="N60" s="165" t="str">
        <f t="shared" si="23"/>
        <v/>
      </c>
      <c r="O60" s="165" t="str">
        <f t="shared" si="23"/>
        <v/>
      </c>
      <c r="P60" s="165" t="str">
        <f t="shared" si="23"/>
        <v>Ok</v>
      </c>
      <c r="Q60" s="165" t="str">
        <f t="shared" si="23"/>
        <v>Ok</v>
      </c>
      <c r="R60" s="165" t="str">
        <f t="shared" si="23"/>
        <v>Ok</v>
      </c>
      <c r="S60" s="165" t="str">
        <f t="shared" si="23"/>
        <v>Ok</v>
      </c>
      <c r="T60" s="165" t="str">
        <f t="shared" si="23"/>
        <v>Ok</v>
      </c>
      <c r="U60" s="165" t="str">
        <f t="shared" si="23"/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113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114</v>
      </c>
      <c r="D64" s="121" t="s">
        <v>35</v>
      </c>
      <c r="E64" s="121" t="s">
        <v>58</v>
      </c>
      <c r="F64" s="121" t="s">
        <v>62</v>
      </c>
      <c r="G64" s="121"/>
      <c r="H64" s="121"/>
      <c r="I64" s="120"/>
      <c r="J64" s="138" t="str">
        <f t="shared" ref="J64:U64" si="24">IF(YEAR(J$4)&gt;=PPLastYear,IF(YEAR(J$4)&lt;=FPLastYear,J$4,""),"")</f>
        <v/>
      </c>
      <c r="K64" s="138" t="str">
        <f t="shared" si="24"/>
        <v/>
      </c>
      <c r="L64" s="138" t="str">
        <f t="shared" si="24"/>
        <v/>
      </c>
      <c r="M64" s="138" t="str">
        <f t="shared" si="24"/>
        <v/>
      </c>
      <c r="N64" s="138" t="str">
        <f t="shared" si="24"/>
        <v/>
      </c>
      <c r="O64" s="138">
        <f t="shared" si="24"/>
        <v>46174</v>
      </c>
      <c r="P64" s="138">
        <f t="shared" si="24"/>
        <v>46539</v>
      </c>
      <c r="Q64" s="138">
        <f t="shared" si="24"/>
        <v>46905</v>
      </c>
      <c r="R64" s="138">
        <f t="shared" si="24"/>
        <v>47270</v>
      </c>
      <c r="S64" s="138">
        <f t="shared" si="24"/>
        <v>47635</v>
      </c>
      <c r="T64" s="138">
        <f t="shared" si="24"/>
        <v>48000</v>
      </c>
      <c r="U64" s="138" t="str">
        <f t="shared" si="24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115</v>
      </c>
      <c r="D66" s="120" t="s">
        <v>105</v>
      </c>
      <c r="E66" s="120" t="s">
        <v>116</v>
      </c>
      <c r="F66" s="120" t="s">
        <v>111</v>
      </c>
      <c r="G66" s="121"/>
      <c r="H66" s="121"/>
      <c r="I66" s="120"/>
      <c r="J66" s="157"/>
      <c r="K66" s="170"/>
      <c r="L66" s="170"/>
      <c r="M66" s="170"/>
      <c r="N66" s="170"/>
      <c r="O66" s="208">
        <v>490484.0483133333</v>
      </c>
      <c r="P66" s="214">
        <v>489682.4105120587</v>
      </c>
      <c r="Q66" s="214">
        <v>485966.54247306503</v>
      </c>
      <c r="R66" s="214">
        <v>484889.69622208993</v>
      </c>
      <c r="S66" s="214">
        <v>481295.72487883165</v>
      </c>
      <c r="T66" s="214">
        <v>462204.93079726706</v>
      </c>
      <c r="U66" s="141"/>
      <c r="V66" s="17"/>
      <c r="W66" s="17"/>
    </row>
    <row r="67" spans="1:24" outlineLevel="1">
      <c r="A67" s="17"/>
      <c r="B67" s="17"/>
      <c r="C67" s="127" t="s">
        <v>117</v>
      </c>
      <c r="D67" s="120" t="s">
        <v>105</v>
      </c>
      <c r="E67" s="120" t="s">
        <v>116</v>
      </c>
      <c r="F67" s="120" t="s">
        <v>111</v>
      </c>
      <c r="G67" s="121"/>
      <c r="H67" s="121"/>
      <c r="I67" s="120"/>
      <c r="J67" s="157"/>
      <c r="K67" s="170"/>
      <c r="L67" s="170"/>
      <c r="M67" s="170"/>
      <c r="N67" s="170"/>
      <c r="O67" s="213">
        <v>8502.7474054092236</v>
      </c>
      <c r="P67" s="214">
        <v>8542.1538873275495</v>
      </c>
      <c r="Q67" s="214">
        <v>8580.4731860204301</v>
      </c>
      <c r="R67" s="214">
        <v>8611.565918736962</v>
      </c>
      <c r="S67" s="214">
        <v>8643.0981354618962</v>
      </c>
      <c r="T67" s="214">
        <v>8670.8865940075757</v>
      </c>
      <c r="U67" s="141"/>
      <c r="V67" s="17"/>
      <c r="W67" s="17"/>
    </row>
    <row r="68" spans="1:24" outlineLevel="1">
      <c r="A68" s="17"/>
      <c r="B68" s="17"/>
      <c r="C68" s="127"/>
      <c r="D68" s="120" t="s">
        <v>105</v>
      </c>
      <c r="E68" s="120" t="s">
        <v>116</v>
      </c>
      <c r="F68" s="120" t="s">
        <v>111</v>
      </c>
      <c r="G68" s="121"/>
      <c r="H68" s="121"/>
      <c r="I68" s="120"/>
      <c r="J68" s="157"/>
      <c r="K68" s="170"/>
      <c r="L68" s="170"/>
      <c r="M68" s="170"/>
      <c r="N68" s="170"/>
      <c r="O68" s="141"/>
      <c r="P68" s="141"/>
      <c r="Q68" s="141"/>
      <c r="R68" s="141"/>
      <c r="S68" s="141"/>
      <c r="T68" s="141"/>
      <c r="U68" s="141"/>
      <c r="V68" s="17"/>
      <c r="W68" s="17"/>
    </row>
    <row r="69" spans="1:24" outlineLevel="1">
      <c r="A69" s="17"/>
      <c r="B69" s="17"/>
      <c r="C69" s="127"/>
      <c r="D69" s="120" t="s">
        <v>105</v>
      </c>
      <c r="E69" s="120" t="s">
        <v>116</v>
      </c>
      <c r="F69" s="120" t="s">
        <v>111</v>
      </c>
      <c r="G69" s="121"/>
      <c r="H69" s="121"/>
      <c r="I69" s="120"/>
      <c r="J69" s="157"/>
      <c r="K69" s="170"/>
      <c r="L69" s="170"/>
      <c r="M69" s="170"/>
      <c r="N69" s="170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105</v>
      </c>
      <c r="E70" s="120" t="s">
        <v>116</v>
      </c>
      <c r="F70" s="120" t="s">
        <v>111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105</v>
      </c>
      <c r="E71" s="120" t="s">
        <v>116</v>
      </c>
      <c r="F71" s="120" t="s">
        <v>111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109</v>
      </c>
      <c r="D73" s="120" t="s">
        <v>99</v>
      </c>
      <c r="E73" s="120" t="s">
        <v>110</v>
      </c>
      <c r="F73" s="120" t="s">
        <v>111</v>
      </c>
      <c r="G73" s="120"/>
      <c r="H73" s="120"/>
      <c r="I73" s="120"/>
      <c r="J73" s="165" t="str">
        <f t="shared" ref="J73:U73" si="25">IF(J64=J$4,IF(COUNTA($C66:$C71)=COUNT(J66:J71),"Ok","Check"),"")</f>
        <v/>
      </c>
      <c r="K73" s="165" t="str">
        <f t="shared" si="25"/>
        <v/>
      </c>
      <c r="L73" s="165" t="str">
        <f t="shared" si="25"/>
        <v/>
      </c>
      <c r="M73" s="165" t="str">
        <f t="shared" si="25"/>
        <v/>
      </c>
      <c r="N73" s="165" t="str">
        <f t="shared" si="25"/>
        <v/>
      </c>
      <c r="O73" s="165" t="str">
        <f t="shared" si="25"/>
        <v>Ok</v>
      </c>
      <c r="P73" s="165" t="str">
        <f t="shared" si="25"/>
        <v>Ok</v>
      </c>
      <c r="Q73" s="165" t="str">
        <f t="shared" si="25"/>
        <v>Ok</v>
      </c>
      <c r="R73" s="165" t="str">
        <f t="shared" si="25"/>
        <v>Ok</v>
      </c>
      <c r="S73" s="165" t="str">
        <f t="shared" si="25"/>
        <v>Ok</v>
      </c>
      <c r="T73" s="165" t="str">
        <f t="shared" si="25"/>
        <v>Ok</v>
      </c>
      <c r="U73" s="165" t="str">
        <f t="shared" si="25"/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118</v>
      </c>
      <c r="D75" s="121" t="s">
        <v>35</v>
      </c>
      <c r="E75" s="121" t="s">
        <v>58</v>
      </c>
      <c r="F75" s="121" t="s">
        <v>62</v>
      </c>
      <c r="G75" s="121"/>
      <c r="H75" s="121"/>
      <c r="I75" s="120"/>
      <c r="J75" s="138" t="str">
        <f t="shared" ref="J75:T75" si="26">IF(YEAR(J$4)&gt;=FPFirstYear,IF(YEAR(J$4)&lt;=FPLastYear,J$4,""),"")</f>
        <v/>
      </c>
      <c r="K75" s="138" t="str">
        <f t="shared" si="26"/>
        <v/>
      </c>
      <c r="L75" s="138" t="str">
        <f t="shared" si="26"/>
        <v/>
      </c>
      <c r="M75" s="138" t="str">
        <f t="shared" si="26"/>
        <v/>
      </c>
      <c r="N75" s="138" t="str">
        <f t="shared" si="26"/>
        <v/>
      </c>
      <c r="O75" s="138" t="str">
        <f t="shared" si="26"/>
        <v/>
      </c>
      <c r="P75" s="138">
        <f t="shared" si="26"/>
        <v>46539</v>
      </c>
      <c r="Q75" s="138">
        <f t="shared" si="26"/>
        <v>46905</v>
      </c>
      <c r="R75" s="138">
        <f t="shared" si="26"/>
        <v>47270</v>
      </c>
      <c r="S75" s="138">
        <f t="shared" si="26"/>
        <v>47635</v>
      </c>
      <c r="T75" s="138">
        <f t="shared" si="26"/>
        <v>48000</v>
      </c>
      <c r="U75" s="138" t="str">
        <f t="shared" ref="U75" si="27">IF(YEAR(U$4)&gt;=FPFirstYear,IF(YEAR(U$4)&lt;=FPLastYear,U$4,""),"")</f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Customer numbers (#) (CIE forecast)</v>
      </c>
      <c r="D77" s="120" t="s">
        <v>99</v>
      </c>
      <c r="E77" s="120" t="s">
        <v>116</v>
      </c>
      <c r="F77" s="120" t="s">
        <v>111</v>
      </c>
      <c r="G77" s="121"/>
      <c r="H77" s="121"/>
      <c r="I77" s="120"/>
      <c r="J77" s="171" t="str">
        <f t="shared" ref="J77:M77" si="28">IF(ISBLANK(I66),"",IF(ISBLANK(J66),"",LN(J66)-LN(I66)))</f>
        <v/>
      </c>
      <c r="K77" s="171" t="str">
        <f t="shared" si="28"/>
        <v/>
      </c>
      <c r="L77" s="171" t="str">
        <f t="shared" si="28"/>
        <v/>
      </c>
      <c r="M77" s="171" t="str">
        <f t="shared" si="28"/>
        <v/>
      </c>
      <c r="N77" s="171" t="str">
        <f>IF(ISBLANK(M66),"",IF(ISBLANK(N66),"",LN(N66)-LN(M66)))</f>
        <v/>
      </c>
      <c r="O77" s="171" t="str">
        <f t="shared" ref="O77:T77" si="29">IF(ISBLANK(N66),"",IF(ISBLANK(O66),"",LN(O66)-LN(N66)))</f>
        <v/>
      </c>
      <c r="P77" s="171">
        <f t="shared" si="29"/>
        <v>-1.6357180411432637E-3</v>
      </c>
      <c r="Q77" s="171">
        <f t="shared" si="29"/>
        <v>-7.6172602751238827E-3</v>
      </c>
      <c r="R77" s="171">
        <f t="shared" si="29"/>
        <v>-2.2183442813812349E-3</v>
      </c>
      <c r="S77" s="171">
        <f t="shared" si="29"/>
        <v>-7.4395407775291744E-3</v>
      </c>
      <c r="T77" s="171">
        <f t="shared" si="29"/>
        <v>-4.047352793729786E-2</v>
      </c>
      <c r="U77" s="198"/>
      <c r="V77" s="17"/>
      <c r="W77" s="17"/>
    </row>
    <row r="78" spans="1:24" outlineLevel="1">
      <c r="A78" s="17"/>
      <c r="B78" s="17"/>
      <c r="C78" s="167" t="str">
        <f t="shared" ref="C78:C82" si="30">C67</f>
        <v>Mains Length (km)</v>
      </c>
      <c r="D78" s="120" t="s">
        <v>99</v>
      </c>
      <c r="E78" s="120" t="s">
        <v>116</v>
      </c>
      <c r="F78" s="120" t="s">
        <v>111</v>
      </c>
      <c r="G78" s="121"/>
      <c r="H78" s="121"/>
      <c r="I78" s="120"/>
      <c r="J78" s="171" t="str">
        <f t="shared" ref="J78:T78" si="31">IF(ISBLANK(I67),"",IF(ISBLANK(J67),"",LN(J67)-LN(I67)))</f>
        <v/>
      </c>
      <c r="K78" s="171" t="str">
        <f t="shared" si="31"/>
        <v/>
      </c>
      <c r="L78" s="171" t="str">
        <f t="shared" si="31"/>
        <v/>
      </c>
      <c r="M78" s="171" t="str">
        <f t="shared" si="31"/>
        <v/>
      </c>
      <c r="N78" s="171" t="str">
        <f t="shared" si="31"/>
        <v/>
      </c>
      <c r="O78" s="171" t="str">
        <f t="shared" si="31"/>
        <v/>
      </c>
      <c r="P78" s="171">
        <f t="shared" si="31"/>
        <v>4.623852194947986E-3</v>
      </c>
      <c r="Q78" s="171">
        <f t="shared" si="31"/>
        <v>4.4758742336696855E-3</v>
      </c>
      <c r="R78" s="171">
        <f t="shared" si="31"/>
        <v>3.6171121327974731E-3</v>
      </c>
      <c r="S78" s="171">
        <f t="shared" si="31"/>
        <v>3.6549250368178576E-3</v>
      </c>
      <c r="T78" s="171">
        <f t="shared" si="31"/>
        <v>3.2099465074431066E-3</v>
      </c>
      <c r="U78" s="198"/>
      <c r="V78" s="17"/>
      <c r="W78" s="17"/>
    </row>
    <row r="79" spans="1:24" outlineLevel="1">
      <c r="A79" s="17"/>
      <c r="B79" s="17"/>
      <c r="C79" s="167">
        <f t="shared" si="30"/>
        <v>0</v>
      </c>
      <c r="D79" s="120" t="s">
        <v>99</v>
      </c>
      <c r="E79" s="120" t="s">
        <v>116</v>
      </c>
      <c r="F79" s="120" t="s">
        <v>111</v>
      </c>
      <c r="G79" s="121"/>
      <c r="H79" s="121"/>
      <c r="I79" s="120"/>
      <c r="J79" s="171" t="str">
        <f t="shared" ref="J79:T79" si="32">IF(ISBLANK(I68),"",IF(ISBLANK(J68),"",LN(J68)-LN(I68)))</f>
        <v/>
      </c>
      <c r="K79" s="171" t="str">
        <f t="shared" si="32"/>
        <v/>
      </c>
      <c r="L79" s="171" t="str">
        <f t="shared" si="32"/>
        <v/>
      </c>
      <c r="M79" s="171" t="str">
        <f t="shared" si="32"/>
        <v/>
      </c>
      <c r="N79" s="138" t="str">
        <f t="shared" si="32"/>
        <v/>
      </c>
      <c r="O79" s="138" t="str">
        <f t="shared" si="32"/>
        <v/>
      </c>
      <c r="P79" s="138" t="str">
        <f t="shared" si="32"/>
        <v/>
      </c>
      <c r="Q79" s="138" t="str">
        <f t="shared" si="32"/>
        <v/>
      </c>
      <c r="R79" s="138" t="str">
        <f t="shared" si="32"/>
        <v/>
      </c>
      <c r="S79" s="138" t="str">
        <f t="shared" si="32"/>
        <v/>
      </c>
      <c r="T79" s="138" t="str">
        <f t="shared" si="32"/>
        <v/>
      </c>
      <c r="U79" s="138" t="str">
        <f t="shared" ref="U79" si="33">IF(ISBLANK(T68),"",IF(ISBLANK(U68),"",LN(U68)-LN(T68)))</f>
        <v/>
      </c>
      <c r="V79" s="17"/>
      <c r="W79" s="17"/>
    </row>
    <row r="80" spans="1:24" outlineLevel="1">
      <c r="A80" s="17"/>
      <c r="B80" s="17"/>
      <c r="C80" s="167">
        <f t="shared" si="30"/>
        <v>0</v>
      </c>
      <c r="D80" s="120" t="s">
        <v>99</v>
      </c>
      <c r="E80" s="120" t="s">
        <v>116</v>
      </c>
      <c r="F80" s="120" t="s">
        <v>111</v>
      </c>
      <c r="G80" s="121"/>
      <c r="H80" s="121"/>
      <c r="I80" s="120"/>
      <c r="J80" s="171" t="str">
        <f t="shared" ref="J80:M80" si="34">IF(ISBLANK(I69),"",IF(ISBLANK(J69),"",LN(J69)-LN(I69)))</f>
        <v/>
      </c>
      <c r="K80" s="171" t="str">
        <f t="shared" si="34"/>
        <v/>
      </c>
      <c r="L80" s="171" t="str">
        <f t="shared" si="34"/>
        <v/>
      </c>
      <c r="M80" s="171" t="str">
        <f t="shared" si="34"/>
        <v/>
      </c>
      <c r="N80" s="138"/>
      <c r="O80" s="138"/>
      <c r="P80" s="138"/>
      <c r="Q80" s="138"/>
      <c r="R80" s="138"/>
      <c r="S80" s="138"/>
      <c r="T80" s="138"/>
      <c r="U80" s="138"/>
      <c r="V80" s="17"/>
      <c r="W80" s="17"/>
    </row>
    <row r="81" spans="1:24" outlineLevel="1">
      <c r="A81" s="17"/>
      <c r="B81" s="17"/>
      <c r="C81" s="167">
        <f t="shared" si="30"/>
        <v>0</v>
      </c>
      <c r="D81" s="120" t="s">
        <v>99</v>
      </c>
      <c r="E81" s="120" t="s">
        <v>116</v>
      </c>
      <c r="F81" s="120" t="s">
        <v>111</v>
      </c>
      <c r="G81" s="121"/>
      <c r="H81" s="121"/>
      <c r="I81" s="120"/>
      <c r="J81" s="171" t="str">
        <f t="shared" ref="J81:M81" si="35">IF(ISBLANK(I70),"",IF(ISBLANK(J70),"",LN(J70)-LN(I70)))</f>
        <v/>
      </c>
      <c r="K81" s="171" t="str">
        <f t="shared" si="35"/>
        <v/>
      </c>
      <c r="L81" s="171" t="str">
        <f t="shared" si="35"/>
        <v/>
      </c>
      <c r="M81" s="171" t="str">
        <f t="shared" si="35"/>
        <v/>
      </c>
      <c r="N81" s="138"/>
      <c r="O81" s="138"/>
      <c r="P81" s="138"/>
      <c r="Q81" s="138"/>
      <c r="R81" s="138"/>
      <c r="S81" s="138"/>
      <c r="T81" s="138"/>
      <c r="U81" s="138"/>
      <c r="V81" s="17"/>
      <c r="W81" s="17"/>
    </row>
    <row r="82" spans="1:24" outlineLevel="1">
      <c r="A82" s="17"/>
      <c r="B82" s="17"/>
      <c r="C82" s="167">
        <f t="shared" si="30"/>
        <v>0</v>
      </c>
      <c r="D82" s="120" t="s">
        <v>99</v>
      </c>
      <c r="E82" s="120" t="s">
        <v>116</v>
      </c>
      <c r="F82" s="120" t="s">
        <v>111</v>
      </c>
      <c r="G82" s="121"/>
      <c r="H82" s="121"/>
      <c r="I82" s="120"/>
      <c r="J82" s="171" t="str">
        <f t="shared" ref="J82:M82" si="36">IF(ISBLANK(I71),"",IF(ISBLANK(J71),"",LN(J71)-LN(I71)))</f>
        <v/>
      </c>
      <c r="K82" s="171" t="str">
        <f t="shared" si="36"/>
        <v/>
      </c>
      <c r="L82" s="171" t="str">
        <f t="shared" si="36"/>
        <v/>
      </c>
      <c r="M82" s="171" t="str">
        <f t="shared" si="36"/>
        <v/>
      </c>
      <c r="N82" s="138"/>
      <c r="O82" s="138"/>
      <c r="P82" s="138"/>
      <c r="Q82" s="138"/>
      <c r="R82" s="138"/>
      <c r="S82" s="138"/>
      <c r="T82" s="138"/>
      <c r="U82" s="138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22"/>
      <c r="V83" s="17"/>
      <c r="W83" s="17"/>
    </row>
    <row r="84" spans="1:24" outlineLevel="1">
      <c r="A84" s="17"/>
      <c r="B84" s="17"/>
      <c r="C84" s="122" t="s">
        <v>119</v>
      </c>
      <c r="D84" s="121" t="s">
        <v>35</v>
      </c>
      <c r="E84" s="121" t="s">
        <v>58</v>
      </c>
      <c r="F84" s="121" t="s">
        <v>62</v>
      </c>
      <c r="G84" s="121"/>
      <c r="H84" s="121"/>
      <c r="I84" s="120"/>
      <c r="J84" s="172" t="s">
        <v>120</v>
      </c>
      <c r="K84" s="172"/>
      <c r="L84" s="172"/>
      <c r="M84" s="172"/>
      <c r="N84" s="138"/>
      <c r="O84" s="138"/>
      <c r="P84" s="138"/>
      <c r="Q84" s="138"/>
      <c r="R84" s="138"/>
      <c r="S84" s="138"/>
      <c r="T84" s="138"/>
      <c r="U84" s="138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75"/>
      <c r="P85" s="175"/>
      <c r="Q85" s="175"/>
      <c r="R85" s="175"/>
      <c r="S85" s="175"/>
      <c r="T85" s="175"/>
      <c r="U85" s="149"/>
      <c r="V85" s="17"/>
      <c r="W85" s="17"/>
    </row>
    <row r="86" spans="1:24" outlineLevel="1">
      <c r="A86" s="17"/>
      <c r="B86" s="17"/>
      <c r="C86" s="167" t="str">
        <f t="shared" ref="C86:C91" si="37">C66</f>
        <v>Customer numbers (#) (CIE forecast)</v>
      </c>
      <c r="D86" s="120" t="s">
        <v>99</v>
      </c>
      <c r="E86" s="120" t="str">
        <f t="shared" ref="E86:E91" si="38">percent</f>
        <v>Per cent</v>
      </c>
      <c r="F86" s="120" t="s">
        <v>111</v>
      </c>
      <c r="G86" s="121"/>
      <c r="H86" s="121"/>
      <c r="I86" s="120"/>
      <c r="J86" s="173">
        <v>0.49399999999999999</v>
      </c>
      <c r="K86" s="173"/>
      <c r="L86" s="173"/>
      <c r="M86" s="173"/>
      <c r="N86" s="176"/>
      <c r="O86" s="176"/>
      <c r="P86" s="176"/>
      <c r="Q86" s="176"/>
      <c r="R86" s="176"/>
      <c r="S86" s="176"/>
      <c r="T86" s="176"/>
      <c r="U86" s="199"/>
      <c r="V86" s="17"/>
      <c r="W86" s="17"/>
    </row>
    <row r="87" spans="1:24" outlineLevel="1">
      <c r="A87" s="17"/>
      <c r="B87" s="17"/>
      <c r="C87" s="167" t="str">
        <f t="shared" si="37"/>
        <v>Mains Length (km)</v>
      </c>
      <c r="D87" s="120" t="s">
        <v>99</v>
      </c>
      <c r="E87" s="120" t="str">
        <f t="shared" si="38"/>
        <v>Per cent</v>
      </c>
      <c r="F87" s="120" t="s">
        <v>111</v>
      </c>
      <c r="G87" s="121"/>
      <c r="H87" s="121"/>
      <c r="I87" s="120"/>
      <c r="J87" s="173">
        <v>0.50600000000000001</v>
      </c>
      <c r="K87" s="173"/>
      <c r="L87" s="173"/>
      <c r="M87" s="173"/>
      <c r="N87" s="176"/>
      <c r="O87" s="176"/>
      <c r="P87" s="176"/>
      <c r="Q87" s="176"/>
      <c r="R87" s="176"/>
      <c r="S87" s="176"/>
      <c r="T87" s="176"/>
      <c r="U87" s="199"/>
      <c r="V87" s="17"/>
      <c r="W87" s="17"/>
    </row>
    <row r="88" spans="1:24" outlineLevel="1">
      <c r="A88" s="17"/>
      <c r="B88" s="17"/>
      <c r="C88" s="167">
        <f t="shared" si="37"/>
        <v>0</v>
      </c>
      <c r="D88" s="120" t="s">
        <v>99</v>
      </c>
      <c r="E88" s="120" t="str">
        <f t="shared" si="38"/>
        <v>Per cent</v>
      </c>
      <c r="F88" s="120" t="s">
        <v>111</v>
      </c>
      <c r="G88" s="121"/>
      <c r="H88" s="121"/>
      <c r="I88" s="120"/>
      <c r="J88" s="173"/>
      <c r="K88" s="173"/>
      <c r="L88" s="173"/>
      <c r="M88" s="173"/>
      <c r="N88" s="176"/>
      <c r="O88" s="176"/>
      <c r="P88" s="176"/>
      <c r="Q88" s="176"/>
      <c r="R88" s="176"/>
      <c r="S88" s="176"/>
      <c r="T88" s="176"/>
      <c r="U88" s="199"/>
      <c r="V88" s="17"/>
      <c r="W88" s="17"/>
    </row>
    <row r="89" spans="1:24" outlineLevel="1">
      <c r="A89" s="17"/>
      <c r="B89" s="17"/>
      <c r="C89" s="167">
        <f t="shared" si="37"/>
        <v>0</v>
      </c>
      <c r="D89" s="120" t="s">
        <v>99</v>
      </c>
      <c r="E89" s="120" t="str">
        <f t="shared" si="38"/>
        <v>Per cent</v>
      </c>
      <c r="F89" s="120" t="s">
        <v>111</v>
      </c>
      <c r="G89" s="121"/>
      <c r="H89" s="121"/>
      <c r="I89" s="120"/>
      <c r="J89" s="173"/>
      <c r="K89" s="174"/>
      <c r="L89" s="174"/>
      <c r="M89" s="173"/>
      <c r="N89" s="176"/>
      <c r="O89" s="176"/>
      <c r="P89" s="176"/>
      <c r="Q89" s="176"/>
      <c r="R89" s="176"/>
      <c r="S89" s="176"/>
      <c r="T89" s="176"/>
      <c r="U89" s="199"/>
      <c r="V89" s="17"/>
      <c r="W89" s="17"/>
    </row>
    <row r="90" spans="1:24" outlineLevel="1">
      <c r="A90" s="17"/>
      <c r="B90" s="17"/>
      <c r="C90" s="167">
        <f t="shared" si="37"/>
        <v>0</v>
      </c>
      <c r="D90" s="120" t="s">
        <v>99</v>
      </c>
      <c r="E90" s="120" t="str">
        <f t="shared" si="38"/>
        <v>Per cent</v>
      </c>
      <c r="F90" s="120" t="s">
        <v>111</v>
      </c>
      <c r="G90" s="121"/>
      <c r="H90" s="121"/>
      <c r="I90" s="120"/>
      <c r="J90" s="174"/>
      <c r="K90" s="174"/>
      <c r="L90" s="174"/>
      <c r="M90" s="174"/>
      <c r="N90" s="176"/>
      <c r="O90" s="176"/>
      <c r="P90" s="176"/>
      <c r="Q90" s="176"/>
      <c r="R90" s="176"/>
      <c r="S90" s="176"/>
      <c r="T90" s="176"/>
      <c r="U90" s="199"/>
      <c r="V90" s="17"/>
      <c r="W90" s="17"/>
    </row>
    <row r="91" spans="1:24" outlineLevel="1">
      <c r="A91" s="17"/>
      <c r="B91" s="17"/>
      <c r="C91" s="167">
        <f t="shared" si="37"/>
        <v>0</v>
      </c>
      <c r="D91" s="120" t="s">
        <v>99</v>
      </c>
      <c r="E91" s="120" t="str">
        <f t="shared" si="38"/>
        <v>Per cent</v>
      </c>
      <c r="F91" s="120" t="s">
        <v>111</v>
      </c>
      <c r="G91" s="121"/>
      <c r="H91" s="121"/>
      <c r="I91" s="120"/>
      <c r="J91" s="174"/>
      <c r="K91" s="174"/>
      <c r="L91" s="174"/>
      <c r="M91" s="174"/>
      <c r="N91" s="176"/>
      <c r="O91" s="176"/>
      <c r="P91" s="176"/>
      <c r="Q91" s="176"/>
      <c r="R91" s="176"/>
      <c r="S91" s="176"/>
      <c r="T91" s="176"/>
      <c r="U91" s="199"/>
      <c r="V91" s="17"/>
      <c r="W91" s="17"/>
    </row>
    <row r="92" spans="1:24" outlineLevel="1">
      <c r="A92" s="17"/>
      <c r="B92" s="17"/>
      <c r="C92" s="17"/>
      <c r="D92" s="120"/>
      <c r="E92" s="120"/>
      <c r="F92" s="120"/>
      <c r="G92" s="121"/>
      <c r="H92" s="121"/>
      <c r="I92" s="120"/>
      <c r="J92" s="17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22"/>
      <c r="V92" s="17"/>
      <c r="W92" s="17"/>
    </row>
    <row r="93" spans="1:24" outlineLevel="1">
      <c r="A93" s="17"/>
      <c r="B93" s="17"/>
      <c r="C93" s="17"/>
      <c r="D93" s="120"/>
      <c r="E93" s="120"/>
      <c r="F93" s="120"/>
      <c r="G93" s="121"/>
      <c r="H93" s="121"/>
      <c r="I93" s="120"/>
      <c r="J93" s="165" t="str">
        <f>IF(AND(ISBLANK(J84),COUNT(J86:J91)=0),"Ok",IF(AND(COUNTA($C66:$C71)=COUNT(J86:J91),COUNTA(J84)=1),"Ok","Check"))</f>
        <v>Ok</v>
      </c>
      <c r="K93" s="165" t="str">
        <f>IF(AND(ISBLANK(K84),COUNT(K86:K91)=0),"Ok",IF(AND(COUNTA($C66:$C71)=COUNT(K86:K91),COUNTA(K84)=1),"Ok","Check"))</f>
        <v>Ok</v>
      </c>
      <c r="L93" s="165" t="str">
        <f>IF(AND(ISBLANK(L84),COUNT(L86:L91)=0),"Ok",IF(AND(COUNTA($C66:$C71)=COUNT(L86:L91),COUNTA(L84)=1),"Ok","Check"))</f>
        <v>Ok</v>
      </c>
      <c r="M93" s="165" t="str">
        <f>IF(AND(ISBLANK(M84),COUNT(M86:M91)=0),"Ok",IF(AND(COUNTA($C66:$C71)=COUNT(M86:M91),COUNTA(M84)=1),"Ok","Check"))</f>
        <v>Ok</v>
      </c>
      <c r="N93" s="17"/>
      <c r="O93" s="17"/>
      <c r="P93" s="17"/>
      <c r="Q93" s="17"/>
      <c r="R93" s="17"/>
      <c r="S93" s="17"/>
      <c r="T93" s="17"/>
      <c r="U93" s="122"/>
      <c r="V93" s="17"/>
      <c r="W93" s="17"/>
      <c r="X93" s="81" t="str">
        <f>IF(COUNTIF(J93:T93,"Check")=0,"Ok","Check")</f>
        <v>Ok</v>
      </c>
    </row>
    <row r="94" spans="1:24" outlineLevel="1">
      <c r="A94" s="17"/>
      <c r="B94" s="17"/>
      <c r="C94" s="122" t="s">
        <v>121</v>
      </c>
      <c r="D94" s="121" t="s">
        <v>35</v>
      </c>
      <c r="E94" s="121" t="s">
        <v>58</v>
      </c>
      <c r="F94" s="121" t="s">
        <v>62</v>
      </c>
      <c r="G94" s="120"/>
      <c r="H94" s="120"/>
      <c r="I94" s="120"/>
      <c r="J94" s="8"/>
      <c r="N94" s="138" t="str">
        <f t="shared" ref="N94:T94" si="39">IF(YEAR(N$4)&gt;=FPFirstYear,IF(YEAR(N$4)&lt;=FPLastYear,N$4,""),"")</f>
        <v/>
      </c>
      <c r="O94" s="138" t="str">
        <f t="shared" si="39"/>
        <v/>
      </c>
      <c r="P94" s="138">
        <f t="shared" si="39"/>
        <v>46539</v>
      </c>
      <c r="Q94" s="138">
        <f t="shared" si="39"/>
        <v>46905</v>
      </c>
      <c r="R94" s="138">
        <f t="shared" si="39"/>
        <v>47270</v>
      </c>
      <c r="S94" s="138">
        <f t="shared" si="39"/>
        <v>47635</v>
      </c>
      <c r="T94" s="138">
        <f t="shared" si="39"/>
        <v>48000</v>
      </c>
      <c r="U94" s="138" t="str">
        <f t="shared" ref="U94" si="40">IF(YEAR(U$4)&gt;=FPFirstYear,IF(YEAR(U$4)&lt;=FPLastYear,U$4,""),"")</f>
        <v/>
      </c>
      <c r="V94" s="166"/>
      <c r="W94" s="17"/>
      <c r="X94" s="82"/>
    </row>
    <row r="95" spans="1:24" outlineLevel="1">
      <c r="A95" s="17"/>
      <c r="B95" s="17"/>
      <c r="C95" s="17"/>
      <c r="D95" s="120"/>
      <c r="E95" s="120"/>
      <c r="F95" s="120"/>
      <c r="G95" s="120"/>
      <c r="H95" s="120"/>
      <c r="I95" s="120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6"/>
      <c r="W95" s="17"/>
      <c r="X95" s="82"/>
    </row>
    <row r="96" spans="1:24" outlineLevel="1">
      <c r="A96" s="17"/>
      <c r="B96" s="17"/>
      <c r="C96" s="167" t="str">
        <f t="array" ref="C96:C99">TRANSPOSE(J84:M84)</f>
        <v>Output</v>
      </c>
      <c r="D96" s="120" t="s">
        <v>99</v>
      </c>
      <c r="E96" s="120" t="s">
        <v>116</v>
      </c>
      <c r="F96" s="120" t="s">
        <v>111</v>
      </c>
      <c r="G96" s="120"/>
      <c r="H96" s="120"/>
      <c r="I96" s="120"/>
      <c r="J96" s="171" t="str">
        <f>IF(J$93=J$4,SUMPRODUCT(J$77:J$82,$J$86:$J$91),"")</f>
        <v/>
      </c>
      <c r="K96" s="171" t="str">
        <f>IF(K$93=K$4,SUMPRODUCT(K$77:K$82,$J$86:$J$91),"")</f>
        <v/>
      </c>
      <c r="L96" s="171" t="str">
        <f>IF(L$93=L$4,SUMPRODUCT(L$77:L$82,$J$86:$J$91),"")</f>
        <v/>
      </c>
      <c r="M96" s="171" t="str">
        <f>IF(M$93=M$4,SUMPRODUCT(M$77:M$82,$J$86:$J$91),"")</f>
        <v/>
      </c>
      <c r="N96" s="171" t="str">
        <f t="shared" ref="N96:T96" si="41">IF(N$94=N$4,SUMPRODUCT(N$77:N$82,$J$86:$J$91),"")</f>
        <v/>
      </c>
      <c r="O96" s="171" t="str">
        <f t="shared" si="41"/>
        <v/>
      </c>
      <c r="P96" s="171">
        <f t="shared" si="41"/>
        <v>1.5316244983189086E-3</v>
      </c>
      <c r="Q96" s="171">
        <f t="shared" si="41"/>
        <v>-1.4981342136743368E-3</v>
      </c>
      <c r="R96" s="171">
        <f t="shared" si="41"/>
        <v>7.3439666419319134E-4</v>
      </c>
      <c r="S96" s="171">
        <f t="shared" si="41"/>
        <v>-1.8257410754695762E-3</v>
      </c>
      <c r="T96" s="171">
        <f t="shared" si="41"/>
        <v>-1.8369689868258932E-2</v>
      </c>
      <c r="U96" s="198"/>
      <c r="V96" s="166"/>
      <c r="W96" s="17"/>
      <c r="X96" s="82"/>
    </row>
    <row r="97" spans="1:34" outlineLevel="1">
      <c r="A97" s="17"/>
      <c r="B97" s="17"/>
      <c r="C97" s="167">
        <v>0</v>
      </c>
      <c r="D97" s="120" t="s">
        <v>99</v>
      </c>
      <c r="E97" s="120" t="s">
        <v>116</v>
      </c>
      <c r="F97" s="120" t="s">
        <v>111</v>
      </c>
      <c r="G97" s="120"/>
      <c r="H97" s="120"/>
      <c r="I97" s="120"/>
      <c r="J97" s="171" t="str">
        <f>IF(J$93=J$4,SUMPRODUCT(J$77:J$82,$K$86:$K$91),"")</f>
        <v/>
      </c>
      <c r="K97" s="171" t="str">
        <f>IF(K$93=K$4,SUMPRODUCT(K$77:K$82,$K$86:$K$91),"")</f>
        <v/>
      </c>
      <c r="L97" s="171" t="str">
        <f>IF(L$93=L$4,SUMPRODUCT(L$77:L$82,$K$86:$K$91),"")</f>
        <v/>
      </c>
      <c r="M97" s="171" t="str">
        <f>IF(M$93=M$4,SUMPRODUCT(M$77:M$82,$K$86:$K$91),"")</f>
        <v/>
      </c>
      <c r="N97" s="171" t="str">
        <f t="shared" ref="N97:T97" si="42">IF(N$94=N$4,SUMPRODUCT(N$77:N$82,$K$86:$K$91),"")</f>
        <v/>
      </c>
      <c r="O97" s="171" t="str">
        <f t="shared" si="42"/>
        <v/>
      </c>
      <c r="P97" s="171">
        <f t="shared" si="42"/>
        <v>0</v>
      </c>
      <c r="Q97" s="171">
        <f t="shared" si="42"/>
        <v>0</v>
      </c>
      <c r="R97" s="171">
        <f t="shared" si="42"/>
        <v>0</v>
      </c>
      <c r="S97" s="171">
        <f t="shared" si="42"/>
        <v>0</v>
      </c>
      <c r="T97" s="171">
        <f t="shared" si="42"/>
        <v>0</v>
      </c>
      <c r="U97" s="198"/>
      <c r="V97" s="166"/>
      <c r="W97" s="17"/>
      <c r="X97" s="82"/>
    </row>
    <row r="98" spans="1:34" outlineLevel="1">
      <c r="A98" s="17"/>
      <c r="B98" s="17"/>
      <c r="C98" s="167">
        <v>0</v>
      </c>
      <c r="D98" s="120" t="s">
        <v>99</v>
      </c>
      <c r="E98" s="120" t="s">
        <v>116</v>
      </c>
      <c r="F98" s="120" t="s">
        <v>111</v>
      </c>
      <c r="G98" s="120"/>
      <c r="H98" s="120"/>
      <c r="I98" s="120"/>
      <c r="J98" s="171" t="str">
        <f>IF(J$93=J$4,SUMPRODUCT(J$77:J$82,$L$86:$L$91),"")</f>
        <v/>
      </c>
      <c r="K98" s="171" t="str">
        <f>IF(K$93=K$4,SUMPRODUCT(K$77:K$82,$L$86:$L$91),"")</f>
        <v/>
      </c>
      <c r="L98" s="171" t="str">
        <f>IF(L$93=L$4,SUMPRODUCT(L$77:L$82,$L$86:$L$91),"")</f>
        <v/>
      </c>
      <c r="M98" s="171" t="str">
        <f>IF(M$93=M$4,SUMPRODUCT(M$77:M$82,$L$86:$L$91),"")</f>
        <v/>
      </c>
      <c r="N98" s="171" t="str">
        <f t="shared" ref="N98:T98" si="43">IF(N$94=N$4,SUMPRODUCT(N$77:N$82,$L$86:$L$91),"")</f>
        <v/>
      </c>
      <c r="O98" s="171" t="str">
        <f t="shared" si="43"/>
        <v/>
      </c>
      <c r="P98" s="171">
        <f t="shared" si="43"/>
        <v>0</v>
      </c>
      <c r="Q98" s="171">
        <f t="shared" si="43"/>
        <v>0</v>
      </c>
      <c r="R98" s="171">
        <f t="shared" si="43"/>
        <v>0</v>
      </c>
      <c r="S98" s="171">
        <f t="shared" si="43"/>
        <v>0</v>
      </c>
      <c r="T98" s="171">
        <f t="shared" si="43"/>
        <v>0</v>
      </c>
      <c r="U98" s="198"/>
      <c r="V98" s="166"/>
      <c r="W98" s="17"/>
      <c r="X98" s="82"/>
    </row>
    <row r="99" spans="1:34" outlineLevel="1">
      <c r="A99" s="17"/>
      <c r="B99" s="17"/>
      <c r="C99" s="167">
        <v>0</v>
      </c>
      <c r="D99" s="120" t="s">
        <v>99</v>
      </c>
      <c r="E99" s="120" t="s">
        <v>116</v>
      </c>
      <c r="F99" s="120" t="s">
        <v>111</v>
      </c>
      <c r="G99" s="120"/>
      <c r="H99" s="120"/>
      <c r="I99" s="120"/>
      <c r="J99" s="171" t="str">
        <f>IF(J$93=J$4,SUMPRODUCT(J$77:J$82,$M$86:$M$91),"")</f>
        <v/>
      </c>
      <c r="K99" s="171" t="str">
        <f>IF(K$93=K$4,SUMPRODUCT(K$77:K$82,$M$86:$M$91),"")</f>
        <v/>
      </c>
      <c r="L99" s="171" t="str">
        <f>IF(L$93=L$4,SUMPRODUCT(L$77:L$82,$M$86:$M$91),"")</f>
        <v/>
      </c>
      <c r="M99" s="171" t="str">
        <f>IF(M$93=M$4,SUMPRODUCT(M$77:M$82,$M$86:$M$91),"")</f>
        <v/>
      </c>
      <c r="N99" s="171" t="str">
        <f t="shared" ref="N99:T99" si="44">IF(N$94=N$4,SUMPRODUCT(N$77:N$82,$M$86:$M$91),"")</f>
        <v/>
      </c>
      <c r="O99" s="171" t="str">
        <f t="shared" si="44"/>
        <v/>
      </c>
      <c r="P99" s="171">
        <f t="shared" si="44"/>
        <v>0</v>
      </c>
      <c r="Q99" s="171">
        <f t="shared" si="44"/>
        <v>0</v>
      </c>
      <c r="R99" s="171">
        <f t="shared" si="44"/>
        <v>0</v>
      </c>
      <c r="S99" s="171">
        <f t="shared" si="44"/>
        <v>0</v>
      </c>
      <c r="T99" s="171">
        <f t="shared" si="44"/>
        <v>0</v>
      </c>
      <c r="U99" s="198"/>
      <c r="V99" s="166"/>
      <c r="W99" s="17"/>
      <c r="X99" s="82"/>
    </row>
    <row r="100" spans="1:34" outlineLevel="1">
      <c r="A100" s="17"/>
      <c r="B100" s="17"/>
      <c r="C100" s="125"/>
      <c r="D100" s="120"/>
      <c r="E100" s="120"/>
      <c r="F100" s="120"/>
      <c r="G100" s="121"/>
      <c r="H100" s="121"/>
      <c r="I100" s="120"/>
      <c r="J100" s="120"/>
      <c r="K100" s="126"/>
      <c r="L100" s="126"/>
      <c r="M100" s="126"/>
      <c r="N100" s="126"/>
      <c r="O100" s="126"/>
      <c r="P100" s="17"/>
      <c r="Q100" s="17"/>
      <c r="R100" s="17"/>
      <c r="S100" s="17"/>
      <c r="T100" s="17"/>
      <c r="U100" s="17"/>
      <c r="V100" s="17"/>
      <c r="W100" s="17"/>
    </row>
    <row r="101" spans="1:34" customFormat="1" ht="12.75">
      <c r="A101" s="32"/>
      <c r="B101" s="38" t="s">
        <v>122</v>
      </c>
      <c r="C101" s="32"/>
      <c r="D101" s="32"/>
      <c r="E101" s="32"/>
      <c r="F101" s="118"/>
      <c r="G101" s="118"/>
      <c r="H101" s="118"/>
      <c r="I101" s="118"/>
      <c r="J101" s="118"/>
      <c r="K101" s="34"/>
      <c r="L101" s="119"/>
      <c r="M101" s="34"/>
      <c r="N101" s="119"/>
      <c r="O101" s="34"/>
      <c r="P101" s="34"/>
      <c r="Q101" s="34"/>
      <c r="R101" s="34"/>
      <c r="S101" s="34"/>
      <c r="T101" s="34"/>
      <c r="U101" s="34"/>
      <c r="V101" s="34"/>
      <c r="W101" s="34"/>
      <c r="X101" s="35"/>
      <c r="Y101" s="36"/>
      <c r="Z101" s="36"/>
      <c r="AA101" s="36"/>
      <c r="AB101" s="36"/>
      <c r="AC101" s="36"/>
      <c r="AD101" s="36"/>
      <c r="AE101" s="36"/>
      <c r="AF101" s="36"/>
      <c r="AG101" s="37"/>
      <c r="AH101" s="37"/>
    </row>
    <row r="102" spans="1:34" outlineLevel="1">
      <c r="A102" s="17"/>
      <c r="B102" s="17"/>
      <c r="C102" s="17"/>
      <c r="D102" s="120"/>
      <c r="E102" s="120"/>
      <c r="F102" s="120"/>
      <c r="G102" s="121"/>
      <c r="H102" s="121"/>
      <c r="I102" s="120"/>
      <c r="J102" s="120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</row>
    <row r="103" spans="1:34" outlineLevel="1">
      <c r="A103" s="17"/>
      <c r="B103" s="17"/>
      <c r="C103" s="122" t="s">
        <v>123</v>
      </c>
      <c r="D103" s="121" t="s">
        <v>35</v>
      </c>
      <c r="E103" s="121" t="s">
        <v>58</v>
      </c>
      <c r="F103" s="121" t="s">
        <v>62</v>
      </c>
      <c r="G103" s="121"/>
      <c r="H103" s="121"/>
      <c r="I103" s="120"/>
      <c r="J103" s="138" t="str">
        <f t="shared" ref="J103:U103" si="45">IF(YEAR(J$4)&gt;=FPFirstYear,IF(YEAR(J$4)&lt;=FPLastYear,J$4,""),"")</f>
        <v/>
      </c>
      <c r="K103" s="138" t="str">
        <f t="shared" si="45"/>
        <v/>
      </c>
      <c r="L103" s="138" t="str">
        <f t="shared" si="45"/>
        <v/>
      </c>
      <c r="M103" s="138" t="str">
        <f t="shared" si="45"/>
        <v/>
      </c>
      <c r="N103" s="138" t="str">
        <f t="shared" si="45"/>
        <v/>
      </c>
      <c r="O103" s="138" t="str">
        <f t="shared" si="45"/>
        <v/>
      </c>
      <c r="P103" s="138">
        <f t="shared" si="45"/>
        <v>46539</v>
      </c>
      <c r="Q103" s="138">
        <f t="shared" si="45"/>
        <v>46905</v>
      </c>
      <c r="R103" s="138">
        <f t="shared" si="45"/>
        <v>47270</v>
      </c>
      <c r="S103" s="138">
        <f t="shared" si="45"/>
        <v>47635</v>
      </c>
      <c r="T103" s="138">
        <f t="shared" si="45"/>
        <v>48000</v>
      </c>
      <c r="U103" s="138" t="str">
        <f t="shared" si="45"/>
        <v/>
      </c>
      <c r="V103" s="17"/>
      <c r="W103" s="17"/>
    </row>
    <row r="104" spans="1:34" outlineLevel="1">
      <c r="A104" s="17"/>
      <c r="B104" s="17"/>
      <c r="C104" s="125"/>
      <c r="D104" s="120"/>
      <c r="E104" s="120"/>
      <c r="F104" s="120"/>
      <c r="G104" s="121"/>
      <c r="H104" s="121"/>
      <c r="I104" s="120"/>
      <c r="J104" s="120"/>
      <c r="K104" s="126"/>
      <c r="L104" s="126"/>
      <c r="M104" s="126"/>
      <c r="N104" s="126"/>
      <c r="O104" s="126"/>
      <c r="P104" s="17"/>
      <c r="Q104" s="17"/>
      <c r="R104" s="17"/>
      <c r="S104" s="17"/>
      <c r="T104" s="17"/>
      <c r="U104" s="17"/>
      <c r="V104" s="17"/>
      <c r="W104" s="17"/>
    </row>
    <row r="105" spans="1:34" outlineLevel="1">
      <c r="A105" s="17"/>
      <c r="B105" s="17"/>
      <c r="C105" s="125" t="s">
        <v>123</v>
      </c>
      <c r="D105" s="120" t="s">
        <v>105</v>
      </c>
      <c r="E105" s="120" t="str">
        <f>percent</f>
        <v>Per cent</v>
      </c>
      <c r="F105" s="120" t="s">
        <v>111</v>
      </c>
      <c r="G105" s="121"/>
      <c r="H105" s="121"/>
      <c r="I105" s="120"/>
      <c r="J105" s="157"/>
      <c r="K105" s="178"/>
      <c r="L105" s="178"/>
      <c r="M105" s="178"/>
      <c r="N105" s="178"/>
      <c r="O105" s="168"/>
      <c r="P105" s="195">
        <v>0</v>
      </c>
      <c r="Q105" s="195">
        <v>0</v>
      </c>
      <c r="R105" s="195">
        <v>0</v>
      </c>
      <c r="S105" s="195">
        <v>0</v>
      </c>
      <c r="T105" s="195">
        <v>0</v>
      </c>
      <c r="U105" s="168"/>
      <c r="V105" s="17"/>
      <c r="W105" s="17"/>
    </row>
    <row r="106" spans="1:34" outlineLevel="1">
      <c r="A106" s="17"/>
      <c r="B106" s="17"/>
      <c r="C106" s="125"/>
      <c r="D106" s="120"/>
      <c r="E106" s="120"/>
      <c r="F106" s="120"/>
      <c r="G106" s="121"/>
      <c r="H106" s="121"/>
      <c r="I106" s="120"/>
      <c r="J106" s="120"/>
      <c r="K106" s="126"/>
      <c r="L106" s="126"/>
      <c r="M106" s="126"/>
      <c r="N106" s="126"/>
      <c r="O106" s="126"/>
      <c r="P106" s="179"/>
      <c r="Q106" s="179"/>
      <c r="R106" s="179"/>
      <c r="S106" s="179"/>
      <c r="T106" s="179"/>
      <c r="U106" s="179"/>
      <c r="V106" s="17"/>
      <c r="W106" s="17"/>
    </row>
    <row r="107" spans="1:34" outlineLevel="1">
      <c r="A107" s="17"/>
      <c r="B107" s="17"/>
      <c r="C107" s="17" t="s">
        <v>109</v>
      </c>
      <c r="D107" s="120" t="s">
        <v>99</v>
      </c>
      <c r="E107" s="120" t="s">
        <v>110</v>
      </c>
      <c r="F107" s="120" t="s">
        <v>111</v>
      </c>
      <c r="G107" s="120"/>
      <c r="H107" s="120"/>
      <c r="I107" s="120"/>
      <c r="J107" s="165" t="str">
        <f t="shared" ref="J107:U107" si="46">IF(J103=J$4,IF(ISBLANK(J105),"Check","Ok"),"")</f>
        <v/>
      </c>
      <c r="K107" s="165" t="str">
        <f t="shared" si="46"/>
        <v/>
      </c>
      <c r="L107" s="165" t="str">
        <f t="shared" si="46"/>
        <v/>
      </c>
      <c r="M107" s="165" t="str">
        <f t="shared" si="46"/>
        <v/>
      </c>
      <c r="N107" s="165" t="str">
        <f t="shared" si="46"/>
        <v/>
      </c>
      <c r="O107" s="165" t="str">
        <f t="shared" si="46"/>
        <v/>
      </c>
      <c r="P107" s="165" t="str">
        <f t="shared" si="46"/>
        <v>Ok</v>
      </c>
      <c r="Q107" s="165" t="str">
        <f t="shared" si="46"/>
        <v>Ok</v>
      </c>
      <c r="R107" s="165" t="str">
        <f t="shared" si="46"/>
        <v>Ok</v>
      </c>
      <c r="S107" s="165" t="str">
        <f t="shared" si="46"/>
        <v>Ok</v>
      </c>
      <c r="T107" s="165" t="str">
        <f t="shared" si="46"/>
        <v>Ok</v>
      </c>
      <c r="U107" s="165" t="str">
        <f t="shared" si="46"/>
        <v/>
      </c>
      <c r="V107" s="166"/>
      <c r="W107" s="17"/>
      <c r="X107" s="81" t="str">
        <f>IF(COUNTIF(J107:T107,"Check")=0,"Ok","Check")</f>
        <v>Ok</v>
      </c>
    </row>
    <row r="108" spans="1:34" outlineLevel="1">
      <c r="A108" s="17"/>
      <c r="B108" s="17"/>
      <c r="C108" s="125"/>
      <c r="D108" s="120"/>
      <c r="E108" s="120"/>
      <c r="F108" s="120"/>
      <c r="G108" s="121"/>
      <c r="H108" s="121"/>
      <c r="I108" s="120"/>
      <c r="J108" s="120"/>
      <c r="K108" s="126"/>
      <c r="L108" s="126"/>
      <c r="M108" s="126"/>
      <c r="N108" s="126"/>
      <c r="O108" s="126"/>
      <c r="P108" s="17"/>
      <c r="Q108" s="17"/>
      <c r="R108" s="17"/>
      <c r="S108" s="17"/>
      <c r="T108" s="17"/>
      <c r="U108" s="17"/>
      <c r="V108" s="17"/>
      <c r="W108" s="17"/>
    </row>
    <row r="109" spans="1:34" customFormat="1" ht="12.75">
      <c r="A109" s="32"/>
      <c r="B109" s="38" t="s">
        <v>25</v>
      </c>
      <c r="C109" s="32"/>
      <c r="D109" s="32"/>
      <c r="E109" s="32"/>
      <c r="F109" s="118"/>
      <c r="G109" s="118"/>
      <c r="H109" s="118"/>
      <c r="I109" s="118"/>
      <c r="J109" s="118"/>
      <c r="K109" s="34"/>
      <c r="L109" s="119"/>
      <c r="M109" s="34"/>
      <c r="N109" s="119"/>
      <c r="O109" s="34"/>
      <c r="P109" s="34"/>
      <c r="Q109" s="34"/>
      <c r="R109" s="34"/>
      <c r="S109" s="34"/>
      <c r="T109" s="34"/>
      <c r="U109" s="34"/>
      <c r="V109" s="34"/>
      <c r="W109" s="34"/>
      <c r="X109" s="35"/>
      <c r="Y109" s="36"/>
      <c r="Z109" s="36"/>
      <c r="AA109" s="36"/>
      <c r="AB109" s="36"/>
      <c r="AC109" s="36"/>
      <c r="AD109" s="36"/>
      <c r="AE109" s="36"/>
      <c r="AF109" s="36"/>
      <c r="AG109" s="37"/>
      <c r="AH109" s="37"/>
    </row>
  </sheetData>
  <mergeCells count="2">
    <mergeCell ref="K3:M3"/>
    <mergeCell ref="O3:T3"/>
  </mergeCells>
  <conditionalFormatting sqref="J93:M93">
    <cfRule type="cellIs" dxfId="140" priority="8" operator="equal">
      <formula>"Check"</formula>
    </cfRule>
    <cfRule type="cellIs" dxfId="139" priority="9" operator="equal">
      <formula>"Ok"</formula>
    </cfRule>
  </conditionalFormatting>
  <conditionalFormatting sqref="J66:N67 U66:U67 J68:U71">
    <cfRule type="expression" dxfId="138" priority="41">
      <formula>J$64=J$4</formula>
    </cfRule>
  </conditionalFormatting>
  <conditionalFormatting sqref="J38:O38 T38 J39:T40 J41:U45">
    <cfRule type="expression" dxfId="137" priority="66">
      <formula>J$36=J$4</formula>
    </cfRule>
  </conditionalFormatting>
  <conditionalFormatting sqref="J16:U22">
    <cfRule type="cellIs" dxfId="136" priority="33" operator="equal">
      <formula>0</formula>
    </cfRule>
  </conditionalFormatting>
  <conditionalFormatting sqref="J26:U32">
    <cfRule type="cellIs" dxfId="135" priority="34" operator="equal">
      <formula>0</formula>
    </cfRule>
  </conditionalFormatting>
  <conditionalFormatting sqref="J36:U36">
    <cfRule type="expression" dxfId="134" priority="68">
      <formula>J$36=J$4</formula>
    </cfRule>
  </conditionalFormatting>
  <conditionalFormatting sqref="J47:U47">
    <cfRule type="cellIs" dxfId="133" priority="53" operator="equal">
      <formula>"Check"</formula>
    </cfRule>
    <cfRule type="cellIs" dxfId="132" priority="54" operator="equal">
      <formula>"Ok"</formula>
    </cfRule>
  </conditionalFormatting>
  <conditionalFormatting sqref="J49:U49">
    <cfRule type="expression" dxfId="131" priority="38">
      <formula>J$36=J$4</formula>
    </cfRule>
  </conditionalFormatting>
  <conditionalFormatting sqref="J51:U58">
    <cfRule type="expression" dxfId="130" priority="19">
      <formula>J$49=J$4</formula>
    </cfRule>
  </conditionalFormatting>
  <conditionalFormatting sqref="J60:U60">
    <cfRule type="cellIs" dxfId="129" priority="77" operator="equal">
      <formula>"Check"</formula>
    </cfRule>
    <cfRule type="cellIs" dxfId="128" priority="78" operator="equal">
      <formula>"Ok"</formula>
    </cfRule>
  </conditionalFormatting>
  <conditionalFormatting sqref="J64:U64">
    <cfRule type="expression" dxfId="127" priority="43">
      <formula>J$64=J$4</formula>
    </cfRule>
  </conditionalFormatting>
  <conditionalFormatting sqref="J73:U73">
    <cfRule type="cellIs" dxfId="126" priority="49" operator="equal">
      <formula>"Check"</formula>
    </cfRule>
    <cfRule type="cellIs" dxfId="125" priority="50" operator="equal">
      <formula>"Ok"</formula>
    </cfRule>
  </conditionalFormatting>
  <conditionalFormatting sqref="J75:U75">
    <cfRule type="expression" dxfId="124" priority="37">
      <formula>J$36=J$4</formula>
    </cfRule>
  </conditionalFormatting>
  <conditionalFormatting sqref="J95:U95">
    <cfRule type="cellIs" dxfId="123" priority="26" operator="equal">
      <formula>"Check"</formula>
    </cfRule>
    <cfRule type="cellIs" dxfId="122" priority="27" operator="equal">
      <formula>"Ok"</formula>
    </cfRule>
  </conditionalFormatting>
  <conditionalFormatting sqref="J103:U103">
    <cfRule type="expression" dxfId="121" priority="36">
      <formula>J$36=J$4</formula>
    </cfRule>
  </conditionalFormatting>
  <conditionalFormatting sqref="J105:U105">
    <cfRule type="expression" dxfId="120" priority="191">
      <formula>J$103=J$4</formula>
    </cfRule>
  </conditionalFormatting>
  <conditionalFormatting sqref="J107:U107">
    <cfRule type="cellIs" dxfId="119" priority="58" operator="equal">
      <formula>"Ok"</formula>
    </cfRule>
    <cfRule type="cellIs" dxfId="118" priority="57" operator="equal">
      <formula>"Check"</formula>
    </cfRule>
  </conditionalFormatting>
  <conditionalFormatting sqref="L86:M88 K89:M91">
    <cfRule type="expression" dxfId="117" priority="192">
      <formula>K$84=K$4</formula>
    </cfRule>
  </conditionalFormatting>
  <conditionalFormatting sqref="N94:U94">
    <cfRule type="expression" dxfId="116" priority="190">
      <formula>N$94=N$4</formula>
    </cfRule>
  </conditionalFormatting>
  <conditionalFormatting sqref="O66:T67">
    <cfRule type="expression" dxfId="115" priority="1">
      <formula>O$10=O$4</formula>
    </cfRule>
  </conditionalFormatting>
  <conditionalFormatting sqref="P38:T45">
    <cfRule type="expression" dxfId="114" priority="21">
      <formula>P$36=P$4</formula>
    </cfRule>
  </conditionalFormatting>
  <conditionalFormatting sqref="T1:U1">
    <cfRule type="cellIs" dxfId="113" priority="97" operator="equal">
      <formula>"Check"</formula>
    </cfRule>
    <cfRule type="cellIs" dxfId="112" priority="98" operator="equal">
      <formula>"Ok"</formula>
    </cfRule>
  </conditionalFormatting>
  <conditionalFormatting sqref="X1">
    <cfRule type="cellIs" dxfId="111" priority="133" operator="equal">
      <formula>"Check"</formula>
    </cfRule>
    <cfRule type="cellIs" dxfId="110" priority="134" operator="equal">
      <formula>"Ok"</formula>
    </cfRule>
  </conditionalFormatting>
  <conditionalFormatting sqref="X47">
    <cfRule type="cellIs" dxfId="109" priority="55" operator="equal">
      <formula>"Check"</formula>
    </cfRule>
    <cfRule type="cellIs" dxfId="108" priority="56" operator="equal">
      <formula>"Ok"</formula>
    </cfRule>
  </conditionalFormatting>
  <conditionalFormatting sqref="X60">
    <cfRule type="cellIs" dxfId="107" priority="85" operator="equal">
      <formula>"Check"</formula>
    </cfRule>
    <cfRule type="cellIs" dxfId="106" priority="86" operator="equal">
      <formula>"Ok"</formula>
    </cfRule>
  </conditionalFormatting>
  <conditionalFormatting sqref="X73">
    <cfRule type="cellIs" dxfId="105" priority="51" operator="equal">
      <formula>"Check"</formula>
    </cfRule>
    <cfRule type="cellIs" dxfId="104" priority="52" operator="equal">
      <formula>"Ok"</formula>
    </cfRule>
  </conditionalFormatting>
  <conditionalFormatting sqref="X93:X99">
    <cfRule type="cellIs" dxfId="103" priority="7" operator="equal">
      <formula>"Ok"</formula>
    </cfRule>
    <cfRule type="cellIs" dxfId="102" priority="6" operator="equal">
      <formula>"Check"</formula>
    </cfRule>
  </conditionalFormatting>
  <conditionalFormatting sqref="X107">
    <cfRule type="cellIs" dxfId="101" priority="59" operator="equal">
      <formula>"Check"</formula>
    </cfRule>
    <cfRule type="cellIs" dxfId="100" priority="60" operator="equal">
      <formula>"Ok"</formula>
    </cfRule>
  </conditionalFormatting>
  <dataValidations disablePrompts="1" count="2">
    <dataValidation type="list" allowBlank="1" showInputMessage="1" showErrorMessage="1" sqref="F108 F74 F100 F85 F83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T15" sqref="T15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26</v>
      </c>
      <c r="L1" s="28" t="s">
        <v>27</v>
      </c>
      <c r="M1" s="46" t="s">
        <v>28</v>
      </c>
      <c r="N1" s="11" t="s">
        <v>29</v>
      </c>
      <c r="O1" s="12" t="s">
        <v>30</v>
      </c>
      <c r="R1" s="28" t="s">
        <v>31</v>
      </c>
      <c r="S1" s="29" t="str">
        <f>IF(COUNTA($W$8:$W$236)=COUNTIF($W$8:$W$236,"OK"),"OK","Check")</f>
        <v>OK</v>
      </c>
      <c r="U1" s="188" t="s">
        <v>32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43</v>
      </c>
      <c r="K3" s="100"/>
      <c r="L3" s="100"/>
      <c r="M3" s="105"/>
      <c r="N3" s="215"/>
      <c r="O3" s="215"/>
      <c r="P3" s="215"/>
      <c r="Q3" s="215"/>
      <c r="R3" s="215"/>
      <c r="S3" s="215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35</v>
      </c>
      <c r="E4" s="56" t="s">
        <v>58</v>
      </c>
      <c r="F4" s="144" t="s">
        <v>62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0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124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125</v>
      </c>
      <c r="D10" s="121" t="s">
        <v>35</v>
      </c>
      <c r="E10" s="121" t="s">
        <v>58</v>
      </c>
      <c r="F10" s="121" t="s">
        <v>62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126</v>
      </c>
      <c r="D12" s="120" t="s">
        <v>41</v>
      </c>
      <c r="E12" s="120" t="str">
        <f t="shared" ref="E12:E19" si="1">units</f>
        <v>$millions</v>
      </c>
      <c r="F12" s="139">
        <f t="shared" ref="F12:F19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82">
        <v>6.35</v>
      </c>
      <c r="P12" s="182">
        <v>7.01</v>
      </c>
      <c r="Q12" s="182">
        <v>6.32</v>
      </c>
      <c r="R12" s="182">
        <v>6.6</v>
      </c>
      <c r="S12" s="182">
        <v>6.23</v>
      </c>
      <c r="T12" s="181"/>
      <c r="U12" s="17"/>
      <c r="V12" s="17"/>
      <c r="W12" s="81" t="str">
        <f t="shared" ref="W12:W19" si="3">IF(ISBLANK(C12),IF(COUNT(J12:T12)=0,"Ok","Check"),IF(COUNT(J12:T12)=COUNT(J$10:T$10),"Ok","Check"))</f>
        <v>Ok</v>
      </c>
    </row>
    <row r="13" spans="1:30" outlineLevel="1">
      <c r="A13" s="17"/>
      <c r="B13" s="17"/>
      <c r="C13" s="127" t="s">
        <v>127</v>
      </c>
      <c r="D13" s="120" t="s">
        <v>41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82">
        <v>11.054080000000001</v>
      </c>
      <c r="P13" s="182">
        <v>4.3397120000000005</v>
      </c>
      <c r="Q13" s="182">
        <v>3.9301120000000003</v>
      </c>
      <c r="R13" s="182">
        <v>0.33177600000000002</v>
      </c>
      <c r="S13" s="182">
        <v>-0.52428799999999998</v>
      </c>
      <c r="T13" s="181"/>
      <c r="U13" s="17"/>
      <c r="V13" s="17"/>
      <c r="W13" s="81" t="str">
        <f t="shared" si="3"/>
        <v>Ok</v>
      </c>
    </row>
    <row r="14" spans="1:30" outlineLevel="1">
      <c r="A14" s="17"/>
      <c r="B14" s="17"/>
      <c r="C14" s="127" t="s">
        <v>128</v>
      </c>
      <c r="D14" s="120" t="s">
        <v>41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82">
        <v>0.03</v>
      </c>
      <c r="P14" s="182">
        <v>0.28000000000000003</v>
      </c>
      <c r="Q14" s="182">
        <v>0.28999999999999998</v>
      </c>
      <c r="R14" s="182">
        <v>0.28999999999999998</v>
      </c>
      <c r="S14" s="182">
        <v>0.28999999999999998</v>
      </c>
      <c r="T14" s="181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 t="s">
        <v>129</v>
      </c>
      <c r="D15" s="120" t="s">
        <v>41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82">
        <v>0.73634239401795709</v>
      </c>
      <c r="P15" s="182">
        <v>0.81434033525839977</v>
      </c>
      <c r="Q15" s="182">
        <v>0.90102335387077492</v>
      </c>
      <c r="R15" s="182">
        <v>0.85645687237988943</v>
      </c>
      <c r="S15" s="182">
        <v>0.78037353401136011</v>
      </c>
      <c r="T15" s="181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 t="s">
        <v>130</v>
      </c>
      <c r="D16" s="120" t="s">
        <v>41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2">
        <v>0.91</v>
      </c>
      <c r="P16" s="182">
        <v>0.91</v>
      </c>
      <c r="Q16" s="182">
        <v>0.91</v>
      </c>
      <c r="R16" s="182">
        <v>0.91</v>
      </c>
      <c r="S16" s="182">
        <v>0.91</v>
      </c>
      <c r="T16" s="181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/>
      <c r="D17" s="120" t="s">
        <v>41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82"/>
      <c r="P17" s="182"/>
      <c r="Q17" s="182"/>
      <c r="R17" s="182"/>
      <c r="S17" s="182"/>
      <c r="T17" s="181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/>
      <c r="D18" s="120" t="s">
        <v>41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81"/>
      <c r="P18" s="181"/>
      <c r="Q18" s="181"/>
      <c r="R18" s="181"/>
      <c r="S18" s="181"/>
      <c r="T18" s="181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/>
      <c r="D19" s="120" t="s">
        <v>41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81"/>
      <c r="P19" s="181"/>
      <c r="Q19" s="181"/>
      <c r="R19" s="181"/>
      <c r="S19" s="181"/>
      <c r="T19" s="181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7"/>
      <c r="D20" s="120"/>
      <c r="E20" s="120"/>
      <c r="F20" s="120"/>
      <c r="G20" s="121"/>
      <c r="H20" s="121"/>
      <c r="I20" s="120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</row>
    <row r="21" spans="1:30" outlineLevel="1">
      <c r="A21" s="17"/>
      <c r="B21" s="17"/>
      <c r="C21" s="17" t="s">
        <v>109</v>
      </c>
      <c r="D21" s="120" t="s">
        <v>99</v>
      </c>
      <c r="E21" s="120" t="s">
        <v>110</v>
      </c>
      <c r="F21" s="120" t="s">
        <v>111</v>
      </c>
      <c r="G21" s="120"/>
      <c r="H21" s="120"/>
      <c r="I21" s="120"/>
      <c r="J21" s="165" t="str">
        <f t="shared" ref="J21:T21" si="4">IF(J10=J4,IF(COUNTA($C12:$C19)=COUNT(J12:J19),"Ok","Check"),"")</f>
        <v/>
      </c>
      <c r="K21" s="165" t="str">
        <f t="shared" si="4"/>
        <v/>
      </c>
      <c r="L21" s="165" t="str">
        <f t="shared" si="4"/>
        <v/>
      </c>
      <c r="M21" s="165" t="str">
        <f t="shared" si="4"/>
        <v/>
      </c>
      <c r="N21" s="165" t="str">
        <f t="shared" si="4"/>
        <v/>
      </c>
      <c r="O21" s="165" t="str">
        <f t="shared" si="4"/>
        <v>Ok</v>
      </c>
      <c r="P21" s="165" t="str">
        <f t="shared" si="4"/>
        <v>Ok</v>
      </c>
      <c r="Q21" s="165" t="str">
        <f t="shared" si="4"/>
        <v>Ok</v>
      </c>
      <c r="R21" s="165" t="str">
        <f t="shared" si="4"/>
        <v>Ok</v>
      </c>
      <c r="S21" s="165" t="str">
        <f t="shared" si="4"/>
        <v>Ok</v>
      </c>
      <c r="T21" s="165" t="str">
        <f t="shared" si="4"/>
        <v/>
      </c>
      <c r="U21" s="166"/>
      <c r="V21" s="17"/>
      <c r="W21" s="81" t="str">
        <f>IF(COUNTIF(J21:T21,"Check")=0,"Ok","Check")</f>
        <v>Ok</v>
      </c>
    </row>
    <row r="22" spans="1:30">
      <c r="A22" s="17"/>
      <c r="B22" s="17"/>
      <c r="C22" s="17"/>
      <c r="D22" s="120"/>
      <c r="E22" s="120"/>
      <c r="F22" s="120"/>
      <c r="G22" s="121"/>
      <c r="H22" s="121"/>
      <c r="I22" s="120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</row>
    <row r="23" spans="1:30" customFormat="1" ht="12.75">
      <c r="A23" s="32"/>
      <c r="B23" s="38" t="s">
        <v>131</v>
      </c>
      <c r="C23" s="32"/>
      <c r="D23" s="32"/>
      <c r="E23" s="32"/>
      <c r="F23" s="118"/>
      <c r="G23" s="118"/>
      <c r="H23" s="118"/>
      <c r="I23" s="118"/>
      <c r="J23" s="34"/>
      <c r="K23" s="119"/>
      <c r="L23" s="34"/>
      <c r="M23" s="119"/>
      <c r="N23" s="34"/>
      <c r="O23" s="34"/>
      <c r="P23" s="34"/>
      <c r="Q23" s="34"/>
      <c r="R23" s="34"/>
      <c r="S23" s="34"/>
      <c r="T23" s="34"/>
      <c r="U23" s="34"/>
      <c r="V23" s="119"/>
      <c r="W23" s="35"/>
      <c r="X23" s="36"/>
      <c r="Y23" s="36"/>
      <c r="Z23" s="36"/>
      <c r="AA23" s="36"/>
      <c r="AB23" s="36"/>
      <c r="AC23" s="37"/>
      <c r="AD23" s="37"/>
    </row>
    <row r="24" spans="1:30" outlineLevel="1">
      <c r="A24" s="17"/>
      <c r="B24" s="17"/>
      <c r="C24" s="17"/>
      <c r="D24" s="120"/>
      <c r="E24" s="120"/>
      <c r="F24" s="120"/>
      <c r="G24" s="121"/>
      <c r="H24" s="121"/>
      <c r="I24" s="120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</row>
    <row r="25" spans="1:30" outlineLevel="1">
      <c r="A25" s="17"/>
      <c r="B25" s="17"/>
      <c r="C25" s="122" t="s">
        <v>132</v>
      </c>
      <c r="D25" s="121" t="s">
        <v>35</v>
      </c>
      <c r="E25" s="121" t="s">
        <v>58</v>
      </c>
      <c r="F25" s="121" t="s">
        <v>62</v>
      </c>
      <c r="G25" s="121"/>
      <c r="H25" s="121"/>
      <c r="I25" s="120"/>
      <c r="J25" s="138" t="str">
        <f t="shared" ref="J25:T25" si="5">IF(YEAR(J$4)&gt;=FPFirstYear,IF(YEAR(J$4)&lt;=FPLastYear,J$4,""),"")</f>
        <v/>
      </c>
      <c r="K25" s="138" t="str">
        <f t="shared" si="5"/>
        <v/>
      </c>
      <c r="L25" s="138" t="str">
        <f t="shared" si="5"/>
        <v/>
      </c>
      <c r="M25" s="138" t="str">
        <f t="shared" si="5"/>
        <v/>
      </c>
      <c r="N25" s="138" t="str">
        <f t="shared" si="5"/>
        <v/>
      </c>
      <c r="O25" s="138">
        <f t="shared" si="5"/>
        <v>46539</v>
      </c>
      <c r="P25" s="138">
        <f t="shared" si="5"/>
        <v>46905</v>
      </c>
      <c r="Q25" s="138">
        <f t="shared" si="5"/>
        <v>47270</v>
      </c>
      <c r="R25" s="138">
        <f t="shared" si="5"/>
        <v>47635</v>
      </c>
      <c r="S25" s="138">
        <f t="shared" si="5"/>
        <v>48000</v>
      </c>
      <c r="T25" s="138" t="str">
        <f t="shared" si="5"/>
        <v/>
      </c>
      <c r="U25" s="17"/>
      <c r="V25" s="17"/>
    </row>
    <row r="26" spans="1:30" outlineLevel="1">
      <c r="A26" s="17"/>
      <c r="B26" s="17"/>
      <c r="C26" s="17"/>
      <c r="D26" s="120"/>
      <c r="E26" s="120"/>
      <c r="F26" s="120"/>
      <c r="G26" s="121"/>
      <c r="H26" s="121"/>
      <c r="I26" s="120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</row>
    <row r="27" spans="1:30" outlineLevel="1">
      <c r="A27" s="17"/>
      <c r="B27" s="17"/>
      <c r="C27" s="183" t="s">
        <v>71</v>
      </c>
      <c r="D27" s="120" t="s">
        <v>41</v>
      </c>
      <c r="E27" s="120" t="str">
        <f>units</f>
        <v>$millions</v>
      </c>
      <c r="F27" s="139">
        <v>46174</v>
      </c>
      <c r="G27" s="121"/>
      <c r="H27" s="121"/>
      <c r="I27" s="120"/>
      <c r="J27" s="158"/>
      <c r="K27" s="158"/>
      <c r="L27" s="158"/>
      <c r="M27" s="158"/>
      <c r="N27" s="181"/>
      <c r="O27" s="182">
        <v>3.6294599999999999</v>
      </c>
      <c r="P27" s="182">
        <v>3.7330900000000002</v>
      </c>
      <c r="Q27" s="182">
        <v>3.8728699999999998</v>
      </c>
      <c r="R27" s="182">
        <v>3.9765000000000001</v>
      </c>
      <c r="S27" s="182">
        <v>4.0728999999999997</v>
      </c>
      <c r="T27" s="181"/>
      <c r="U27" s="17"/>
      <c r="V27" s="17"/>
      <c r="W27" s="81" t="str">
        <f>IF(ISBLANK(C27),IF(COUNT(J27:T27)=0,"Ok","Check"),IF(COUNT(J27:T27)=COUNT(J$10:T$10),"Ok","Check"))</f>
        <v>Ok</v>
      </c>
    </row>
    <row r="28" spans="1:30" outlineLevel="1">
      <c r="A28" s="17"/>
      <c r="B28" s="17"/>
      <c r="C28" s="183"/>
      <c r="D28" s="120" t="s">
        <v>41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81"/>
      <c r="O28" s="181"/>
      <c r="P28" s="181"/>
      <c r="Q28" s="181"/>
      <c r="R28" s="181"/>
      <c r="S28" s="181"/>
      <c r="T28" s="181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3"/>
      <c r="D29" s="120" t="s">
        <v>41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81"/>
      <c r="O29" s="181"/>
      <c r="P29" s="181"/>
      <c r="Q29" s="181"/>
      <c r="R29" s="181"/>
      <c r="S29" s="181"/>
      <c r="T29" s="181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84"/>
      <c r="D30" s="120" t="s">
        <v>41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81"/>
      <c r="O30" s="181"/>
      <c r="P30" s="181"/>
      <c r="Q30" s="181"/>
      <c r="R30" s="181"/>
      <c r="S30" s="181"/>
      <c r="T30" s="181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27"/>
      <c r="D31" s="120" t="s">
        <v>41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1"/>
      <c r="O31" s="181"/>
      <c r="P31" s="181"/>
      <c r="Q31" s="181"/>
      <c r="R31" s="181"/>
      <c r="S31" s="181"/>
      <c r="T31" s="181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7"/>
      <c r="D32" s="120"/>
      <c r="E32" s="120"/>
      <c r="F32" s="120"/>
      <c r="G32" s="121"/>
      <c r="H32" s="121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</row>
    <row r="33" spans="1:30" outlineLevel="1">
      <c r="A33" s="17"/>
      <c r="B33" s="17"/>
      <c r="C33" s="17" t="s">
        <v>109</v>
      </c>
      <c r="D33" s="120" t="s">
        <v>99</v>
      </c>
      <c r="E33" s="120" t="s">
        <v>110</v>
      </c>
      <c r="F33" s="120" t="s">
        <v>111</v>
      </c>
      <c r="G33" s="120"/>
      <c r="H33" s="120"/>
      <c r="I33" s="120"/>
      <c r="J33" s="165" t="str">
        <f t="shared" ref="J33:T33" si="6">IF(J25=J4,IF(COUNTA($C27:$C31)=COUNT(J27:J31),"Ok","Check"),"")</f>
        <v/>
      </c>
      <c r="K33" s="165" t="str">
        <f t="shared" si="6"/>
        <v/>
      </c>
      <c r="L33" s="165" t="str">
        <f t="shared" si="6"/>
        <v/>
      </c>
      <c r="M33" s="165" t="str">
        <f t="shared" si="6"/>
        <v/>
      </c>
      <c r="N33" s="165" t="str">
        <f t="shared" si="6"/>
        <v/>
      </c>
      <c r="O33" s="165" t="str">
        <f t="shared" si="6"/>
        <v>Ok</v>
      </c>
      <c r="P33" s="165" t="str">
        <f t="shared" si="6"/>
        <v>Ok</v>
      </c>
      <c r="Q33" s="165" t="str">
        <f t="shared" si="6"/>
        <v>Ok</v>
      </c>
      <c r="R33" s="165" t="str">
        <f t="shared" si="6"/>
        <v>Ok</v>
      </c>
      <c r="S33" s="165" t="str">
        <f t="shared" si="6"/>
        <v>Ok</v>
      </c>
      <c r="T33" s="165" t="str">
        <f t="shared" si="6"/>
        <v/>
      </c>
      <c r="U33" s="166"/>
      <c r="V33" s="17"/>
      <c r="W33" s="81" t="str">
        <f>IF(COUNTIF(J33:T33,"Check")=0,"Ok","Check")</f>
        <v>Ok</v>
      </c>
    </row>
    <row r="34" spans="1:30">
      <c r="A34" s="17"/>
      <c r="B34" s="17"/>
      <c r="C34" s="17"/>
      <c r="D34" s="120"/>
      <c r="E34" s="120"/>
      <c r="F34" s="120"/>
      <c r="G34" s="121"/>
      <c r="H34" s="121"/>
      <c r="I34" s="120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</row>
    <row r="35" spans="1:30" customFormat="1" ht="12.75">
      <c r="A35" s="32"/>
      <c r="B35" s="38" t="s">
        <v>133</v>
      </c>
      <c r="C35" s="32"/>
      <c r="D35" s="32"/>
      <c r="E35" s="32"/>
      <c r="F35" s="118"/>
      <c r="G35" s="118"/>
      <c r="H35" s="118"/>
      <c r="I35" s="118"/>
      <c r="J35" s="34"/>
      <c r="K35" s="119"/>
      <c r="L35" s="34"/>
      <c r="M35" s="119"/>
      <c r="N35" s="34"/>
      <c r="O35" s="34"/>
      <c r="P35" s="34"/>
      <c r="Q35" s="34"/>
      <c r="R35" s="34"/>
      <c r="S35" s="34"/>
      <c r="T35" s="34"/>
      <c r="U35" s="34"/>
      <c r="V35" s="119"/>
      <c r="W35" s="35"/>
      <c r="X35" s="36"/>
      <c r="Y35" s="36"/>
      <c r="Z35" s="36"/>
      <c r="AA35" s="36"/>
      <c r="AB35" s="36"/>
      <c r="AC35" s="37"/>
      <c r="AD35" s="37"/>
    </row>
    <row r="36" spans="1:30" outlineLevel="1">
      <c r="A36" s="17"/>
      <c r="B36" s="17"/>
      <c r="C36" s="17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</row>
    <row r="37" spans="1:30" outlineLevel="1">
      <c r="A37" s="17"/>
      <c r="B37" s="17"/>
      <c r="C37" s="122" t="s">
        <v>134</v>
      </c>
      <c r="D37" s="121" t="s">
        <v>35</v>
      </c>
      <c r="E37" s="121" t="s">
        <v>58</v>
      </c>
      <c r="F37" s="121" t="s">
        <v>62</v>
      </c>
      <c r="G37" s="121"/>
      <c r="H37" s="121"/>
      <c r="I37" s="120"/>
      <c r="J37" s="138" t="str">
        <f t="shared" ref="J37:T37" si="7">IF(YEAR(J$4)&gt;=FPFirstYear,IF(YEAR(J$4)&lt;=FPLastYear,J$4,""),"")</f>
        <v/>
      </c>
      <c r="K37" s="138" t="str">
        <f t="shared" si="7"/>
        <v/>
      </c>
      <c r="L37" s="138" t="str">
        <f t="shared" si="7"/>
        <v/>
      </c>
      <c r="M37" s="138" t="str">
        <f t="shared" si="7"/>
        <v/>
      </c>
      <c r="N37" s="138" t="str">
        <f t="shared" si="7"/>
        <v/>
      </c>
      <c r="O37" s="138">
        <f t="shared" si="7"/>
        <v>46539</v>
      </c>
      <c r="P37" s="138">
        <f t="shared" si="7"/>
        <v>46905</v>
      </c>
      <c r="Q37" s="138">
        <f t="shared" si="7"/>
        <v>47270</v>
      </c>
      <c r="R37" s="138">
        <f t="shared" si="7"/>
        <v>47635</v>
      </c>
      <c r="S37" s="138">
        <f t="shared" si="7"/>
        <v>48000</v>
      </c>
      <c r="T37" s="138" t="str">
        <f t="shared" si="7"/>
        <v/>
      </c>
      <c r="U37" s="17"/>
      <c r="V37" s="17"/>
    </row>
    <row r="38" spans="1:30" outlineLevel="1">
      <c r="A38" s="17"/>
      <c r="B38" s="17"/>
      <c r="C38" s="17"/>
      <c r="D38" s="120"/>
      <c r="E38" s="120"/>
      <c r="F38" s="120"/>
      <c r="G38" s="121"/>
      <c r="H38" s="121"/>
      <c r="I38" s="120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</row>
    <row r="39" spans="1:30" outlineLevel="1">
      <c r="A39" s="17"/>
      <c r="B39" s="17"/>
      <c r="C39" s="125" t="s">
        <v>86</v>
      </c>
      <c r="D39" s="120" t="s">
        <v>135</v>
      </c>
      <c r="E39" s="120" t="s">
        <v>50</v>
      </c>
      <c r="F39" s="139">
        <f>DATE(PPLastYear,MONTH(month),1)</f>
        <v>46174</v>
      </c>
      <c r="G39" s="121"/>
      <c r="H39" s="121"/>
      <c r="I39" s="121"/>
      <c r="J39" s="181"/>
      <c r="K39" s="181"/>
      <c r="L39" s="181"/>
      <c r="M39" s="181"/>
      <c r="N39" s="181"/>
      <c r="O39" s="181">
        <v>1.0721354657874682</v>
      </c>
      <c r="P39" s="181">
        <v>1.0820507265450714</v>
      </c>
      <c r="Q39" s="181">
        <v>1.0973108571456103</v>
      </c>
      <c r="R39" s="181">
        <v>1.1081572611436401</v>
      </c>
      <c r="S39" s="181">
        <v>1.1208236630969013</v>
      </c>
      <c r="T39" s="181"/>
      <c r="U39" s="17"/>
      <c r="V39" s="17"/>
    </row>
    <row r="40" spans="1:30" outlineLevel="1">
      <c r="A40" s="17"/>
      <c r="B40" s="17"/>
      <c r="C40" s="17"/>
      <c r="D40" s="120"/>
      <c r="E40" s="120"/>
      <c r="F40" s="120"/>
      <c r="G40" s="121"/>
      <c r="H40" s="121"/>
      <c r="I40" s="120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</row>
    <row r="41" spans="1:30" outlineLevel="1">
      <c r="A41" s="17"/>
      <c r="B41" s="17"/>
      <c r="C41" s="17" t="s">
        <v>109</v>
      </c>
      <c r="D41" s="120" t="s">
        <v>99</v>
      </c>
      <c r="E41" s="120" t="s">
        <v>110</v>
      </c>
      <c r="F41" s="120" t="s">
        <v>111</v>
      </c>
      <c r="G41" s="120"/>
      <c r="H41" s="120"/>
      <c r="I41" s="120"/>
      <c r="J41" s="165" t="str">
        <f t="shared" ref="J41:T41" si="8">IF(J37=J4,IF(ISBLANK(J39),"Check","Ok"),"")</f>
        <v/>
      </c>
      <c r="K41" s="165" t="str">
        <f t="shared" si="8"/>
        <v/>
      </c>
      <c r="L41" s="165" t="str">
        <f t="shared" si="8"/>
        <v/>
      </c>
      <c r="M41" s="165" t="str">
        <f t="shared" si="8"/>
        <v/>
      </c>
      <c r="N41" s="165" t="str">
        <f t="shared" si="8"/>
        <v/>
      </c>
      <c r="O41" s="165" t="str">
        <f t="shared" si="8"/>
        <v>Ok</v>
      </c>
      <c r="P41" s="165" t="str">
        <f t="shared" si="8"/>
        <v>Ok</v>
      </c>
      <c r="Q41" s="165" t="str">
        <f t="shared" si="8"/>
        <v>Ok</v>
      </c>
      <c r="R41" s="165" t="str">
        <f t="shared" si="8"/>
        <v>Ok</v>
      </c>
      <c r="S41" s="165" t="str">
        <f t="shared" si="8"/>
        <v>Ok</v>
      </c>
      <c r="T41" s="165" t="str">
        <f t="shared" si="8"/>
        <v/>
      </c>
      <c r="U41" s="166"/>
      <c r="V41" s="17"/>
      <c r="W41" s="81" t="str">
        <f>IF(COUNTIF(J41:T41,"Check")=0,"Ok","Check")</f>
        <v>Ok</v>
      </c>
    </row>
    <row r="42" spans="1:30">
      <c r="A42" s="17"/>
      <c r="B42" s="17"/>
      <c r="C42" s="17"/>
      <c r="D42" s="120"/>
      <c r="E42" s="120"/>
      <c r="F42" s="120"/>
      <c r="G42" s="121"/>
      <c r="H42" s="121"/>
      <c r="I42" s="120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</row>
    <row r="43" spans="1:30" customFormat="1" ht="12.75">
      <c r="A43" s="32"/>
      <c r="B43" s="38" t="s">
        <v>25</v>
      </c>
      <c r="C43" s="32"/>
      <c r="D43" s="32"/>
      <c r="E43" s="32"/>
      <c r="F43" s="118"/>
      <c r="G43" s="118"/>
      <c r="H43" s="118"/>
      <c r="I43" s="118"/>
      <c r="J43" s="34"/>
      <c r="K43" s="119"/>
      <c r="L43" s="34"/>
      <c r="M43" s="119"/>
      <c r="N43" s="34"/>
      <c r="O43" s="34"/>
      <c r="P43" s="34"/>
      <c r="Q43" s="34"/>
      <c r="R43" s="34"/>
      <c r="S43" s="34"/>
      <c r="T43" s="34"/>
      <c r="U43" s="34"/>
      <c r="V43" s="119"/>
      <c r="W43" s="35"/>
      <c r="X43" s="36"/>
      <c r="Y43" s="36"/>
      <c r="Z43" s="36"/>
      <c r="AA43" s="36"/>
      <c r="AB43" s="36"/>
      <c r="AC43" s="37"/>
      <c r="AD43" s="37"/>
    </row>
    <row r="44" spans="1:30" hidden="1">
      <c r="G44" s="20"/>
      <c r="H44" s="20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/>
  </sheetData>
  <mergeCells count="1">
    <mergeCell ref="N3:S3"/>
  </mergeCells>
  <conditionalFormatting sqref="J27:M31 O30:O31">
    <cfRule type="expression" dxfId="99" priority="202">
      <formula>J$25=J$4</formula>
    </cfRule>
  </conditionalFormatting>
  <conditionalFormatting sqref="J10:T10">
    <cfRule type="expression" dxfId="98" priority="39">
      <formula>J$10=J$4</formula>
    </cfRule>
  </conditionalFormatting>
  <conditionalFormatting sqref="J12:T12 O12:S17 J13:N14 T13:T14 J15:T15 J16:N16 T16 J17:T19">
    <cfRule type="expression" dxfId="97" priority="15">
      <formula>J$10=J$4</formula>
    </cfRule>
  </conditionalFormatting>
  <conditionalFormatting sqref="J21:T21">
    <cfRule type="cellIs" dxfId="96" priority="32" operator="equal">
      <formula>"Check"</formula>
    </cfRule>
    <cfRule type="cellIs" dxfId="95" priority="33" operator="equal">
      <formula>"Ok"</formula>
    </cfRule>
  </conditionalFormatting>
  <conditionalFormatting sqref="J25:T25">
    <cfRule type="expression" dxfId="94" priority="17">
      <formula>J$10=J$4</formula>
    </cfRule>
  </conditionalFormatting>
  <conditionalFormatting sqref="J33:T33">
    <cfRule type="cellIs" dxfId="93" priority="28" operator="equal">
      <formula>"Check"</formula>
    </cfRule>
    <cfRule type="cellIs" dxfId="92" priority="29" operator="equal">
      <formula>"Ok"</formula>
    </cfRule>
  </conditionalFormatting>
  <conditionalFormatting sqref="J37:T37">
    <cfRule type="expression" dxfId="91" priority="16">
      <formula>J$10=J$4</formula>
    </cfRule>
  </conditionalFormatting>
  <conditionalFormatting sqref="J39:T39">
    <cfRule type="expression" dxfId="90" priority="205">
      <formula>J$37=J$4</formula>
    </cfRule>
  </conditionalFormatting>
  <conditionalFormatting sqref="J41:T41">
    <cfRule type="cellIs" dxfId="89" priority="23" operator="equal">
      <formula>"Check"</formula>
    </cfRule>
    <cfRule type="cellIs" dxfId="88" priority="24" operator="equal">
      <formula>"Ok"</formula>
    </cfRule>
  </conditionalFormatting>
  <conditionalFormatting sqref="N27:N31">
    <cfRule type="expression" dxfId="87" priority="21">
      <formula>N$10=N$4</formula>
    </cfRule>
  </conditionalFormatting>
  <conditionalFormatting sqref="O27:T29">
    <cfRule type="expression" dxfId="86" priority="1">
      <formula>O$10=O$4</formula>
    </cfRule>
  </conditionalFormatting>
  <conditionalFormatting sqref="P30:T31">
    <cfRule type="expression" dxfId="85" priority="22">
      <formula>P$10=P$4</formula>
    </cfRule>
  </conditionalFormatting>
  <conditionalFormatting sqref="S1 W12:W19">
    <cfRule type="cellIs" dxfId="84" priority="41" operator="equal">
      <formula>"Check"</formula>
    </cfRule>
    <cfRule type="cellIs" dxfId="83" priority="42" operator="equal">
      <formula>"Ok"</formula>
    </cfRule>
  </conditionalFormatting>
  <conditionalFormatting sqref="V1">
    <cfRule type="cellIs" dxfId="82" priority="43" operator="equal">
      <formula>"Check"</formula>
    </cfRule>
    <cfRule type="cellIs" dxfId="81" priority="44" operator="equal">
      <formula>"Ok"</formula>
    </cfRule>
  </conditionalFormatting>
  <conditionalFormatting sqref="W21">
    <cfRule type="cellIs" dxfId="80" priority="34" operator="equal">
      <formula>"Check"</formula>
    </cfRule>
    <cfRule type="cellIs" dxfId="79" priority="35" operator="equal">
      <formula>"Ok"</formula>
    </cfRule>
  </conditionalFormatting>
  <conditionalFormatting sqref="W27:W31">
    <cfRule type="cellIs" dxfId="78" priority="3" operator="equal">
      <formula>"Check"</formula>
    </cfRule>
    <cfRule type="cellIs" dxfId="77" priority="4" operator="equal">
      <formula>"Ok"</formula>
    </cfRule>
  </conditionalFormatting>
  <conditionalFormatting sqref="W33">
    <cfRule type="cellIs" dxfId="76" priority="30" operator="equal">
      <formula>"Check"</formula>
    </cfRule>
    <cfRule type="cellIs" dxfId="75" priority="31" operator="equal">
      <formula>"Ok"</formula>
    </cfRule>
  </conditionalFormatting>
  <conditionalFormatting sqref="W41">
    <cfRule type="cellIs" dxfId="74" priority="25" operator="equal">
      <formula>"Check"</formula>
    </cfRule>
    <cfRule type="cellIs" dxfId="73" priority="26" operator="equal">
      <formula>"Ok"</formula>
    </cfRule>
  </conditionalFormatting>
  <dataValidations count="4">
    <dataValidation type="list" allowBlank="1" showInputMessage="1" showErrorMessage="1" sqref="F22 F32 F34 F42" xr:uid="{00000000-0002-0000-0600-000000000000}">
      <formula1>"Real 2010,Real 2011,Real 2012,Real 2013,Real 2014,Real 2015,Nominal"</formula1>
    </dataValidation>
    <dataValidation type="list" allowBlank="1" showInputMessage="1" showErrorMessage="1" sqref="U27:U32 I42 U22 I22 I27:I32 U34 I34 U42 U12:U20" xr:uid="{00000000-0002-0000-0600-000001000000}">
      <formula1>#REF!</formula1>
    </dataValidation>
    <dataValidation type="decimal" operator="greaterThanOrEqual" allowBlank="1" showInputMessage="1" showErrorMessage="1" sqref="J39:T39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E39 E20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F6936-A763-48DC-880F-43AFEE16E545}">
  <sheetPr>
    <tabColor rgb="FFFFFF99"/>
  </sheetPr>
  <dimension ref="A1:AU48"/>
  <sheetViews>
    <sheetView showGridLines="0" topLeftCell="E11" zoomScaleNormal="100" workbookViewId="0">
      <selection activeCell="M26" sqref="M26:M32"/>
    </sheetView>
  </sheetViews>
  <sheetFormatPr defaultColWidth="0" defaultRowHeight="11.25" customHeight="1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1" width="10.83203125" style="8" customWidth="1"/>
    <col min="12" max="12" width="10.6640625" style="8" customWidth="1"/>
    <col min="13" max="13" width="12" style="8" customWidth="1"/>
    <col min="14" max="14" width="10.83203125" style="8" customWidth="1"/>
    <col min="15" max="15" width="12.5" style="8" customWidth="1"/>
    <col min="16" max="17" width="10.83203125" style="8" customWidth="1"/>
    <col min="18" max="18" width="12.33203125" style="8" customWidth="1"/>
    <col min="19" max="19" width="12.1640625" style="8" customWidth="1"/>
    <col min="2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26</v>
      </c>
      <c r="L1" s="28" t="s">
        <v>27</v>
      </c>
      <c r="M1" s="46" t="s">
        <v>28</v>
      </c>
      <c r="N1" s="11" t="s">
        <v>29</v>
      </c>
      <c r="O1" s="12" t="s">
        <v>30</v>
      </c>
      <c r="R1" s="28" t="s">
        <v>31</v>
      </c>
      <c r="S1" s="29" t="str">
        <f>IF(COUNTA($W$8:$W$221)=COUNTIF($W$8:$W$221,"OK"),"OK","Check")</f>
        <v>OK</v>
      </c>
      <c r="U1" s="188" t="s">
        <v>32</v>
      </c>
      <c r="V1" s="29" t="str">
        <f>'Check|List'!$S$1</f>
        <v>Ok</v>
      </c>
    </row>
    <row r="2" spans="1:30" s="31" customFormat="1" ht="13.5" thickBot="1">
      <c r="B2" s="30" t="str">
        <f>Index!$C$12</f>
        <v>Calc | Ancillary Ref Services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43</v>
      </c>
      <c r="K3" s="100"/>
      <c r="L3" s="100"/>
      <c r="M3" s="105"/>
      <c r="N3" s="215"/>
      <c r="O3" s="215"/>
      <c r="P3" s="215"/>
      <c r="Q3" s="215"/>
      <c r="R3" s="215"/>
      <c r="S3" s="215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35</v>
      </c>
      <c r="E4" s="56" t="s">
        <v>58</v>
      </c>
      <c r="F4" s="144" t="s">
        <v>62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0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136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137</v>
      </c>
      <c r="D10" s="121" t="s">
        <v>35</v>
      </c>
      <c r="E10" s="121" t="s">
        <v>58</v>
      </c>
      <c r="F10" s="121" t="s">
        <v>62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>
        <v>45809</v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138</v>
      </c>
      <c r="D12" s="120" t="s">
        <v>139</v>
      </c>
      <c r="E12" s="120" t="s">
        <v>140</v>
      </c>
      <c r="F12" s="139"/>
      <c r="G12" s="121"/>
      <c r="H12" s="121"/>
      <c r="I12" s="120"/>
      <c r="J12" s="158"/>
      <c r="K12" s="158"/>
      <c r="L12" s="158"/>
      <c r="M12" s="212">
        <v>127821</v>
      </c>
      <c r="N12" s="158"/>
      <c r="O12" s="211">
        <f>M12*(1+'Input|Rate of change'!$P$77)</f>
        <v>127611.92088426303</v>
      </c>
      <c r="P12" s="211">
        <f>O12*(1+'Input|Rate of change'!$Q$77)</f>
        <v>126639.86766867909</v>
      </c>
      <c r="Q12" s="211">
        <f>P12*(1+'Input|Rate of change'!$R$77)</f>
        <v>126358.9368424414</v>
      </c>
      <c r="R12" s="211">
        <f>Q12*(1+'Input|Rate of change'!$S$77)</f>
        <v>125418.88437919682</v>
      </c>
      <c r="S12" s="211">
        <f>R12*(1+'Input|Rate of change'!$T$77)</f>
        <v>120342.73965841068</v>
      </c>
      <c r="T12" s="181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 t="s">
        <v>141</v>
      </c>
      <c r="D13" s="120" t="s">
        <v>139</v>
      </c>
      <c r="E13" s="120" t="s">
        <v>140</v>
      </c>
      <c r="F13" s="139"/>
      <c r="G13" s="121"/>
      <c r="H13" s="121"/>
      <c r="I13" s="120"/>
      <c r="J13" s="158"/>
      <c r="K13" s="158"/>
      <c r="L13" s="158"/>
      <c r="M13" s="212">
        <v>3319</v>
      </c>
      <c r="N13" s="158"/>
      <c r="O13" s="211">
        <f>M13*(1+'Input|Rate of change'!$P$77)</f>
        <v>3313.5710518214455</v>
      </c>
      <c r="P13" s="211">
        <f>O13*(1+'Input|Rate of change'!$Q$77)</f>
        <v>3288.3307186796055</v>
      </c>
      <c r="Q13" s="211">
        <f>P13*(1+'Input|Rate of change'!$R$77)</f>
        <v>3281.0360690345324</v>
      </c>
      <c r="R13" s="211">
        <f>Q13*(1+'Input|Rate of change'!$S$77)</f>
        <v>3256.6266674064059</v>
      </c>
      <c r="S13" s="211">
        <f>R13*(1+'Input|Rate of change'!$T$77)</f>
        <v>3124.8194970017835</v>
      </c>
      <c r="T13" s="181"/>
      <c r="U13" s="17"/>
      <c r="V13" s="17"/>
      <c r="W13" s="81" t="str">
        <f t="shared" ref="W13:W18" si="1">IF(ISBLANK(C13),IF(COUNT(J13:T13)=0,"Ok","Check"),IF(COUNT(J13:T13)=COUNT(J$10:T$10),"Ok","Check"))</f>
        <v>Ok</v>
      </c>
    </row>
    <row r="14" spans="1:30" outlineLevel="1">
      <c r="A14" s="17"/>
      <c r="B14" s="17"/>
      <c r="C14" s="127" t="s">
        <v>142</v>
      </c>
      <c r="D14" s="120" t="s">
        <v>139</v>
      </c>
      <c r="E14" s="120" t="s">
        <v>140</v>
      </c>
      <c r="F14" s="139"/>
      <c r="G14" s="121"/>
      <c r="H14" s="121"/>
      <c r="I14" s="120"/>
      <c r="J14" s="158"/>
      <c r="K14" s="158"/>
      <c r="L14" s="158"/>
      <c r="M14" s="212">
        <v>2854</v>
      </c>
      <c r="N14" s="158"/>
      <c r="O14" s="211">
        <f>M14*(1+'Input|Rate of change'!$P$77)</f>
        <v>2849.3316607105771</v>
      </c>
      <c r="P14" s="211">
        <f>O14*(1+'Input|Rate of change'!$Q$77)</f>
        <v>2827.6275598407938</v>
      </c>
      <c r="Q14" s="211">
        <f>P14*(1+'Input|Rate of change'!$R$77)</f>
        <v>2821.3549084135448</v>
      </c>
      <c r="R14" s="211">
        <f>Q14*(1+'Input|Rate of change'!$S$77)</f>
        <v>2800.3653235245201</v>
      </c>
      <c r="S14" s="211">
        <f>R14*(1+'Input|Rate of change'!$T$77)</f>
        <v>2687.0246593682105</v>
      </c>
      <c r="T14" s="181"/>
      <c r="U14" s="17"/>
      <c r="V14" s="17"/>
      <c r="W14" s="81" t="str">
        <f t="shared" si="1"/>
        <v>Ok</v>
      </c>
    </row>
    <row r="15" spans="1:30" outlineLevel="1">
      <c r="A15" s="17"/>
      <c r="B15" s="17"/>
      <c r="C15" s="127" t="s">
        <v>143</v>
      </c>
      <c r="D15" s="120" t="s">
        <v>139</v>
      </c>
      <c r="E15" s="120" t="s">
        <v>140</v>
      </c>
      <c r="F15" s="139"/>
      <c r="G15" s="121"/>
      <c r="H15" s="121"/>
      <c r="I15" s="120"/>
      <c r="J15" s="158"/>
      <c r="K15" s="158"/>
      <c r="L15" s="158"/>
      <c r="M15" s="212">
        <v>2584</v>
      </c>
      <c r="N15" s="158"/>
      <c r="O15" s="211">
        <f>M15*(1+'Input|Rate of change'!$P$77)</f>
        <v>2579.7733045816858</v>
      </c>
      <c r="P15" s="211">
        <f>O15*(1+'Input|Rate of change'!$Q$77)</f>
        <v>2560.1224998698708</v>
      </c>
      <c r="Q15" s="211">
        <f>P15*(1+'Input|Rate of change'!$R$77)</f>
        <v>2554.4432667626493</v>
      </c>
      <c r="R15" s="211">
        <f>Q15*(1+'Input|Rate of change'!$S$77)</f>
        <v>2535.4393819156835</v>
      </c>
      <c r="S15" s="211">
        <f>R15*(1+'Input|Rate of change'!$T$77)</f>
        <v>2432.821205258394</v>
      </c>
      <c r="T15" s="181"/>
      <c r="U15" s="17"/>
      <c r="V15" s="17"/>
      <c r="W15" s="81" t="str">
        <f t="shared" si="1"/>
        <v>Ok</v>
      </c>
    </row>
    <row r="16" spans="1:30" outlineLevel="1">
      <c r="A16" s="17"/>
      <c r="B16" s="17"/>
      <c r="C16" s="127" t="s">
        <v>144</v>
      </c>
      <c r="D16" s="120" t="s">
        <v>139</v>
      </c>
      <c r="E16" s="120" t="s">
        <v>140</v>
      </c>
      <c r="F16" s="139"/>
      <c r="G16" s="121"/>
      <c r="H16" s="121"/>
      <c r="I16" s="120"/>
      <c r="J16" s="158"/>
      <c r="K16" s="158"/>
      <c r="L16" s="158"/>
      <c r="M16" s="212">
        <v>43</v>
      </c>
      <c r="N16" s="158"/>
      <c r="O16" s="211">
        <f>M16*(1+'Input|Rate of change'!$P$77)</f>
        <v>42.92966412423084</v>
      </c>
      <c r="P16" s="211">
        <f>O16*(1+'Input|Rate of change'!$Q$77)</f>
        <v>42.602657699072928</v>
      </c>
      <c r="Q16" s="211">
        <f>P16*(1+'Input|Rate of change'!$R$77)</f>
        <v>42.508150336994547</v>
      </c>
      <c r="R16" s="211">
        <f>Q16*(1+'Input|Rate of change'!$S$77)</f>
        <v>42.191909219185135</v>
      </c>
      <c r="S16" s="211">
        <f>R16*(1+'Input|Rate of change'!$T$77)</f>
        <v>40.484253802674509</v>
      </c>
      <c r="T16" s="181"/>
      <c r="U16" s="17"/>
      <c r="V16" s="17"/>
      <c r="W16" s="81" t="str">
        <f t="shared" si="1"/>
        <v>Ok</v>
      </c>
    </row>
    <row r="17" spans="1:30" outlineLevel="1">
      <c r="A17" s="17"/>
      <c r="B17" s="17"/>
      <c r="C17" s="127" t="s">
        <v>145</v>
      </c>
      <c r="D17" s="120" t="s">
        <v>139</v>
      </c>
      <c r="E17" s="120" t="s">
        <v>140</v>
      </c>
      <c r="F17" s="139"/>
      <c r="G17" s="121"/>
      <c r="H17" s="121"/>
      <c r="I17" s="120"/>
      <c r="J17" s="158"/>
      <c r="K17" s="158"/>
      <c r="L17" s="158"/>
      <c r="M17" s="212">
        <v>47</v>
      </c>
      <c r="N17" s="158"/>
      <c r="O17" s="211">
        <f>M17*(1+'Input|Rate of change'!$P$77)</f>
        <v>46.923121252066267</v>
      </c>
      <c r="P17" s="211">
        <f>O17*(1+'Input|Rate of change'!$Q$77)</f>
        <v>46.565695624568079</v>
      </c>
      <c r="Q17" s="211">
        <f>P17*(1+'Input|Rate of change'!$R$77)</f>
        <v>46.462396879970782</v>
      </c>
      <c r="R17" s="211">
        <f>Q17*(1+'Input|Rate of change'!$S$77)</f>
        <v>46.116737983760494</v>
      </c>
      <c r="S17" s="211">
        <f>R17*(1+'Input|Rate of change'!$T$77)</f>
        <v>44.250230900597721</v>
      </c>
      <c r="T17" s="181"/>
      <c r="U17" s="17"/>
      <c r="V17" s="17"/>
      <c r="W17" s="81" t="str">
        <f t="shared" si="1"/>
        <v>Ok</v>
      </c>
    </row>
    <row r="18" spans="1:30" outlineLevel="1">
      <c r="A18" s="17"/>
      <c r="B18" s="17"/>
      <c r="C18" s="127" t="s">
        <v>146</v>
      </c>
      <c r="D18" s="120" t="s">
        <v>139</v>
      </c>
      <c r="E18" s="120" t="s">
        <v>140</v>
      </c>
      <c r="F18" s="139"/>
      <c r="G18" s="121"/>
      <c r="H18" s="121"/>
      <c r="I18" s="120"/>
      <c r="J18" s="158"/>
      <c r="K18" s="158"/>
      <c r="L18" s="158"/>
      <c r="M18" s="212">
        <v>2257</v>
      </c>
      <c r="N18" s="158"/>
      <c r="O18" s="211">
        <f>M18*(1+15.24/100)*(1+15.22/100)</f>
        <v>2996.8339469600005</v>
      </c>
      <c r="P18" s="211">
        <f>O18*(1+51.92/100)</f>
        <v>4552.790132221633</v>
      </c>
      <c r="Q18" s="211">
        <f>P18*(1+13.4/100)</f>
        <v>5162.8640099393315</v>
      </c>
      <c r="R18" s="211">
        <f>Q18*(1+41.35/100)</f>
        <v>7297.7082780492447</v>
      </c>
      <c r="S18" s="211">
        <f>R18*(1+45.95/100)</f>
        <v>10651.005231812873</v>
      </c>
      <c r="T18" s="181"/>
      <c r="U18" s="17"/>
      <c r="V18" s="17"/>
      <c r="W18" s="81" t="str">
        <f t="shared" si="1"/>
        <v>Ok</v>
      </c>
    </row>
    <row r="19" spans="1:30" outlineLevel="1">
      <c r="A19" s="17"/>
      <c r="B19" s="17"/>
      <c r="C19" s="17"/>
      <c r="D19" s="120"/>
      <c r="E19" s="120"/>
      <c r="F19" s="120"/>
      <c r="G19" s="121"/>
      <c r="H19" s="121"/>
      <c r="I19" s="120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</row>
    <row r="20" spans="1:30" outlineLevel="1">
      <c r="A20" s="17"/>
      <c r="B20" s="17"/>
      <c r="C20" s="17" t="s">
        <v>109</v>
      </c>
      <c r="D20" s="120" t="s">
        <v>99</v>
      </c>
      <c r="E20" s="120" t="s">
        <v>110</v>
      </c>
      <c r="F20" s="120" t="s">
        <v>111</v>
      </c>
      <c r="G20" s="120"/>
      <c r="H20" s="120"/>
      <c r="I20" s="120"/>
      <c r="J20" s="165" t="str">
        <f t="shared" ref="J20:T20" si="2">IF(J10=J4,IF(COUNTA($C12:$C18)=COUNT(J12:J18),"Ok","Check"),"")</f>
        <v/>
      </c>
      <c r="K20" s="165" t="str">
        <f t="shared" si="2"/>
        <v/>
      </c>
      <c r="L20" s="165" t="str">
        <f t="shared" si="2"/>
        <v/>
      </c>
      <c r="M20" s="165" t="str">
        <f t="shared" si="2"/>
        <v>Ok</v>
      </c>
      <c r="N20" s="165" t="str">
        <f t="shared" si="2"/>
        <v/>
      </c>
      <c r="O20" s="165" t="str">
        <f t="shared" si="2"/>
        <v>Ok</v>
      </c>
      <c r="P20" s="165" t="str">
        <f t="shared" si="2"/>
        <v>Ok</v>
      </c>
      <c r="Q20" s="165" t="str">
        <f t="shared" si="2"/>
        <v>Ok</v>
      </c>
      <c r="R20" s="165" t="str">
        <f t="shared" si="2"/>
        <v>Ok</v>
      </c>
      <c r="S20" s="165" t="str">
        <f t="shared" si="2"/>
        <v>Ok</v>
      </c>
      <c r="T20" s="165" t="str">
        <f t="shared" si="2"/>
        <v/>
      </c>
      <c r="U20" s="166"/>
      <c r="V20" s="17"/>
      <c r="W20" s="81" t="str">
        <f>IF(COUNTIF(J20:T20,"Check")=0,"Ok","Check")</f>
        <v>Ok</v>
      </c>
    </row>
    <row r="21" spans="1:30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customFormat="1" ht="12.75">
      <c r="A22" s="32"/>
      <c r="B22" s="38" t="s">
        <v>147</v>
      </c>
      <c r="C22" s="32"/>
      <c r="D22" s="32"/>
      <c r="E22" s="32"/>
      <c r="F22" s="118"/>
      <c r="G22" s="118"/>
      <c r="H22" s="118"/>
      <c r="I22" s="118"/>
      <c r="J22" s="34"/>
      <c r="K22" s="119"/>
      <c r="L22" s="34"/>
      <c r="M22" s="119"/>
      <c r="N22" s="34"/>
      <c r="O22" s="34"/>
      <c r="P22" s="34"/>
      <c r="Q22" s="34"/>
      <c r="R22" s="34"/>
      <c r="S22" s="34"/>
      <c r="T22" s="34"/>
      <c r="U22" s="34"/>
      <c r="V22" s="119"/>
      <c r="W22" s="35"/>
      <c r="X22" s="36"/>
      <c r="Y22" s="36"/>
      <c r="Z22" s="36"/>
      <c r="AA22" s="36"/>
      <c r="AB22" s="36"/>
      <c r="AC22" s="37"/>
      <c r="AD22" s="37"/>
    </row>
    <row r="23" spans="1:30" outlineLevel="1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ht="35.25" customHeight="1" outlineLevel="1">
      <c r="A24" s="17"/>
      <c r="B24" s="17"/>
      <c r="C24" s="122" t="s">
        <v>148</v>
      </c>
      <c r="D24" s="121" t="s">
        <v>35</v>
      </c>
      <c r="E24" s="121" t="s">
        <v>58</v>
      </c>
      <c r="F24" s="121" t="s">
        <v>62</v>
      </c>
      <c r="G24" s="121"/>
      <c r="H24" s="121"/>
      <c r="I24" s="120"/>
      <c r="J24" s="138" t="str">
        <f t="shared" ref="J24:T24" si="3">IF(YEAR(J$4)&gt;=FPFirstYear,IF(YEAR(J$4)&lt;=FPLastYear,J$4,""),"")</f>
        <v/>
      </c>
      <c r="K24" s="138" t="str">
        <f t="shared" si="3"/>
        <v/>
      </c>
      <c r="L24" s="138" t="str">
        <f t="shared" si="3"/>
        <v/>
      </c>
      <c r="M24" s="203" t="s">
        <v>149</v>
      </c>
      <c r="N24" s="138" t="str">
        <f t="shared" si="3"/>
        <v/>
      </c>
      <c r="O24" s="138">
        <f t="shared" si="3"/>
        <v>46539</v>
      </c>
      <c r="P24" s="138">
        <f t="shared" si="3"/>
        <v>46905</v>
      </c>
      <c r="Q24" s="138">
        <f t="shared" si="3"/>
        <v>47270</v>
      </c>
      <c r="R24" s="138">
        <f t="shared" si="3"/>
        <v>47635</v>
      </c>
      <c r="S24" s="138">
        <f t="shared" si="3"/>
        <v>48000</v>
      </c>
      <c r="T24" s="138" t="str">
        <f t="shared" si="3"/>
        <v/>
      </c>
      <c r="U24" s="17"/>
      <c r="V24" s="1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7" t="s">
        <v>138</v>
      </c>
      <c r="D26" s="120" t="s">
        <v>139</v>
      </c>
      <c r="E26" s="120" t="s">
        <v>150</v>
      </c>
      <c r="F26" s="139">
        <v>46174</v>
      </c>
      <c r="G26" s="121"/>
      <c r="H26" s="121"/>
      <c r="I26" s="120"/>
      <c r="J26" s="158"/>
      <c r="K26" s="158"/>
      <c r="L26" s="158"/>
      <c r="M26" s="206">
        <v>13.6</v>
      </c>
      <c r="N26" s="181"/>
      <c r="O26" s="207">
        <f>$M$26*O12/1000000</f>
        <v>1.7355221240259773</v>
      </c>
      <c r="P26" s="207">
        <f t="shared" ref="P26:S26" si="4">$M$26*P12/1000000</f>
        <v>1.7223022002940356</v>
      </c>
      <c r="Q26" s="207">
        <f t="shared" si="4"/>
        <v>1.718481541057203</v>
      </c>
      <c r="R26" s="207">
        <f t="shared" si="4"/>
        <v>1.7056968275570767</v>
      </c>
      <c r="S26" s="207">
        <f t="shared" si="4"/>
        <v>1.636661259354385</v>
      </c>
      <c r="T26" s="181"/>
      <c r="U26" s="17"/>
      <c r="V26" s="17"/>
      <c r="W26" s="81" t="str">
        <f>IF(ISBLANK(C26),IF(COUNT(J26:T26)=0,"Ok","Check"),IF(COUNT(J26:T26)=COUNT(J$10:T$10),"Ok","Check"))</f>
        <v>Ok</v>
      </c>
    </row>
    <row r="27" spans="1:30" outlineLevel="1">
      <c r="A27" s="17"/>
      <c r="B27" s="17"/>
      <c r="C27" s="127" t="s">
        <v>141</v>
      </c>
      <c r="D27" s="120" t="s">
        <v>139</v>
      </c>
      <c r="E27" s="120" t="s">
        <v>150</v>
      </c>
      <c r="F27" s="139">
        <f>DATE(PPLastYear,MONTH(month),1)</f>
        <v>46174</v>
      </c>
      <c r="G27" s="121"/>
      <c r="H27" s="121"/>
      <c r="I27" s="120"/>
      <c r="J27" s="158"/>
      <c r="K27" s="158"/>
      <c r="L27" s="158"/>
      <c r="M27" s="206">
        <v>93</v>
      </c>
      <c r="N27" s="181"/>
      <c r="O27" s="207">
        <f>$M$27*O13/1000000</f>
        <v>0.30816210781939446</v>
      </c>
      <c r="P27" s="207">
        <f t="shared" ref="P27:S27" si="5">$M$27*P13/1000000</f>
        <v>0.30581475683720333</v>
      </c>
      <c r="Q27" s="207">
        <f t="shared" si="5"/>
        <v>0.30513635442021153</v>
      </c>
      <c r="R27" s="207">
        <f t="shared" si="5"/>
        <v>0.30286628006879573</v>
      </c>
      <c r="S27" s="207">
        <f t="shared" si="5"/>
        <v>0.29060821322116587</v>
      </c>
      <c r="T27" s="181"/>
      <c r="U27" s="17"/>
      <c r="V27" s="17"/>
      <c r="W27" s="81" t="str">
        <f>IF(ISBLANK(C27),IF(COUNT(J27:T27)=0,"Ok","Check"),IF(COUNT(J27:T27)=COUNT(J$10:T$10),"Ok","Check"))</f>
        <v>Ok</v>
      </c>
    </row>
    <row r="28" spans="1:30" outlineLevel="1">
      <c r="A28" s="17"/>
      <c r="B28" s="17"/>
      <c r="C28" s="127" t="s">
        <v>142</v>
      </c>
      <c r="D28" s="120" t="s">
        <v>139</v>
      </c>
      <c r="E28" s="120" t="s">
        <v>150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206">
        <v>93</v>
      </c>
      <c r="N28" s="181"/>
      <c r="O28" s="207">
        <f>$M$28*O14/1000000</f>
        <v>0.26498784444608364</v>
      </c>
      <c r="P28" s="207">
        <f t="shared" ref="P28:S28" si="6">$M$28*P14/1000000</f>
        <v>0.26296936306519381</v>
      </c>
      <c r="Q28" s="207">
        <f t="shared" si="6"/>
        <v>0.26238600648245969</v>
      </c>
      <c r="R28" s="207">
        <f t="shared" si="6"/>
        <v>0.26043397508778038</v>
      </c>
      <c r="S28" s="207">
        <f t="shared" si="6"/>
        <v>0.24989329332124358</v>
      </c>
      <c r="T28" s="165"/>
      <c r="U28" s="165"/>
      <c r="V28" s="17"/>
      <c r="W28" s="81"/>
    </row>
    <row r="29" spans="1:30" outlineLevel="1">
      <c r="A29" s="17"/>
      <c r="B29" s="17"/>
      <c r="C29" s="127" t="s">
        <v>143</v>
      </c>
      <c r="D29" s="120" t="s">
        <v>139</v>
      </c>
      <c r="E29" s="120" t="s">
        <v>150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206">
        <v>93</v>
      </c>
      <c r="N29" s="181"/>
      <c r="O29" s="207">
        <f>$M$29*O15/10000000</f>
        <v>2.3991891732609679E-2</v>
      </c>
      <c r="P29" s="207">
        <f t="shared" ref="P29:S29" si="7">$M$29*P15/10000000</f>
        <v>2.3809139248789798E-2</v>
      </c>
      <c r="Q29" s="207">
        <f t="shared" si="7"/>
        <v>2.375632238089264E-2</v>
      </c>
      <c r="R29" s="207">
        <f t="shared" si="7"/>
        <v>2.3579586251815856E-2</v>
      </c>
      <c r="S29" s="207">
        <f t="shared" si="7"/>
        <v>2.2625237208903064E-2</v>
      </c>
      <c r="T29" s="165"/>
      <c r="U29" s="165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27" t="s">
        <v>144</v>
      </c>
      <c r="D30" s="120" t="s">
        <v>139</v>
      </c>
      <c r="E30" s="120" t="s">
        <v>150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206">
        <v>101</v>
      </c>
      <c r="N30" s="181"/>
      <c r="O30" s="207">
        <f>$M$30*O16/1000000</f>
        <v>4.335896076547315E-3</v>
      </c>
      <c r="P30" s="207">
        <f t="shared" ref="P30:S30" si="8">$M$30*P16/1000000</f>
        <v>4.3028684276063657E-3</v>
      </c>
      <c r="Q30" s="207">
        <f t="shared" si="8"/>
        <v>4.2933231840364483E-3</v>
      </c>
      <c r="R30" s="207">
        <f t="shared" si="8"/>
        <v>4.2613828311376979E-3</v>
      </c>
      <c r="S30" s="207">
        <f t="shared" si="8"/>
        <v>4.0889096340701253E-3</v>
      </c>
      <c r="T30" s="165"/>
      <c r="U30" s="165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27" t="s">
        <v>145</v>
      </c>
      <c r="D31" s="120" t="s">
        <v>139</v>
      </c>
      <c r="E31" s="120" t="s">
        <v>150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206">
        <v>278</v>
      </c>
      <c r="N31" s="181"/>
      <c r="O31" s="207">
        <f>$M$31*O17/1000000</f>
        <v>1.3044627708074422E-2</v>
      </c>
      <c r="P31" s="207">
        <f t="shared" ref="P31:S31" si="9">$M$31*P17/1000000</f>
        <v>1.2945263383629927E-2</v>
      </c>
      <c r="Q31" s="207">
        <f t="shared" si="9"/>
        <v>1.2916546332631876E-2</v>
      </c>
      <c r="R31" s="207">
        <f t="shared" si="9"/>
        <v>1.2820453159485419E-2</v>
      </c>
      <c r="S31" s="207">
        <f t="shared" si="9"/>
        <v>1.2301564190366166E-2</v>
      </c>
      <c r="T31" s="165"/>
      <c r="U31" s="165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 t="s">
        <v>146</v>
      </c>
      <c r="D32" s="120"/>
      <c r="E32" s="120"/>
      <c r="F32" s="120"/>
      <c r="G32" s="121"/>
      <c r="H32" s="121"/>
      <c r="I32" s="120"/>
      <c r="J32" s="17"/>
      <c r="K32" s="17"/>
      <c r="L32" s="17"/>
      <c r="M32" s="206">
        <v>1250</v>
      </c>
      <c r="N32" s="17"/>
      <c r="O32" s="207">
        <f>$M$32*O18/1000000</f>
        <v>3.7460424337000005</v>
      </c>
      <c r="P32" s="207">
        <f t="shared" ref="P32:S32" si="10">$M$32*P18/1000000</f>
        <v>5.6909876652770413</v>
      </c>
      <c r="Q32" s="207">
        <f t="shared" si="10"/>
        <v>6.4535800124241645</v>
      </c>
      <c r="R32" s="207">
        <f t="shared" si="10"/>
        <v>9.1221353475615548</v>
      </c>
      <c r="S32" s="207">
        <f t="shared" si="10"/>
        <v>13.313756539766091</v>
      </c>
      <c r="T32" s="165"/>
      <c r="U32" s="165"/>
      <c r="V32" s="17"/>
    </row>
    <row r="33" spans="1:47" outlineLevel="1">
      <c r="A33" s="17"/>
      <c r="D33" s="8"/>
      <c r="E33" s="8"/>
      <c r="F33" s="8"/>
      <c r="G33" s="8"/>
      <c r="H33" s="8"/>
      <c r="I33" s="8"/>
      <c r="T33" s="165"/>
      <c r="U33" s="165"/>
      <c r="V33" s="17"/>
    </row>
    <row r="34" spans="1:47" customFormat="1">
      <c r="A34" s="17"/>
      <c r="B34" s="17"/>
      <c r="C34" s="130" t="s">
        <v>151</v>
      </c>
      <c r="D34" s="131" t="s">
        <v>56</v>
      </c>
      <c r="E34" s="135" t="s">
        <v>152</v>
      </c>
      <c r="F34" s="204">
        <v>46174</v>
      </c>
      <c r="G34" s="121"/>
      <c r="H34" s="121"/>
      <c r="I34" s="120"/>
      <c r="J34" s="165"/>
      <c r="K34" s="165"/>
      <c r="L34" s="165"/>
      <c r="M34" s="165"/>
      <c r="N34" s="165"/>
      <c r="O34" s="205">
        <f>SUM(O26:O32)</f>
        <v>6.0960869255086871</v>
      </c>
      <c r="P34" s="205">
        <f t="shared" ref="P34:S34" si="11">SUM(P26:P32)</f>
        <v>8.0231312565334996</v>
      </c>
      <c r="Q34" s="205">
        <f t="shared" si="11"/>
        <v>8.7805501062816003</v>
      </c>
      <c r="R34" s="205">
        <f t="shared" si="11"/>
        <v>11.431793852517647</v>
      </c>
      <c r="S34" s="205">
        <f t="shared" si="11"/>
        <v>15.529935016696225</v>
      </c>
      <c r="T34" s="165"/>
      <c r="U34" s="165"/>
      <c r="V34" s="64"/>
    </row>
    <row r="35" spans="1:47" outlineLevel="1">
      <c r="A35" s="17"/>
      <c r="B35" s="17"/>
      <c r="C35" s="120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65"/>
      <c r="U35" s="165"/>
      <c r="V35" s="17"/>
    </row>
    <row r="36" spans="1:47" outlineLevel="1">
      <c r="A36" s="17"/>
      <c r="B36" s="17"/>
      <c r="C36" s="17" t="s">
        <v>109</v>
      </c>
      <c r="D36" s="120" t="s">
        <v>99</v>
      </c>
      <c r="E36" s="120" t="s">
        <v>110</v>
      </c>
      <c r="F36" s="120" t="s">
        <v>111</v>
      </c>
      <c r="G36" s="120"/>
      <c r="H36" s="120"/>
      <c r="I36" s="120"/>
      <c r="J36" s="165" t="str">
        <f>IF(J24=J4,IF(COUNTA($C26:$C31)=COUNT(J26:J31),"Ok","Check"),"")</f>
        <v/>
      </c>
      <c r="K36" s="165" t="str">
        <f>IF(K24=K4,IF(COUNTA($C26:$C31)=COUNT(K26:K31),"Ok","Check"),"")</f>
        <v/>
      </c>
      <c r="L36" s="165" t="str">
        <f>IF(L24=L4,IF(COUNTA($C26:$C31)=COUNT(L26:L31),"Ok","Check"),"")</f>
        <v/>
      </c>
      <c r="M36" s="17"/>
      <c r="N36" s="165" t="str">
        <f t="shared" ref="N36:T36" si="12">IF(N24=N4,IF(COUNTA($C26:$C31)=COUNT(N26:N31),"Ok","Check"),"")</f>
        <v/>
      </c>
      <c r="O36" s="165" t="str">
        <f t="shared" si="12"/>
        <v>Ok</v>
      </c>
      <c r="P36" s="165" t="str">
        <f t="shared" si="12"/>
        <v>Ok</v>
      </c>
      <c r="Q36" s="165" t="str">
        <f t="shared" si="12"/>
        <v>Ok</v>
      </c>
      <c r="R36" s="165" t="str">
        <f t="shared" si="12"/>
        <v>Ok</v>
      </c>
      <c r="S36" s="165" t="str">
        <f t="shared" si="12"/>
        <v>Ok</v>
      </c>
      <c r="T36" s="165" t="str">
        <f t="shared" si="12"/>
        <v/>
      </c>
      <c r="U36" s="166"/>
      <c r="V36" s="17"/>
      <c r="W36" s="81" t="str">
        <f>IF(COUNTIF(J36:T36,"Check")=0,"Ok","Check")</f>
        <v>Ok</v>
      </c>
    </row>
    <row r="37" spans="1:47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65" t="str">
        <f>IF(M24=M18,IF(COUNTA($C26:$C32)=COUNT(M26:M32),"Ok","Check"),"")</f>
        <v/>
      </c>
      <c r="N37" s="17"/>
      <c r="O37" s="17"/>
      <c r="P37" s="17"/>
      <c r="Q37" s="17"/>
      <c r="R37" s="17"/>
      <c r="S37" s="17"/>
      <c r="T37" s="17"/>
      <c r="U37" s="17"/>
      <c r="V37" s="17"/>
    </row>
    <row r="38" spans="1:47" customFormat="1" ht="11.25" customHeight="1">
      <c r="A38" s="32"/>
      <c r="B38" s="38" t="s">
        <v>25</v>
      </c>
      <c r="C38" s="32"/>
      <c r="D38" s="32"/>
      <c r="E38" s="32"/>
      <c r="F38" s="118"/>
      <c r="G38" s="118"/>
      <c r="H38" s="118"/>
      <c r="I38" s="118"/>
      <c r="J38" s="34"/>
      <c r="K38" s="119"/>
      <c r="L38" s="34"/>
      <c r="M38" s="119"/>
      <c r="N38" s="34"/>
      <c r="O38" s="34"/>
      <c r="P38" s="34"/>
      <c r="Q38" s="34"/>
      <c r="R38" s="34"/>
      <c r="S38" s="34"/>
      <c r="T38" s="34"/>
      <c r="U38" s="34"/>
      <c r="V38" s="119"/>
      <c r="W38" s="35"/>
      <c r="X38" s="36"/>
      <c r="Y38" s="36"/>
      <c r="Z38" s="36"/>
      <c r="AA38" s="36"/>
      <c r="AB38" s="36"/>
      <c r="AC38" s="37"/>
      <c r="AD38" s="37"/>
    </row>
    <row r="39" spans="1:47" hidden="1">
      <c r="G39" s="20"/>
      <c r="H39" s="20"/>
    </row>
    <row r="40" spans="1:47" hidden="1">
      <c r="G40" s="20"/>
      <c r="H40" s="20"/>
    </row>
    <row r="41" spans="1:47" hidden="1">
      <c r="G41" s="20"/>
      <c r="H41" s="20"/>
    </row>
    <row r="42" spans="1:47" hidden="1">
      <c r="G42" s="20"/>
      <c r="H42" s="20"/>
    </row>
    <row r="43" spans="1:47" s="16" customFormat="1" hidden="1">
      <c r="A43" s="8"/>
      <c r="B43" s="8"/>
      <c r="C43" s="8"/>
      <c r="G43" s="20"/>
      <c r="H43" s="20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</row>
    <row r="44" spans="1:47" s="16" customFormat="1" hidden="1">
      <c r="A44" s="8"/>
      <c r="B44" s="8"/>
      <c r="C44" s="8"/>
      <c r="G44" s="20"/>
      <c r="H44" s="20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</row>
    <row r="45" spans="1:47" s="16" customFormat="1" hidden="1">
      <c r="A45" s="8"/>
      <c r="B45" s="8"/>
      <c r="C45" s="8"/>
      <c r="G45" s="20"/>
      <c r="H45" s="20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</row>
    <row r="46" spans="1:47" s="16" customFormat="1" hidden="1">
      <c r="A46" s="8"/>
      <c r="B46" s="8"/>
      <c r="C46" s="8"/>
      <c r="G46" s="20"/>
      <c r="H46" s="20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</row>
    <row r="47" spans="1:47" s="16" customFormat="1" hidden="1">
      <c r="A47" s="8"/>
      <c r="B47" s="8"/>
      <c r="C47" s="8"/>
      <c r="G47" s="20"/>
      <c r="H47" s="20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</row>
    <row r="48" spans="1:47" s="16" customFormat="1" hidden="1">
      <c r="A48" s="8"/>
      <c r="B48" s="8"/>
      <c r="C48" s="8"/>
      <c r="G48" s="20"/>
      <c r="H48" s="20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</row>
  </sheetData>
  <mergeCells count="1">
    <mergeCell ref="N3:S3"/>
  </mergeCells>
  <conditionalFormatting sqref="J26:L31">
    <cfRule type="expression" dxfId="72" priority="201">
      <formula>J$24=J$4</formula>
    </cfRule>
  </conditionalFormatting>
  <conditionalFormatting sqref="J36:L36 N36:T36">
    <cfRule type="cellIs" dxfId="71" priority="29" operator="equal">
      <formula>"Check"</formula>
    </cfRule>
    <cfRule type="cellIs" dxfId="70" priority="30" operator="equal">
      <formula>"Ok"</formula>
    </cfRule>
  </conditionalFormatting>
  <conditionalFormatting sqref="J34:N34">
    <cfRule type="cellIs" dxfId="69" priority="1" operator="equal">
      <formula>"Check"</formula>
    </cfRule>
    <cfRule type="cellIs" dxfId="68" priority="2" operator="equal">
      <formula>"Ok"</formula>
    </cfRule>
  </conditionalFormatting>
  <conditionalFormatting sqref="J10:T10">
    <cfRule type="expression" dxfId="67" priority="37">
      <formula>J$10=J$4</formula>
    </cfRule>
  </conditionalFormatting>
  <conditionalFormatting sqref="J12:T18">
    <cfRule type="expression" dxfId="66" priority="18">
      <formula>J$10=J$4</formula>
    </cfRule>
  </conditionalFormatting>
  <conditionalFormatting sqref="J20:T20">
    <cfRule type="cellIs" dxfId="65" priority="33" operator="equal">
      <formula>"Check"</formula>
    </cfRule>
    <cfRule type="cellIs" dxfId="64" priority="34" operator="equal">
      <formula>"Ok"</formula>
    </cfRule>
  </conditionalFormatting>
  <conditionalFormatting sqref="J24:T24">
    <cfRule type="expression" dxfId="63" priority="12">
      <formula>J$10=J$4</formula>
    </cfRule>
  </conditionalFormatting>
  <conditionalFormatting sqref="M26:M32">
    <cfRule type="expression" dxfId="62" priority="9">
      <formula>M$10=M$4</formula>
    </cfRule>
  </conditionalFormatting>
  <conditionalFormatting sqref="M37">
    <cfRule type="cellIs" dxfId="61" priority="10" operator="equal">
      <formula>"Check"</formula>
    </cfRule>
    <cfRule type="cellIs" dxfId="60" priority="11" operator="equal">
      <formula>"Ok"</formula>
    </cfRule>
  </conditionalFormatting>
  <conditionalFormatting sqref="N26:N31">
    <cfRule type="expression" dxfId="59" priority="22">
      <formula>N$10=N$4</formula>
    </cfRule>
  </conditionalFormatting>
  <conditionalFormatting sqref="O34:S34">
    <cfRule type="cellIs" dxfId="58" priority="5" operator="equal">
      <formula>0</formula>
    </cfRule>
  </conditionalFormatting>
  <conditionalFormatting sqref="S1">
    <cfRule type="cellIs" dxfId="57" priority="38" operator="equal">
      <formula>"Check"</formula>
    </cfRule>
    <cfRule type="cellIs" dxfId="56" priority="39" operator="equal">
      <formula>"Ok"</formula>
    </cfRule>
  </conditionalFormatting>
  <conditionalFormatting sqref="T26:T27 O26:S32">
    <cfRule type="expression" dxfId="55" priority="13">
      <formula>O$10=O$4</formula>
    </cfRule>
  </conditionalFormatting>
  <conditionalFormatting sqref="T28:U35">
    <cfRule type="cellIs" dxfId="54" priority="3" operator="equal">
      <formula>"Check"</formula>
    </cfRule>
    <cfRule type="cellIs" dxfId="53" priority="4" operator="equal">
      <formula>"Ok"</formula>
    </cfRule>
  </conditionalFormatting>
  <conditionalFormatting sqref="V1">
    <cfRule type="cellIs" dxfId="52" priority="40" operator="equal">
      <formula>"Check"</formula>
    </cfRule>
    <cfRule type="cellIs" dxfId="51" priority="41" operator="equal">
      <formula>"Ok"</formula>
    </cfRule>
  </conditionalFormatting>
  <conditionalFormatting sqref="V34">
    <cfRule type="cellIs" dxfId="50" priority="6" operator="equal">
      <formula>"Check"</formula>
    </cfRule>
    <cfRule type="cellIs" dxfId="49" priority="7" operator="equal">
      <formula>"Ok"</formula>
    </cfRule>
  </conditionalFormatting>
  <conditionalFormatting sqref="W12:W18">
    <cfRule type="cellIs" dxfId="48" priority="16" operator="equal">
      <formula>"Check"</formula>
    </cfRule>
    <cfRule type="cellIs" dxfId="47" priority="17" operator="equal">
      <formula>"Ok"</formula>
    </cfRule>
  </conditionalFormatting>
  <conditionalFormatting sqref="W20">
    <cfRule type="cellIs" dxfId="46" priority="35" operator="equal">
      <formula>"Check"</formula>
    </cfRule>
    <cfRule type="cellIs" dxfId="45" priority="36" operator="equal">
      <formula>"Ok"</formula>
    </cfRule>
  </conditionalFormatting>
  <conditionalFormatting sqref="W26:W31">
    <cfRule type="cellIs" dxfId="44" priority="14" operator="equal">
      <formula>"Check"</formula>
    </cfRule>
    <cfRule type="cellIs" dxfId="43" priority="15" operator="equal">
      <formula>"Ok"</formula>
    </cfRule>
  </conditionalFormatting>
  <conditionalFormatting sqref="W36">
    <cfRule type="cellIs" dxfId="42" priority="31" operator="equal">
      <formula>"Check"</formula>
    </cfRule>
    <cfRule type="cellIs" dxfId="41" priority="32" operator="equal">
      <formula>"Ok"</formula>
    </cfRule>
  </conditionalFormatting>
  <dataValidations count="3">
    <dataValidation type="custom" allowBlank="1" showInputMessage="1" showErrorMessage="1" sqref="J1 U1" xr:uid="{BE407B53-1BEB-42E8-BE01-C612D771A407}">
      <formula1>"&lt;0&gt;0"</formula1>
    </dataValidation>
    <dataValidation type="list" allowBlank="1" showInputMessage="1" showErrorMessage="1" sqref="I35 U21 I21 U12:U19 U37 I37 I26:I33 U26:U33 U35" xr:uid="{C009D621-FA5E-4D96-B698-0AA9E35A3046}">
      <formula1>#REF!</formula1>
    </dataValidation>
    <dataValidation type="list" allowBlank="1" showInputMessage="1" showErrorMessage="1" sqref="F21 F37 F32:F33 F35" xr:uid="{685AD010-7B68-406C-883E-7865E079A44D}">
      <formula1>"Real 2010,Real 2011,Real 2012,Real 2013,Real 2014,Real 2015,Nominal"</formula1>
    </dataValidation>
  </dataValidations>
  <hyperlinks>
    <hyperlink ref="J1" location="Index!A1" display="Back to Index" xr:uid="{F426F60A-754C-4FC2-B1F8-FF8843067034}"/>
    <hyperlink ref="U1" location="'Check|List'!A1" display="Overall Check:" xr:uid="{BF9C3B0A-7467-41D8-94A6-5006D1706E24}"/>
  </hyperlinks>
  <pageMargins left="0.7" right="0.7" top="0.75" bottom="0.75" header="0.3" footer="0.3"/>
  <pageSetup paperSize="9" orientation="portrait" verticalDpi="4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60AECBF-44BC-47DA-ACCE-49046F8E2C9B}">
          <x14:formula1>
            <xm:f>'Lookup|Tables'!$C$75:$C$84</xm:f>
          </x14:formula1>
          <xm:sqref>F19</xm:sqref>
        </x14:dataValidation>
        <x14:dataValidation type="list" allowBlank="1" showInputMessage="1" showErrorMessage="1" xr:uid="{E4265714-8410-45D7-8419-6ED1D967DE6A}">
          <x14:formula1>
            <xm:f>'Lookup|Tables'!$G$17:$G$19</xm:f>
          </x14:formula1>
          <xm:sqref>E19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topLeftCell="A62" zoomScale="80" zoomScaleNormal="80" workbookViewId="0">
      <selection activeCell="T106" sqref="T106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2" style="16" customWidth="1"/>
    <col min="7" max="9" width="3.5" style="16" customWidth="1"/>
    <col min="10" max="20" width="13.33203125" style="8" customWidth="1"/>
    <col min="21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26</v>
      </c>
      <c r="L1" s="28" t="s">
        <v>27</v>
      </c>
      <c r="M1" s="46" t="s">
        <v>28</v>
      </c>
      <c r="N1" s="11" t="s">
        <v>29</v>
      </c>
      <c r="O1" s="12" t="s">
        <v>30</v>
      </c>
      <c r="R1" s="28" t="s">
        <v>31</v>
      </c>
      <c r="S1" s="29" t="s">
        <v>111</v>
      </c>
      <c r="T1" s="29"/>
      <c r="V1" s="188" t="s">
        <v>32</v>
      </c>
      <c r="W1" s="29" t="str">
        <f>'Check|List'!$S$1</f>
        <v>Ok</v>
      </c>
    </row>
    <row r="2" spans="1:31" s="31" customFormat="1" ht="13.5" thickBot="1">
      <c r="B2" s="30" t="str">
        <f>Index!$C$13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43</v>
      </c>
      <c r="K3" s="100"/>
      <c r="L3" s="100"/>
      <c r="M3" s="105"/>
      <c r="N3" s="215"/>
      <c r="O3" s="215"/>
      <c r="P3" s="215"/>
      <c r="Q3" s="215"/>
      <c r="R3" s="215"/>
      <c r="S3" s="215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35</v>
      </c>
      <c r="E4" s="56" t="s">
        <v>58</v>
      </c>
      <c r="F4" s="57" t="s">
        <v>62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153</v>
      </c>
      <c r="C8" s="32"/>
      <c r="D8" s="32"/>
      <c r="E8" s="51" t="s">
        <v>50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35</v>
      </c>
      <c r="E10" s="20" t="s">
        <v>58</v>
      </c>
      <c r="F10" s="20" t="s">
        <v>62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154</v>
      </c>
      <c r="D12" s="65" t="s">
        <v>155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66.875517000000002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154</v>
      </c>
      <c r="D13" s="16" t="s">
        <v>56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69.800360567388026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156</v>
      </c>
      <c r="D14" s="65" t="s">
        <v>155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74.125052159160077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156</v>
      </c>
      <c r="D15" s="16" t="s">
        <v>56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91.331111509717431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157</v>
      </c>
      <c r="D16" s="65" t="s">
        <v>155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74.835674838838244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157</v>
      </c>
      <c r="D17" s="16" t="s">
        <v>56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92.206685385330559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158</v>
      </c>
      <c r="D19" s="65" t="s">
        <v>155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1.8984389999999998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158</v>
      </c>
      <c r="D20" s="16" t="s">
        <v>56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1.9814684455477412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159</v>
      </c>
      <c r="D21" s="65" t="s">
        <v>155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11.449546633401013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159</v>
      </c>
      <c r="D22" s="16" t="s">
        <v>56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14.107238913849915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160</v>
      </c>
      <c r="D23" s="65" t="s">
        <v>155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11.484180177090686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160</v>
      </c>
      <c r="D24" s="16" t="s">
        <v>56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14.149911666833702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161</v>
      </c>
      <c r="D26" s="69" t="s">
        <v>56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69.800360567388026</v>
      </c>
      <c r="N26" s="70">
        <f t="shared" ca="1" si="1"/>
        <v>0</v>
      </c>
      <c r="O26" s="70"/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162</v>
      </c>
      <c r="D28" s="65" t="s">
        <v>155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56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163</v>
      </c>
      <c r="D31" s="16" t="s">
        <v>56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0.87557387561312794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164</v>
      </c>
      <c r="D33" s="16" t="s">
        <v>56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70.675934443001154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165</v>
      </c>
      <c r="D35" s="16" t="s">
        <v>56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-2.0241411985315274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>
        <f>'Input|Reported opex'!$C$63</f>
        <v>0</v>
      </c>
      <c r="D37" s="65" t="s">
        <v>155</v>
      </c>
      <c r="E37" s="16" t="str">
        <f>'Input|Reported opex'!E63</f>
        <v>$millions</v>
      </c>
      <c r="F37" s="98">
        <f>'Input|Reported opex'!F63</f>
        <v>45809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0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>
        <f>C37</f>
        <v>0</v>
      </c>
      <c r="D38" s="16" t="s">
        <v>56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155</v>
      </c>
      <c r="E40" s="16" t="str">
        <f>'Input|Reported opex'!$E$64</f>
        <v>$millions</v>
      </c>
      <c r="F40" s="98">
        <f>'Input|Reported opex'!$F$64</f>
        <v>45809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56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155</v>
      </c>
      <c r="E43" s="16" t="str">
        <f>'Input|Reported opex'!$E$65</f>
        <v>$millions</v>
      </c>
      <c r="F43" s="98">
        <f>'Input|Reported opex'!$F$65</f>
        <v>45809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56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155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56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155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56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V51" s="193"/>
    </row>
    <row r="52" spans="1:31" outlineLevel="1">
      <c r="C52" s="77" t="s">
        <v>95</v>
      </c>
      <c r="D52" s="16" t="s">
        <v>99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166</v>
      </c>
      <c r="D54" s="67" t="s">
        <v>99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68.65179324446963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  <c r="O55" s="194"/>
      <c r="P55" s="194"/>
      <c r="Q55" s="194"/>
      <c r="R55" s="194"/>
      <c r="S55" s="194"/>
    </row>
    <row r="56" spans="1:31" customFormat="1" ht="12.75">
      <c r="A56" s="32"/>
      <c r="B56" s="38" t="s">
        <v>167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</row>
    <row r="58" spans="1:31" outlineLevel="1">
      <c r="C58" s="9" t="s">
        <v>168</v>
      </c>
      <c r="D58" s="20" t="s">
        <v>35</v>
      </c>
      <c r="E58" s="20" t="s">
        <v>58</v>
      </c>
      <c r="F58" s="20" t="s">
        <v>62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</row>
    <row r="61" spans="1:31" outlineLevel="1">
      <c r="C61" s="15" t="s">
        <v>169</v>
      </c>
      <c r="D61" s="16" t="s">
        <v>56</v>
      </c>
      <c r="E61" s="16" t="s">
        <v>96</v>
      </c>
      <c r="F61" s="16" t="s">
        <v>111</v>
      </c>
      <c r="J61" s="72">
        <f ca="1">IF(J58=J4,AVERAGE(OFFSET('Input|Rate of change'!K96,0,0,COUNTA('Input|Rate of change'!$J$84:$M$84),1)),0)</f>
        <v>0</v>
      </c>
      <c r="K61" s="72">
        <f ca="1">IF(K58=K4,AVERAGE(OFFSET('Input|Rate of change'!L96,0,0,COUNTA('Input|Rate of change'!$J$84:$M$84),1)),0)</f>
        <v>0</v>
      </c>
      <c r="L61" s="72">
        <f ca="1">IF(L58=L4,AVERAGE(OFFSET('Input|Rate of change'!M96,0,0,COUNTA('Input|Rate of change'!$J$84:$M$84),1)),0)</f>
        <v>0</v>
      </c>
      <c r="M61" s="72">
        <f ca="1">IF(M58=M4,AVERAGE(OFFSET('Input|Rate of change'!N96,0,0,COUNTA('Input|Rate of change'!$J$84:$M$84),1)),0)</f>
        <v>0</v>
      </c>
      <c r="N61" s="72">
        <f ca="1">IF(N58=N4,AVERAGE(OFFSET('Input|Rate of change'!O96,0,0,COUNTA('Input|Rate of change'!$J$84:$M$84),1)),0)</f>
        <v>0</v>
      </c>
      <c r="O61" s="72">
        <f ca="1">IF(O58=O4,AVERAGE(OFFSET('Input|Rate of change'!P96,0,0,COUNTA('Input|Rate of change'!$J$84:$M$84),1)),0)</f>
        <v>1.5316244983189086E-3</v>
      </c>
      <c r="P61" s="72">
        <f ca="1">IF(P58=P4,AVERAGE(OFFSET('Input|Rate of change'!Q96,0,0,COUNTA('Input|Rate of change'!$J$84:$M$84),1)),0)</f>
        <v>-1.4981342136743368E-3</v>
      </c>
      <c r="Q61" s="72">
        <f ca="1">IF(Q58=Q4,AVERAGE(OFFSET('Input|Rate of change'!R96,0,0,COUNTA('Input|Rate of change'!$J$84:$M$84),1)),0)</f>
        <v>7.3439666419319134E-4</v>
      </c>
      <c r="R61" s="72">
        <f ca="1">IF(R58=R4,AVERAGE(OFFSET('Input|Rate of change'!S96,0,0,COUNTA('Input|Rate of change'!$J$84:$M$84),1)),0)</f>
        <v>-1.8257410754695762E-3</v>
      </c>
      <c r="S61" s="72">
        <f ca="1">IF(S58=S4,AVERAGE(OFFSET('Input|Rate of change'!T96,0,0,COUNTA('Input|Rate of change'!$J$84:$M$84),1)),0)</f>
        <v>-1.8369689868258932E-2</v>
      </c>
    </row>
    <row r="62" spans="1:31" outlineLevel="1">
      <c r="C62" s="15" t="s">
        <v>170</v>
      </c>
      <c r="D62" s="16" t="s">
        <v>56</v>
      </c>
      <c r="E62" s="16" t="s">
        <v>96</v>
      </c>
      <c r="F62" s="16" t="s">
        <v>111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1.5316244983190064E-3</v>
      </c>
      <c r="P62" s="72">
        <f t="array" aca="1" ref="P62" ca="1">IF(P$58=P$4,PRODUCT(1+$J61:P61)-1,0)</f>
        <v>3.1195705581188449E-5</v>
      </c>
      <c r="Q62" s="72">
        <f t="array" aca="1" ref="Q62" ca="1">IF(Q$58=Q$4,PRODUCT(1+$J61:Q61)-1,0)</f>
        <v>7.6561527979657207E-4</v>
      </c>
      <c r="R62" s="72">
        <f t="array" aca="1" ref="R62" ca="1">IF(R$58=R$4,PRODUCT(1+$J61:R61)-1,0)</f>
        <v>-1.0615236109373649E-3</v>
      </c>
      <c r="S62" s="72">
        <f t="array" aca="1" ref="S62" ca="1">IF(S$58=S$4,PRODUCT(1+$J61:S61)-1,0)</f>
        <v>-1.941171361967553E-2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</row>
    <row r="64" spans="1:31" outlineLevel="1">
      <c r="C64" s="15" t="s">
        <v>171</v>
      </c>
      <c r="D64" s="16" t="s">
        <v>56</v>
      </c>
      <c r="E64" s="16" t="s">
        <v>96</v>
      </c>
      <c r="F64" s="16" t="s">
        <v>111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3.9927668125541767E-3</v>
      </c>
      <c r="P64" s="72">
        <f>SUMPRODUCT('Input|Rate of change'!Q38:Q45,'Input|Rate of change'!Q51:Q58)</f>
        <v>4.8376383964200236E-3</v>
      </c>
      <c r="Q64" s="72">
        <f>SUMPRODUCT('Input|Rate of change'!R38:R45,'Input|Rate of change'!R51:R58)</f>
        <v>5.6213401154259698E-3</v>
      </c>
      <c r="R64" s="72">
        <f>SUMPRODUCT('Input|Rate of change'!S38:S45,'Input|Rate of change'!S51:S58)</f>
        <v>7.1201155966367632E-3</v>
      </c>
      <c r="S64" s="72">
        <f>SUMPRODUCT('Input|Rate of change'!T38:T45,'Input|Rate of change'!T51:T58)</f>
        <v>7.0522519996464384E-3</v>
      </c>
    </row>
    <row r="65" spans="1:31" outlineLevel="1">
      <c r="C65" s="15" t="s">
        <v>172</v>
      </c>
      <c r="D65" s="16" t="s">
        <v>56</v>
      </c>
      <c r="E65" s="16" t="s">
        <v>96</v>
      </c>
      <c r="F65" s="16" t="s">
        <v>111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3.992766812554116E-3</v>
      </c>
      <c r="P65" s="72">
        <f t="array" ref="P65">IF(P$58=P$4,PRODUCT(1+$J64:P64)-1,0)</f>
        <v>8.8497207710143133E-3</v>
      </c>
      <c r="Q65" s="72">
        <f t="array" ref="Q65">IF(Q$58=Q$4,PRODUCT(1+$J64:Q64)-1,0)</f>
        <v>1.4520808176820665E-2</v>
      </c>
      <c r="R65" s="72">
        <f t="array" ref="R65">IF(R$58=R$4,PRODUCT(1+$J64:R64)-1,0)</f>
        <v>2.1744313606232968E-2</v>
      </c>
      <c r="S65" s="72">
        <f t="array" ref="S65">IF(S$58=S$4,PRODUCT(1+$J64:S64)-1,0)</f>
        <v>2.8949911984990084E-2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</row>
    <row r="67" spans="1:31" outlineLevel="1">
      <c r="C67" s="15" t="s">
        <v>173</v>
      </c>
      <c r="D67" s="16" t="s">
        <v>56</v>
      </c>
      <c r="E67" s="16" t="s">
        <v>96</v>
      </c>
      <c r="F67" s="16" t="s">
        <v>111</v>
      </c>
      <c r="J67" s="72">
        <f>'Input|Rate of change'!K105</f>
        <v>0</v>
      </c>
      <c r="K67" s="72">
        <f>'Input|Rate of change'!L105</f>
        <v>0</v>
      </c>
      <c r="L67" s="72">
        <f>'Input|Rate of change'!M105</f>
        <v>0</v>
      </c>
      <c r="M67" s="72">
        <f>'Input|Rate of change'!N105</f>
        <v>0</v>
      </c>
      <c r="N67" s="72">
        <f>'Input|Rate of change'!O105</f>
        <v>0</v>
      </c>
      <c r="O67" s="72">
        <f>'Input|Rate of change'!P105</f>
        <v>0</v>
      </c>
      <c r="P67" s="72">
        <f>'Input|Rate of change'!Q105</f>
        <v>0</v>
      </c>
      <c r="Q67" s="72">
        <f>'Input|Rate of change'!R105</f>
        <v>0</v>
      </c>
      <c r="R67" s="72">
        <f>'Input|Rate of change'!S105</f>
        <v>0</v>
      </c>
      <c r="S67" s="72">
        <f>'Input|Rate of change'!T105</f>
        <v>0</v>
      </c>
    </row>
    <row r="68" spans="1:31" outlineLevel="1">
      <c r="C68" s="15" t="s">
        <v>174</v>
      </c>
      <c r="D68" s="16" t="s">
        <v>56</v>
      </c>
      <c r="E68" s="16" t="s">
        <v>96</v>
      </c>
      <c r="F68" s="16" t="s">
        <v>111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0</v>
      </c>
      <c r="P68" s="72">
        <f t="array" ref="P68">IF(P$58=P$4,PRODUCT(1+$J67:P67)-1,0)</f>
        <v>0</v>
      </c>
      <c r="Q68" s="72">
        <f t="array" ref="Q68">IF(Q$58=Q$4,PRODUCT(1+$J67:Q67)-1,0)</f>
        <v>0</v>
      </c>
      <c r="R68" s="72">
        <f t="array" ref="R68">IF(R$58=R$4,PRODUCT(1+$J67:R67)-1,0)</f>
        <v>0</v>
      </c>
      <c r="S68" s="72">
        <f t="array" ref="S68">IF(S$58=S$4,PRODUCT(1+$J67:S67)-1,0)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</row>
    <row r="70" spans="1:31" outlineLevel="1">
      <c r="C70" s="73" t="s">
        <v>175</v>
      </c>
      <c r="D70" s="69" t="s">
        <v>56</v>
      </c>
      <c r="E70" s="69" t="s">
        <v>96</v>
      </c>
      <c r="F70" s="69" t="s">
        <v>111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5.5305067303392796E-3</v>
      </c>
      <c r="P70" s="88">
        <f t="shared" ca="1" si="6"/>
        <v>3.3322567511506751E-3</v>
      </c>
      <c r="Q70" s="88">
        <f t="shared" ca="1" si="6"/>
        <v>6.3598650730483097E-3</v>
      </c>
      <c r="R70" s="88">
        <f t="shared" ca="1" si="6"/>
        <v>5.2813750336602183E-3</v>
      </c>
      <c r="S70" s="88">
        <f t="shared" ca="1" si="6"/>
        <v>-1.1446985550718658E-2</v>
      </c>
    </row>
    <row r="71" spans="1:31" outlineLevel="1">
      <c r="C71" s="9" t="s">
        <v>176</v>
      </c>
      <c r="D71" s="16" t="s">
        <v>56</v>
      </c>
      <c r="E71" s="16" t="s">
        <v>96</v>
      </c>
      <c r="F71" s="16" t="s">
        <v>111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5.5305067303392796E-3</v>
      </c>
      <c r="P71" s="72">
        <f t="array" aca="1" ref="P71" ca="1">IF(P$58=P$4,PRODUCT(1+$J70:P70)-1,"")</f>
        <v>8.881192549879513E-3</v>
      </c>
      <c r="Q71" s="72">
        <f t="array" aca="1" ref="Q71" ca="1">IF(Q$58=Q$4,PRODUCT(1+$J70:Q70)-1,"")</f>
        <v>1.5297540809232846E-2</v>
      </c>
      <c r="R71" s="72">
        <f t="array" aca="1" ref="R71" ca="1">IF(R$58=R$4,PRODUCT(1+$J70:R70)-1,"")</f>
        <v>2.0659707892999313E-2</v>
      </c>
      <c r="S71" s="72">
        <f t="array" aca="1" ref="S71" ca="1">IF(S$58=S$4,PRODUCT(1+$J70:S70)-1,"")</f>
        <v>8.9762309645473604E-3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177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178</v>
      </c>
      <c r="D75" s="20" t="s">
        <v>35</v>
      </c>
      <c r="E75" s="20" t="s">
        <v>58</v>
      </c>
      <c r="F75" s="20" t="s">
        <v>62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Overheads to be expensed (capex to opex)</v>
      </c>
      <c r="D77" s="16" t="s">
        <v>56</v>
      </c>
      <c r="E77" s="16" t="str">
        <f t="shared" ref="E77:E96" si="7">$E$8</f>
        <v>$millions</v>
      </c>
      <c r="F77" s="98">
        <f t="shared" ref="F77:F86" si="8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6.35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7.01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6.32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6.6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6.23</v>
      </c>
    </row>
    <row r="78" spans="1:31" outlineLevel="1">
      <c r="C78" s="75" t="str">
        <f>'Input|Step changes'!C13</f>
        <v>Transition from APA - AGN IT costs</v>
      </c>
      <c r="D78" s="16" t="s">
        <v>56</v>
      </c>
      <c r="E78" s="16" t="str">
        <f t="shared" si="7"/>
        <v>$millions</v>
      </c>
      <c r="F78" s="98">
        <f t="shared" si="8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11.054080000000001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4.3397119999999996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3.9301120000000003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0.33177600000000002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-0.52428799999999998</v>
      </c>
      <c r="V78" s="193"/>
    </row>
    <row r="79" spans="1:31" outlineLevel="1">
      <c r="C79" s="75" t="str">
        <f>'Input|Step changes'!C14</f>
        <v>Cybersecurity (Data privacy/security &amp; Access control)</v>
      </c>
      <c r="D79" s="16" t="s">
        <v>56</v>
      </c>
      <c r="E79" s="16" t="str">
        <f t="shared" si="7"/>
        <v>$millions</v>
      </c>
      <c r="F79" s="98">
        <f t="shared" si="8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0.03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0.28000000000000003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0.28999999999999998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0.28999999999999998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0.28999999999999998</v>
      </c>
    </row>
    <row r="80" spans="1:31" outlineLevel="1">
      <c r="C80" s="75" t="str">
        <f>'Input|Step changes'!C15</f>
        <v>Application upgrades &amp; enhancements</v>
      </c>
      <c r="D80" s="16" t="s">
        <v>56</v>
      </c>
      <c r="E80" s="16" t="str">
        <f t="shared" si="7"/>
        <v>$millions</v>
      </c>
      <c r="F80" s="98">
        <f t="shared" si="8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0.73634239401795698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0.81434033525839977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0.90102335387077492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0.85645687237988943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0.78037353401136011</v>
      </c>
    </row>
    <row r="81" spans="1:39" outlineLevel="1">
      <c r="C81" s="75" t="str">
        <f>'Input|Step changes'!C16</f>
        <v>Abolishments for safety at redundant sites</v>
      </c>
      <c r="D81" s="16" t="s">
        <v>56</v>
      </c>
      <c r="E81" s="16" t="str">
        <f t="shared" si="7"/>
        <v>$millions</v>
      </c>
      <c r="F81" s="98">
        <f t="shared" si="8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</row>
    <row r="82" spans="1:39" outlineLevel="1">
      <c r="C82" s="75">
        <f>'Input|Step changes'!C17</f>
        <v>0</v>
      </c>
      <c r="D82" s="16" t="s">
        <v>56</v>
      </c>
      <c r="E82" s="16" t="str">
        <f t="shared" si="7"/>
        <v>$millions</v>
      </c>
      <c r="F82" s="98">
        <f t="shared" si="8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9" outlineLevel="1">
      <c r="C83" s="75">
        <f>'Input|Step changes'!C18</f>
        <v>0</v>
      </c>
      <c r="D83" s="16" t="s">
        <v>56</v>
      </c>
      <c r="E83" s="16" t="str">
        <f t="shared" si="7"/>
        <v>$millions</v>
      </c>
      <c r="F83" s="98">
        <f t="shared" si="8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/>
    </row>
    <row r="84" spans="1:39" outlineLevel="1">
      <c r="C84" s="75">
        <f>'Input|Step changes'!C19</f>
        <v>0</v>
      </c>
      <c r="D84" s="16" t="s">
        <v>56</v>
      </c>
      <c r="E84" s="16" t="str">
        <f t="shared" si="7"/>
        <v>$millions</v>
      </c>
      <c r="F84" s="98">
        <f t="shared" si="8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9" outlineLevel="1">
      <c r="C85" s="75"/>
      <c r="F85" s="67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</row>
    <row r="86" spans="1:39" outlineLevel="1">
      <c r="C86" s="68" t="s">
        <v>179</v>
      </c>
      <c r="D86" s="76" t="s">
        <v>56</v>
      </c>
      <c r="E86" s="76" t="str">
        <f>$E$8</f>
        <v>$millions</v>
      </c>
      <c r="F86" s="101">
        <f t="shared" si="8"/>
        <v>46174</v>
      </c>
      <c r="G86" s="20"/>
      <c r="H86" s="20"/>
      <c r="I86" s="20"/>
      <c r="J86" s="80">
        <f t="shared" ref="J86:S86" si="9">SUM(J76:J85)</f>
        <v>0</v>
      </c>
      <c r="K86" s="80">
        <f t="shared" si="9"/>
        <v>0</v>
      </c>
      <c r="L86" s="80">
        <f t="shared" si="9"/>
        <v>0</v>
      </c>
      <c r="M86" s="80">
        <f t="shared" si="9"/>
        <v>0</v>
      </c>
      <c r="N86" s="80">
        <f t="shared" si="9"/>
        <v>0</v>
      </c>
      <c r="O86" s="80">
        <f t="shared" si="9"/>
        <v>19.080422394017958</v>
      </c>
      <c r="P86" s="80">
        <f t="shared" si="9"/>
        <v>13.3540523352584</v>
      </c>
      <c r="Q86" s="80">
        <f t="shared" si="9"/>
        <v>12.351135353870776</v>
      </c>
      <c r="R86" s="80">
        <f t="shared" si="9"/>
        <v>8.9882328723798892</v>
      </c>
      <c r="S86" s="80">
        <f t="shared" si="9"/>
        <v>7.6860855340113607</v>
      </c>
      <c r="T86" s="80"/>
    </row>
    <row r="87" spans="1:39">
      <c r="C87" s="77"/>
      <c r="J87" s="64"/>
      <c r="K87" s="64"/>
      <c r="L87" s="64"/>
      <c r="M87" s="64"/>
      <c r="N87" s="22"/>
      <c r="O87" s="22"/>
      <c r="P87" s="22"/>
      <c r="Q87" s="22"/>
      <c r="R87" s="22"/>
      <c r="S87" s="22"/>
      <c r="T87" s="80"/>
      <c r="V87" s="200"/>
    </row>
    <row r="88" spans="1:39" customFormat="1" ht="12.75">
      <c r="A88" s="32"/>
      <c r="B88" s="38" t="s">
        <v>180</v>
      </c>
      <c r="C88" s="32"/>
      <c r="D88" s="32"/>
      <c r="E88" s="32"/>
      <c r="F88" s="33"/>
      <c r="G88" s="33"/>
      <c r="H88" s="33"/>
      <c r="I88" s="33"/>
      <c r="J88" s="34"/>
      <c r="K88" s="35"/>
      <c r="L88" s="34"/>
      <c r="M88" s="35"/>
      <c r="N88" s="34"/>
      <c r="O88" s="201"/>
      <c r="P88" s="201"/>
      <c r="Q88" s="201"/>
      <c r="R88" s="201"/>
      <c r="S88" s="201"/>
      <c r="T88" s="34"/>
      <c r="U88" s="34"/>
      <c r="V88" s="34"/>
      <c r="W88" s="35"/>
      <c r="X88" s="35"/>
      <c r="Y88" s="36"/>
      <c r="Z88" s="36"/>
      <c r="AA88" s="36"/>
      <c r="AB88" s="36"/>
      <c r="AC88" s="36"/>
      <c r="AD88" s="37"/>
      <c r="AE88" s="37"/>
    </row>
    <row r="89" spans="1:39" outlineLevel="1">
      <c r="C89" s="15"/>
      <c r="J89" s="64"/>
      <c r="K89" s="64"/>
      <c r="L89" s="64"/>
    </row>
    <row r="90" spans="1:39" outlineLevel="1">
      <c r="C90" s="9" t="s">
        <v>132</v>
      </c>
      <c r="D90" s="20" t="s">
        <v>35</v>
      </c>
      <c r="E90" s="20" t="s">
        <v>58</v>
      </c>
      <c r="F90" s="20" t="s">
        <v>62</v>
      </c>
      <c r="J90" s="99" t="str">
        <f>IF(YEAR(J$4)&gt;='Input|General'!$G$13,IF(YEAR(J$4)&lt;='Input|General'!$G$14,J$4,""),"")</f>
        <v/>
      </c>
      <c r="K90" s="99" t="str">
        <f>IF(YEAR(K$4)&gt;='Input|General'!$G$13,IF(YEAR(K$4)&lt;='Input|General'!$G$14,K$4,""),"")</f>
        <v/>
      </c>
      <c r="L90" s="99" t="str">
        <f>IF(YEAR(L$4)&gt;='Input|General'!$G$13,IF(YEAR(L$4)&lt;='Input|General'!$G$14,L$4,""),"")</f>
        <v/>
      </c>
      <c r="M90" s="99" t="str">
        <f>IF(YEAR(M$4)&gt;='Input|General'!$G$13,IF(YEAR(M$4)&lt;='Input|General'!$G$14,M$4,""),"")</f>
        <v/>
      </c>
      <c r="N90" s="99" t="str">
        <f>IF(YEAR(N$4)&gt;='Input|General'!$G$13,IF(YEAR(N$4)&lt;='Input|General'!$G$14,N$4,""),"")</f>
        <v/>
      </c>
      <c r="O90" s="99">
        <f>IF(YEAR(O$4)&gt;='Input|General'!$G$13,IF(YEAR(O$4)&lt;='Input|General'!$G$14,O$4,""),"")</f>
        <v>46539</v>
      </c>
      <c r="P90" s="99">
        <f>IF(YEAR(P$4)&gt;='Input|General'!$G$13,IF(YEAR(P$4)&lt;='Input|General'!$G$14,P$4,""),"")</f>
        <v>46905</v>
      </c>
      <c r="Q90" s="99">
        <f>IF(YEAR(Q$4)&gt;='Input|General'!$G$13,IF(YEAR(Q$4)&lt;='Input|General'!$G$14,Q$4,""),"")</f>
        <v>47270</v>
      </c>
      <c r="R90" s="99">
        <f>IF(YEAR(R$4)&gt;='Input|General'!$G$13,IF(YEAR(R$4)&lt;='Input|General'!$G$14,R$4,""),"")</f>
        <v>47635</v>
      </c>
      <c r="S90" s="99">
        <f>IF(YEAR(S$4)&gt;='Input|General'!$G$13,IF(YEAR(S$4)&lt;='Input|General'!$G$14,S$4,""),"")</f>
        <v>48000</v>
      </c>
      <c r="T90" s="99" t="str">
        <f>IF(YEAR(T$4)&gt;='Input|General'!$G$13,IF(YEAR(T$4)&lt;='Input|General'!$G$14,T$4,""),"")</f>
        <v/>
      </c>
      <c r="U90" s="64"/>
      <c r="V90" s="64"/>
      <c r="W90" s="64"/>
    </row>
    <row r="91" spans="1:39" outlineLevel="1">
      <c r="C91" s="9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64"/>
      <c r="V91" s="64"/>
      <c r="W91" s="64"/>
    </row>
    <row r="92" spans="1:39" outlineLevel="1">
      <c r="C92" s="75" t="str">
        <f>'Input|Step changes'!C27</f>
        <v>UAG</v>
      </c>
      <c r="D92" s="16" t="s">
        <v>56</v>
      </c>
      <c r="E92" s="16" t="str">
        <f t="shared" si="7"/>
        <v>$millions</v>
      </c>
      <c r="F92" s="98">
        <f t="shared" ref="F92:F96" si="10">$F$8</f>
        <v>46174</v>
      </c>
      <c r="J92" s="79">
        <f>'Input|Step changes'!J27*INDEX('Input|Rate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K92" s="79">
        <f>'Input|Step changes'!K27*INDEX('Input|Rate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L92" s="79">
        <f>'Input|Step changes'!L27*INDEX('Input|Rate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M92" s="79">
        <f>'Input|Step changes'!M27*INDEX('Input|Rate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N92" s="79">
        <f>'Input|Step changes'!N27*INDEX('Input|Rate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O92" s="79">
        <v>3.7035009840000002</v>
      </c>
      <c r="P92" s="79">
        <v>3.8092450360000001</v>
      </c>
      <c r="Q92" s="79">
        <v>3.951876548</v>
      </c>
      <c r="R92" s="79">
        <v>4.0576205999999999</v>
      </c>
      <c r="S92" s="79">
        <v>4.178119635999999</v>
      </c>
      <c r="T92" s="79"/>
      <c r="U92" s="64"/>
      <c r="V92" s="64"/>
      <c r="W92" s="64"/>
    </row>
    <row r="93" spans="1:39" outlineLevel="1">
      <c r="C93" s="75">
        <f>'Input|Step changes'!C28</f>
        <v>0</v>
      </c>
      <c r="D93" s="16" t="s">
        <v>56</v>
      </c>
      <c r="E93" s="16" t="str">
        <f t="shared" si="7"/>
        <v>$millions</v>
      </c>
      <c r="F93" s="98">
        <f t="shared" si="10"/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T93" s="79"/>
      <c r="U93" s="64"/>
      <c r="V93" s="64"/>
      <c r="W93" s="64"/>
    </row>
    <row r="94" spans="1:39" outlineLevel="1">
      <c r="C94" s="75">
        <f>'Input|Step changes'!C29</f>
        <v>0</v>
      </c>
      <c r="D94" s="16" t="s">
        <v>56</v>
      </c>
      <c r="E94" s="16" t="str">
        <f t="shared" si="7"/>
        <v>$millions</v>
      </c>
      <c r="F94" s="98">
        <f t="shared" si="10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T94" s="79"/>
      <c r="U94" s="64"/>
      <c r="V94" s="64"/>
      <c r="W94" s="64"/>
    </row>
    <row r="95" spans="1:39" outlineLevel="1">
      <c r="C95" s="75">
        <f>'Input|Step changes'!C30</f>
        <v>0</v>
      </c>
      <c r="D95" s="16" t="s">
        <v>56</v>
      </c>
      <c r="E95" s="16" t="str">
        <f t="shared" si="7"/>
        <v>$millions</v>
      </c>
      <c r="F95" s="98">
        <f t="shared" si="10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T95" s="79"/>
      <c r="U95" s="64"/>
      <c r="V95" s="64"/>
      <c r="W95" s="64"/>
    </row>
    <row r="96" spans="1:39" outlineLevel="1">
      <c r="C96" s="75">
        <f>'Input|Step changes'!C31</f>
        <v>0</v>
      </c>
      <c r="D96" s="16" t="s">
        <v>56</v>
      </c>
      <c r="E96" s="16" t="str">
        <f t="shared" si="7"/>
        <v>$millions</v>
      </c>
      <c r="F96" s="98">
        <f t="shared" si="10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</row>
    <row r="97" spans="1:39" outlineLevel="1">
      <c r="C97" s="75"/>
      <c r="F97" s="67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68" t="s">
        <v>181</v>
      </c>
      <c r="D98" s="76" t="s">
        <v>56</v>
      </c>
      <c r="E98" s="76" t="str">
        <f>$E$8</f>
        <v>$millions</v>
      </c>
      <c r="F98" s="101">
        <f t="shared" ref="F98" si="11">$F$8</f>
        <v>46174</v>
      </c>
      <c r="G98" s="20"/>
      <c r="H98" s="20"/>
      <c r="I98" s="20"/>
      <c r="J98" s="80">
        <f t="shared" ref="J98:S98" si="12">SUM(J91:J96)</f>
        <v>0</v>
      </c>
      <c r="K98" s="80">
        <f t="shared" si="12"/>
        <v>0</v>
      </c>
      <c r="L98" s="80">
        <f t="shared" si="12"/>
        <v>0</v>
      </c>
      <c r="M98" s="80">
        <f t="shared" si="12"/>
        <v>0</v>
      </c>
      <c r="N98" s="80">
        <f t="shared" si="12"/>
        <v>0</v>
      </c>
      <c r="O98" s="80">
        <f t="shared" si="12"/>
        <v>3.7035009840000002</v>
      </c>
      <c r="P98" s="80">
        <f t="shared" si="12"/>
        <v>3.8092450360000001</v>
      </c>
      <c r="Q98" s="80">
        <f t="shared" si="12"/>
        <v>3.951876548</v>
      </c>
      <c r="R98" s="80">
        <f t="shared" si="12"/>
        <v>4.0576205999999999</v>
      </c>
      <c r="S98" s="80">
        <f t="shared" si="12"/>
        <v>4.178119635999999</v>
      </c>
      <c r="T98" s="80"/>
    </row>
    <row r="99" spans="1:39">
      <c r="C99" s="77"/>
      <c r="J99" s="64"/>
      <c r="K99" s="64"/>
      <c r="L99" s="64"/>
      <c r="M99" s="64"/>
      <c r="N99" s="22"/>
      <c r="O99" s="22"/>
      <c r="P99" s="22"/>
      <c r="Q99" s="22"/>
      <c r="R99" s="22"/>
      <c r="S99" s="22"/>
      <c r="T99" s="22"/>
    </row>
    <row r="100" spans="1:39" customFormat="1" ht="12.75">
      <c r="A100" s="32"/>
      <c r="B100" s="38" t="s">
        <v>182</v>
      </c>
      <c r="C100" s="32"/>
      <c r="D100" s="32"/>
      <c r="E100" s="32"/>
      <c r="F100" s="33"/>
      <c r="G100" s="33"/>
      <c r="H100" s="33"/>
      <c r="I100" s="33"/>
      <c r="J100" s="34"/>
      <c r="K100" s="35"/>
      <c r="L100" s="34"/>
      <c r="M100" s="35"/>
      <c r="N100" s="34"/>
      <c r="O100" s="34"/>
      <c r="P100" s="34"/>
      <c r="Q100" s="34"/>
      <c r="R100" s="34"/>
      <c r="S100" s="34"/>
      <c r="T100" s="34"/>
      <c r="U100" s="34"/>
      <c r="V100" s="34"/>
      <c r="W100" s="35"/>
      <c r="X100" s="35"/>
      <c r="Y100" s="36"/>
      <c r="Z100" s="36"/>
      <c r="AA100" s="36"/>
      <c r="AB100" s="36"/>
      <c r="AC100" s="36"/>
      <c r="AD100" s="37"/>
      <c r="AE100" s="37"/>
    </row>
    <row r="101" spans="1:39" outlineLevel="1">
      <c r="C101" s="15"/>
      <c r="J101" s="64"/>
      <c r="K101" s="64"/>
      <c r="L101" s="64"/>
    </row>
    <row r="102" spans="1:39" outlineLevel="1">
      <c r="C102" s="9"/>
      <c r="J102" s="99" t="str">
        <f>IF(YEAR(J$4)&gt;='Input|General'!$G$13,IF(YEAR(J$4)&lt;='Input|General'!$G$14,J$4,""),"")</f>
        <v/>
      </c>
      <c r="K102" s="99" t="str">
        <f>IF(YEAR(K$4)&gt;='Input|General'!$G$13,IF(YEAR(K$4)&lt;='Input|General'!$G$14,K$4,""),"")</f>
        <v/>
      </c>
      <c r="L102" s="99" t="str">
        <f>IF(YEAR(L$4)&gt;='Input|General'!$G$13,IF(YEAR(L$4)&lt;='Input|General'!$G$14,L$4,""),"")</f>
        <v/>
      </c>
      <c r="M102" s="99" t="str">
        <f>IF(YEAR(M$4)&gt;='Input|General'!$G$13,IF(YEAR(M$4)&lt;='Input|General'!$G$14,M$4,""),"")</f>
        <v/>
      </c>
      <c r="N102" s="99" t="str">
        <f>IF(YEAR(N$4)&gt;='Input|General'!$G$13,IF(YEAR(N$4)&lt;='Input|General'!$G$14,N$4,""),"")</f>
        <v/>
      </c>
      <c r="O102" s="99">
        <f>IF(YEAR(O$4)&gt;='Input|General'!$G$13,IF(YEAR(O$4)&lt;='Input|General'!$G$14,O$4,""),"")</f>
        <v>46539</v>
      </c>
      <c r="P102" s="99">
        <f>IF(YEAR(P$4)&gt;='Input|General'!$G$13,IF(YEAR(P$4)&lt;='Input|General'!$G$14,P$4,""),"")</f>
        <v>46905</v>
      </c>
      <c r="Q102" s="99">
        <f>IF(YEAR(Q$4)&gt;='Input|General'!$G$13,IF(YEAR(Q$4)&lt;='Input|General'!$G$14,Q$4,""),"")</f>
        <v>47270</v>
      </c>
      <c r="R102" s="99">
        <f>IF(YEAR(R$4)&gt;='Input|General'!$G$13,IF(YEAR(R$4)&lt;='Input|General'!$G$14,R$4,""),"")</f>
        <v>47635</v>
      </c>
      <c r="S102" s="99">
        <f>IF(YEAR(S$4)&gt;='Input|General'!$G$13,IF(YEAR(S$4)&lt;='Input|General'!$G$14,S$4,""),"")</f>
        <v>48000</v>
      </c>
      <c r="T102" s="193" t="str">
        <f>IF(YEAR(T$4)&gt;='Input|General'!$G$13,IF(YEAR(T$4)&lt;='Input|General'!$G$14,T$4,""),"")</f>
        <v/>
      </c>
      <c r="U102" s="193"/>
      <c r="V102" s="193"/>
      <c r="W102" s="193"/>
    </row>
    <row r="103" spans="1:39" outlineLevel="1">
      <c r="C103" s="9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193"/>
      <c r="U103" s="193"/>
      <c r="V103" s="193"/>
      <c r="W103" s="193"/>
    </row>
    <row r="104" spans="1:39" outlineLevel="1">
      <c r="C104" s="77" t="s">
        <v>183</v>
      </c>
      <c r="D104" s="20" t="s">
        <v>56</v>
      </c>
      <c r="E104" s="20" t="str">
        <f>$E$8</f>
        <v>$millions</v>
      </c>
      <c r="F104" s="101">
        <f t="shared" ref="F104:F106" si="13">$F$8</f>
        <v>46174</v>
      </c>
      <c r="J104" s="90" t="str">
        <f t="shared" ref="J104:T104" si="14">IF(YEAR(J$4)&gt;=FPFirstYear,IF(YEAR(J$4)&lt;=FPLastYear,IF(ISBLANK(J102),"",(1+J71)*SUM($J54:$S54)+J86),""),"")</f>
        <v/>
      </c>
      <c r="K104" s="90" t="str">
        <f t="shared" si="14"/>
        <v/>
      </c>
      <c r="L104" s="90" t="str">
        <f t="shared" si="14"/>
        <v/>
      </c>
      <c r="M104" s="90" t="str">
        <f t="shared" si="14"/>
        <v/>
      </c>
      <c r="N104" s="90" t="str">
        <f t="shared" si="14"/>
        <v/>
      </c>
      <c r="O104" s="90">
        <f t="shared" ca="1" si="14"/>
        <v>88.111894843075987</v>
      </c>
      <c r="P104" s="90">
        <f t="shared" ca="1" si="14"/>
        <v>82.615555374426691</v>
      </c>
      <c r="Q104" s="90">
        <f t="shared" ca="1" si="14"/>
        <v>82.05313220712469</v>
      </c>
      <c r="R104" s="90">
        <f t="shared" ca="1" si="14"/>
        <v>79.058352111610844</v>
      </c>
      <c r="S104" s="90">
        <f t="shared" ca="1" si="14"/>
        <v>76.954113130773692</v>
      </c>
      <c r="T104" s="193" t="str">
        <f t="shared" si="14"/>
        <v/>
      </c>
      <c r="U104" s="193"/>
      <c r="V104" s="193"/>
      <c r="W104" s="193"/>
    </row>
    <row r="105" spans="1:39" outlineLevel="1">
      <c r="C105" s="77" t="s">
        <v>184</v>
      </c>
      <c r="D105" s="20" t="s">
        <v>56</v>
      </c>
      <c r="E105" s="20" t="str">
        <f>$E$8</f>
        <v>$millions</v>
      </c>
      <c r="F105" s="101">
        <f t="shared" si="13"/>
        <v>46174</v>
      </c>
      <c r="J105" s="90" t="str">
        <f t="shared" ref="J105:T105" si="15">IF(YEAR(J$4)&gt;=FPFirstYear,IF(YEAR(J$4)&lt;=FPLastYear,IF(ISBLANK(J102),"",(1+J71)*SUM($J54:$S54)+J86+J98),""),"")</f>
        <v/>
      </c>
      <c r="K105" s="90" t="str">
        <f t="shared" si="15"/>
        <v/>
      </c>
      <c r="L105" s="90" t="str">
        <f t="shared" si="15"/>
        <v/>
      </c>
      <c r="M105" s="90" t="str">
        <f t="shared" si="15"/>
        <v/>
      </c>
      <c r="N105" s="90" t="str">
        <f t="shared" si="15"/>
        <v/>
      </c>
      <c r="O105" s="90">
        <f t="shared" ca="1" si="15"/>
        <v>91.815395827075989</v>
      </c>
      <c r="P105" s="90">
        <f t="shared" ca="1" si="15"/>
        <v>86.424800410426684</v>
      </c>
      <c r="Q105" s="90">
        <f t="shared" ca="1" si="15"/>
        <v>86.005008755124692</v>
      </c>
      <c r="R105" s="90">
        <f t="shared" ca="1" si="15"/>
        <v>83.115972711610851</v>
      </c>
      <c r="S105" s="90">
        <f t="shared" ca="1" si="15"/>
        <v>81.132232766773697</v>
      </c>
      <c r="T105" s="193" t="str">
        <f t="shared" si="15"/>
        <v/>
      </c>
      <c r="U105" s="193"/>
      <c r="V105" s="193"/>
      <c r="W105" s="193"/>
    </row>
    <row r="106" spans="1:39" outlineLevel="1">
      <c r="C106" s="77" t="s">
        <v>185</v>
      </c>
      <c r="D106" s="20" t="s">
        <v>56</v>
      </c>
      <c r="E106" s="20" t="str">
        <f>$E$8</f>
        <v>$millions</v>
      </c>
      <c r="F106" s="101">
        <f t="shared" si="13"/>
        <v>46174</v>
      </c>
      <c r="J106" s="90" t="str">
        <f>IF(YEAR(J$4)&gt;=FPFirstYear,IF(YEAR(J$4)&lt;=FPLastYear,J105+'Input|Step changes'!J39,""),"")</f>
        <v/>
      </c>
      <c r="K106" s="90" t="str">
        <f>IF(YEAR(K$4)&gt;=FPFirstYear,IF(YEAR(K$4)&lt;=FPLastYear,K105+'Input|Step changes'!K39,""),"")</f>
        <v/>
      </c>
      <c r="L106" s="90" t="str">
        <f>IF(YEAR(L$4)&gt;=FPFirstYear,IF(YEAR(L$4)&lt;=FPLastYear,L105+'Input|Step changes'!L39,""),"")</f>
        <v/>
      </c>
      <c r="M106" s="90" t="str">
        <f>IF(YEAR(M$4)&gt;=FPFirstYear,IF(YEAR(M$4)&lt;=FPLastYear,M105+'Input|Step changes'!M39,""),"")</f>
        <v/>
      </c>
      <c r="N106" s="90" t="str">
        <f>IF(YEAR(N$4)&gt;=FPFirstYear,IF(YEAR(N$4)&lt;=FPLastYear,N105+'Input|Step changes'!N39,""),"")</f>
        <v/>
      </c>
      <c r="O106" s="90">
        <f ca="1">IF(YEAR(O$4)&gt;=FPFirstYear,IF(YEAR(O$4)&lt;=FPLastYear,O105+'Input|Step changes'!O39,""),"")</f>
        <v>92.887531292863457</v>
      </c>
      <c r="P106" s="90">
        <f ca="1">IF(YEAR(P$4)&gt;=FPFirstYear,IF(YEAR(P$4)&lt;=FPLastYear,P105+'Input|Step changes'!P39,""),"")</f>
        <v>87.506851136971761</v>
      </c>
      <c r="Q106" s="90">
        <f ca="1">IF(YEAR(Q$4)&gt;=FPFirstYear,IF(YEAR(Q$4)&lt;=FPLastYear,Q105+'Input|Step changes'!Q39,""),"")</f>
        <v>87.102319612270307</v>
      </c>
      <c r="R106" s="90">
        <f ca="1">IF(YEAR(R$4)&gt;=FPFirstYear,IF(YEAR(R$4)&lt;=FPLastYear,R105+'Input|Step changes'!R39,""),"")</f>
        <v>84.224129972754497</v>
      </c>
      <c r="S106" s="90">
        <f ca="1">IF(YEAR(S$4)&gt;=FPFirstYear,IF(YEAR(S$4)&lt;=FPLastYear,S105+'Input|Step changes'!S39,""),"")</f>
        <v>82.253056429870597</v>
      </c>
      <c r="T106" s="193"/>
      <c r="U106" s="193"/>
      <c r="V106" s="193"/>
      <c r="W106" s="193"/>
    </row>
    <row r="107" spans="1:39">
      <c r="C107" s="77"/>
      <c r="J107" s="64"/>
      <c r="K107" s="64"/>
      <c r="L107" s="64"/>
      <c r="M107" s="64"/>
      <c r="N107" s="22"/>
      <c r="O107" s="22"/>
      <c r="P107" s="22"/>
      <c r="Q107" s="22"/>
      <c r="T107" s="193"/>
      <c r="U107" s="193"/>
      <c r="V107" s="193"/>
      <c r="W107" s="193"/>
    </row>
    <row r="108" spans="1:39" customFormat="1" ht="12.75">
      <c r="A108" s="32"/>
      <c r="B108" s="38" t="s">
        <v>25</v>
      </c>
      <c r="C108" s="32"/>
      <c r="D108" s="32"/>
      <c r="E108" s="32"/>
      <c r="F108" s="33"/>
      <c r="G108" s="33"/>
      <c r="H108" s="33"/>
      <c r="I108" s="33"/>
      <c r="J108" s="34"/>
      <c r="K108" s="35"/>
      <c r="L108" s="34"/>
      <c r="M108" s="35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6"/>
      <c r="Z108" s="36"/>
      <c r="AA108" s="36"/>
      <c r="AB108" s="36"/>
      <c r="AC108" s="36"/>
      <c r="AD108" s="37"/>
      <c r="AE108" s="37"/>
    </row>
    <row r="112" spans="1:39"/>
    <row r="117" s="8" customFormat="1" hidden="1"/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pans="4:9" hidden="1">
      <c r="D193" s="8"/>
      <c r="E193" s="8"/>
      <c r="F193" s="8"/>
      <c r="G193" s="8"/>
      <c r="H193" s="8"/>
      <c r="I193" s="8"/>
    </row>
    <row r="194" spans="4:9"/>
  </sheetData>
  <mergeCells count="1">
    <mergeCell ref="N3:S3"/>
  </mergeCells>
  <conditionalFormatting sqref="J77:S82 J83:T84 J92:T98">
    <cfRule type="cellIs" dxfId="40" priority="100" operator="equal">
      <formula>0</formula>
    </cfRule>
  </conditionalFormatting>
  <conditionalFormatting sqref="J10:T10">
    <cfRule type="expression" dxfId="39" priority="30">
      <formula>J$10=J$4</formula>
    </cfRule>
  </conditionalFormatting>
  <conditionalFormatting sqref="J12:T24">
    <cfRule type="cellIs" dxfId="38" priority="11" operator="equal">
      <formula>0</formula>
    </cfRule>
  </conditionalFormatting>
  <conditionalFormatting sqref="J25:T25">
    <cfRule type="expression" dxfId="37" priority="29">
      <formula>J$10=J$4</formula>
    </cfRule>
  </conditionalFormatting>
  <conditionalFormatting sqref="J26:T54">
    <cfRule type="cellIs" dxfId="36" priority="3" operator="equal">
      <formula>0</formula>
    </cfRule>
  </conditionalFormatting>
  <conditionalFormatting sqref="J54:T54">
    <cfRule type="expression" dxfId="35" priority="28">
      <formula>J$10=J$4</formula>
    </cfRule>
  </conditionalFormatting>
  <conditionalFormatting sqref="J58:T58 J75:T75 J90:T90">
    <cfRule type="expression" dxfId="34" priority="120">
      <formula>J$58=J$4</formula>
    </cfRule>
  </conditionalFormatting>
  <conditionalFormatting sqref="J61:T68">
    <cfRule type="cellIs" dxfId="33" priority="102" operator="equal">
      <formula>0</formula>
    </cfRule>
  </conditionalFormatting>
  <conditionalFormatting sqref="J70:T70">
    <cfRule type="expression" dxfId="32" priority="114">
      <formula>J$58=J$4</formula>
    </cfRule>
  </conditionalFormatting>
  <conditionalFormatting sqref="J70:T71">
    <cfRule type="cellIs" dxfId="31" priority="21" operator="equal">
      <formula>0</formula>
    </cfRule>
  </conditionalFormatting>
  <conditionalFormatting sqref="J86:T86">
    <cfRule type="expression" dxfId="30" priority="118">
      <formula>J$75=J$4</formula>
    </cfRule>
    <cfRule type="cellIs" dxfId="29" priority="119" operator="equal">
      <formula>0</formula>
    </cfRule>
  </conditionalFormatting>
  <conditionalFormatting sqref="J98:T98">
    <cfRule type="expression" dxfId="28" priority="206">
      <formula>J$90=J$4</formula>
    </cfRule>
  </conditionalFormatting>
  <conditionalFormatting sqref="J102:T102">
    <cfRule type="expression" dxfId="27" priority="207">
      <formula>J$102=J$4</formula>
    </cfRule>
  </conditionalFormatting>
  <conditionalFormatting sqref="J104:T106">
    <cfRule type="cellIs" dxfId="26" priority="31" operator="equal">
      <formula>0</formula>
    </cfRule>
  </conditionalFormatting>
  <conditionalFormatting sqref="S1:T1">
    <cfRule type="cellIs" dxfId="25" priority="109" operator="equal">
      <formula>"Check"</formula>
    </cfRule>
    <cfRule type="cellIs" dxfId="24" priority="110" operator="equal">
      <formula>"Ok"</formula>
    </cfRule>
  </conditionalFormatting>
  <conditionalFormatting sqref="T87">
    <cfRule type="expression" dxfId="23" priority="1">
      <formula>T$75=T$4</formula>
    </cfRule>
    <cfRule type="cellIs" dxfId="22" priority="2" operator="equal">
      <formula>0</formula>
    </cfRule>
  </conditionalFormatting>
  <conditionalFormatting sqref="W1">
    <cfRule type="cellIs" dxfId="21" priority="111" operator="equal">
      <formula>"Check"</formula>
    </cfRule>
    <cfRule type="cellIs" dxfId="20" priority="112" operator="equal">
      <formula>"Ok"</formula>
    </cfRule>
  </conditionalFormatting>
  <dataValidations count="3">
    <dataValidation type="list" allowBlank="1" showInputMessage="1" showErrorMessage="1" sqref="F99 F87 F107" xr:uid="{00000000-0002-0000-0700-000000000000}">
      <formula1>"Real 2010,Real 2011,Real 2012,Real 2013,Real 2014,Real 2015,Nominal"</formula1>
    </dataValidation>
    <dataValidation type="list" allowBlank="1" showInputMessage="1" showErrorMessage="1" sqref="F85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f69beede-7b9e-489f-8a4d-ae25a14c8199" xsi:nil="true"/>
    <lcf76f155ced4ddcb4097134ff3c332f xmlns="f69beede-7b9e-489f-8a4d-ae25a14c8199">
      <Terms xmlns="http://schemas.microsoft.com/office/infopath/2007/PartnerControls"/>
    </lcf76f155ced4ddcb4097134ff3c332f>
    <TaxCatchAll xmlns="e81d0cd9-c043-4c37-9584-5b1b876d03c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82531811A0864984EF832EAE07F637" ma:contentTypeVersion="17" ma:contentTypeDescription="Create a new document." ma:contentTypeScope="" ma:versionID="186403bc803fc3d595cc20c4e5a8874a">
  <xsd:schema xmlns:xsd="http://www.w3.org/2001/XMLSchema" xmlns:xs="http://www.w3.org/2001/XMLSchema" xmlns:p="http://schemas.microsoft.com/office/2006/metadata/properties" xmlns:ns2="f69beede-7b9e-489f-8a4d-ae25a14c8199" xmlns:ns3="e81d0cd9-c043-4c37-9584-5b1b876d03c4" targetNamespace="http://schemas.microsoft.com/office/2006/metadata/properties" ma:root="true" ma:fieldsID="8b3c1cdd93ba2c75e4b815560e985d1c" ns2:_="" ns3:_="">
    <xsd:import namespace="f69beede-7b9e-489f-8a4d-ae25a14c8199"/>
    <xsd:import namespace="e81d0cd9-c043-4c37-9584-5b1b876d03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_Flow_SignoffStatus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beede-7b9e-489f-8a4d-ae25a14c81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2b4a0c63-b107-443f-81ac-4a77d015a5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1d0cd9-c043-4c37-9584-5b1b876d03c4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396865c-e6a8-4405-b92b-f461e49fd139}" ma:internalName="TaxCatchAll" ma:showField="CatchAllData" ma:web="e81d0cd9-c043-4c37-9584-5b1b876d03c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1E0A14-93DC-4CD4-9037-1347C11B23DA}">
  <ds:schemaRefs>
    <ds:schemaRef ds:uri="e81d0cd9-c043-4c37-9584-5b1b876d03c4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f69beede-7b9e-489f-8a4d-ae25a14c8199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5158F24-E2A9-453B-919E-A8679C36C4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943826-00E7-4C2E-9F6B-E21DD3E512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9beede-7b9e-489f-8a4d-ae25a14c8199"/>
    <ds:schemaRef ds:uri="e81d0cd9-c043-4c37-9584-5b1b876d03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17</vt:i4>
      </vt:variant>
    </vt:vector>
  </HeadingPairs>
  <TitlesOfParts>
    <vt:vector size="29" baseType="lpstr">
      <vt:lpstr>Cover</vt:lpstr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Calc|Ancillary Ref Services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Mehar Vilkhu</dc:creator>
  <cp:keywords/>
  <dc:description/>
  <cp:lastModifiedBy>Lisa Minervini</cp:lastModifiedBy>
  <cp:revision/>
  <dcterms:created xsi:type="dcterms:W3CDTF">2025-11-12T02:53:53Z</dcterms:created>
  <dcterms:modified xsi:type="dcterms:W3CDTF">2026-01-14T05:42:46Z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2025-11-14T03:14:02Z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bc2a2916-9139-41e7-acd4-444bc022f28a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  <property fmtid="{D5CDD505-2E9C-101B-9397-08002B2CF9AE}" pid="10" name="ContentTypeId">
    <vt:lpwstr>0x0101004B82531811A0864984EF832EAE07F637</vt:lpwstr>
  </property>
  <property fmtid="{D5CDD505-2E9C-101B-9397-08002B2CF9AE}" pid="11" name="MediaServiceImageTags">
    <vt:lpwstr/>
  </property>
</Properties>
</file>