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225" yWindow="285" windowWidth="14115" windowHeight="10875" tabRatio="938" activeTab="6"/>
  </bookViews>
  <sheets>
    <sheet name="Cover" sheetId="11" r:id="rId1"/>
    <sheet name="Contents" sheetId="65" r:id="rId2"/>
    <sheet name="1. Income" sheetId="48" r:id="rId3"/>
    <sheet name="2. Balance" sheetId="49" r:id="rId4"/>
    <sheet name="3. Cashflows" sheetId="50" r:id="rId5"/>
    <sheet name="4. Equity" sheetId="51" r:id="rId6"/>
    <sheet name="5. Capex" sheetId="36" r:id="rId7"/>
    <sheet name="6. Capex overheads" sheetId="37" r:id="rId8"/>
    <sheet name="7. Capex for tax dep'n" sheetId="40" r:id="rId9"/>
    <sheet name="8. Maintenance" sheetId="22" r:id="rId10"/>
    <sheet name="9. Maintenance overheads" sheetId="23" r:id="rId11"/>
    <sheet name="10. Operating costs" sheetId="24" r:id="rId12"/>
    <sheet name="11. Operating overheads" sheetId="25" r:id="rId13"/>
    <sheet name="12. Cost categories" sheetId="27" r:id="rId14"/>
    <sheet name="13. Opex step change" sheetId="46" r:id="rId15"/>
    <sheet name="14. Provisions" sheetId="52" r:id="rId16"/>
    <sheet name="15. Overheads allocation" sheetId="16" r:id="rId17"/>
    <sheet name="16. Avoided cost payments" sheetId="55" r:id="rId18"/>
    <sheet name="17. Altern Ctl &amp; other" sheetId="56" r:id="rId19"/>
    <sheet name="18. EBSS" sheetId="58" r:id="rId20"/>
    <sheet name="19. Juris Scheme" sheetId="59" r:id="rId21"/>
    <sheet name="20. DMIS -DMIA" sheetId="60" r:id="rId22"/>
    <sheet name="21. Self insurance" sheetId="61" r:id="rId23"/>
    <sheet name="22. CHAP" sheetId="62"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abc" localSheetId="14">#REF!</definedName>
    <definedName name="abc" localSheetId="1">#REF!</definedName>
    <definedName name="abc">#REF!</definedName>
    <definedName name="Asset1" localSheetId="2">'[1]4. RAB'!#REF!</definedName>
    <definedName name="Asset1" localSheetId="14">#REF!</definedName>
    <definedName name="Asset1" localSheetId="16">'[1]4. RAB'!#REF!</definedName>
    <definedName name="Asset1" localSheetId="1">'[2]4. RAB'!#REF!</definedName>
    <definedName name="Asset1" localSheetId="0">#REF!</definedName>
    <definedName name="Asset1">#REF!</definedName>
    <definedName name="Asset10" localSheetId="2">'[1]4. RAB'!#REF!</definedName>
    <definedName name="Asset10" localSheetId="14">#REF!</definedName>
    <definedName name="Asset10" localSheetId="16">'[1]4. RAB'!#REF!</definedName>
    <definedName name="Asset10" localSheetId="1">'[2]4. RAB'!#REF!</definedName>
    <definedName name="Asset10" localSheetId="0">#REF!</definedName>
    <definedName name="Asset10">#REF!</definedName>
    <definedName name="Asset11" localSheetId="2">'[1]4. RAB'!#REF!</definedName>
    <definedName name="Asset11" localSheetId="14">#REF!</definedName>
    <definedName name="Asset11" localSheetId="16">'[1]4. RAB'!#REF!</definedName>
    <definedName name="Asset11" localSheetId="1">'[2]4. RAB'!#REF!</definedName>
    <definedName name="Asset11" localSheetId="0">#REF!</definedName>
    <definedName name="Asset11">#REF!</definedName>
    <definedName name="asset11a" localSheetId="14">#REF!</definedName>
    <definedName name="asset11a" localSheetId="16">#REF!</definedName>
    <definedName name="asset11a" localSheetId="1">#REF!</definedName>
    <definedName name="asset11a" localSheetId="0">#REF!</definedName>
    <definedName name="asset11a">#REF!</definedName>
    <definedName name="Asset12" localSheetId="2">'[1]4. RAB'!#REF!</definedName>
    <definedName name="Asset12" localSheetId="14">#REF!</definedName>
    <definedName name="Asset12" localSheetId="16">'[1]4. RAB'!#REF!</definedName>
    <definedName name="Asset12" localSheetId="1">'[2]4. RAB'!#REF!</definedName>
    <definedName name="Asset12" localSheetId="0">#REF!</definedName>
    <definedName name="Asset12">#REF!</definedName>
    <definedName name="Asset13" localSheetId="2">'[1]4. RAB'!#REF!</definedName>
    <definedName name="Asset13" localSheetId="14">#REF!</definedName>
    <definedName name="Asset13" localSheetId="16">'[1]4. RAB'!#REF!</definedName>
    <definedName name="Asset13" localSheetId="1">'[2]4. RAB'!#REF!</definedName>
    <definedName name="Asset13" localSheetId="0">#REF!</definedName>
    <definedName name="Asset13">#REF!</definedName>
    <definedName name="Asset14" localSheetId="2">'[1]4. RAB'!#REF!</definedName>
    <definedName name="Asset14" localSheetId="14">#REF!</definedName>
    <definedName name="Asset14" localSheetId="16">'[1]4. RAB'!#REF!</definedName>
    <definedName name="Asset14" localSheetId="1">'[2]4. RAB'!#REF!</definedName>
    <definedName name="Asset14" localSheetId="0">#REF!</definedName>
    <definedName name="Asset14">#REF!</definedName>
    <definedName name="Asset15" localSheetId="2">'[1]4. RAB'!#REF!</definedName>
    <definedName name="Asset15" localSheetId="14">#REF!</definedName>
    <definedName name="Asset15" localSheetId="16">'[1]4. RAB'!#REF!</definedName>
    <definedName name="Asset15" localSheetId="1">'[2]4. RAB'!#REF!</definedName>
    <definedName name="Asset15" localSheetId="0">#REF!</definedName>
    <definedName name="Asset15">#REF!</definedName>
    <definedName name="Asset16" localSheetId="2">'[1]4. RAB'!#REF!</definedName>
    <definedName name="Asset16" localSheetId="14">#REF!</definedName>
    <definedName name="Asset16" localSheetId="16">'[1]4. RAB'!#REF!</definedName>
    <definedName name="Asset16" localSheetId="1">'[2]4. RAB'!#REF!</definedName>
    <definedName name="Asset16" localSheetId="0">#REF!</definedName>
    <definedName name="Asset16">#REF!</definedName>
    <definedName name="Asset17" localSheetId="2">'[1]4. RAB'!#REF!</definedName>
    <definedName name="Asset17" localSheetId="14">#REF!</definedName>
    <definedName name="Asset17" localSheetId="16">'[1]4. RAB'!#REF!</definedName>
    <definedName name="Asset17" localSheetId="1">'[2]4. RAB'!#REF!</definedName>
    <definedName name="Asset17" localSheetId="0">#REF!</definedName>
    <definedName name="Asset17">#REF!</definedName>
    <definedName name="Asset18" localSheetId="2">'[1]4. RAB'!#REF!</definedName>
    <definedName name="Asset18" localSheetId="14">#REF!</definedName>
    <definedName name="Asset18" localSheetId="16">'[1]4. RAB'!#REF!</definedName>
    <definedName name="Asset18" localSheetId="1">'[2]4. RAB'!#REF!</definedName>
    <definedName name="Asset18" localSheetId="0">#REF!</definedName>
    <definedName name="Asset18">#REF!</definedName>
    <definedName name="Asset19" localSheetId="2">'[1]4. RAB'!#REF!</definedName>
    <definedName name="Asset19" localSheetId="14">#REF!</definedName>
    <definedName name="Asset19" localSheetId="16">'[1]4. RAB'!#REF!</definedName>
    <definedName name="Asset19" localSheetId="1">'[2]4. RAB'!#REF!</definedName>
    <definedName name="Asset19" localSheetId="0">#REF!</definedName>
    <definedName name="Asset19">#REF!</definedName>
    <definedName name="Asset2" localSheetId="2">'[1]4. RAB'!#REF!</definedName>
    <definedName name="Asset2" localSheetId="14">#REF!</definedName>
    <definedName name="Asset2" localSheetId="16">'[1]4. RAB'!#REF!</definedName>
    <definedName name="Asset2" localSheetId="1">'[2]4. RAB'!#REF!</definedName>
    <definedName name="Asset2" localSheetId="0">#REF!</definedName>
    <definedName name="Asset2">#REF!</definedName>
    <definedName name="Asset20" localSheetId="2">'[1]4. RAB'!#REF!</definedName>
    <definedName name="Asset20" localSheetId="14">#REF!</definedName>
    <definedName name="Asset20" localSheetId="16">'[1]4. RAB'!#REF!</definedName>
    <definedName name="Asset20" localSheetId="1">'[2]4. RAB'!#REF!</definedName>
    <definedName name="Asset20" localSheetId="0">#REF!</definedName>
    <definedName name="Asset20">#REF!</definedName>
    <definedName name="Asset3" localSheetId="2">'[1]4. RAB'!#REF!</definedName>
    <definedName name="Asset3" localSheetId="14">#REF!</definedName>
    <definedName name="Asset3" localSheetId="16">'[1]4. RAB'!#REF!</definedName>
    <definedName name="Asset3" localSheetId="1">'[2]4. RAB'!#REF!</definedName>
    <definedName name="Asset3" localSheetId="0">#REF!</definedName>
    <definedName name="Asset3">#REF!</definedName>
    <definedName name="Asset4" localSheetId="2">'[1]4. RAB'!#REF!</definedName>
    <definedName name="Asset4" localSheetId="14">#REF!</definedName>
    <definedName name="Asset4" localSheetId="16">'[1]4. RAB'!#REF!</definedName>
    <definedName name="Asset4" localSheetId="1">'[2]4. RAB'!#REF!</definedName>
    <definedName name="Asset4" localSheetId="0">#REF!</definedName>
    <definedName name="Asset4">#REF!</definedName>
    <definedName name="Asset5" localSheetId="2">'[1]4. RAB'!#REF!</definedName>
    <definedName name="Asset5" localSheetId="14">#REF!</definedName>
    <definedName name="Asset5" localSheetId="16">'[1]4. RAB'!#REF!</definedName>
    <definedName name="Asset5" localSheetId="1">'[2]4. RAB'!#REF!</definedName>
    <definedName name="Asset5" localSheetId="0">#REF!</definedName>
    <definedName name="Asset5">#REF!</definedName>
    <definedName name="Asset6" localSheetId="2">'[1]4. RAB'!#REF!</definedName>
    <definedName name="Asset6" localSheetId="14">#REF!</definedName>
    <definedName name="Asset6" localSheetId="16">'[1]4. RAB'!#REF!</definedName>
    <definedName name="Asset6" localSheetId="1">'[2]4. RAB'!#REF!</definedName>
    <definedName name="Asset6" localSheetId="0">#REF!</definedName>
    <definedName name="Asset6">#REF!</definedName>
    <definedName name="Asset7" localSheetId="2">'[1]4. RAB'!#REF!</definedName>
    <definedName name="Asset7" localSheetId="14">#REF!</definedName>
    <definedName name="Asset7" localSheetId="16">'[1]4. RAB'!#REF!</definedName>
    <definedName name="Asset7" localSheetId="1">'[2]4. RAB'!#REF!</definedName>
    <definedName name="Asset7" localSheetId="0">#REF!</definedName>
    <definedName name="Asset7">#REF!</definedName>
    <definedName name="Asset8" localSheetId="2">'[1]4. RAB'!#REF!</definedName>
    <definedName name="Asset8" localSheetId="14">#REF!</definedName>
    <definedName name="Asset8" localSheetId="16">'[1]4. RAB'!#REF!</definedName>
    <definedName name="Asset8" localSheetId="1">'[2]4. RAB'!#REF!</definedName>
    <definedName name="Asset8" localSheetId="0">#REF!</definedName>
    <definedName name="Asset8">#REF!</definedName>
    <definedName name="Asset9" localSheetId="2">'[1]4. RAB'!#REF!</definedName>
    <definedName name="Asset9" localSheetId="14">#REF!</definedName>
    <definedName name="Asset9" localSheetId="16">'[1]4. RAB'!#REF!</definedName>
    <definedName name="Asset9" localSheetId="1">'[2]4. RAB'!#REF!</definedName>
    <definedName name="Asset9" localSheetId="0">#REF!</definedName>
    <definedName name="Asset9">#REF!</definedName>
    <definedName name="d">#REF!</definedName>
    <definedName name="DNSP">[3]Outcomes!$B$2</definedName>
    <definedName name="f">#REF!</definedName>
    <definedName name="g">#REF!</definedName>
    <definedName name="h">#REF!</definedName>
    <definedName name="j">#REF!</definedName>
    <definedName name="k">#REF!</definedName>
    <definedName name="_xlnm.Print_Area" localSheetId="2">'1. Income'!$B$1:$J$31</definedName>
    <definedName name="_xlnm.Print_Area" localSheetId="11">'10. Operating costs'!$B$1:$L$100</definedName>
    <definedName name="_xlnm.Print_Area" localSheetId="12">'11. Operating overheads'!$B$1:$L$45</definedName>
    <definedName name="_xlnm.Print_Area" localSheetId="13">'12. Cost categories'!$B$1:$Q$21</definedName>
    <definedName name="_xlnm.Print_Area" localSheetId="14">'13. Opex step change'!$B$1:$K$33</definedName>
    <definedName name="_xlnm.Print_Area" localSheetId="15">'14. Provisions'!$B$1:$J$168</definedName>
    <definedName name="_xlnm.Print_Area" localSheetId="16">'15. Overheads allocation'!$B$1:$M$22</definedName>
    <definedName name="_xlnm.Print_Area" localSheetId="17">'16. Avoided cost payments'!$B$1:$D$14</definedName>
    <definedName name="_xlnm.Print_Area" localSheetId="18">'17. Altern Ctl &amp; other'!$B$1:$I$16</definedName>
    <definedName name="_xlnm.Print_Area" localSheetId="19">'18. EBSS'!$B$1:$K$34</definedName>
    <definedName name="_xlnm.Print_Area" localSheetId="20">'19. Juris Scheme'!$B$1:$C$16</definedName>
    <definedName name="_xlnm.Print_Area" localSheetId="3">'2. Balance'!$B$1:$J$57</definedName>
    <definedName name="_xlnm.Print_Area" localSheetId="21">'20. DMIS -DMIA'!$B$1:$E$20</definedName>
    <definedName name="_xlnm.Print_Area" localSheetId="22">'21. Self insurance'!$B$1:$M$29</definedName>
    <definedName name="_xlnm.Print_Area" localSheetId="23">'22. CHAP'!$B$1:$I$27</definedName>
    <definedName name="_xlnm.Print_Area" localSheetId="4">'3. Cashflows'!$B$1:$J$19</definedName>
    <definedName name="_xlnm.Print_Area" localSheetId="5">'4. Equity'!$B$1:$J$29</definedName>
    <definedName name="_xlnm.Print_Area" localSheetId="6">'5. Capex'!$B$1:$F$131</definedName>
    <definedName name="_xlnm.Print_Area" localSheetId="7">'6. Capex overheads'!$B$1:$F$46</definedName>
    <definedName name="_xlnm.Print_Area" localSheetId="8">'7. Capex for tax dep''n'!$B$1:$F$29</definedName>
    <definedName name="_xlnm.Print_Area" localSheetId="9">'8. Maintenance'!$B$1:$L$73</definedName>
    <definedName name="_xlnm.Print_Area" localSheetId="10">'9. Maintenance overheads'!$B$1:$L$46</definedName>
    <definedName name="_xlnm.Print_Area" localSheetId="1">Contents!$A$1:$G$16</definedName>
    <definedName name="_xlnm.Print_Area" localSheetId="0">Cover!$A$1:$H$44</definedName>
    <definedName name="_xlnm.Print_Titles" localSheetId="3">'2. Balance'!$1:$9</definedName>
    <definedName name="s">#REF!</definedName>
    <definedName name="YEAR">[3]Outcomes!$B$3</definedName>
  </definedNames>
  <calcPr calcId="145621" iterate="1"/>
</workbook>
</file>

<file path=xl/calcChain.xml><?xml version="1.0" encoding="utf-8"?>
<calcChain xmlns="http://schemas.openxmlformats.org/spreadsheetml/2006/main">
  <c r="C16" i="36" l="1"/>
  <c r="C20" i="36"/>
  <c r="D16" i="36"/>
  <c r="H23" i="24"/>
  <c r="H20" i="24" s="1"/>
  <c r="F20" i="24" s="1"/>
  <c r="H30" i="24"/>
  <c r="G30" i="24"/>
  <c r="I30" i="24" s="1"/>
  <c r="H13" i="22"/>
  <c r="G13" i="22"/>
  <c r="E36" i="16"/>
  <c r="D36" i="16"/>
  <c r="E37" i="16"/>
  <c r="E38" i="16"/>
  <c r="F25" i="16" s="1"/>
  <c r="G25" i="16" s="1"/>
  <c r="E40" i="16"/>
  <c r="F24" i="16"/>
  <c r="F26" i="16"/>
  <c r="G26" i="16" s="1"/>
  <c r="F28" i="16"/>
  <c r="F30" i="16"/>
  <c r="G30" i="16" s="1"/>
  <c r="N16" i="16" s="1"/>
  <c r="F32" i="16"/>
  <c r="F34" i="16"/>
  <c r="E13" i="23"/>
  <c r="E14" i="23"/>
  <c r="E15" i="23" s="1"/>
  <c r="E17" i="23"/>
  <c r="E18" i="23"/>
  <c r="E21" i="23"/>
  <c r="D21" i="23" s="1"/>
  <c r="E22" i="23"/>
  <c r="E23" i="23"/>
  <c r="E25" i="23"/>
  <c r="E26" i="23"/>
  <c r="E27" i="23" s="1"/>
  <c r="E29" i="23"/>
  <c r="E30" i="23"/>
  <c r="H13" i="23"/>
  <c r="F13" i="23" s="1"/>
  <c r="H14" i="23"/>
  <c r="F14" i="23" s="1"/>
  <c r="H17" i="23"/>
  <c r="H18" i="23"/>
  <c r="F18" i="23" s="1"/>
  <c r="D18" i="23" s="1"/>
  <c r="H21" i="23"/>
  <c r="F21" i="23" s="1"/>
  <c r="H22" i="23"/>
  <c r="F22" i="23" s="1"/>
  <c r="D22" i="23" s="1"/>
  <c r="H25" i="23"/>
  <c r="H26" i="23"/>
  <c r="F26" i="23" s="1"/>
  <c r="H29" i="23"/>
  <c r="F29" i="23" s="1"/>
  <c r="H30" i="23"/>
  <c r="J31" i="23"/>
  <c r="G15" i="23"/>
  <c r="G19" i="23"/>
  <c r="G23" i="23"/>
  <c r="G27" i="23"/>
  <c r="G32" i="23"/>
  <c r="G33" i="23"/>
  <c r="H15" i="23"/>
  <c r="H32" i="23"/>
  <c r="G35" i="16"/>
  <c r="N20" i="16"/>
  <c r="G34" i="16"/>
  <c r="N19" i="16" s="1"/>
  <c r="G32" i="16"/>
  <c r="G28" i="16"/>
  <c r="N14" i="16" s="1"/>
  <c r="G24" i="16"/>
  <c r="N12" i="16" s="1"/>
  <c r="J22" i="16"/>
  <c r="L22" i="16"/>
  <c r="D14" i="16"/>
  <c r="E15" i="25"/>
  <c r="E16" i="25"/>
  <c r="E17" i="25"/>
  <c r="E18" i="25"/>
  <c r="E20" i="25"/>
  <c r="E19" i="25"/>
  <c r="E21" i="25"/>
  <c r="E27" i="25"/>
  <c r="E29" i="25"/>
  <c r="D12" i="16"/>
  <c r="D13" i="16"/>
  <c r="D15" i="16"/>
  <c r="D16" i="16"/>
  <c r="D17" i="16"/>
  <c r="D18" i="16"/>
  <c r="D19" i="16"/>
  <c r="D20" i="16"/>
  <c r="E26" i="25"/>
  <c r="E28" i="25"/>
  <c r="E30" i="25"/>
  <c r="E23" i="25"/>
  <c r="E24" i="25"/>
  <c r="H15" i="25"/>
  <c r="H16" i="25"/>
  <c r="F16" i="25" s="1"/>
  <c r="D16" i="25" s="1"/>
  <c r="H17" i="25"/>
  <c r="H18" i="25"/>
  <c r="F18" i="25" s="1"/>
  <c r="D18" i="25" s="1"/>
  <c r="H19" i="25"/>
  <c r="H20" i="25"/>
  <c r="J20" i="25"/>
  <c r="J21" i="25" s="1"/>
  <c r="L20" i="25"/>
  <c r="H26" i="25"/>
  <c r="F26" i="25" s="1"/>
  <c r="D26" i="25" s="1"/>
  <c r="H27" i="25"/>
  <c r="H29" i="25"/>
  <c r="I29" i="25" s="1"/>
  <c r="H30" i="25"/>
  <c r="H28" i="25"/>
  <c r="F28" i="25" s="1"/>
  <c r="D28" i="25" s="1"/>
  <c r="J15" i="23"/>
  <c r="J19" i="23"/>
  <c r="J23" i="23"/>
  <c r="J27" i="23"/>
  <c r="L15" i="23"/>
  <c r="L19" i="23"/>
  <c r="L23" i="23"/>
  <c r="L27" i="23"/>
  <c r="L32" i="23"/>
  <c r="L33" i="23"/>
  <c r="F27" i="25"/>
  <c r="F30" i="25"/>
  <c r="H23" i="25"/>
  <c r="F23" i="25" s="1"/>
  <c r="H24" i="25"/>
  <c r="D27" i="25"/>
  <c r="D30" i="25"/>
  <c r="G21" i="25"/>
  <c r="G31" i="25"/>
  <c r="G32" i="25"/>
  <c r="L21" i="25"/>
  <c r="E39" i="16"/>
  <c r="D29" i="23"/>
  <c r="E29" i="24"/>
  <c r="E27" i="24"/>
  <c r="E25" i="24"/>
  <c r="D25" i="24" s="1"/>
  <c r="E15" i="24"/>
  <c r="E16" i="24"/>
  <c r="E17" i="24"/>
  <c r="E18" i="24"/>
  <c r="E20" i="24"/>
  <c r="E19" i="24"/>
  <c r="D19" i="24" s="1"/>
  <c r="E13" i="22"/>
  <c r="F13" i="22"/>
  <c r="D13" i="22" s="1"/>
  <c r="E14" i="22"/>
  <c r="H14" i="22"/>
  <c r="F14" i="22" s="1"/>
  <c r="E17" i="22"/>
  <c r="H17" i="22"/>
  <c r="F17" i="22"/>
  <c r="E18" i="22"/>
  <c r="H18" i="22"/>
  <c r="F18" i="22" s="1"/>
  <c r="E21" i="22"/>
  <c r="H21" i="22"/>
  <c r="F21" i="22" s="1"/>
  <c r="E22" i="22"/>
  <c r="H22" i="22"/>
  <c r="F22" i="22" s="1"/>
  <c r="D22" i="22"/>
  <c r="E25" i="22"/>
  <c r="H25" i="22"/>
  <c r="F25" i="22" s="1"/>
  <c r="F27" i="22" s="1"/>
  <c r="E26" i="22"/>
  <c r="H26" i="22"/>
  <c r="F26" i="22"/>
  <c r="E29" i="22"/>
  <c r="H29" i="22"/>
  <c r="E30" i="22"/>
  <c r="E33" i="22" s="1"/>
  <c r="H30" i="22"/>
  <c r="F30" i="22" s="1"/>
  <c r="J32" i="22"/>
  <c r="G22" i="48"/>
  <c r="H22" i="48"/>
  <c r="H23" i="48"/>
  <c r="J23" i="48"/>
  <c r="E30" i="24"/>
  <c r="E28" i="24"/>
  <c r="D28" i="24" s="1"/>
  <c r="E26" i="24"/>
  <c r="E24" i="24"/>
  <c r="E23" i="24"/>
  <c r="E19" i="22"/>
  <c r="E27" i="22"/>
  <c r="F30" i="48"/>
  <c r="E30" i="48"/>
  <c r="D28" i="48"/>
  <c r="G28" i="48"/>
  <c r="H28" i="48"/>
  <c r="J28" i="48"/>
  <c r="F28" i="48"/>
  <c r="E28" i="48"/>
  <c r="F27" i="48"/>
  <c r="E27" i="48"/>
  <c r="D26" i="48"/>
  <c r="G26" i="48"/>
  <c r="H26" i="48"/>
  <c r="J26" i="48"/>
  <c r="F26" i="48"/>
  <c r="E26" i="48"/>
  <c r="D25" i="48"/>
  <c r="G25" i="48"/>
  <c r="H25" i="48"/>
  <c r="J25" i="48"/>
  <c r="F25" i="48"/>
  <c r="E25" i="48"/>
  <c r="D24" i="48"/>
  <c r="G24" i="48"/>
  <c r="H24" i="48"/>
  <c r="J24" i="48"/>
  <c r="F24" i="48"/>
  <c r="E24" i="48"/>
  <c r="F22" i="48"/>
  <c r="D21" i="48"/>
  <c r="G21" i="48"/>
  <c r="H21" i="48"/>
  <c r="J21" i="48"/>
  <c r="F21" i="48"/>
  <c r="E21" i="48"/>
  <c r="D20" i="48"/>
  <c r="G20" i="48"/>
  <c r="H20" i="48"/>
  <c r="J20" i="48"/>
  <c r="F20" i="48"/>
  <c r="E20" i="48"/>
  <c r="D18" i="48"/>
  <c r="G18" i="48"/>
  <c r="H18" i="48"/>
  <c r="J18" i="48"/>
  <c r="F18" i="48"/>
  <c r="E18" i="48"/>
  <c r="D17" i="48"/>
  <c r="G17" i="48"/>
  <c r="H17" i="48"/>
  <c r="J17" i="48"/>
  <c r="F17" i="48"/>
  <c r="E17" i="48"/>
  <c r="D16" i="48"/>
  <c r="G16" i="48"/>
  <c r="H16" i="48"/>
  <c r="J16" i="48"/>
  <c r="F16" i="48"/>
  <c r="E16" i="48"/>
  <c r="D15" i="48"/>
  <c r="G15" i="48"/>
  <c r="H15" i="48"/>
  <c r="J15" i="48"/>
  <c r="F15" i="48"/>
  <c r="E15" i="48"/>
  <c r="J14" i="48"/>
  <c r="H14" i="48"/>
  <c r="G14" i="48"/>
  <c r="F14" i="48"/>
  <c r="E14" i="48"/>
  <c r="J13" i="48"/>
  <c r="H13" i="48"/>
  <c r="G13" i="48"/>
  <c r="F13" i="48"/>
  <c r="E13" i="48"/>
  <c r="D12" i="48"/>
  <c r="G12" i="48"/>
  <c r="H12" i="48"/>
  <c r="J12" i="48"/>
  <c r="F12" i="48"/>
  <c r="E12" i="48"/>
  <c r="L32" i="24"/>
  <c r="J32" i="24"/>
  <c r="H24" i="24"/>
  <c r="H25" i="24"/>
  <c r="H26" i="24"/>
  <c r="H27" i="24"/>
  <c r="H28" i="24"/>
  <c r="H29" i="24"/>
  <c r="G23" i="24"/>
  <c r="G24" i="24"/>
  <c r="G25" i="24"/>
  <c r="G26" i="24"/>
  <c r="G27" i="24"/>
  <c r="G28" i="24"/>
  <c r="G29" i="24"/>
  <c r="F24" i="24"/>
  <c r="F25" i="24"/>
  <c r="F26" i="24"/>
  <c r="F27" i="24"/>
  <c r="F28" i="24"/>
  <c r="F29" i="24"/>
  <c r="F30" i="24"/>
  <c r="D24" i="24"/>
  <c r="D27" i="24"/>
  <c r="D29" i="24"/>
  <c r="E73" i="24"/>
  <c r="H73" i="24"/>
  <c r="G70" i="22"/>
  <c r="F73" i="24"/>
  <c r="D73" i="24"/>
  <c r="H72" i="24"/>
  <c r="J20" i="24"/>
  <c r="L20" i="24"/>
  <c r="H16" i="24"/>
  <c r="F16" i="24" s="1"/>
  <c r="F72" i="24"/>
  <c r="D72" i="24"/>
  <c r="F83" i="36"/>
  <c r="F82" i="36"/>
  <c r="H15" i="24"/>
  <c r="H17" i="24"/>
  <c r="F17" i="24" s="1"/>
  <c r="H18" i="24"/>
  <c r="H19" i="24"/>
  <c r="H15" i="22"/>
  <c r="H19" i="22"/>
  <c r="H23" i="22"/>
  <c r="J11" i="61"/>
  <c r="C12" i="59"/>
  <c r="D22" i="16"/>
  <c r="J19" i="48"/>
  <c r="I14" i="56"/>
  <c r="E14" i="56"/>
  <c r="E15" i="56" s="1"/>
  <c r="E16" i="56" s="1"/>
  <c r="E11" i="56"/>
  <c r="D14" i="56"/>
  <c r="H14" i="56" s="1"/>
  <c r="H15" i="56" s="1"/>
  <c r="C17" i="58"/>
  <c r="C19" i="58"/>
  <c r="C18" i="58"/>
  <c r="C16" i="58"/>
  <c r="C14" i="58"/>
  <c r="C15" i="58"/>
  <c r="C22" i="58" s="1"/>
  <c r="C13" i="58"/>
  <c r="N12" i="27"/>
  <c r="O12" i="27" s="1"/>
  <c r="N13" i="27"/>
  <c r="K13" i="27"/>
  <c r="K14" i="27" s="1"/>
  <c r="L14" i="27" s="1"/>
  <c r="K12" i="27"/>
  <c r="H13" i="27"/>
  <c r="H14" i="27" s="1"/>
  <c r="I14" i="27" s="1"/>
  <c r="H12" i="27"/>
  <c r="E13" i="27"/>
  <c r="Q13" i="27" s="1"/>
  <c r="E12" i="27"/>
  <c r="I30" i="25"/>
  <c r="I27" i="25"/>
  <c r="I23" i="25"/>
  <c r="I20" i="25"/>
  <c r="I18" i="25"/>
  <c r="I16" i="25"/>
  <c r="I13" i="25"/>
  <c r="F13" i="25"/>
  <c r="E13" i="25"/>
  <c r="D13" i="25" s="1"/>
  <c r="I12" i="25"/>
  <c r="F12" i="25"/>
  <c r="E12" i="25"/>
  <c r="D12" i="25" s="1"/>
  <c r="D20" i="24"/>
  <c r="G20" i="24"/>
  <c r="G16" i="24"/>
  <c r="I16" i="24" s="1"/>
  <c r="D17" i="24"/>
  <c r="G17" i="24"/>
  <c r="F18" i="24"/>
  <c r="G18" i="24"/>
  <c r="F19" i="24"/>
  <c r="G19" i="24"/>
  <c r="G15" i="24"/>
  <c r="F15" i="24"/>
  <c r="D15" i="24" s="1"/>
  <c r="E13" i="24"/>
  <c r="H13" i="24"/>
  <c r="F13" i="24" s="1"/>
  <c r="G13" i="24"/>
  <c r="E12" i="24"/>
  <c r="G12" i="24"/>
  <c r="H12" i="24"/>
  <c r="F12" i="24" s="1"/>
  <c r="D12" i="24" s="1"/>
  <c r="G11" i="56"/>
  <c r="F11" i="56"/>
  <c r="D11" i="56"/>
  <c r="L33" i="22"/>
  <c r="G29" i="22"/>
  <c r="G30" i="22"/>
  <c r="G33" i="22"/>
  <c r="F15" i="22"/>
  <c r="F23" i="22"/>
  <c r="G26" i="22"/>
  <c r="G25" i="22"/>
  <c r="G27" i="22" s="1"/>
  <c r="G22" i="22"/>
  <c r="G21" i="22"/>
  <c r="G23" i="22" s="1"/>
  <c r="I23" i="22" s="1"/>
  <c r="G18" i="22"/>
  <c r="G17" i="22"/>
  <c r="I17" i="22" s="1"/>
  <c r="G14" i="22"/>
  <c r="D14" i="37"/>
  <c r="D13" i="37"/>
  <c r="D28" i="37"/>
  <c r="D20" i="37"/>
  <c r="D17" i="37"/>
  <c r="D15" i="37"/>
  <c r="D106" i="36"/>
  <c r="D100" i="36"/>
  <c r="D99" i="36"/>
  <c r="D108" i="36" s="1"/>
  <c r="D96" i="36"/>
  <c r="D95" i="36"/>
  <c r="D94" i="36"/>
  <c r="D93" i="36"/>
  <c r="D92" i="36"/>
  <c r="D91" i="36"/>
  <c r="D97" i="36" s="1"/>
  <c r="D58" i="36"/>
  <c r="D57" i="36"/>
  <c r="F26" i="40" s="1"/>
  <c r="D55" i="36"/>
  <c r="D54" i="36"/>
  <c r="F23" i="40" s="1"/>
  <c r="D53" i="36"/>
  <c r="D52" i="36"/>
  <c r="F21" i="40" s="1"/>
  <c r="D51" i="36"/>
  <c r="D50" i="36"/>
  <c r="F19" i="40" s="1"/>
  <c r="D47" i="36"/>
  <c r="D45" i="36"/>
  <c r="E45" i="36" s="1"/>
  <c r="D46" i="36"/>
  <c r="D44" i="36"/>
  <c r="F13" i="40" s="1"/>
  <c r="D43" i="36"/>
  <c r="F12" i="40" s="1"/>
  <c r="D42" i="36"/>
  <c r="C59" i="36"/>
  <c r="C60" i="36" s="1"/>
  <c r="C66" i="36"/>
  <c r="D66" i="36"/>
  <c r="D20" i="36"/>
  <c r="J155" i="52"/>
  <c r="H155" i="52"/>
  <c r="F155" i="52"/>
  <c r="E155" i="52"/>
  <c r="D155" i="52"/>
  <c r="J129" i="52"/>
  <c r="H129" i="52"/>
  <c r="F129" i="52"/>
  <c r="E129" i="52"/>
  <c r="D129" i="52"/>
  <c r="J102" i="52"/>
  <c r="H102" i="52"/>
  <c r="F102" i="52"/>
  <c r="E102" i="52"/>
  <c r="D102" i="52"/>
  <c r="J75" i="52"/>
  <c r="H75" i="52"/>
  <c r="F75" i="52"/>
  <c r="E75" i="52"/>
  <c r="D75" i="52"/>
  <c r="J48" i="52"/>
  <c r="H48" i="52"/>
  <c r="F48" i="52"/>
  <c r="E48" i="52"/>
  <c r="D48" i="52"/>
  <c r="F25" i="51"/>
  <c r="F22" i="51"/>
  <c r="F19" i="48"/>
  <c r="D25" i="51"/>
  <c r="D22" i="51"/>
  <c r="D19" i="48"/>
  <c r="F17" i="51"/>
  <c r="E25" i="51"/>
  <c r="E24" i="51"/>
  <c r="E22" i="51"/>
  <c r="E19" i="51"/>
  <c r="E18" i="51"/>
  <c r="D17" i="51"/>
  <c r="E17" i="51"/>
  <c r="D13" i="50"/>
  <c r="F13" i="50"/>
  <c r="E13" i="50"/>
  <c r="D56" i="49"/>
  <c r="G56" i="49"/>
  <c r="F56" i="49"/>
  <c r="E56" i="49"/>
  <c r="D55" i="49"/>
  <c r="G55" i="49"/>
  <c r="F55" i="49"/>
  <c r="E55" i="49"/>
  <c r="D54" i="49"/>
  <c r="G54" i="49"/>
  <c r="F54" i="49"/>
  <c r="E54" i="49"/>
  <c r="D53" i="49"/>
  <c r="G53" i="49"/>
  <c r="F53" i="49"/>
  <c r="E53" i="49"/>
  <c r="D48" i="49"/>
  <c r="G48" i="49"/>
  <c r="F48" i="49"/>
  <c r="E48" i="49"/>
  <c r="D47" i="49"/>
  <c r="G47" i="49"/>
  <c r="F47" i="49"/>
  <c r="E47" i="49"/>
  <c r="D46" i="49"/>
  <c r="G46" i="49"/>
  <c r="F46" i="49"/>
  <c r="E46" i="49"/>
  <c r="F45" i="49"/>
  <c r="E45" i="49"/>
  <c r="D44" i="49"/>
  <c r="G44" i="49"/>
  <c r="F44" i="49"/>
  <c r="E44" i="49"/>
  <c r="D43" i="49"/>
  <c r="G43" i="49"/>
  <c r="F43" i="49"/>
  <c r="E43" i="49"/>
  <c r="D40" i="49"/>
  <c r="G40" i="49"/>
  <c r="F40" i="49"/>
  <c r="E40" i="49"/>
  <c r="D39" i="49"/>
  <c r="G39" i="49"/>
  <c r="F39" i="49"/>
  <c r="E39" i="49"/>
  <c r="F38" i="49"/>
  <c r="E38" i="49"/>
  <c r="D37" i="49"/>
  <c r="G37" i="49"/>
  <c r="F37" i="49"/>
  <c r="E37" i="49"/>
  <c r="D36" i="49"/>
  <c r="G36" i="49"/>
  <c r="F36" i="49"/>
  <c r="E36" i="49"/>
  <c r="D35" i="49"/>
  <c r="G35" i="49"/>
  <c r="F35" i="49"/>
  <c r="E35" i="49"/>
  <c r="D34" i="49"/>
  <c r="G34" i="49"/>
  <c r="F34" i="49"/>
  <c r="E34" i="49"/>
  <c r="D30" i="49"/>
  <c r="G30" i="49"/>
  <c r="F30" i="49"/>
  <c r="E30" i="49"/>
  <c r="D29" i="49"/>
  <c r="G29" i="49"/>
  <c r="F29" i="49"/>
  <c r="E29" i="49"/>
  <c r="D28" i="49"/>
  <c r="G28" i="49"/>
  <c r="F28" i="49"/>
  <c r="E28" i="49"/>
  <c r="D27" i="49"/>
  <c r="G27" i="49"/>
  <c r="F27" i="49"/>
  <c r="E27" i="49"/>
  <c r="F26" i="49"/>
  <c r="E26" i="49"/>
  <c r="F25" i="49"/>
  <c r="E25" i="49"/>
  <c r="D24" i="49"/>
  <c r="G24" i="49"/>
  <c r="F24" i="49"/>
  <c r="E24" i="49"/>
  <c r="D21" i="49"/>
  <c r="G21" i="49"/>
  <c r="F21" i="49"/>
  <c r="E21" i="49"/>
  <c r="D20" i="49"/>
  <c r="G20" i="49"/>
  <c r="F20" i="49"/>
  <c r="E20" i="49"/>
  <c r="D19" i="49"/>
  <c r="G19" i="49"/>
  <c r="F19" i="49"/>
  <c r="E19" i="49"/>
  <c r="D18" i="49"/>
  <c r="G18" i="49"/>
  <c r="F18" i="49"/>
  <c r="E18" i="49"/>
  <c r="D17" i="49"/>
  <c r="G17" i="49"/>
  <c r="F17" i="49"/>
  <c r="E17" i="49"/>
  <c r="F16" i="49"/>
  <c r="E16" i="49"/>
  <c r="F15" i="49"/>
  <c r="E15" i="49"/>
  <c r="F14" i="49"/>
  <c r="E14" i="49"/>
  <c r="D13" i="49"/>
  <c r="G13" i="49"/>
  <c r="F13" i="49"/>
  <c r="E13" i="49"/>
  <c r="D12" i="49"/>
  <c r="G12" i="49"/>
  <c r="F12" i="49"/>
  <c r="E12" i="49"/>
  <c r="E14" i="51"/>
  <c r="E13" i="51"/>
  <c r="D12" i="51"/>
  <c r="F12" i="51"/>
  <c r="E12" i="51"/>
  <c r="E15" i="51"/>
  <c r="E14" i="50"/>
  <c r="H11" i="56"/>
  <c r="H12" i="56" s="1"/>
  <c r="F14" i="40"/>
  <c r="F15" i="40"/>
  <c r="F16" i="40"/>
  <c r="E34" i="37"/>
  <c r="E35" i="37"/>
  <c r="E73" i="36"/>
  <c r="E72" i="36"/>
  <c r="E66" i="36"/>
  <c r="E28" i="37"/>
  <c r="G22" i="16"/>
  <c r="K22" i="16"/>
  <c r="B3" i="52"/>
  <c r="B3" i="46"/>
  <c r="B3" i="51"/>
  <c r="B3" i="50"/>
  <c r="B3" i="49"/>
  <c r="B3" i="48"/>
  <c r="I13" i="24"/>
  <c r="B3" i="62"/>
  <c r="B1" i="62"/>
  <c r="B3" i="61"/>
  <c r="B1" i="61"/>
  <c r="B3" i="60"/>
  <c r="B1" i="60"/>
  <c r="B3" i="59"/>
  <c r="B1" i="59"/>
  <c r="B3" i="58"/>
  <c r="B1" i="58"/>
  <c r="B3" i="55"/>
  <c r="B1" i="55"/>
  <c r="B3" i="56"/>
  <c r="B1" i="56"/>
  <c r="B1" i="48"/>
  <c r="E13" i="62"/>
  <c r="E14" i="62"/>
  <c r="E15" i="62"/>
  <c r="E17" i="62"/>
  <c r="E18" i="62"/>
  <c r="E19" i="62"/>
  <c r="H19" i="61"/>
  <c r="I19" i="61"/>
  <c r="J19" i="61"/>
  <c r="K19" i="61"/>
  <c r="L19" i="61"/>
  <c r="D29" i="61"/>
  <c r="C12" i="60"/>
  <c r="E14" i="60"/>
  <c r="E15" i="60"/>
  <c r="E16" i="60"/>
  <c r="E17" i="60"/>
  <c r="E18" i="60"/>
  <c r="E19" i="60"/>
  <c r="C20" i="60"/>
  <c r="D20" i="60"/>
  <c r="E20" i="60"/>
  <c r="C16" i="59"/>
  <c r="C34" i="58"/>
  <c r="C21" i="58"/>
  <c r="D12" i="56"/>
  <c r="E12" i="56"/>
  <c r="F12" i="56"/>
  <c r="G12" i="56"/>
  <c r="D15" i="56"/>
  <c r="F15" i="56"/>
  <c r="G15" i="56"/>
  <c r="I15" i="56"/>
  <c r="F16" i="56"/>
  <c r="G16" i="56"/>
  <c r="D14" i="55"/>
  <c r="E55" i="36"/>
  <c r="E56" i="36"/>
  <c r="F20" i="40"/>
  <c r="F22" i="40"/>
  <c r="F24" i="40"/>
  <c r="F25" i="40"/>
  <c r="F27" i="40"/>
  <c r="B20" i="40"/>
  <c r="B21" i="40"/>
  <c r="B22" i="40"/>
  <c r="B23" i="40"/>
  <c r="B24" i="40"/>
  <c r="B25" i="40"/>
  <c r="B26" i="40"/>
  <c r="B27" i="40"/>
  <c r="B19" i="40"/>
  <c r="J21" i="52"/>
  <c r="H21" i="52"/>
  <c r="F21" i="52"/>
  <c r="E21" i="52"/>
  <c r="D21" i="52"/>
  <c r="B1" i="52"/>
  <c r="J26" i="51"/>
  <c r="H26" i="51"/>
  <c r="G26" i="51"/>
  <c r="J20" i="51"/>
  <c r="H20" i="51"/>
  <c r="G20" i="51"/>
  <c r="F20" i="51"/>
  <c r="D20" i="51"/>
  <c r="J15" i="51"/>
  <c r="H15" i="51"/>
  <c r="G15" i="51"/>
  <c r="F15" i="51"/>
  <c r="D15" i="51"/>
  <c r="B1" i="51"/>
  <c r="J14" i="50"/>
  <c r="I14" i="50"/>
  <c r="H14" i="50"/>
  <c r="G14" i="50"/>
  <c r="F14" i="50"/>
  <c r="D14" i="50"/>
  <c r="F12" i="50"/>
  <c r="E12" i="50"/>
  <c r="D12" i="50"/>
  <c r="B1" i="50"/>
  <c r="J57" i="49"/>
  <c r="I57" i="49"/>
  <c r="H57" i="49"/>
  <c r="G57" i="49"/>
  <c r="F57" i="49"/>
  <c r="E57" i="49"/>
  <c r="D57" i="49"/>
  <c r="J49" i="49"/>
  <c r="I49" i="49"/>
  <c r="H49" i="49"/>
  <c r="G49" i="49"/>
  <c r="F49" i="49"/>
  <c r="E49" i="49"/>
  <c r="D49" i="49"/>
  <c r="J41" i="49"/>
  <c r="I41" i="49"/>
  <c r="H41" i="49"/>
  <c r="G41" i="49"/>
  <c r="F41" i="49"/>
  <c r="E41" i="49"/>
  <c r="D41" i="49"/>
  <c r="J31" i="49"/>
  <c r="I31" i="49"/>
  <c r="H31" i="49"/>
  <c r="G31" i="49"/>
  <c r="F31" i="49"/>
  <c r="E31" i="49"/>
  <c r="D31" i="49"/>
  <c r="J22" i="49"/>
  <c r="J32" i="49"/>
  <c r="I22" i="49"/>
  <c r="I32" i="49"/>
  <c r="H22" i="49"/>
  <c r="H32" i="49"/>
  <c r="G22" i="49"/>
  <c r="G32" i="49"/>
  <c r="F22" i="49"/>
  <c r="F32" i="49"/>
  <c r="E22" i="49"/>
  <c r="E32" i="49"/>
  <c r="D22" i="49"/>
  <c r="D32" i="49"/>
  <c r="B1" i="49"/>
  <c r="J29" i="48"/>
  <c r="J31" i="48"/>
  <c r="I19" i="48"/>
  <c r="I29" i="48"/>
  <c r="I31" i="48"/>
  <c r="H19" i="48"/>
  <c r="G19" i="48"/>
  <c r="E19" i="48"/>
  <c r="D131" i="36"/>
  <c r="C131" i="36"/>
  <c r="D120" i="36"/>
  <c r="C120" i="36"/>
  <c r="C108" i="36"/>
  <c r="B29" i="40"/>
  <c r="B11" i="40"/>
  <c r="B12" i="40"/>
  <c r="B13" i="40"/>
  <c r="B14" i="40"/>
  <c r="B15" i="40"/>
  <c r="B16" i="40"/>
  <c r="B17" i="40"/>
  <c r="B18" i="40"/>
  <c r="B28" i="40"/>
  <c r="B10" i="40"/>
  <c r="E51" i="36"/>
  <c r="E53" i="36"/>
  <c r="E58" i="36"/>
  <c r="E43" i="36"/>
  <c r="E46" i="36"/>
  <c r="E47" i="36"/>
  <c r="E42" i="36"/>
  <c r="D50" i="49"/>
  <c r="D51" i="49"/>
  <c r="E50" i="49"/>
  <c r="E51" i="49"/>
  <c r="F50" i="49"/>
  <c r="F51" i="49"/>
  <c r="G50" i="49"/>
  <c r="G51" i="49"/>
  <c r="H50" i="49"/>
  <c r="H51" i="49"/>
  <c r="I50" i="49"/>
  <c r="I51" i="49"/>
  <c r="J50" i="49"/>
  <c r="J51" i="49"/>
  <c r="H29" i="48"/>
  <c r="H31" i="48" s="1"/>
  <c r="I11" i="56"/>
  <c r="I12" i="56"/>
  <c r="I16" i="56"/>
  <c r="B1" i="46"/>
  <c r="G19" i="22"/>
  <c r="I29" i="23"/>
  <c r="I26" i="23"/>
  <c r="I25" i="23"/>
  <c r="I22" i="23"/>
  <c r="I21" i="23"/>
  <c r="I18" i="23"/>
  <c r="I17" i="23"/>
  <c r="I14" i="23"/>
  <c r="I13" i="23"/>
  <c r="L15" i="22"/>
  <c r="L19" i="22"/>
  <c r="L23" i="22"/>
  <c r="L27" i="22"/>
  <c r="L34" i="22"/>
  <c r="J15" i="22"/>
  <c r="J19" i="22"/>
  <c r="J23" i="22"/>
  <c r="J27" i="22"/>
  <c r="I30" i="22"/>
  <c r="I29" i="22"/>
  <c r="I26" i="22"/>
  <c r="I22" i="22"/>
  <c r="I18" i="22"/>
  <c r="I12" i="24"/>
  <c r="F46" i="37"/>
  <c r="D18" i="37"/>
  <c r="D22" i="37"/>
  <c r="C18" i="37"/>
  <c r="C22" i="37"/>
  <c r="E22" i="37"/>
  <c r="E21" i="37"/>
  <c r="E20" i="37"/>
  <c r="E19" i="37"/>
  <c r="E18" i="37"/>
  <c r="E17" i="37"/>
  <c r="E16" i="37"/>
  <c r="E15" i="37"/>
  <c r="E14" i="37"/>
  <c r="E13" i="37"/>
  <c r="E12" i="36"/>
  <c r="E13" i="36"/>
  <c r="E14" i="36"/>
  <c r="E15" i="36"/>
  <c r="E16" i="36"/>
  <c r="E18" i="36"/>
  <c r="E19" i="36"/>
  <c r="E20" i="36"/>
  <c r="E11" i="36"/>
  <c r="I21" i="16"/>
  <c r="I91" i="24"/>
  <c r="I90" i="24"/>
  <c r="I89" i="24"/>
  <c r="I88" i="24"/>
  <c r="I87" i="24"/>
  <c r="I86" i="24"/>
  <c r="I77" i="24"/>
  <c r="I76" i="24"/>
  <c r="I75" i="24"/>
  <c r="I74" i="24"/>
  <c r="I73" i="24"/>
  <c r="I72" i="24"/>
  <c r="I29" i="24"/>
  <c r="I28" i="24"/>
  <c r="I27" i="24"/>
  <c r="I26" i="24"/>
  <c r="I25" i="24"/>
  <c r="I24" i="24"/>
  <c r="I23" i="24"/>
  <c r="I19" i="24"/>
  <c r="I18" i="24"/>
  <c r="I17" i="24"/>
  <c r="I15" i="24"/>
  <c r="I14" i="22"/>
  <c r="B3" i="40"/>
  <c r="B3" i="37"/>
  <c r="B3" i="36"/>
  <c r="B1" i="40"/>
  <c r="B1" i="37"/>
  <c r="B1" i="36"/>
  <c r="F85" i="36"/>
  <c r="B3" i="16"/>
  <c r="B3" i="27"/>
  <c r="B3" i="25"/>
  <c r="B3" i="24"/>
  <c r="B3" i="23"/>
  <c r="B3" i="22"/>
  <c r="B1" i="16"/>
  <c r="B1" i="27"/>
  <c r="B1" i="25"/>
  <c r="B1" i="24"/>
  <c r="B1" i="23"/>
  <c r="B1" i="22"/>
  <c r="J21" i="24"/>
  <c r="J33" i="24" s="1"/>
  <c r="G73" i="22"/>
  <c r="Q12" i="27"/>
  <c r="P12" i="27"/>
  <c r="P13" i="27"/>
  <c r="P14" i="27"/>
  <c r="N14" i="27"/>
  <c r="M14" i="27"/>
  <c r="O14" i="27"/>
  <c r="J14" i="27"/>
  <c r="G14" i="27"/>
  <c r="E14" i="27"/>
  <c r="D14" i="27"/>
  <c r="F14" i="27"/>
  <c r="O13" i="27"/>
  <c r="L13" i="27"/>
  <c r="F13" i="27"/>
  <c r="L12" i="27"/>
  <c r="I12" i="27"/>
  <c r="F12" i="27"/>
  <c r="L21" i="24"/>
  <c r="L33" i="24"/>
  <c r="E20" i="51"/>
  <c r="Q14" i="27" l="1"/>
  <c r="D16" i="56"/>
  <c r="D48" i="36"/>
  <c r="E48" i="36" s="1"/>
  <c r="F11" i="40"/>
  <c r="F17" i="40" s="1"/>
  <c r="F28" i="40"/>
  <c r="F32" i="22"/>
  <c r="D32" i="22" s="1"/>
  <c r="F57" i="22"/>
  <c r="D57" i="22" s="1"/>
  <c r="J33" i="22"/>
  <c r="J34" i="22" s="1"/>
  <c r="E23" i="22"/>
  <c r="D32" i="23"/>
  <c r="F24" i="25"/>
  <c r="D24" i="25" s="1"/>
  <c r="I24" i="25"/>
  <c r="F19" i="25"/>
  <c r="D19" i="25" s="1"/>
  <c r="I19" i="25"/>
  <c r="F17" i="25"/>
  <c r="D17" i="25" s="1"/>
  <c r="I17" i="25"/>
  <c r="F15" i="25"/>
  <c r="I15" i="25"/>
  <c r="F30" i="23"/>
  <c r="I30" i="23"/>
  <c r="D23" i="23"/>
  <c r="E32" i="23"/>
  <c r="D30" i="23"/>
  <c r="I13" i="22"/>
  <c r="G15" i="22"/>
  <c r="G21" i="24"/>
  <c r="I13" i="27"/>
  <c r="I20" i="24"/>
  <c r="I21" i="22"/>
  <c r="I25" i="22"/>
  <c r="E44" i="36"/>
  <c r="E50" i="36"/>
  <c r="E54" i="36"/>
  <c r="E52" i="36"/>
  <c r="E57" i="36"/>
  <c r="H16" i="56"/>
  <c r="D18" i="24"/>
  <c r="I26" i="25"/>
  <c r="I28" i="25"/>
  <c r="H27" i="22"/>
  <c r="I19" i="22"/>
  <c r="F23" i="24"/>
  <c r="H32" i="24"/>
  <c r="G23" i="48"/>
  <c r="F23" i="48" s="1"/>
  <c r="F29" i="48" s="1"/>
  <c r="F31" i="48" s="1"/>
  <c r="F23" i="51" s="1"/>
  <c r="F26" i="51" s="1"/>
  <c r="F29" i="22"/>
  <c r="H33" i="22"/>
  <c r="I33" i="22" s="1"/>
  <c r="F19" i="22"/>
  <c r="H21" i="25"/>
  <c r="I21" i="25" s="1"/>
  <c r="D23" i="25"/>
  <c r="F29" i="25"/>
  <c r="D29" i="25" s="1"/>
  <c r="H23" i="23"/>
  <c r="F31" i="23"/>
  <c r="D31" i="23" s="1"/>
  <c r="J32" i="23"/>
  <c r="J33" i="23" s="1"/>
  <c r="J25" i="25" s="1"/>
  <c r="J31" i="25" s="1"/>
  <c r="J32" i="25" s="1"/>
  <c r="F32" i="23"/>
  <c r="F25" i="23"/>
  <c r="F27" i="23" s="1"/>
  <c r="H27" i="23"/>
  <c r="F23" i="23"/>
  <c r="F17" i="23"/>
  <c r="H19" i="23"/>
  <c r="H33" i="23" s="1"/>
  <c r="D59" i="36"/>
  <c r="D13" i="24"/>
  <c r="G32" i="24"/>
  <c r="D26" i="24"/>
  <c r="D30" i="24"/>
  <c r="D30" i="22"/>
  <c r="D21" i="22"/>
  <c r="D23" i="22" s="1"/>
  <c r="D14" i="22"/>
  <c r="D15" i="22" s="1"/>
  <c r="E15" i="22"/>
  <c r="E34" i="22" s="1"/>
  <c r="E22" i="48" s="1"/>
  <c r="L25" i="25"/>
  <c r="L31" i="25" s="1"/>
  <c r="L32" i="25" s="1"/>
  <c r="F20" i="25"/>
  <c r="D20" i="25" s="1"/>
  <c r="D26" i="23"/>
  <c r="D14" i="23"/>
  <c r="E19" i="23"/>
  <c r="D60" i="36"/>
  <c r="E60" i="36" s="1"/>
  <c r="E59" i="36"/>
  <c r="D16" i="24"/>
  <c r="D21" i="24" s="1"/>
  <c r="F21" i="24"/>
  <c r="I32" i="24"/>
  <c r="F29" i="40"/>
  <c r="H21" i="24"/>
  <c r="D25" i="22"/>
  <c r="D27" i="22" s="1"/>
  <c r="D18" i="22"/>
  <c r="E21" i="24"/>
  <c r="D15" i="25"/>
  <c r="D21" i="25" s="1"/>
  <c r="F21" i="25"/>
  <c r="D25" i="23"/>
  <c r="D27" i="23" s="1"/>
  <c r="F19" i="23"/>
  <c r="D17" i="23"/>
  <c r="D19" i="23" s="1"/>
  <c r="F15" i="23"/>
  <c r="D13" i="23"/>
  <c r="D15" i="23" s="1"/>
  <c r="D33" i="23" s="1"/>
  <c r="D26" i="22"/>
  <c r="D17" i="22"/>
  <c r="D19" i="22" s="1"/>
  <c r="E33" i="23"/>
  <c r="F33" i="16"/>
  <c r="G33" i="16" s="1"/>
  <c r="N18" i="16" s="1"/>
  <c r="F31" i="16"/>
  <c r="G31" i="16" s="1"/>
  <c r="N17" i="16" s="1"/>
  <c r="F29" i="16"/>
  <c r="G29" i="16" s="1"/>
  <c r="N15" i="16" s="1"/>
  <c r="F27" i="16"/>
  <c r="G27" i="16" s="1"/>
  <c r="D29" i="22" l="1"/>
  <c r="D33" i="22" s="1"/>
  <c r="D34" i="22" s="1"/>
  <c r="D22" i="48" s="1"/>
  <c r="F33" i="22"/>
  <c r="F34" i="22" s="1"/>
  <c r="D23" i="24"/>
  <c r="F32" i="24"/>
  <c r="F33" i="24" s="1"/>
  <c r="I27" i="22"/>
  <c r="H34" i="22"/>
  <c r="G36" i="16"/>
  <c r="N13" i="16"/>
  <c r="F33" i="23"/>
  <c r="G33" i="24"/>
  <c r="G29" i="48"/>
  <c r="G31" i="48" s="1"/>
  <c r="G34" i="22"/>
  <c r="I34" i="22" s="1"/>
  <c r="I15" i="22"/>
  <c r="N22" i="16"/>
  <c r="J17" i="16"/>
  <c r="H17" i="16" s="1"/>
  <c r="L17" i="16"/>
  <c r="F36" i="16"/>
  <c r="H33" i="24"/>
  <c r="I21" i="24"/>
  <c r="F17" i="16" l="1"/>
  <c r="E17" i="16" s="1"/>
  <c r="I17" i="16"/>
  <c r="C12" i="58"/>
  <c r="C23" i="58" s="1"/>
  <c r="I33" i="24"/>
  <c r="J19" i="16"/>
  <c r="J20" i="16"/>
  <c r="L19" i="16"/>
  <c r="L20" i="16"/>
  <c r="J12" i="16"/>
  <c r="L12" i="16"/>
  <c r="L14" i="16"/>
  <c r="J16" i="16"/>
  <c r="H16" i="16" s="1"/>
  <c r="L16" i="16"/>
  <c r="J14" i="16"/>
  <c r="H14" i="16" s="1"/>
  <c r="L18" i="16"/>
  <c r="J18" i="16"/>
  <c r="H18" i="16" s="1"/>
  <c r="D23" i="48"/>
  <c r="E23" i="48" s="1"/>
  <c r="D29" i="48"/>
  <c r="D31" i="48" s="1"/>
  <c r="D23" i="51" s="1"/>
  <c r="L13" i="16"/>
  <c r="J13" i="16"/>
  <c r="H13" i="16" s="1"/>
  <c r="L15" i="16"/>
  <c r="J15" i="16"/>
  <c r="H15" i="16" s="1"/>
  <c r="F15" i="16" l="1"/>
  <c r="E15" i="16" s="1"/>
  <c r="I15" i="16"/>
  <c r="D26" i="51"/>
  <c r="E23" i="51"/>
  <c r="E26" i="51" s="1"/>
  <c r="F18" i="16"/>
  <c r="E18" i="16" s="1"/>
  <c r="I18" i="16"/>
  <c r="F14" i="16"/>
  <c r="E14" i="16" s="1"/>
  <c r="I14" i="16"/>
  <c r="F16" i="16"/>
  <c r="E16" i="16" s="1"/>
  <c r="I16" i="16"/>
  <c r="H20" i="16"/>
  <c r="F13" i="16"/>
  <c r="E13" i="16" s="1"/>
  <c r="I13" i="16"/>
  <c r="E31" i="24"/>
  <c r="E29" i="48"/>
  <c r="E31" i="48" s="1"/>
  <c r="H12" i="16"/>
  <c r="H19" i="16"/>
  <c r="F20" i="16" l="1"/>
  <c r="E20" i="16" s="1"/>
  <c r="I20" i="16"/>
  <c r="H22" i="16"/>
  <c r="H25" i="25" s="1"/>
  <c r="F12" i="16"/>
  <c r="I12" i="16"/>
  <c r="I22" i="16" s="1"/>
  <c r="D31" i="24"/>
  <c r="D32" i="24" s="1"/>
  <c r="D33" i="24" s="1"/>
  <c r="E32" i="24"/>
  <c r="E33" i="24" s="1"/>
  <c r="F19" i="16"/>
  <c r="E19" i="16" s="1"/>
  <c r="I19" i="16"/>
  <c r="E12" i="16" l="1"/>
  <c r="E22" i="16" s="1"/>
  <c r="E25" i="25" s="1"/>
  <c r="F22" i="16"/>
  <c r="H31" i="25"/>
  <c r="F25" i="25"/>
  <c r="F31" i="25" s="1"/>
  <c r="F32" i="25" s="1"/>
  <c r="I25" i="25"/>
  <c r="H32" i="25" l="1"/>
  <c r="I32" i="25" s="1"/>
  <c r="I31" i="25"/>
  <c r="E31" i="25"/>
  <c r="E32" i="25" s="1"/>
  <c r="D25" i="25"/>
  <c r="D31" i="25" s="1"/>
  <c r="D32" i="25" s="1"/>
</calcChain>
</file>

<file path=xl/comments1.xml><?xml version="1.0" encoding="utf-8"?>
<comments xmlns="http://schemas.openxmlformats.org/spreadsheetml/2006/main">
  <authors>
    <author>ciwalker</author>
  </authors>
  <commentList>
    <comment ref="E37" authorId="0">
      <text>
        <r>
          <rPr>
            <b/>
            <sz val="8"/>
            <color indexed="81"/>
            <rFont val="Tahoma"/>
            <family val="2"/>
          </rPr>
          <t>ciwalker:</t>
        </r>
        <r>
          <rPr>
            <sz val="8"/>
            <color indexed="81"/>
            <rFont val="Tahoma"/>
            <family val="2"/>
          </rPr>
          <t xml:space="preserve">
Change in Corporate Services allocation. This is an estimate</t>
        </r>
      </text>
    </comment>
  </commentList>
</comments>
</file>

<file path=xl/sharedStrings.xml><?xml version="1.0" encoding="utf-8"?>
<sst xmlns="http://schemas.openxmlformats.org/spreadsheetml/2006/main" count="1357" uniqueCount="538">
  <si>
    <t>Table 1: Overheads allocation</t>
  </si>
  <si>
    <t>Table 1: Overhead costs - network operation</t>
  </si>
  <si>
    <t>Materials</t>
  </si>
  <si>
    <t>Contractors</t>
  </si>
  <si>
    <t>Category</t>
  </si>
  <si>
    <t>Explanation</t>
  </si>
  <si>
    <t xml:space="preserve">Step changes to opex </t>
  </si>
  <si>
    <r>
      <t xml:space="preserve">Note: </t>
    </r>
    <r>
      <rPr>
        <sz val="10"/>
        <color indexed="8"/>
        <rFont val="Arial"/>
        <family val="2"/>
      </rPr>
      <t xml:space="preserve">only overheads are to be reported in this sheet </t>
    </r>
  </si>
  <si>
    <t>2012-13</t>
  </si>
  <si>
    <t>Capex for tax depreciation</t>
  </si>
  <si>
    <t>Asset class</t>
  </si>
  <si>
    <t>Labour costs</t>
  </si>
  <si>
    <t>Operating expenditure</t>
  </si>
  <si>
    <t>Maintenance expenditure</t>
  </si>
  <si>
    <t>Subtransmission</t>
  </si>
  <si>
    <t>Forecast</t>
  </si>
  <si>
    <t>Actual</t>
  </si>
  <si>
    <t xml:space="preserve">Sub-total </t>
  </si>
  <si>
    <t>IT systems</t>
  </si>
  <si>
    <t>Motor vehicles</t>
  </si>
  <si>
    <t>Buildings</t>
  </si>
  <si>
    <t>Actuals</t>
  </si>
  <si>
    <t>System assets</t>
  </si>
  <si>
    <t>Asset renewal/replacement</t>
  </si>
  <si>
    <t>Growth (demand related)</t>
  </si>
  <si>
    <t>Reliability and quality of service enhancements</t>
  </si>
  <si>
    <t>Environmental, safety, statutory obligations</t>
  </si>
  <si>
    <t>Non-system assets</t>
  </si>
  <si>
    <t>Business support</t>
  </si>
  <si>
    <t xml:space="preserve">Related Party </t>
  </si>
  <si>
    <t>Total related party transaction costs</t>
  </si>
  <si>
    <t>Distribution Network Service Provider</t>
  </si>
  <si>
    <t>Annual reporting template</t>
  </si>
  <si>
    <t xml:space="preserve">This template is to be used by a DNSP to fulfil its annual reporting obligations to the AER. </t>
  </si>
  <si>
    <t>Colour coding of input sheets:</t>
  </si>
  <si>
    <t>Leave coloured cells blank if no information exists - PLEASE DO NOT ENTER TEXT unless specifically requested to do so.</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</si>
  <si>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</si>
  <si>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</si>
  <si>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</si>
  <si>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</si>
  <si>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</si>
  <si>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</si>
  <si>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</si>
  <si>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</si>
  <si>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</si>
  <si>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</si>
  <si>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</si>
  <si>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</si>
  <si>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 xml:space="preserve"> </t>
  </si>
  <si>
    <t>Table of contents</t>
  </si>
  <si>
    <t>Cover sheet</t>
  </si>
  <si>
    <t>Statutory Account code or reference to account code</t>
  </si>
  <si>
    <t>Description</t>
  </si>
  <si>
    <t>Audited statutory accounts</t>
  </si>
  <si>
    <t>Adjustments</t>
  </si>
  <si>
    <t>Negotiated Services</t>
  </si>
  <si>
    <t>Unregulated Services</t>
  </si>
  <si>
    <t>$'000 nominal</t>
  </si>
  <si>
    <t>Other</t>
  </si>
  <si>
    <t>Account code or reference to account code</t>
  </si>
  <si>
    <t>Overheads allocation</t>
  </si>
  <si>
    <t>Description (list each individual overhead)</t>
  </si>
  <si>
    <t>Statutory account code or reference to account code</t>
  </si>
  <si>
    <t xml:space="preserve">Audited statutory accounts </t>
  </si>
  <si>
    <t xml:space="preserve">Adjustments </t>
  </si>
  <si>
    <t>Distribution business</t>
  </si>
  <si>
    <t>Negotiated services</t>
  </si>
  <si>
    <t>Unregulated services</t>
  </si>
  <si>
    <t>Description of the basis of allocation</t>
  </si>
  <si>
    <t>Total</t>
  </si>
  <si>
    <t xml:space="preserve">Total </t>
  </si>
  <si>
    <t>Distribution</t>
  </si>
  <si>
    <t>Table 1:  Total network maintenance expenditure by category</t>
  </si>
  <si>
    <t>Standard control services</t>
  </si>
  <si>
    <t>Alternative control services</t>
  </si>
  <si>
    <t>Network maintenance (NM) costs</t>
  </si>
  <si>
    <t>Related party</t>
  </si>
  <si>
    <t>Description of related party transaction</t>
  </si>
  <si>
    <t>Total maintenance expenditure attributable to related party transaction</t>
  </si>
  <si>
    <t>Total related party transactions maintenance expenditure</t>
  </si>
  <si>
    <t>Table 1:  Network maintenance overheads by category</t>
  </si>
  <si>
    <t>Table 1: Operating expenditure - network operation costs</t>
  </si>
  <si>
    <t>Network control</t>
  </si>
  <si>
    <t>Sub-total</t>
  </si>
  <si>
    <t>Non-network alternatives (demand management)</t>
  </si>
  <si>
    <t>Related Party</t>
  </si>
  <si>
    <t>Name of project</t>
  </si>
  <si>
    <t>Aims/goals of project</t>
  </si>
  <si>
    <t>Impact on demand (MW)</t>
  </si>
  <si>
    <t>ActewAGL</t>
  </si>
  <si>
    <t>Difference</t>
  </si>
  <si>
    <t>Zone substation</t>
  </si>
  <si>
    <t>Network facilities Tax (UNFT)</t>
  </si>
  <si>
    <t>Network operating expenditure</t>
  </si>
  <si>
    <t>IT planning and operations</t>
  </si>
  <si>
    <t>Network systems operations</t>
  </si>
  <si>
    <t>Quality, environmental and safety systems</t>
  </si>
  <si>
    <t>Executive &amp; financial management</t>
  </si>
  <si>
    <t>Other expenditures</t>
  </si>
  <si>
    <t>Advertising &amp; marketing</t>
  </si>
  <si>
    <t>Corporate management fee</t>
  </si>
  <si>
    <t>Business services provided by ActewAGL retail</t>
  </si>
  <si>
    <t>Apprentice training program</t>
  </si>
  <si>
    <t>Business overheads</t>
  </si>
  <si>
    <t>Regulated miscellaneous charges</t>
  </si>
  <si>
    <t>External business expenditure</t>
  </si>
  <si>
    <t>Metering</t>
  </si>
  <si>
    <t>Planned</t>
  </si>
  <si>
    <t>Reactive</t>
  </si>
  <si>
    <t>Underground distribution</t>
  </si>
  <si>
    <t>Overhead distribution</t>
  </si>
  <si>
    <t>Distribution station</t>
  </si>
  <si>
    <t>Network maintenance (NM) overhead costs</t>
  </si>
  <si>
    <t>Table 2:  Explanation of material difference</t>
  </si>
  <si>
    <t>Table 4: Related party transactions</t>
  </si>
  <si>
    <t>Table 5: Operating expenditure - non-recurrent network operating costs</t>
  </si>
  <si>
    <t>Table 2:  Explanation of material difference by category</t>
  </si>
  <si>
    <t>Network maintenance (including overheads)</t>
  </si>
  <si>
    <t>Network operating costs (including overheads)</t>
  </si>
  <si>
    <t>Network operation overheads</t>
  </si>
  <si>
    <t>Table 2: Explanation of Material Difference</t>
  </si>
  <si>
    <t>Tax standard lives</t>
  </si>
  <si>
    <t>Capex additions</t>
  </si>
  <si>
    <t>Table 6:  Non–network alternatives (demand management) operating costs that are not captured by the DMIS ($ nominal)</t>
  </si>
  <si>
    <t>Table 1:  Step changes to operating costs</t>
  </si>
  <si>
    <t>Table 2:  Step changes to maintenance costs</t>
  </si>
  <si>
    <r>
      <t>Note:</t>
    </r>
    <r>
      <rPr>
        <sz val="10"/>
        <rFont val="Arial"/>
        <family val="2"/>
      </rPr>
      <t xml:space="preserve"> all material differences identified in table 1 are to be explained in table 2.</t>
    </r>
  </si>
  <si>
    <t>$000s nominal</t>
  </si>
  <si>
    <t>Current year impact</t>
  </si>
  <si>
    <t>Whole of project life  impact</t>
  </si>
  <si>
    <t>Table 1: Operating and maintenance costs by category</t>
  </si>
  <si>
    <t>Table 6: Related Party Transactions</t>
  </si>
  <si>
    <t>%</t>
  </si>
  <si>
    <t>Table 1: Standard Control Service by Reason</t>
  </si>
  <si>
    <t>Capex - Overheads</t>
  </si>
  <si>
    <t>Capex - including Overheads</t>
  </si>
  <si>
    <t>Deferred capital costs from DM project
($ 000s nominal)</t>
  </si>
  <si>
    <t>Explanation of step change event</t>
  </si>
  <si>
    <t>Table 3: Capex by Asset Class</t>
  </si>
  <si>
    <t>Table 7: Capital Contributions by Asset Class</t>
  </si>
  <si>
    <t>Table 8: Disposals by Asset Class</t>
  </si>
  <si>
    <t>Table 1: Capex addition and tax standard lives - Standard control services</t>
  </si>
  <si>
    <t>Table 3: Other network maintenance overhead costs</t>
  </si>
  <si>
    <t>Other network maintenance costs (itemise in table 3 below)</t>
  </si>
  <si>
    <t>Table 2:  Other network maintenance overhead costs</t>
  </si>
  <si>
    <t>Other network maintenance costs (itemise in table below)</t>
  </si>
  <si>
    <t>Other network operating costs (itemise in table 3 below)</t>
  </si>
  <si>
    <t>Table 3: Other network operating costs</t>
  </si>
  <si>
    <t>Table 2: Other network operating overhead costs</t>
  </si>
  <si>
    <t>Subtotal</t>
  </si>
  <si>
    <t>Costs by category - Standard Control Services</t>
  </si>
  <si>
    <t>Income Statement</t>
  </si>
  <si>
    <t>Table 1:  Income statement</t>
  </si>
  <si>
    <t xml:space="preserve"> Distribution business</t>
  </si>
  <si>
    <t>Distribution revenue</t>
  </si>
  <si>
    <t>TUOS revenue</t>
  </si>
  <si>
    <t>Cross boundary revenue</t>
  </si>
  <si>
    <t>Profit from sale of fixed assets</t>
  </si>
  <si>
    <t>Capital contributions</t>
  </si>
  <si>
    <t>Interest income</t>
  </si>
  <si>
    <t xml:space="preserve">Other revenue </t>
  </si>
  <si>
    <t>Total revenue</t>
  </si>
  <si>
    <t>TUOS costs</t>
  </si>
  <si>
    <t>Cross boundary charges</t>
  </si>
  <si>
    <t>Maintenance</t>
  </si>
  <si>
    <t>Operating Expenses</t>
  </si>
  <si>
    <t xml:space="preserve">Depreciation </t>
  </si>
  <si>
    <t>Finance Charges</t>
  </si>
  <si>
    <t>Loss from sale of fixed assets</t>
  </si>
  <si>
    <t>Impairment Losses (nature of the impairment loss)</t>
  </si>
  <si>
    <t xml:space="preserve">Other </t>
  </si>
  <si>
    <t>Profit before Tax (PBT)</t>
  </si>
  <si>
    <t>Income Tax Expenses /(Benefit)</t>
  </si>
  <si>
    <t>Profit after tax</t>
  </si>
  <si>
    <t>Balance Sheet</t>
  </si>
  <si>
    <t>Table 1:  Balance sheet</t>
  </si>
  <si>
    <t>Current assets</t>
  </si>
  <si>
    <t>Cash and cash equivalents</t>
  </si>
  <si>
    <t>Trade and other receivables</t>
  </si>
  <si>
    <t>Financial Assets</t>
  </si>
  <si>
    <t>Derivatives</t>
  </si>
  <si>
    <t>Current tax assets</t>
  </si>
  <si>
    <t>Prepayments</t>
  </si>
  <si>
    <t>Accrued Revenue</t>
  </si>
  <si>
    <t>Investments</t>
  </si>
  <si>
    <t>Inventories</t>
  </si>
  <si>
    <t>Total current assets</t>
  </si>
  <si>
    <t>Non-current assets</t>
  </si>
  <si>
    <t>Receivables</t>
  </si>
  <si>
    <t>Financial assets</t>
  </si>
  <si>
    <t>Deferred tax asset</t>
  </si>
  <si>
    <t>Property, Plant and Equipment</t>
  </si>
  <si>
    <t>Total non-current assets</t>
  </si>
  <si>
    <t>TOTAL ASSETS</t>
  </si>
  <si>
    <t>Current liabilities</t>
  </si>
  <si>
    <t>Trade and other creditors</t>
  </si>
  <si>
    <t>Interest bearing borrowings</t>
  </si>
  <si>
    <t>Customer deposits</t>
  </si>
  <si>
    <t>Bank overdraft</t>
  </si>
  <si>
    <t>Current tax liability</t>
  </si>
  <si>
    <t>Provisions</t>
  </si>
  <si>
    <t>Total current liabilities</t>
  </si>
  <si>
    <t>Non-current liabilities</t>
  </si>
  <si>
    <t>Retirement benefit obligations</t>
  </si>
  <si>
    <t>Deferred tax liability</t>
  </si>
  <si>
    <t>Deposits</t>
  </si>
  <si>
    <t>Total non-current liabilities</t>
  </si>
  <si>
    <t>TOTAL LIABILITIES</t>
  </si>
  <si>
    <t>NET ASSETS /(LIABILITIES)</t>
  </si>
  <si>
    <t>Equity</t>
  </si>
  <si>
    <t>Contributed Equity</t>
  </si>
  <si>
    <t>Reserves</t>
  </si>
  <si>
    <t>Retained Profits</t>
  </si>
  <si>
    <t>Outside equity interest</t>
  </si>
  <si>
    <t>TOTAL EQUITY</t>
  </si>
  <si>
    <t>Cashflows Statement</t>
  </si>
  <si>
    <t>Table 1:  Cashflow statements</t>
  </si>
  <si>
    <t>Audited Statutory accounts</t>
  </si>
  <si>
    <t>Net Cash Flow for the Year</t>
  </si>
  <si>
    <t>Cash balance at the beginning of the Year</t>
  </si>
  <si>
    <t>Cash balance at the end of the Year</t>
  </si>
  <si>
    <r>
      <t>Notes</t>
    </r>
    <r>
      <rPr>
        <sz val="10"/>
        <rFont val="Arial"/>
        <family val="2"/>
      </rPr>
      <t>: Balancing is required at the Distribution Business level</t>
    </r>
  </si>
  <si>
    <t>The cash flow amounts are intended to reconcile with the balance sheet totals.</t>
  </si>
  <si>
    <t>Changes in Equity</t>
  </si>
  <si>
    <t>Table 1:  Changes in equity</t>
  </si>
  <si>
    <t>CONTRIBUTED EQUITY</t>
  </si>
  <si>
    <t>Opening Balance</t>
  </si>
  <si>
    <t>Shares Issued</t>
  </si>
  <si>
    <t>Shares bought back</t>
  </si>
  <si>
    <t>Closing Balance</t>
  </si>
  <si>
    <t>RESERVES</t>
  </si>
  <si>
    <t xml:space="preserve">Fair value adjustments </t>
  </si>
  <si>
    <t>RETAINED PROFITS</t>
  </si>
  <si>
    <t>Profit/(Loss) for period</t>
  </si>
  <si>
    <t>Actuarial gains/(losses) on retirement obligations</t>
  </si>
  <si>
    <t>Dividends Paid</t>
  </si>
  <si>
    <t>Table 1:  Provisions</t>
  </si>
  <si>
    <t>[insert provision name]</t>
  </si>
  <si>
    <t>Liabilities paid from provision charged to opex</t>
  </si>
  <si>
    <t>Liabilities paid from provision charged to capex</t>
  </si>
  <si>
    <t>Increase /decrease in provision charged to opex</t>
  </si>
  <si>
    <t>Increase/decresae in provision charged to capex</t>
  </si>
  <si>
    <t>Other adjustments (see Table 2)</t>
  </si>
  <si>
    <t>Explanation of the need for the provision</t>
  </si>
  <si>
    <t>Explanation of the movements in the provision</t>
  </si>
  <si>
    <t xml:space="preserve">Table 2: Other adjustments </t>
  </si>
  <si>
    <t xml:space="preserve">This information is required for auditing purposes. Where a DNSP's CAM does not always provide detail about how overheads/shared costs are allocated across the business, the AER will use this information to verify the application of the CAM by the DNSPs. Further, the AER will use this information to inform benchmarking and comparative analysis between DNSPs. </t>
  </si>
  <si>
    <t xml:space="preserve">The AER will use information on provisions and changes in provisions to compare with information provided in the statements of financial performance and position, including the expected costs which provide for a better understanding of the financial position of the DNSP. </t>
  </si>
  <si>
    <t>This information will assist the AER in gaining a better understanding of how distribution businesses manage and report forecast and actual expenditures. The information will also be used for outcomes monitoring, performance reporting, benchmarking and inform the AER for the next reset process (including escalation rates).</t>
  </si>
  <si>
    <t xml:space="preserve">This information is necessary for monitoring expenditure by various components and categories, and will be used to inform the AER’s assessment of expenditure and its underlying drivers at the next reset. It will also be used to assist in any comparative analysis undertaken by the AER within the current and future regulatory control periods. </t>
  </si>
  <si>
    <t xml:space="preserve">This information is necessary for monitoring operating overheads, and will be used to inform the AER’s assessment of operating overheads and its underlying drivers at the next reset. It will also be used to assist in any comparative analysis undertaken by the AER within the current and future regulatory control periods. </t>
  </si>
  <si>
    <t xml:space="preserve">This information is necessary for monitoring operating costs, and will be used to inform the AER’s assessment of operating costs and its underlying drivers at the next reset. It will also be used to assist in any comparative analysis undertaken by the AER within the current and future regulatory control periods. </t>
  </si>
  <si>
    <t xml:space="preserve">This information is necessary for monitoring maintenance overheads and will be used to inform the AER's assessment of maintenance overheads and its underlying drivers at the next reset. It will also be used to assist in any comparative analysis undertaken by the AER within the current and future regulatory control periods. </t>
  </si>
  <si>
    <t xml:space="preserve">This information is necessary for monitoring maintenance expenditure and will be used to inform the AER's assessment of maintenance expenditure and its underlying drivers at the next reset. It will also be used to assist in any comparative analysis undertaken by the AER within the current and future regulatory control periods. </t>
  </si>
  <si>
    <t xml:space="preserve">This information will be used to allow the roll forward of the regulated asset base. </t>
  </si>
  <si>
    <t xml:space="preserve">This information is necessary for monitoring capex and will be used to inform the AER's assessment of capex and its underlying drivers at the next reset. It will also be used to assist in any comparative analysis undertaken by the AER within the current and future regulatory control periods. </t>
  </si>
  <si>
    <t>This information will allow opening and closing balances to reconcile back to the Balance Sheet. This information will provide transparency and accountability to stakeholders, and associated reasons for differences between forecast and actual information, being published in performance reports.</t>
  </si>
  <si>
    <t>This information is used to assess the base year costs, in particular discrepancies between the balance sheet cash holding and cash flow in the base year. Cash flow statements may also be required to assess the financial performance of the business or its financial health to be able to meet its regulatory obligations.</t>
  </si>
  <si>
    <t>This information is used to assess the base year costs, in particular discrepancies between the balance sheet cash holdings and cash flows in the base year. Elements of the information are used to calculate financial ratios (such as return on equity or liquidity ratios), used for intra and inter-business comparison.</t>
  </si>
  <si>
    <t>This information is used to monitor revenues for each service classification. Elements of the information are used to calculate financial ratios, used for intra and inter-business comparison and the AER will also monitor and report on information such as dividend payment, tax payments, depreciation and profit.</t>
  </si>
  <si>
    <t>Sub-transmission overhead</t>
  </si>
  <si>
    <t>Sub-transmission underground</t>
  </si>
  <si>
    <t>Zone Substation</t>
  </si>
  <si>
    <t>Distribution Substations</t>
  </si>
  <si>
    <t>Distribution Overhead Lines</t>
  </si>
  <si>
    <t>Distribution Underground Lines</t>
  </si>
  <si>
    <t>IT and communication systems (Networks)</t>
  </si>
  <si>
    <t>IT systems (Corporate)</t>
  </si>
  <si>
    <t>Telecommunications (Corporate)</t>
  </si>
  <si>
    <t xml:space="preserve">Land </t>
  </si>
  <si>
    <t>Other non-system assets (Networks)</t>
  </si>
  <si>
    <t>Other non-system assets (Corporate)</t>
  </si>
  <si>
    <t>Equity Raising Costs</t>
  </si>
  <si>
    <t>The opening balances should reconcile to the previous year's Balance sheet</t>
  </si>
  <si>
    <t>Table 4: Total capex overheads attributeable to Related Party Transactions</t>
  </si>
  <si>
    <r>
      <t>Note</t>
    </r>
    <r>
      <rPr>
        <sz val="10"/>
        <rFont val="Arial"/>
        <family val="2"/>
      </rPr>
      <t>: list items which are more than 5 per cent of the total standard control or alternative control network maintenance costs</t>
    </r>
  </si>
  <si>
    <r>
      <t>Note</t>
    </r>
    <r>
      <rPr>
        <sz val="10"/>
        <rFont val="Arial"/>
        <family val="2"/>
      </rPr>
      <t>: list items which are more than 5 per cent of the total standard control or alternative control network maintenance overhead costs</t>
    </r>
  </si>
  <si>
    <r>
      <t>Note</t>
    </r>
    <r>
      <rPr>
        <sz val="10"/>
        <rFont val="Arial"/>
        <family val="2"/>
      </rPr>
      <t>: list items which are more than 5 per cent of the total standard control or alternative control network operating costs</t>
    </r>
  </si>
  <si>
    <r>
      <t>Note</t>
    </r>
    <r>
      <rPr>
        <sz val="10"/>
        <rFont val="Arial"/>
        <family val="2"/>
      </rPr>
      <t>: list items which are more than 5 per cent of the total standard control or alternative network operating overhead costs</t>
    </r>
  </si>
  <si>
    <r>
      <rPr>
        <b/>
        <sz val="10"/>
        <rFont val="Arial"/>
        <family val="2"/>
      </rPr>
      <t>Note:</t>
    </r>
    <r>
      <rPr>
        <sz val="10"/>
        <rFont val="Arial"/>
        <family val="2"/>
      </rPr>
      <t xml:space="preserve"> list items which are more than 5 per cent of the total standard control or alternative control network maintenance costs</t>
    </r>
  </si>
  <si>
    <t>The opening balances should agree to the prior year's regulatory accounting statement</t>
  </si>
  <si>
    <t>Avoided TUOS</t>
  </si>
  <si>
    <t>Embedded generators</t>
  </si>
  <si>
    <t>Avoided cost payment
($'000 nominal)</t>
  </si>
  <si>
    <t>Table 1:  Avoided cost payments</t>
  </si>
  <si>
    <t>Avoided Cost Payments</t>
  </si>
  <si>
    <t>TOTAL</t>
  </si>
  <si>
    <t>Total Unregulated</t>
  </si>
  <si>
    <t>[other activities to be listed]</t>
  </si>
  <si>
    <t>Other Activites - Unregulated</t>
  </si>
  <si>
    <t>Total metering</t>
  </si>
  <si>
    <t>Revenue</t>
  </si>
  <si>
    <t>Total expenditure</t>
  </si>
  <si>
    <t>Indirect capex</t>
  </si>
  <si>
    <t>Direct capex</t>
  </si>
  <si>
    <t>Indirect O&amp;M costs</t>
  </si>
  <si>
    <t xml:space="preserve">Direct O&amp;M Costs </t>
  </si>
  <si>
    <t>Table 1:  Alternative control and other services</t>
  </si>
  <si>
    <t>Alternative Control and Other Services</t>
  </si>
  <si>
    <t xml:space="preserve"> Impact of capitalisation changes on opex forecasts ($'000 nominal)</t>
  </si>
  <si>
    <t>Capitalisation policy change</t>
  </si>
  <si>
    <t>Note: this should include a description of any items that have previously been considered as opex items, but are now being considered capex items.</t>
  </si>
  <si>
    <t>Table 2: Explanation of Capitalisation Policy Changes</t>
  </si>
  <si>
    <t>Total opex for EBSS purposes</t>
  </si>
  <si>
    <t>Total opex adjustment for EBSS purposes</t>
  </si>
  <si>
    <t>Capitalisation policy changes</t>
  </si>
  <si>
    <t>Pass through event costs</t>
  </si>
  <si>
    <t>Direct feed-in tariff payments</t>
  </si>
  <si>
    <t>Utilities network facilities tax payments</t>
  </si>
  <si>
    <t>Non network alternatives costs</t>
  </si>
  <si>
    <t>Superannuation defined benefit retirement schemes</t>
  </si>
  <si>
    <t>Insurance</t>
  </si>
  <si>
    <t>Self insurance</t>
  </si>
  <si>
    <t>Debt raising costs</t>
  </si>
  <si>
    <t>Total actual opex</t>
  </si>
  <si>
    <t>Table 1: Opex for EBSS purposes</t>
  </si>
  <si>
    <t>Efficiency benefit sharing scheme</t>
  </si>
  <si>
    <t>Jurisdictional scheme name</t>
  </si>
  <si>
    <r>
      <t xml:space="preserve">Note: </t>
    </r>
    <r>
      <rPr>
        <sz val="10"/>
        <rFont val="Arial"/>
        <family val="2"/>
      </rPr>
      <t>ActewAGL is only required to complete this worksheet for each approved Jurisdictional Scheme.</t>
    </r>
  </si>
  <si>
    <t>[Project 6]</t>
  </si>
  <si>
    <t>[Project 5]</t>
  </si>
  <si>
    <t>[Project 4]</t>
  </si>
  <si>
    <t>[Project 3]</t>
  </si>
  <si>
    <t>[Project 2]</t>
  </si>
  <si>
    <t>Total expenditure 
($'000 nominal)</t>
  </si>
  <si>
    <t>Capital expenditure
 ($'000 nominal)</t>
  </si>
  <si>
    <t>Operating expenditure 
($'000 nominal)</t>
  </si>
  <si>
    <t>Total amount of the DMIA spent in:</t>
  </si>
  <si>
    <t>Table 1:  DMIA projects submitted for approval</t>
  </si>
  <si>
    <t>Part A – DMIA annual report</t>
  </si>
  <si>
    <t xml:space="preserve">Demand Management Incentive Scheme </t>
  </si>
  <si>
    <t>Total self insurance</t>
  </si>
  <si>
    <t>Table 3: Total self insurance costs that relate to standard control services</t>
  </si>
  <si>
    <t>Costs that do not relate to standard control services</t>
  </si>
  <si>
    <t>Costs covered by external funding</t>
  </si>
  <si>
    <t>Costs of the events that relate to standard control services</t>
  </si>
  <si>
    <t>Number of events</t>
  </si>
  <si>
    <t xml:space="preserve">Table 2: Self insurance events with an incurred cost of less than $100 000 per event </t>
  </si>
  <si>
    <t>Total actual cost of self insurance</t>
  </si>
  <si>
    <t>Is information held that verifies the event?</t>
  </si>
  <si>
    <t>Costs recovered via a pass through mechanism</t>
  </si>
  <si>
    <t>Total cost of self insurance event</t>
  </si>
  <si>
    <t>Other costs (eg costs related to unregulated services)</t>
  </si>
  <si>
    <t>Cost of the event that relates to standard control services</t>
  </si>
  <si>
    <t>Description of event</t>
  </si>
  <si>
    <t>Date of event</t>
  </si>
  <si>
    <t>Type of self insurance event</t>
  </si>
  <si>
    <t xml:space="preserve">Table 1: Self insurance events with an incurred cost of greater than $100 000 per event. </t>
  </si>
  <si>
    <t>&lt;Item&gt;</t>
  </si>
  <si>
    <t>Items impacted</t>
  </si>
  <si>
    <t>Reason for the change of accounting policy</t>
  </si>
  <si>
    <t>Description of change</t>
  </si>
  <si>
    <t>Table 2: Reason for the change in accounting policy</t>
  </si>
  <si>
    <t>($'000 nominal)</t>
  </si>
  <si>
    <t>Restated</t>
  </si>
  <si>
    <t>Adjustment</t>
  </si>
  <si>
    <t>Previously stated</t>
  </si>
  <si>
    <t>ActewAGL category</t>
  </si>
  <si>
    <t>Table 1: Aggregate effect of the change in accounting policy on the balance sheet and income statements</t>
  </si>
  <si>
    <r>
      <rPr>
        <b/>
        <sz val="10"/>
        <rFont val="Arial"/>
        <family val="2"/>
      </rPr>
      <t>Note:</t>
    </r>
    <r>
      <rPr>
        <sz val="10"/>
        <rFont val="Arial"/>
        <family val="2"/>
      </rPr>
      <t xml:space="preserve"> 
a) Only list those items where the adjustment amount for the item meets the materiality threshold applied in ActewAGL's statutory financial accounts
b) Tables 1 and 2 capture both the changes in the application of accounting standards and changes in the accounting standards themselves.</t>
    </r>
  </si>
  <si>
    <t>Change of Accounting Policy</t>
  </si>
  <si>
    <t>1. Income statement</t>
  </si>
  <si>
    <t>2. Balance sheet</t>
  </si>
  <si>
    <t>3. Cashflows statement</t>
  </si>
  <si>
    <t>4. Changes in equity</t>
  </si>
  <si>
    <t>Electricity DNSP Annual Reporting Template</t>
  </si>
  <si>
    <r>
      <t xml:space="preserve">Instructions:
</t>
    </r>
    <r>
      <rPr>
        <sz val="10"/>
        <rFont val="Arial"/>
        <family val="2"/>
      </rPr>
      <t>Fill out separate tables for each provision
In addition it is mandatory to produce for each provision that has been allocated to the Regulated Business Segments a supporting 
- written explanation of the need for the provision
- written explanation of the movements in the provision.</t>
    </r>
  </si>
  <si>
    <t xml:space="preserve">This information is necessary for monitoring avoided cost payments, and will be used to inform the AER’s assessment of expenditure and its underlying drivers at the next reset. It will also be used to assist in any comparative analysis undertaken by the AER within the current and future regulatory control periods. </t>
  </si>
  <si>
    <t xml:space="preserve">This information is necessary for monitoring Alternative control &amp; other services, and will be used to inform the AER’s assessment of expenditure and its underlying drivers at the next reset. It will also be used to assist in any comparative analysis undertaken by the AER within the current and future regulatory control periods. </t>
  </si>
  <si>
    <t>EBSS information is used by the AER to monitor EBSS scheme throughout the regulatory control period.</t>
  </si>
  <si>
    <t>Note: a) Only superannuation costs related to defined benefit schemes are to be reported
   b) Only self insurance cost categories approved in the AER's determination are to be reported</t>
  </si>
  <si>
    <t>This information will form the basis of the AER’s assessment of the DNSP’s compliance with the DMIS, and its entitlement to recover expenditure under the DMIS. The information will also assist the AER in assessing proposals for demand management expenditure in opex and capex forecasts submitted in a DNSP’s regulatory proposals, and in the development and implementation of DMEGCIS, in future regulatory control periods.</t>
  </si>
  <si>
    <t>Information on actual, audited costs incurred by DNSPs on self insurance events (collected annually) will assist the AER with determining an appropriate self insurance allowance for DNSPs at the next regulatory reset.
The information is required to be reported annually so that DNSPs can clearly demonstrate (to the AER) that their business processes and reporting systems properly account for self insurance events. This includes correctly accounting for the risks insured and costs to the DNSP.</t>
  </si>
  <si>
    <t>This information is required by the AER to assess forecast expenditure proposed by DNSPs at their next reset. It captures changes in accounting policies made from year to year and the effect on the Financial Statements. This information will increase transparency and accountability to stakeholders.</t>
  </si>
  <si>
    <t>All dollar amounts are to be in nominal terms.</t>
  </si>
  <si>
    <t>Table 1:  Jurisdictional Scheme Amounts</t>
  </si>
  <si>
    <t xml:space="preserve">Jurisdictional Scheme Amounts </t>
  </si>
  <si>
    <t>Total jurisdictional scheme amounts</t>
  </si>
  <si>
    <r>
      <t>Note</t>
    </r>
    <r>
      <rPr>
        <sz val="10"/>
        <rFont val="Arial"/>
        <family val="2"/>
      </rPr>
      <t>: list items which are more than 5 per cent of the total standard control or alternative control capex</t>
    </r>
  </si>
  <si>
    <r>
      <t>Note</t>
    </r>
    <r>
      <rPr>
        <sz val="10"/>
        <rFont val="Arial"/>
        <family val="2"/>
      </rPr>
      <t>: list items which are more than 5 per cent of the total standard control or alternative control capex overheads</t>
    </r>
  </si>
  <si>
    <t>8. Maintenance</t>
  </si>
  <si>
    <t>16. Avoided cost payments</t>
  </si>
  <si>
    <t>9. Maintenance overheads</t>
  </si>
  <si>
    <t>17. Alternative control &amp; other</t>
  </si>
  <si>
    <t>10. Operating costs</t>
  </si>
  <si>
    <t>18. EBSS</t>
  </si>
  <si>
    <t>11. Operating overheads</t>
  </si>
  <si>
    <t>19. Jurisdictional scheme</t>
  </si>
  <si>
    <t>12. Cost categories</t>
  </si>
  <si>
    <t>20. DMIS _ DMIA</t>
  </si>
  <si>
    <t>5. Capex</t>
  </si>
  <si>
    <t>13. Opex step change</t>
  </si>
  <si>
    <t>21. Self insurance</t>
  </si>
  <si>
    <t>6. Capex overheads</t>
  </si>
  <si>
    <t>14. Provisions</t>
  </si>
  <si>
    <t>22. Change in accounting policy</t>
  </si>
  <si>
    <t>7. Capex for tax depreciation</t>
  </si>
  <si>
    <t>15. Overheads allocation</t>
  </si>
  <si>
    <t>Feed in tariff</t>
  </si>
  <si>
    <t>Network maintenance overheads</t>
  </si>
  <si>
    <t>Jurisdictional scheme information is used by the AER to monitor approved Jurisdictional schemes throughout the regulatory control period.</t>
  </si>
  <si>
    <t>Jurisdictional Scheme Amounts 
($'000 nominal)</t>
  </si>
  <si>
    <t>Alternative Control Services - Metering</t>
  </si>
  <si>
    <t xml:space="preserve">Table 2: Alternative Control Services </t>
  </si>
  <si>
    <t xml:space="preserve">Negotiated Services </t>
  </si>
  <si>
    <t>Table 3: Other Services</t>
  </si>
  <si>
    <t xml:space="preserve">Table 4: Alternative Control Services </t>
  </si>
  <si>
    <t>Table 5: Other Services</t>
  </si>
  <si>
    <t>Total capex attributable to related party transaction
$'000 nominal</t>
  </si>
  <si>
    <t>Yellow - Input cells</t>
  </si>
  <si>
    <t>Grey - No inputs required</t>
  </si>
  <si>
    <t xml:space="preserve"> Dark blue - Headings</t>
  </si>
  <si>
    <t>Provision required to account for employee entitlements such as recreation leave, long service leave and sick leave.</t>
  </si>
  <si>
    <t>a) Liabilities paid from provision charged to opex relates to leave taken during the year; and 
b) Increase in provision charged to opex relates to accumulation of leave, increase in payroll costs and increase in number of employees during the year.</t>
  </si>
  <si>
    <t>Employee entitlements provision</t>
  </si>
  <si>
    <t>Redundancy provision</t>
  </si>
  <si>
    <t>Table 3:  Provisions</t>
  </si>
  <si>
    <t>Other adjustments (see Table 4)</t>
  </si>
  <si>
    <t xml:space="preserve">Table 4: Other adjustments </t>
  </si>
  <si>
    <t>Provision required for redundancy payments to employees affected by organisational restructuring.</t>
  </si>
  <si>
    <t>Increase in provision charged to opex relates to additional provision made for redundancy payments during the year.</t>
  </si>
  <si>
    <t>Table 5:  Provisions</t>
  </si>
  <si>
    <t>Other adjustments (see Table 6)</t>
  </si>
  <si>
    <t xml:space="preserve">Table 6: Other adjustments </t>
  </si>
  <si>
    <t>Public liability provision</t>
  </si>
  <si>
    <t>Table 7:  Provisions</t>
  </si>
  <si>
    <t>Other adjustments (see Table 8)</t>
  </si>
  <si>
    <t xml:space="preserve">Table 8: Other adjustments </t>
  </si>
  <si>
    <t>Provision required for public liability claims.</t>
  </si>
  <si>
    <t>Decrease in provision charged to opex relates to reduction in provision not required during the year.</t>
  </si>
  <si>
    <t>Make good restoration provision</t>
  </si>
  <si>
    <t>Not applicable</t>
  </si>
  <si>
    <t>Table 9:  Provisions</t>
  </si>
  <si>
    <t>Other adjustments (see Table 10)</t>
  </si>
  <si>
    <t xml:space="preserve">Table 10: Other adjustments </t>
  </si>
  <si>
    <t>TUOS refund</t>
  </si>
  <si>
    <t>Table 10:  Provisions</t>
  </si>
  <si>
    <t>Other adjustments (see Table 11)</t>
  </si>
  <si>
    <t xml:space="preserve">Table 12: Other adjustments </t>
  </si>
  <si>
    <t>Workers' compensation</t>
  </si>
  <si>
    <t>SCADA upgrades in Zone Substations and IT system development</t>
  </si>
  <si>
    <t>N/A</t>
  </si>
  <si>
    <t>The primary reason for higher than forecast expenditure on this item is that ActewAGL has undertaken a comprehensive review of data, systems and business processes.  Outcomes of that work included scoping a business improvement Program of Work and associated Business Case. This has resulted in a delay in prior years acquiring a new Asset and Works Management System and connectivity system as part of the STIPS and NECF requirements.</t>
  </si>
  <si>
    <t>The primary reason for higher than expected expenditure is strong growth in both customer initiated residential and commercial developments. In particular, the higher expenditure is related to relocation of assets, new urban developments and commercial construction. Also delays in prior years with the construction of Eastlake &amp; Civic Zone Substations has seen expenditure occur in the later part of the regulatory period.</t>
  </si>
  <si>
    <t xml:space="preserve">Jemena Asset Management Pty Ltd ACN 086 013 461 </t>
  </si>
  <si>
    <t>Design and construct 132KV bundle connector double circuit substation line</t>
  </si>
  <si>
    <t>Design and construct Civic Zone Upgrade</t>
  </si>
  <si>
    <t>Design and construct East Lake Zone Substation</t>
  </si>
  <si>
    <t>n/a</t>
  </si>
  <si>
    <t>Metering Maintenance</t>
  </si>
  <si>
    <t>The primary reason for higher than forecast expenditure is that ActewAGL has undertaken a comprehensive review of the businesses data, systems and business processes.  Outcomes of that review included scoping a business improvement Program of Work and associated Business Case. This expenditure has been deemed to be Opex and was not forecasted as part of the 2008 regulatory proposal.</t>
  </si>
  <si>
    <t xml:space="preserve">Other network operating costs </t>
  </si>
  <si>
    <t>The primary reason for higher than forecast expenditure for this item is that there has an emphasis on advising the public on network issues such as vegetation clearing around lines and substations.</t>
  </si>
  <si>
    <t>The primary reason for lower than forecast expenditure for this item is that a number of services which were provided by Retail are now done within Networks.</t>
  </si>
  <si>
    <t>This cost category is to recover costs and depending of timing of invoicing customers there will be small over/under recoveries year to year.</t>
  </si>
  <si>
    <t>Zone substation Reactive</t>
  </si>
  <si>
    <t>Subtransmission Planned</t>
  </si>
  <si>
    <t>Underground distribution Reactive</t>
  </si>
  <si>
    <t>Overhead distribution Planned</t>
  </si>
  <si>
    <t>Overhead distribution Reactive</t>
  </si>
  <si>
    <t>Regulatory Operations</t>
  </si>
  <si>
    <t>Network System Operations</t>
  </si>
  <si>
    <t>NA</t>
  </si>
  <si>
    <t>Vegetation management costs</t>
  </si>
  <si>
    <t>The unexpected and uncontrollable increase in vegetation growth materially increased ActewAGL‟s 2012/13 vegetation management (inspection and clearance) costs by $1.9m above the allowance in the Australian Energy Regulator‟s (AER) 2009-14 ACT Distribution Determination.</t>
  </si>
  <si>
    <t>Guarantee Service Levels</t>
  </si>
  <si>
    <t>Power Factor Correction Scheme</t>
  </si>
  <si>
    <t>Direct floor space allocation and generic driver made up of operating costs and employee numbers.</t>
  </si>
  <si>
    <t>Membership fees and generic driver made up of operating costs and employee numbers.</t>
  </si>
  <si>
    <t>Direct allocation of salaries and consultants where possible. Generic driver made up of operating costs and employee numbers.</t>
  </si>
  <si>
    <t>Number of employees and direct allocation</t>
  </si>
  <si>
    <t>Split based on contracts. Generic driver made up of operating costs and employee numbers.</t>
  </si>
  <si>
    <t>Warehousing allocation is based on floor space. Fleet services is based on time.</t>
  </si>
  <si>
    <t>Facilities Management</t>
  </si>
  <si>
    <t>Chief Executive and BSD New Business</t>
  </si>
  <si>
    <t>Legal and Secretariat</t>
  </si>
  <si>
    <t>Business Systems</t>
  </si>
  <si>
    <t>Human Resources</t>
  </si>
  <si>
    <t>Corporate Finance</t>
  </si>
  <si>
    <t>Safety Division</t>
  </si>
  <si>
    <t>Logistics - Purchasing</t>
  </si>
  <si>
    <t>Logistics - Warehousing</t>
  </si>
  <si>
    <t>79410 - Lease Cost - ROI</t>
  </si>
  <si>
    <t>79161 - Core Systems Replacement Program  (int.ch)</t>
  </si>
  <si>
    <t>79011 - CFM - Accommodation (int.Ch.)</t>
  </si>
  <si>
    <t>79040 - Executive (int.Ch.)</t>
  </si>
  <si>
    <t>79051 - L&amp;S - Legal Fees (int.Ch.)</t>
  </si>
  <si>
    <t>79070 - Business Systems (int.Ch.)</t>
  </si>
  <si>
    <t>79080 - Human Resources (int.Ch.)</t>
  </si>
  <si>
    <t>79090 - Finance (int.Ch.)</t>
  </si>
  <si>
    <t>79091 - Accounts Payable (int. Ch.)</t>
  </si>
  <si>
    <t>79093 - Safety Division (int. Ch.)</t>
  </si>
  <si>
    <t>79101 - Logistics - Purchasing (int.Ch.)</t>
  </si>
  <si>
    <t>79102 - Logistics - Storage and Warehouse (int.Ch.)</t>
  </si>
  <si>
    <t>Audited Accounts</t>
  </si>
  <si>
    <t>Accounts adjusted for a change in costing allocation</t>
  </si>
  <si>
    <t>Yes</t>
  </si>
  <si>
    <t>Workers Compensation</t>
  </si>
  <si>
    <t>18th October 2012</t>
  </si>
  <si>
    <t>ACTEW withdrawal from the Safety, Rehabilitation and Compensation Act 1988 (Cth)</t>
  </si>
  <si>
    <t>ACTEW CORPORATION LTD</t>
  </si>
  <si>
    <t>Purchase of Land East Lake Zone Substation</t>
  </si>
  <si>
    <t>Second Point of Supply Stage 1 Construction of Fence</t>
  </si>
  <si>
    <t xml:space="preserve">Reimbursement of Damages </t>
  </si>
  <si>
    <t>ActewAGL Retail</t>
  </si>
  <si>
    <t>Water &amp; Sewerage Rates</t>
  </si>
  <si>
    <t>Non Electricity Operating Expenditure</t>
  </si>
  <si>
    <t>Depreciation Adjustment</t>
  </si>
  <si>
    <t>Change in Costing Methodolgy</t>
  </si>
  <si>
    <t>Underground distribution Planned</t>
  </si>
  <si>
    <t>ActewAGL has initiated a project called Power Factor Correction Scheme which is in its early planning stage. Expenditure will roll into the 2013/14 financial year of the regulatory period.</t>
  </si>
  <si>
    <t>Non system asset spend is over the forecast as a result of the conversion of vehicle operating leases to finance leases.</t>
  </si>
  <si>
    <t>The primary reason for lower than expected expenditure is that unplanned replacement of equipment in Zone Substations were not as high as expected and the timing of the replacement of over current relays. The Pole Replacement Program was not as high due to the shift of resources from this program to urgent vegetation management work.</t>
  </si>
  <si>
    <t>The ACT Treasurer determined that the Utilities Network Facilities Tax (UNFT) rate for the 2012-13 period be $921 per kilometre of network route length. This is significantly higher then what was estimated in ActewAGL decision.</t>
  </si>
  <si>
    <t>The forecast expenditure for Network Control was incorrect at the time of decision as the base year did not have the full cost of running this activity. The other reason for higher than forecast expenditure for this item is that the cost escalators (labour and materials) used by the AER were lower than those submitted and forecasted by ActewAGL. The approved escalators are at a minimum 10% lower than the actual wages growth.</t>
  </si>
  <si>
    <t>The primary reason for lower than forecast expenditure for this item is expenditure relating to executive management which has been absorbed into Asset Management &amp; Service Delivery Divisions.</t>
  </si>
  <si>
    <t>The primary reason for lower than forecast expenditure for this item is that program of work has increased significantly and as part of the costing methodology more overheads have been absorbed into projects.</t>
  </si>
  <si>
    <t>The primary reasons for higher than forecast expenditure for this item is the withdrawal from the ACT Governments Comcare arrangements, increase in the Energy Industry levy and the under recovery of overhead expenditure to the program of work.</t>
  </si>
  <si>
    <t>The primary reason for higher than forecast expenditure is an increase in regulatory costs and the build of a new Asset Management Plan under Pass 55. The other reason for higher than forecast expenditure for this item is that the cost escalators (labour and materials) used by the AER were lower than those submitted and forecasted by ActewAGL. The approved escalators are at a minimum 10% lower than the actual wages growth.</t>
  </si>
  <si>
    <t>The primary reason for lower than forecast expenditure is that the reactive forecast was based on the last financial years of actuals in the 2012/13 financial year there was a low level of faults</t>
  </si>
  <si>
    <t>The primary reason for lower than forecast expenditure is that expenditure on easement management was coded to overhead distribution planned maintenance.</t>
  </si>
  <si>
    <t>Sub transmission Reactive</t>
  </si>
  <si>
    <t>The primary reason for lower than forecast expenditure is that the reactive forecast was based on the last financial years of actual in the 2012/13 financial year there was a low level of faults</t>
  </si>
  <si>
    <t>The primary reason for higher than forecast expenditure for this item is that the cost escalators (labour and materials) used by the AER in the final decision were lower than those submitted by ActewAGL. The approved escalators are at a minimum 10% lower than the actual wages growth. In addition, as 2006/07 was used as a base year for reactive works, there has been a significant increase in underground cable faults than in the base year.</t>
  </si>
  <si>
    <t>Distribution station Planned</t>
  </si>
  <si>
    <t>Distribution station Reactive</t>
  </si>
  <si>
    <t>The primary reason for lower than forecast expenditure is that expenditure on Underground Distribution Ground Mounted Asset External Inspection was coded to overhead distribution planned maintenance.</t>
  </si>
  <si>
    <t>The primary reason for higher than forecast expenditure for this item is that the cost escalators (labour and materials) used by the AER were lower than those submitted and forecasted by ActewAGL. The approved escalators are at a minimum 10% lower than the actual wages growth. In addition, as 2006/07 was used as a base year for reactive works, there has been a significant increase in faults then the base year.</t>
  </si>
  <si>
    <t>The primary reason for lower than forecast expenditure is that program expenditure on Substation Enclosures like chamber and kiosk cleaning, earthing repairs has not occurred to the extent which was estimated.</t>
  </si>
  <si>
    <t xml:space="preserve">The primary reason for higher than forecast expenditure for this item is the expenditure on vegetation management (due to unforseen vegetation growth rates), the coding of expenditure relating to underground distribution and that the cost escalators (labour and materials) used by the AER were lower than those submitted and forecasted by ActewAGL. The approved escalators are at a minimum 10% lower than the actual wages growth. </t>
  </si>
  <si>
    <t>Note: ActewAGL does not have a balance sheet for Alternate Control Services &amp; Unregulated Services to be able to report accurately.</t>
  </si>
  <si>
    <t>Note: No Cash Disposals occurred in 2012/13</t>
  </si>
  <si>
    <t>Note: No capital expenditure occurred in 2012/13 for unregulated services.</t>
  </si>
  <si>
    <t>Note:  ActewAGL's proposal &amp; AER's final decision did not provide a forecast for overheads</t>
  </si>
  <si>
    <t>Note:  ActewAGL's proposal &amp; AER's final decision did not provide a forecast for this level of detail</t>
  </si>
  <si>
    <t>Note: ActewAGL does not have a balance sheet (Provisions) for Alternate Control Services &amp; Unregulated Services to be able to report accurately.</t>
  </si>
  <si>
    <t>Note: ActewAGL did not have any avoided cost payments</t>
  </si>
  <si>
    <t>Note: ActewAGL did have a change in accounting policy</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</si>
</sst>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0.00_);_(* \(#,##0.00\);_(* &quot;-&quot;??_);_(@_)"/>
    <numFmt numFmtId="165" formatCode="_(* #,##0_);_(* \(#,##0\);_(* &quot;-&quot;_);_(@_)"/>
    <numFmt numFmtId="166" formatCode="_(* #,##0_);_(* \(#,##0\);_(* &quot;-&quot;?_);_(@_)"/>
    <numFmt numFmtId="167" formatCode="0.0"/>
    <numFmt numFmtId="168" formatCode="0.0000"/>
    <numFmt numFmtId="169" formatCode="#,##0,;\(#,##0,\)"/>
    <numFmt numFmtId="170" formatCode="#,##0.0;\(#,##0.0\)"/>
    <numFmt numFmtId="171" formatCode="#,##0.0"/>
    <numFmt numFmtId="172" formatCode="_(* #,##0.0_);_(* \(#,##0.0\);_(* &quot;-&quot;??_);_(@_)"/>
    <numFmt numFmtId="173" formatCode="_(* #,##0_);_(* \(#,##0\);_(* &quot;-&quot;??_);_(@_)"/>
    <numFmt numFmtId="174" formatCode="#,##0;\(#,##0\)"/>
  </numFmts>
  <fonts count="64" x14ac:knownFonts="1">
    <font>
      <sz val="10"/>
      <name val="Arial"/>
    </font>
    <font>
      <sz val="10"/>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sz val="10"/>
      <name val="Arial"/>
      <family val="2"/>
    </font>
    <font>
      <b/>
      <sz val="8"/>
      <name val="Arial"/>
      <family val="2"/>
    </font>
    <font>
      <sz val="8"/>
      <name val="Arial"/>
      <family val="2"/>
    </font>
    <font>
      <b/>
      <sz val="14"/>
      <color indexed="51"/>
      <name val="Arial"/>
      <family val="2"/>
    </font>
    <font>
      <b/>
      <sz val="14"/>
      <name val="Arial"/>
      <family val="2"/>
    </font>
    <font>
      <sz val="10"/>
      <color indexed="9"/>
      <name val="Arial"/>
      <family val="2"/>
    </font>
    <font>
      <sz val="18"/>
      <name val="Arial"/>
      <family val="2"/>
    </font>
    <font>
      <b/>
      <sz val="18"/>
      <color indexed="62"/>
      <name val="Arial Black"/>
      <family val="2"/>
    </font>
    <font>
      <b/>
      <sz val="18"/>
      <color indexed="62"/>
      <name val="Arial"/>
      <family val="2"/>
    </font>
    <font>
      <sz val="18"/>
      <color indexed="62"/>
      <name val="Arial"/>
      <family val="2"/>
    </font>
    <font>
      <b/>
      <sz val="10"/>
      <color indexed="6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color indexed="8"/>
      <name val="Arial"/>
      <family val="2"/>
    </font>
    <font>
      <b/>
      <sz val="10"/>
      <color indexed="9"/>
      <name val="Arial"/>
      <family val="2"/>
    </font>
    <font>
      <b/>
      <sz val="10"/>
      <color indexed="8"/>
      <name val="Arial"/>
      <family val="2"/>
    </font>
    <font>
      <sz val="10"/>
      <color indexed="8"/>
      <name val="Arial"/>
      <family val="2"/>
    </font>
    <font>
      <sz val="12"/>
      <name val="Arial Black"/>
      <family val="2"/>
    </font>
    <font>
      <b/>
      <sz val="12"/>
      <color indexed="8"/>
      <name val="Arial"/>
      <family val="2"/>
    </font>
    <font>
      <sz val="12"/>
      <name val="Arial"/>
      <family val="2"/>
    </font>
    <font>
      <strike/>
      <sz val="10"/>
      <color indexed="22"/>
      <name val="Arial Black"/>
      <family val="2"/>
    </font>
    <font>
      <sz val="12"/>
      <color indexed="51"/>
      <name val="Arial"/>
      <family val="2"/>
    </font>
    <font>
      <b/>
      <sz val="12"/>
      <color indexed="52"/>
      <name val="Arial"/>
      <family val="2"/>
    </font>
    <font>
      <b/>
      <sz val="10"/>
      <color indexed="52"/>
      <name val="Arial"/>
      <family val="2"/>
    </font>
    <font>
      <sz val="10"/>
      <color theme="9" tint="0.39997558519241921"/>
      <name val="Arial"/>
      <family val="2"/>
    </font>
    <font>
      <sz val="10"/>
      <color theme="0"/>
      <name val="Arial"/>
      <family val="2"/>
    </font>
    <font>
      <b/>
      <sz val="10"/>
      <color theme="0"/>
      <name val="Arial"/>
      <family val="2"/>
    </font>
    <font>
      <i/>
      <sz val="10"/>
      <color indexed="9"/>
      <name val="Arial"/>
      <family val="2"/>
    </font>
    <font>
      <i/>
      <sz val="10"/>
      <color indexed="51"/>
      <name val="Arial"/>
      <family val="2"/>
    </font>
    <font>
      <sz val="10"/>
      <color indexed="10"/>
      <name val="Arial"/>
      <family val="2"/>
    </font>
    <font>
      <b/>
      <sz val="10"/>
      <color rgb="FFFFC000"/>
      <name val="Arial"/>
      <family val="2"/>
    </font>
    <font>
      <b/>
      <sz val="22"/>
      <name val="Arial"/>
      <family val="2"/>
    </font>
    <font>
      <b/>
      <sz val="12"/>
      <color indexed="51"/>
      <name val="Arial"/>
      <family val="2"/>
    </font>
    <font>
      <sz val="12"/>
      <color indexed="9"/>
      <name val="Arial"/>
      <family val="2"/>
    </font>
    <font>
      <b/>
      <sz val="14"/>
      <name val="Arial Black"/>
      <family val="2"/>
    </font>
    <font>
      <u/>
      <sz val="10"/>
      <color indexed="12"/>
      <name val="Arial"/>
      <family val="2"/>
    </font>
    <font>
      <b/>
      <sz val="10"/>
      <color rgb="FFFFCC00"/>
      <name val="Arial"/>
      <family val="2"/>
    </font>
    <font>
      <sz val="10"/>
      <name val="Arial"/>
      <family val="2"/>
    </font>
    <font>
      <b/>
      <sz val="8"/>
      <color indexed="8"/>
      <name val="Arial"/>
      <family val="2"/>
    </font>
    <font>
      <sz val="8"/>
      <color indexed="81"/>
      <name val="Tahoma"/>
      <family val="2"/>
    </font>
    <font>
      <b/>
      <sz val="8"/>
      <color indexed="81"/>
      <name val="Tahoma"/>
      <family val="2"/>
    </font>
  </fonts>
  <fills count="33">
    <fill>
      <patternFill patternType="none"/>
    </fill>
    <fill>
      <patternFill patternType="gray125"/>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62"/>
        <bgColor indexed="64"/>
      </patternFill>
    </fill>
    <fill>
      <patternFill patternType="solid">
        <fgColor indexed="8"/>
        <bgColor indexed="64"/>
      </patternFill>
    </fill>
    <fill>
      <patternFill patternType="solid">
        <fgColor indexed="6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indexed="43"/>
        <bgColor indexed="64"/>
      </patternFill>
    </fill>
    <fill>
      <patternFill patternType="solid">
        <fgColor indexed="47"/>
        <bgColor indexed="64"/>
      </patternFill>
    </fill>
    <fill>
      <patternFill patternType="solid">
        <fgColor rgb="FF333399"/>
        <bgColor indexed="64"/>
      </patternFill>
    </fill>
    <fill>
      <patternFill patternType="solid">
        <fgColor rgb="FFDDDDDD"/>
        <bgColor indexed="64"/>
      </patternFill>
    </fill>
    <fill>
      <patternFill patternType="solid">
        <fgColor rgb="FFFFFF00"/>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2"/>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ck">
        <color indexed="62"/>
      </left>
      <right/>
      <top style="thick">
        <color indexed="62"/>
      </top>
      <bottom/>
      <diagonal/>
    </border>
    <border>
      <left/>
      <right/>
      <top style="thick">
        <color indexed="62"/>
      </top>
      <bottom/>
      <diagonal/>
    </border>
    <border>
      <left/>
      <right style="thick">
        <color indexed="62"/>
      </right>
      <top style="thick">
        <color indexed="62"/>
      </top>
      <bottom/>
      <diagonal/>
    </border>
    <border>
      <left style="thick">
        <color indexed="62"/>
      </left>
      <right/>
      <top/>
      <bottom/>
      <diagonal/>
    </border>
    <border>
      <left/>
      <right style="thick">
        <color indexed="62"/>
      </right>
      <top/>
      <bottom/>
      <diagonal/>
    </border>
    <border>
      <left style="thick">
        <color indexed="62"/>
      </left>
      <right/>
      <top style="medium">
        <color indexed="62"/>
      </top>
      <bottom/>
      <diagonal/>
    </border>
    <border>
      <left/>
      <right style="thick">
        <color indexed="62"/>
      </right>
      <top style="medium">
        <color indexed="62"/>
      </top>
      <bottom/>
      <diagonal/>
    </border>
    <border>
      <left style="thick">
        <color indexed="62"/>
      </left>
      <right/>
      <top/>
      <bottom style="thick">
        <color indexed="62"/>
      </bottom>
      <diagonal/>
    </border>
    <border>
      <left/>
      <right/>
      <top/>
      <bottom style="thick">
        <color indexed="62"/>
      </bottom>
      <diagonal/>
    </border>
    <border>
      <left/>
      <right style="thick">
        <color indexed="62"/>
      </right>
      <top/>
      <bottom style="thick">
        <color indexed="62"/>
      </bottom>
      <diagonal/>
    </border>
  </borders>
  <cellStyleXfs count="77">
    <xf numFmtId="0" fontId="0" fillId="0" borderId="0"/>
    <xf numFmtId="0" fontId="1"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8"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165" fontId="7" fillId="14" borderId="0" applyNumberFormat="0" applyFont="0" applyBorder="0" applyAlignment="0">
      <alignment horizontal="right"/>
    </xf>
    <xf numFmtId="0" fontId="21" fillId="5" borderId="1" applyNumberFormat="0" applyAlignment="0" applyProtection="0"/>
    <xf numFmtId="0" fontId="22" fillId="15" borderId="2" applyNumberFormat="0" applyAlignment="0" applyProtection="0"/>
    <xf numFmtId="164" fontId="1" fillId="0" borderId="0" applyFont="0" applyFill="0" applyBorder="0" applyAlignment="0" applyProtection="0"/>
    <xf numFmtId="0" fontId="23" fillId="0" borderId="0" applyNumberFormat="0" applyFill="0" applyBorder="0" applyAlignment="0" applyProtection="0"/>
    <xf numFmtId="0" fontId="24" fillId="16"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3" borderId="1" applyNumberFormat="0" applyAlignment="0" applyProtection="0"/>
    <xf numFmtId="165" fontId="1" fillId="17" borderId="0" applyFont="0" applyBorder="0" applyAlignment="0">
      <alignment horizontal="right"/>
      <protection locked="0"/>
    </xf>
    <xf numFmtId="166" fontId="7" fillId="18" borderId="0" applyFont="0" applyBorder="0">
      <alignment horizontal="right"/>
      <protection locked="0"/>
    </xf>
    <xf numFmtId="165" fontId="7" fillId="19" borderId="0" applyFont="0" applyBorder="0">
      <alignment horizontal="right"/>
      <protection locked="0"/>
    </xf>
    <xf numFmtId="0" fontId="29" fillId="0" borderId="6" applyNumberFormat="0" applyFill="0" applyAlignment="0" applyProtection="0"/>
    <xf numFmtId="0" fontId="30" fillId="6" borderId="0" applyNumberFormat="0" applyBorder="0" applyAlignment="0" applyProtection="0"/>
    <xf numFmtId="0" fontId="1" fillId="0" borderId="0"/>
    <xf numFmtId="0" fontId="1" fillId="20" borderId="0"/>
    <xf numFmtId="0" fontId="1" fillId="20" borderId="0"/>
    <xf numFmtId="0" fontId="1" fillId="20" borderId="0"/>
    <xf numFmtId="0" fontId="1" fillId="0" borderId="0"/>
    <xf numFmtId="0" fontId="1" fillId="20" borderId="0"/>
    <xf numFmtId="0" fontId="1" fillId="20" borderId="0"/>
    <xf numFmtId="0" fontId="1" fillId="20" borderId="0"/>
    <xf numFmtId="0" fontId="1" fillId="0" borderId="0"/>
    <xf numFmtId="0" fontId="1" fillId="20" borderId="0"/>
    <xf numFmtId="0" fontId="1" fillId="0" borderId="0" applyProtection="0"/>
    <xf numFmtId="0" fontId="1" fillId="0" borderId="0" applyFill="0"/>
    <xf numFmtId="0" fontId="7" fillId="4" borderId="7" applyNumberFormat="0" applyFont="0" applyAlignment="0" applyProtection="0"/>
    <xf numFmtId="0" fontId="31" fillId="5"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7" fillId="0" borderId="0"/>
    <xf numFmtId="0" fontId="1" fillId="0" borderId="0"/>
    <xf numFmtId="164" fontId="1" fillId="0" borderId="0" applyFont="0" applyFill="0" applyBorder="0" applyAlignment="0" applyProtection="0"/>
    <xf numFmtId="0" fontId="1" fillId="0" borderId="0"/>
    <xf numFmtId="0" fontId="1" fillId="20" borderId="0"/>
    <xf numFmtId="0" fontId="1" fillId="20" borderId="0"/>
    <xf numFmtId="0" fontId="1" fillId="0" borderId="0"/>
    <xf numFmtId="0" fontId="1" fillId="0" borderId="0"/>
    <xf numFmtId="0" fontId="1" fillId="20" borderId="0"/>
    <xf numFmtId="165" fontId="1" fillId="14" borderId="0" applyNumberFormat="0" applyFont="0" applyBorder="0" applyAlignment="0">
      <alignment horizontal="right"/>
    </xf>
    <xf numFmtId="0" fontId="1" fillId="0" borderId="0"/>
    <xf numFmtId="0" fontId="1" fillId="20" borderId="0"/>
    <xf numFmtId="0" fontId="1" fillId="20" borderId="0"/>
    <xf numFmtId="0" fontId="58" fillId="0" borderId="0" applyNumberFormat="0" applyFill="0" applyBorder="0" applyAlignment="0" applyProtection="0">
      <alignment vertical="top"/>
      <protection locked="0"/>
    </xf>
    <xf numFmtId="0" fontId="1" fillId="20" borderId="0"/>
    <xf numFmtId="165" fontId="1" fillId="17" borderId="0" applyFont="0" applyBorder="0" applyAlignment="0">
      <alignment horizontal="right"/>
      <protection locked="0"/>
    </xf>
    <xf numFmtId="9" fontId="60" fillId="0" borderId="0" applyFont="0" applyFill="0" applyBorder="0" applyAlignment="0" applyProtection="0"/>
  </cellStyleXfs>
  <cellXfs count="722">
    <xf numFmtId="0" fontId="0" fillId="0" borderId="0" xfId="0"/>
    <xf numFmtId="0" fontId="2" fillId="20" borderId="0" xfId="46" applyFont="1"/>
    <xf numFmtId="0" fontId="1" fillId="20" borderId="0" xfId="46"/>
    <xf numFmtId="0" fontId="3" fillId="20" borderId="0" xfId="46" applyFont="1"/>
    <xf numFmtId="2" fontId="8" fillId="20" borderId="0" xfId="46" applyNumberFormat="1" applyFont="1" applyBorder="1" applyAlignment="1" applyProtection="1">
      <alignment horizontal="left"/>
    </xf>
    <xf numFmtId="0" fontId="9" fillId="20" borderId="0" xfId="46" applyFont="1" applyAlignment="1" applyProtection="1">
      <protection locked="0"/>
    </xf>
    <xf numFmtId="0" fontId="9" fillId="20" borderId="0" xfId="46" applyFont="1" applyProtection="1">
      <protection locked="0"/>
    </xf>
    <xf numFmtId="0" fontId="8" fillId="20" borderId="0" xfId="46" applyFont="1"/>
    <xf numFmtId="0" fontId="1" fillId="20" borderId="0" xfId="46" applyAlignment="1"/>
    <xf numFmtId="0" fontId="10" fillId="21" borderId="12" xfId="46" applyFont="1" applyFill="1" applyBorder="1"/>
    <xf numFmtId="0" fontId="11" fillId="21" borderId="12" xfId="46" applyFont="1" applyFill="1" applyBorder="1"/>
    <xf numFmtId="0" fontId="11" fillId="20" borderId="0" xfId="46" applyFont="1"/>
    <xf numFmtId="0" fontId="10" fillId="21" borderId="13" xfId="46" applyFont="1" applyFill="1" applyBorder="1"/>
    <xf numFmtId="0" fontId="11" fillId="21" borderId="14" xfId="46" applyFont="1" applyFill="1" applyBorder="1"/>
    <xf numFmtId="0" fontId="13" fillId="20" borderId="0" xfId="44" applyFont="1"/>
    <xf numFmtId="0" fontId="13" fillId="20" borderId="0" xfId="44" applyFont="1" applyFill="1" applyBorder="1"/>
    <xf numFmtId="0" fontId="13" fillId="20" borderId="0" xfId="44" applyFont="1" applyFill="1"/>
    <xf numFmtId="0" fontId="15" fillId="20" borderId="0" xfId="44" applyFont="1" applyFill="1" applyBorder="1" applyAlignment="1">
      <alignment vertical="center"/>
    </xf>
    <xf numFmtId="0" fontId="15" fillId="20" borderId="0" xfId="44" applyFont="1" applyFill="1" applyBorder="1" applyAlignment="1"/>
    <xf numFmtId="0" fontId="16" fillId="20" borderId="0" xfId="44" applyFont="1" applyFill="1" applyBorder="1" applyAlignment="1">
      <alignment vertical="center"/>
    </xf>
    <xf numFmtId="0" fontId="16" fillId="20" borderId="0" xfId="44" applyFont="1" applyFill="1" applyBorder="1" applyAlignment="1"/>
    <xf numFmtId="0" fontId="13" fillId="19" borderId="0" xfId="44" applyFont="1" applyFill="1" applyBorder="1"/>
    <xf numFmtId="0" fontId="13" fillId="20" borderId="0" xfId="44" applyFont="1" applyFill="1" applyBorder="1" applyAlignment="1">
      <alignment vertical="center"/>
    </xf>
    <xf numFmtId="0" fontId="13" fillId="20" borderId="0" xfId="44" applyFont="1" applyAlignment="1">
      <alignment vertical="center"/>
    </xf>
    <xf numFmtId="0" fontId="4" fillId="20" borderId="0" xfId="44" applyFont="1" applyFill="1" applyBorder="1" applyAlignment="1">
      <alignment vertical="center"/>
    </xf>
    <xf numFmtId="0" fontId="13" fillId="20" borderId="0" xfId="44" applyFont="1" applyFill="1" applyAlignment="1">
      <alignment vertical="center"/>
    </xf>
    <xf numFmtId="0" fontId="2" fillId="20" borderId="0" xfId="48" applyFont="1"/>
    <xf numFmtId="0" fontId="36" fillId="20" borderId="0" xfId="47" applyFont="1" applyFill="1" applyBorder="1" applyAlignment="1"/>
    <xf numFmtId="2" fontId="12" fillId="21" borderId="12" xfId="30" applyNumberFormat="1" applyFont="1" applyFill="1" applyBorder="1" applyAlignment="1">
      <alignment horizontal="center"/>
    </xf>
    <xf numFmtId="167" fontId="12" fillId="21" borderId="23" xfId="30" applyNumberFormat="1" applyFont="1" applyFill="1" applyBorder="1" applyAlignment="1">
      <alignment horizontal="center" vertical="center"/>
    </xf>
    <xf numFmtId="0" fontId="6" fillId="21" borderId="26" xfId="48" applyFont="1" applyFill="1" applyBorder="1" applyAlignment="1">
      <alignment horizontal="left" indent="1"/>
    </xf>
    <xf numFmtId="0" fontId="7" fillId="21" borderId="27" xfId="48" applyFont="1" applyFill="1" applyBorder="1" applyAlignment="1"/>
    <xf numFmtId="0" fontId="7" fillId="21" borderId="27" xfId="48" applyFont="1" applyFill="1" applyBorder="1"/>
    <xf numFmtId="0" fontId="7" fillId="21" borderId="28" xfId="48" applyFont="1" applyFill="1" applyBorder="1"/>
    <xf numFmtId="0" fontId="5" fillId="21" borderId="10" xfId="48" applyFont="1" applyFill="1" applyBorder="1" applyAlignment="1">
      <alignment horizontal="left" indent="1"/>
    </xf>
    <xf numFmtId="0" fontId="12" fillId="21" borderId="0" xfId="48" applyFont="1" applyFill="1" applyBorder="1" applyAlignment="1">
      <alignment horizontal="right" indent="1"/>
    </xf>
    <xf numFmtId="0" fontId="12" fillId="21" borderId="11" xfId="48" applyFont="1" applyFill="1" applyBorder="1" applyAlignment="1" applyProtection="1">
      <protection locked="0"/>
    </xf>
    <xf numFmtId="0" fontId="12" fillId="21" borderId="0" xfId="48" applyFont="1" applyFill="1" applyBorder="1"/>
    <xf numFmtId="0" fontId="7" fillId="19" borderId="21" xfId="48" applyFont="1" applyFill="1" applyBorder="1" applyAlignment="1" applyProtection="1">
      <alignment horizontal="left"/>
      <protection locked="0"/>
    </xf>
    <xf numFmtId="0" fontId="7" fillId="21" borderId="0" xfId="48" applyFont="1" applyFill="1" applyBorder="1"/>
    <xf numFmtId="0" fontId="7" fillId="21" borderId="11" xfId="48" applyFont="1" applyFill="1" applyBorder="1" applyProtection="1">
      <protection locked="0"/>
    </xf>
    <xf numFmtId="0" fontId="7" fillId="21" borderId="11" xfId="48" applyFont="1" applyFill="1" applyBorder="1"/>
    <xf numFmtId="0" fontId="7" fillId="21" borderId="11" xfId="48" applyFont="1" applyFill="1" applyBorder="1" applyAlignment="1" applyProtection="1">
      <protection locked="0"/>
    </xf>
    <xf numFmtId="0" fontId="6" fillId="21" borderId="10" xfId="48" applyFont="1" applyFill="1" applyBorder="1" applyAlignment="1">
      <alignment horizontal="left" indent="1"/>
    </xf>
    <xf numFmtId="0" fontId="6" fillId="21" borderId="16" xfId="48" applyFont="1" applyFill="1" applyBorder="1" applyAlignment="1">
      <alignment horizontal="left" indent="1"/>
    </xf>
    <xf numFmtId="0" fontId="7" fillId="21" borderId="17" xfId="48" applyFont="1" applyFill="1" applyBorder="1" applyAlignment="1"/>
    <xf numFmtId="0" fontId="7" fillId="21" borderId="17" xfId="48" applyFont="1" applyFill="1" applyBorder="1"/>
    <xf numFmtId="0" fontId="7" fillId="21" borderId="18" xfId="48" applyFont="1" applyFill="1" applyBorder="1"/>
    <xf numFmtId="0" fontId="1" fillId="20" borderId="0" xfId="50"/>
    <xf numFmtId="0" fontId="2" fillId="20" borderId="0" xfId="50" applyFont="1" applyAlignment="1"/>
    <xf numFmtId="49" fontId="7" fillId="20" borderId="0" xfId="50" applyNumberFormat="1" applyFont="1"/>
    <xf numFmtId="165" fontId="7" fillId="20" borderId="0" xfId="50" applyNumberFormat="1" applyFont="1" applyBorder="1"/>
    <xf numFmtId="39" fontId="7" fillId="20" borderId="0" xfId="50" applyNumberFormat="1" applyFont="1"/>
    <xf numFmtId="165" fontId="37" fillId="21" borderId="13" xfId="50" applyNumberFormat="1" applyFont="1" applyFill="1" applyBorder="1" applyAlignment="1">
      <alignment horizontal="center" vertical="center" wrapText="1"/>
    </xf>
    <xf numFmtId="167" fontId="4" fillId="20" borderId="0" xfId="50" applyNumberFormat="1" applyFont="1" applyBorder="1" applyAlignment="1">
      <alignment horizontal="left"/>
    </xf>
    <xf numFmtId="49" fontId="37" fillId="21" borderId="12" xfId="50" applyNumberFormat="1" applyFont="1" applyFill="1" applyBorder="1" applyAlignment="1">
      <alignment horizontal="center" vertical="center" wrapText="1"/>
    </xf>
    <xf numFmtId="165" fontId="37" fillId="21" borderId="12" xfId="50" applyNumberFormat="1" applyFont="1" applyFill="1" applyBorder="1" applyAlignment="1">
      <alignment horizontal="center" vertical="center" wrapText="1"/>
    </xf>
    <xf numFmtId="49" fontId="37" fillId="21" borderId="12" xfId="50" applyNumberFormat="1" applyFont="1" applyFill="1" applyBorder="1" applyAlignment="1">
      <alignment horizontal="center"/>
    </xf>
    <xf numFmtId="2" fontId="12" fillId="21" borderId="12" xfId="30" applyNumberFormat="1" applyFont="1" applyFill="1" applyBorder="1" applyAlignment="1">
      <alignment horizontal="center" wrapText="1"/>
    </xf>
    <xf numFmtId="171" fontId="7" fillId="19" borderId="12" xfId="50" applyNumberFormat="1" applyFont="1" applyFill="1" applyBorder="1"/>
    <xf numFmtId="171" fontId="7" fillId="14" borderId="12" xfId="50" applyNumberFormat="1" applyFont="1" applyFill="1" applyBorder="1"/>
    <xf numFmtId="171" fontId="7" fillId="19" borderId="12" xfId="50" applyNumberFormat="1" applyFont="1" applyFill="1" applyBorder="1" applyAlignment="1">
      <alignment horizontal="right" wrapText="1"/>
    </xf>
    <xf numFmtId="0" fontId="37" fillId="22" borderId="14" xfId="50" applyFont="1" applyFill="1" applyBorder="1" applyAlignment="1">
      <alignment horizontal="right"/>
    </xf>
    <xf numFmtId="0" fontId="3" fillId="21" borderId="12" xfId="50" applyFont="1" applyFill="1" applyBorder="1" applyAlignment="1">
      <alignment horizontal="right" wrapText="1"/>
    </xf>
    <xf numFmtId="0" fontId="2" fillId="20" borderId="0" xfId="49" applyFont="1"/>
    <xf numFmtId="0" fontId="1" fillId="20" borderId="0" xfId="49"/>
    <xf numFmtId="0" fontId="2" fillId="0" borderId="0" xfId="49" applyFont="1" applyFill="1" applyAlignment="1"/>
    <xf numFmtId="167" fontId="3" fillId="20" borderId="0" xfId="49" applyNumberFormat="1" applyFont="1" applyBorder="1" applyAlignment="1">
      <alignment horizontal="left"/>
    </xf>
    <xf numFmtId="49" fontId="7" fillId="20" borderId="0" xfId="49" applyNumberFormat="1" applyFont="1"/>
    <xf numFmtId="2" fontId="7" fillId="20" borderId="0" xfId="49" applyNumberFormat="1" applyFont="1" applyBorder="1"/>
    <xf numFmtId="165" fontId="7" fillId="20" borderId="0" xfId="49" applyNumberFormat="1" applyFont="1" applyBorder="1" applyAlignment="1">
      <alignment horizontal="center"/>
    </xf>
    <xf numFmtId="165" fontId="7" fillId="20" borderId="0" xfId="49" applyNumberFormat="1" applyFont="1" applyBorder="1"/>
    <xf numFmtId="0" fontId="7" fillId="20" borderId="0" xfId="49" applyFont="1"/>
    <xf numFmtId="168" fontId="37" fillId="21" borderId="12" xfId="49" quotePrefix="1" applyNumberFormat="1" applyFont="1" applyFill="1" applyBorder="1" applyAlignment="1">
      <alignment horizontal="center" vertical="center" wrapText="1"/>
    </xf>
    <xf numFmtId="49" fontId="37" fillId="21" borderId="12" xfId="49" applyNumberFormat="1" applyFont="1" applyFill="1" applyBorder="1" applyAlignment="1">
      <alignment horizontal="center" vertical="center" wrapText="1"/>
    </xf>
    <xf numFmtId="2" fontId="37" fillId="21" borderId="12" xfId="49" applyNumberFormat="1" applyFont="1" applyFill="1" applyBorder="1" applyAlignment="1">
      <alignment horizontal="center" vertical="center" wrapText="1"/>
    </xf>
    <xf numFmtId="165" fontId="37" fillId="21" borderId="12" xfId="49" applyNumberFormat="1" applyFont="1" applyFill="1" applyBorder="1" applyAlignment="1">
      <alignment horizontal="center" vertical="center" wrapText="1"/>
    </xf>
    <xf numFmtId="39" fontId="37" fillId="21" borderId="19" xfId="49" applyNumberFormat="1" applyFont="1" applyFill="1" applyBorder="1" applyAlignment="1">
      <alignment horizontal="center" vertical="center" wrapText="1"/>
    </xf>
    <xf numFmtId="39" fontId="37" fillId="21" borderId="12" xfId="49" applyNumberFormat="1" applyFont="1" applyFill="1" applyBorder="1" applyAlignment="1">
      <alignment horizontal="center" vertical="center" wrapText="1"/>
    </xf>
    <xf numFmtId="167" fontId="12" fillId="21" borderId="12" xfId="49" applyNumberFormat="1" applyFont="1" applyFill="1" applyBorder="1" applyAlignment="1">
      <alignment horizontal="left"/>
    </xf>
    <xf numFmtId="0" fontId="5" fillId="21" borderId="12" xfId="49" applyFont="1" applyFill="1" applyBorder="1" applyAlignment="1">
      <alignment horizontal="left" vertical="center" wrapText="1"/>
    </xf>
    <xf numFmtId="49" fontId="37" fillId="22" borderId="12" xfId="49" applyNumberFormat="1" applyFont="1" applyFill="1" applyBorder="1"/>
    <xf numFmtId="170" fontId="38" fillId="14" borderId="12" xfId="49" applyNumberFormat="1" applyFont="1" applyFill="1" applyBorder="1" applyAlignment="1">
      <alignment horizontal="right"/>
    </xf>
    <xf numFmtId="0" fontId="4" fillId="0" borderId="0" xfId="47" applyFont="1"/>
    <xf numFmtId="0" fontId="1" fillId="0" borderId="0" xfId="47" applyAlignment="1"/>
    <xf numFmtId="0" fontId="1" fillId="0" borderId="0" xfId="47"/>
    <xf numFmtId="0" fontId="37" fillId="22" borderId="12" xfId="47" applyFont="1" applyFill="1" applyBorder="1" applyAlignment="1">
      <alignment horizontal="right"/>
    </xf>
    <xf numFmtId="0" fontId="4" fillId="20" borderId="0" xfId="49" applyFont="1"/>
    <xf numFmtId="49" fontId="12" fillId="21" borderId="12" xfId="49" applyNumberFormat="1" applyFont="1" applyFill="1" applyBorder="1" applyAlignment="1"/>
    <xf numFmtId="49" fontId="12" fillId="21" borderId="12" xfId="49" applyNumberFormat="1" applyFont="1" applyFill="1" applyBorder="1" applyAlignment="1">
      <alignment vertical="top" wrapText="1"/>
    </xf>
    <xf numFmtId="49" fontId="12" fillId="22" borderId="12" xfId="49" applyNumberFormat="1" applyFont="1" applyFill="1" applyBorder="1"/>
    <xf numFmtId="169" fontId="40" fillId="20" borderId="0" xfId="49" applyNumberFormat="1" applyFont="1" applyAlignment="1">
      <alignment horizontal="right" vertical="center"/>
    </xf>
    <xf numFmtId="168" fontId="37" fillId="21" borderId="13" xfId="49" quotePrefix="1" applyNumberFormat="1" applyFont="1" applyFill="1" applyBorder="1" applyAlignment="1">
      <alignment horizontal="center" vertical="center" wrapText="1"/>
    </xf>
    <xf numFmtId="49" fontId="37" fillId="21" borderId="13" xfId="49" applyNumberFormat="1" applyFont="1" applyFill="1" applyBorder="1" applyAlignment="1">
      <alignment horizontal="center" vertical="center" wrapText="1"/>
    </xf>
    <xf numFmtId="0" fontId="37" fillId="21" borderId="12" xfId="53" applyFont="1" applyFill="1" applyBorder="1" applyAlignment="1">
      <alignment horizontal="center" vertical="center" wrapText="1"/>
    </xf>
    <xf numFmtId="0" fontId="37" fillId="20" borderId="0" xfId="53" applyFont="1" applyFill="1" applyBorder="1" applyAlignment="1">
      <alignment horizontal="center" vertical="top" wrapText="1"/>
    </xf>
    <xf numFmtId="0" fontId="1" fillId="20" borderId="0" xfId="49" applyFill="1"/>
    <xf numFmtId="0" fontId="3" fillId="20" borderId="0" xfId="49" applyFont="1" applyFill="1"/>
    <xf numFmtId="170" fontId="7" fillId="19" borderId="12" xfId="49" applyNumberFormat="1" applyFont="1" applyFill="1" applyBorder="1" applyAlignment="1">
      <alignment horizontal="right"/>
    </xf>
    <xf numFmtId="9" fontId="3" fillId="14" borderId="12" xfId="49" applyNumberFormat="1" applyFont="1" applyFill="1" applyBorder="1" applyAlignment="1">
      <alignment horizontal="right"/>
    </xf>
    <xf numFmtId="170" fontId="3" fillId="14" borderId="12" xfId="49" applyNumberFormat="1" applyFont="1" applyFill="1" applyBorder="1" applyAlignment="1">
      <alignment horizontal="right"/>
    </xf>
    <xf numFmtId="0" fontId="42" fillId="0" borderId="0" xfId="47" applyFont="1"/>
    <xf numFmtId="0" fontId="1" fillId="0" borderId="0" xfId="47" applyFont="1" applyAlignment="1">
      <alignment wrapText="1"/>
    </xf>
    <xf numFmtId="0" fontId="43" fillId="0" borderId="0" xfId="53" applyFont="1" applyFill="1" applyBorder="1" applyAlignment="1">
      <alignment horizontal="left" vertical="top" wrapText="1"/>
    </xf>
    <xf numFmtId="169" fontId="1" fillId="0" borderId="0" xfId="43" applyNumberFormat="1" applyFont="1" applyFill="1" applyBorder="1" applyAlignment="1">
      <alignment wrapText="1"/>
    </xf>
    <xf numFmtId="0" fontId="37" fillId="21" borderId="12" xfId="53" applyFont="1" applyFill="1" applyBorder="1" applyAlignment="1">
      <alignment horizontal="center" vertical="top" wrapText="1"/>
    </xf>
    <xf numFmtId="0" fontId="44" fillId="19" borderId="12" xfId="53" applyFont="1" applyFill="1" applyBorder="1" applyAlignment="1">
      <alignment horizontal="left" vertical="top" wrapText="1"/>
    </xf>
    <xf numFmtId="0" fontId="3" fillId="21" borderId="12" xfId="0" applyFont="1" applyFill="1" applyBorder="1" applyAlignment="1">
      <alignment horizontal="left" vertical="center" wrapText="1"/>
    </xf>
    <xf numFmtId="167" fontId="7" fillId="19" borderId="12" xfId="52" applyNumberFormat="1" applyFont="1" applyFill="1" applyBorder="1" applyAlignment="1">
      <alignment horizontal="left"/>
    </xf>
    <xf numFmtId="168" fontId="37" fillId="21" borderId="12" xfId="0" applyNumberFormat="1" applyFont="1" applyFill="1" applyBorder="1" applyAlignment="1">
      <alignment horizontal="center" vertical="center" wrapText="1"/>
    </xf>
    <xf numFmtId="0" fontId="2" fillId="0" borderId="0" xfId="0" applyFont="1"/>
    <xf numFmtId="0" fontId="4" fillId="0" borderId="0" xfId="0" applyFont="1"/>
    <xf numFmtId="168" fontId="37" fillId="21" borderId="12" xfId="52" applyNumberFormat="1" applyFont="1" applyFill="1" applyBorder="1" applyAlignment="1">
      <alignment horizontal="center" vertical="center" wrapText="1"/>
    </xf>
    <xf numFmtId="167" fontId="6" fillId="21" borderId="12" xfId="52" applyNumberFormat="1" applyFont="1" applyFill="1" applyBorder="1" applyAlignment="1">
      <alignment horizontal="left"/>
    </xf>
    <xf numFmtId="168" fontId="12" fillId="21" borderId="12" xfId="52" applyNumberFormat="1" applyFont="1" applyFill="1" applyBorder="1" applyAlignment="1">
      <alignment horizontal="left" vertical="center" wrapText="1"/>
    </xf>
    <xf numFmtId="0" fontId="4" fillId="0" borderId="0" xfId="54" applyFont="1" applyBorder="1"/>
    <xf numFmtId="0" fontId="5" fillId="20" borderId="29" xfId="51" applyFont="1" applyFill="1" applyBorder="1" applyAlignment="1" applyProtection="1"/>
    <xf numFmtId="168" fontId="37" fillId="21" borderId="21" xfId="0" applyNumberFormat="1" applyFont="1" applyFill="1" applyBorder="1" applyAlignment="1">
      <alignment horizontal="center" vertical="center" wrapText="1"/>
    </xf>
    <xf numFmtId="0" fontId="5" fillId="21" borderId="12" xfId="0" applyFont="1" applyFill="1" applyBorder="1" applyAlignment="1">
      <alignment horizontal="left" vertical="center" wrapText="1"/>
    </xf>
    <xf numFmtId="0" fontId="12" fillId="21" borderId="12" xfId="0" applyFont="1" applyFill="1" applyBorder="1" applyAlignment="1">
      <alignment horizontal="left" vertical="center" wrapText="1"/>
    </xf>
    <xf numFmtId="167" fontId="7" fillId="19" borderId="12" xfId="52" applyNumberFormat="1" applyFont="1" applyFill="1" applyBorder="1" applyAlignment="1"/>
    <xf numFmtId="167" fontId="37" fillId="21" borderId="12" xfId="52" applyNumberFormat="1" applyFont="1" applyFill="1" applyBorder="1" applyAlignment="1">
      <alignment horizontal="center"/>
    </xf>
    <xf numFmtId="0" fontId="0" fillId="0" borderId="0" xfId="0" applyBorder="1" applyAlignment="1">
      <alignment wrapText="1"/>
    </xf>
    <xf numFmtId="49" fontId="12" fillId="23" borderId="12" xfId="49" applyNumberFormat="1" applyFont="1" applyFill="1" applyBorder="1" applyAlignment="1"/>
    <xf numFmtId="0" fontId="4" fillId="0" borderId="0" xfId="49" applyFont="1" applyFill="1" applyBorder="1" applyAlignment="1">
      <alignment horizontal="left" vertical="center"/>
    </xf>
    <xf numFmtId="0" fontId="37" fillId="14" borderId="13" xfId="50" applyFont="1" applyFill="1" applyBorder="1" applyAlignment="1">
      <alignment horizontal="right"/>
    </xf>
    <xf numFmtId="0" fontId="1" fillId="0" borderId="0" xfId="49" applyFill="1" applyBorder="1"/>
    <xf numFmtId="0" fontId="3" fillId="0" borderId="0" xfId="48" applyFont="1" applyFill="1" applyBorder="1"/>
    <xf numFmtId="0" fontId="7" fillId="0" borderId="0" xfId="48" applyFont="1" applyFill="1" applyBorder="1"/>
    <xf numFmtId="0" fontId="1" fillId="19" borderId="12" xfId="47" applyFont="1" applyFill="1" applyBorder="1"/>
    <xf numFmtId="167" fontId="7" fillId="14" borderId="12" xfId="49" applyNumberFormat="1" applyFont="1" applyFill="1" applyBorder="1" applyAlignment="1">
      <alignment horizontal="left"/>
    </xf>
    <xf numFmtId="165" fontId="37" fillId="21" borderId="14" xfId="49" applyNumberFormat="1" applyFont="1" applyFill="1" applyBorder="1" applyAlignment="1">
      <alignment horizontal="center" vertical="center" wrapText="1"/>
    </xf>
    <xf numFmtId="169" fontId="40" fillId="0" borderId="0" xfId="0" applyNumberFormat="1" applyFont="1" applyAlignment="1">
      <alignment horizontal="right" vertical="center"/>
    </xf>
    <xf numFmtId="9" fontId="7" fillId="14" borderId="12" xfId="49" applyNumberFormat="1" applyFont="1" applyFill="1" applyBorder="1" applyAlignment="1">
      <alignment horizontal="right"/>
    </xf>
    <xf numFmtId="168" fontId="12" fillId="21" borderId="12" xfId="0" applyNumberFormat="1" applyFont="1" applyFill="1" applyBorder="1" applyAlignment="1">
      <alignment horizontal="left" vertical="top" wrapText="1"/>
    </xf>
    <xf numFmtId="167" fontId="3" fillId="14" borderId="12" xfId="52" applyNumberFormat="1" applyFont="1" applyFill="1" applyBorder="1" applyAlignment="1">
      <alignment horizontal="right"/>
    </xf>
    <xf numFmtId="1" fontId="3" fillId="14" borderId="12" xfId="52" applyNumberFormat="1" applyFont="1" applyFill="1" applyBorder="1" applyAlignment="1">
      <alignment horizontal="right"/>
    </xf>
    <xf numFmtId="10" fontId="3" fillId="14" borderId="12" xfId="52" applyNumberFormat="1" applyFont="1" applyFill="1" applyBorder="1" applyAlignment="1">
      <alignment horizontal="right"/>
    </xf>
    <xf numFmtId="0" fontId="12" fillId="22" borderId="12" xfId="0" applyFont="1" applyFill="1" applyBorder="1" applyAlignment="1">
      <alignment horizontal="left" vertical="center" wrapText="1"/>
    </xf>
    <xf numFmtId="0" fontId="45" fillId="21" borderId="12" xfId="0" applyFont="1" applyFill="1" applyBorder="1" applyAlignment="1">
      <alignment vertical="top"/>
    </xf>
    <xf numFmtId="168" fontId="12" fillId="22" borderId="12" xfId="0" applyNumberFormat="1" applyFont="1" applyFill="1" applyBorder="1" applyAlignment="1">
      <alignment horizontal="left" vertical="top" wrapText="1"/>
    </xf>
    <xf numFmtId="0" fontId="45" fillId="21" borderId="0" xfId="0" applyFont="1" applyFill="1" applyAlignment="1">
      <alignment vertical="top"/>
    </xf>
    <xf numFmtId="168" fontId="12" fillId="21" borderId="13" xfId="0" applyNumberFormat="1" applyFont="1" applyFill="1" applyBorder="1" applyAlignment="1">
      <alignment horizontal="left" vertical="top" wrapText="1"/>
    </xf>
    <xf numFmtId="168" fontId="12" fillId="22" borderId="13" xfId="0" applyNumberFormat="1" applyFont="1" applyFill="1" applyBorder="1" applyAlignment="1">
      <alignment horizontal="left" vertical="top" wrapText="1"/>
    </xf>
    <xf numFmtId="167" fontId="6" fillId="14" borderId="12" xfId="49" applyNumberFormat="1" applyFont="1" applyFill="1" applyBorder="1" applyAlignment="1">
      <alignment horizontal="left"/>
    </xf>
    <xf numFmtId="39" fontId="37" fillId="21" borderId="13" xfId="49" applyNumberFormat="1" applyFont="1" applyFill="1" applyBorder="1" applyAlignment="1">
      <alignment horizontal="center" vertical="center" wrapText="1"/>
    </xf>
    <xf numFmtId="0" fontId="5" fillId="21" borderId="23" xfId="0" applyFont="1" applyFill="1" applyBorder="1" applyAlignment="1">
      <alignment horizontal="left" vertical="center" wrapText="1"/>
    </xf>
    <xf numFmtId="0" fontId="12" fillId="21" borderId="25" xfId="0" applyFont="1" applyFill="1" applyBorder="1" applyAlignment="1">
      <alignment horizontal="left" vertical="center" wrapText="1"/>
    </xf>
    <xf numFmtId="0" fontId="6" fillId="21" borderId="14" xfId="0" applyFont="1" applyFill="1" applyBorder="1" applyAlignment="1">
      <alignment horizontal="left" vertical="center" wrapText="1"/>
    </xf>
    <xf numFmtId="3" fontId="3" fillId="21" borderId="12" xfId="0" applyNumberFormat="1" applyFont="1" applyFill="1" applyBorder="1" applyAlignment="1">
      <alignment horizontal="right" vertical="center" wrapText="1"/>
    </xf>
    <xf numFmtId="0" fontId="12" fillId="21" borderId="19" xfId="0" applyFont="1" applyFill="1" applyBorder="1" applyAlignment="1">
      <alignment horizontal="left" vertical="center" wrapText="1"/>
    </xf>
    <xf numFmtId="3" fontId="3" fillId="19" borderId="12" xfId="0" applyNumberFormat="1" applyFont="1" applyFill="1" applyBorder="1" applyAlignment="1">
      <alignment horizontal="right" vertical="center" wrapText="1"/>
    </xf>
    <xf numFmtId="3" fontId="3" fillId="14" borderId="12" xfId="0" applyNumberFormat="1" applyFont="1" applyFill="1" applyBorder="1" applyAlignment="1">
      <alignment horizontal="right" vertical="center" wrapText="1"/>
    </xf>
    <xf numFmtId="0" fontId="6" fillId="21" borderId="19" xfId="0" applyFont="1" applyFill="1" applyBorder="1" applyAlignment="1">
      <alignment horizontal="left" vertical="center" wrapText="1"/>
    </xf>
    <xf numFmtId="0" fontId="46" fillId="21" borderId="12" xfId="0" applyFont="1" applyFill="1" applyBorder="1" applyAlignment="1">
      <alignment vertical="top"/>
    </xf>
    <xf numFmtId="0" fontId="46" fillId="21" borderId="0" xfId="0" applyFont="1" applyFill="1" applyAlignment="1">
      <alignment vertical="top"/>
    </xf>
    <xf numFmtId="168" fontId="37" fillId="14" borderId="12" xfId="49" quotePrefix="1" applyNumberFormat="1" applyFont="1" applyFill="1" applyBorder="1" applyAlignment="1">
      <alignment horizontal="center" vertical="center" wrapText="1"/>
    </xf>
    <xf numFmtId="167" fontId="12" fillId="14" borderId="12" xfId="49" applyNumberFormat="1" applyFont="1" applyFill="1" applyBorder="1" applyAlignment="1">
      <alignment horizontal="left"/>
    </xf>
    <xf numFmtId="9" fontId="3" fillId="14" borderId="12" xfId="52" applyNumberFormat="1" applyFont="1" applyFill="1" applyBorder="1" applyAlignment="1">
      <alignment horizontal="right"/>
    </xf>
    <xf numFmtId="0" fontId="2" fillId="0" borderId="0" xfId="49" applyFont="1" applyFill="1" applyAlignment="1"/>
    <xf numFmtId="170" fontId="7" fillId="24" borderId="12" xfId="49" applyNumberFormat="1" applyFont="1" applyFill="1" applyBorder="1" applyAlignment="1">
      <alignment horizontal="right"/>
    </xf>
    <xf numFmtId="167" fontId="1" fillId="14" borderId="12" xfId="49" applyNumberFormat="1" applyFont="1" applyFill="1" applyBorder="1" applyAlignment="1">
      <alignment horizontal="left"/>
    </xf>
    <xf numFmtId="49" fontId="1" fillId="24" borderId="12" xfId="49" applyNumberFormat="1" applyFont="1" applyFill="1" applyBorder="1" applyAlignment="1"/>
    <xf numFmtId="170" fontId="1" fillId="19" borderId="12" xfId="49" applyNumberFormat="1" applyFont="1" applyFill="1" applyBorder="1" applyAlignment="1">
      <alignment horizontal="right"/>
    </xf>
    <xf numFmtId="0" fontId="4" fillId="0" borderId="0" xfId="49" applyFont="1" applyFill="1" applyBorder="1" applyAlignment="1">
      <alignment horizontal="left" vertical="center"/>
    </xf>
    <xf numFmtId="0" fontId="37" fillId="21" borderId="12" xfId="47" applyFont="1" applyFill="1" applyBorder="1" applyAlignment="1">
      <alignment horizontal="center"/>
    </xf>
    <xf numFmtId="0" fontId="47" fillId="21" borderId="19" xfId="0" applyFont="1" applyFill="1" applyBorder="1" applyAlignment="1">
      <alignment horizontal="left" vertical="center" wrapText="1"/>
    </xf>
    <xf numFmtId="168" fontId="37" fillId="21" borderId="12" xfId="49" applyNumberFormat="1" applyFont="1" applyFill="1" applyBorder="1" applyAlignment="1">
      <alignment horizontal="center" vertical="center" wrapText="1"/>
    </xf>
    <xf numFmtId="167" fontId="1" fillId="25" borderId="12" xfId="49" applyNumberFormat="1" applyFont="1" applyFill="1" applyBorder="1" applyAlignment="1">
      <alignment horizontal="left"/>
    </xf>
    <xf numFmtId="0" fontId="4" fillId="0" borderId="0" xfId="49" applyFont="1" applyFill="1" applyBorder="1" applyAlignment="1">
      <alignment horizontal="left" vertical="center"/>
    </xf>
    <xf numFmtId="168" fontId="37" fillId="21" borderId="12" xfId="64" quotePrefix="1" applyNumberFormat="1" applyFont="1" applyFill="1" applyBorder="1" applyAlignment="1">
      <alignment horizontal="center" vertical="center" wrapText="1"/>
    </xf>
    <xf numFmtId="167" fontId="1" fillId="14" borderId="12" xfId="64" applyNumberFormat="1" applyFont="1" applyFill="1" applyBorder="1" applyAlignment="1">
      <alignment horizontal="left"/>
    </xf>
    <xf numFmtId="0" fontId="1" fillId="19" borderId="12" xfId="53" applyFont="1" applyFill="1" applyBorder="1" applyAlignment="1">
      <alignment horizontal="right" vertical="top" wrapText="1"/>
    </xf>
    <xf numFmtId="167" fontId="6" fillId="14" borderId="12" xfId="64" applyNumberFormat="1" applyFont="1" applyFill="1" applyBorder="1" applyAlignment="1">
      <alignment horizontal="left"/>
    </xf>
    <xf numFmtId="39" fontId="37" fillId="21" borderId="12" xfId="64" applyNumberFormat="1" applyFont="1" applyFill="1" applyBorder="1" applyAlignment="1">
      <alignment horizontal="center" vertical="center" wrapText="1"/>
    </xf>
    <xf numFmtId="170" fontId="1" fillId="19" borderId="12" xfId="64" applyNumberFormat="1" applyFont="1" applyFill="1" applyBorder="1" applyAlignment="1">
      <alignment horizontal="right"/>
    </xf>
    <xf numFmtId="0" fontId="1" fillId="20" borderId="0" xfId="64"/>
    <xf numFmtId="168" fontId="12" fillId="22" borderId="0" xfId="0" applyNumberFormat="1" applyFont="1" applyFill="1" applyBorder="1" applyAlignment="1">
      <alignment horizontal="left" vertical="top" wrapText="1"/>
    </xf>
    <xf numFmtId="168" fontId="12" fillId="21" borderId="21" xfId="0" applyNumberFormat="1" applyFont="1" applyFill="1" applyBorder="1" applyAlignment="1">
      <alignment horizontal="center" vertical="center" wrapText="1"/>
    </xf>
    <xf numFmtId="0" fontId="0" fillId="25" borderId="12" xfId="0" applyFill="1" applyBorder="1"/>
    <xf numFmtId="1" fontId="3" fillId="24" borderId="12" xfId="52" applyNumberFormat="1" applyFont="1" applyFill="1" applyBorder="1" applyAlignment="1">
      <alignment horizontal="right"/>
    </xf>
    <xf numFmtId="167" fontId="7" fillId="25" borderId="12" xfId="52" applyNumberFormat="1" applyFont="1" applyFill="1" applyBorder="1" applyAlignment="1">
      <alignment horizontal="left"/>
    </xf>
    <xf numFmtId="1" fontId="3" fillId="25" borderId="12" xfId="52" applyNumberFormat="1" applyFont="1" applyFill="1" applyBorder="1" applyAlignment="1">
      <alignment horizontal="right"/>
    </xf>
    <xf numFmtId="3" fontId="3" fillId="25" borderId="12" xfId="0" applyNumberFormat="1" applyFont="1" applyFill="1" applyBorder="1" applyAlignment="1">
      <alignment horizontal="right" vertical="center" wrapText="1"/>
    </xf>
    <xf numFmtId="170" fontId="7" fillId="25" borderId="12" xfId="49" applyNumberFormat="1" applyFont="1" applyFill="1" applyBorder="1" applyAlignment="1">
      <alignment horizontal="right"/>
    </xf>
    <xf numFmtId="170" fontId="1" fillId="25" borderId="12" xfId="49" applyNumberFormat="1" applyFont="1" applyFill="1" applyBorder="1" applyAlignment="1">
      <alignment horizontal="right"/>
    </xf>
    <xf numFmtId="49" fontId="12" fillId="26" borderId="12" xfId="49" applyNumberFormat="1" applyFont="1" applyFill="1" applyBorder="1" applyAlignment="1">
      <alignment vertical="top" wrapText="1"/>
    </xf>
    <xf numFmtId="0" fontId="1" fillId="20" borderId="0" xfId="48"/>
    <xf numFmtId="167" fontId="3" fillId="20" borderId="0" xfId="48" applyNumberFormat="1" applyFont="1" applyBorder="1" applyAlignment="1">
      <alignment horizontal="left"/>
    </xf>
    <xf numFmtId="49" fontId="1" fillId="20" borderId="0" xfId="48" applyNumberFormat="1" applyFont="1"/>
    <xf numFmtId="2" fontId="1" fillId="20" borderId="0" xfId="48" applyNumberFormat="1" applyFont="1" applyBorder="1"/>
    <xf numFmtId="165" fontId="1" fillId="20" borderId="0" xfId="48" applyNumberFormat="1" applyFont="1" applyBorder="1" applyAlignment="1">
      <alignment horizontal="center"/>
    </xf>
    <xf numFmtId="165" fontId="1" fillId="20" borderId="0" xfId="48" applyNumberFormat="1" applyFont="1" applyBorder="1"/>
    <xf numFmtId="168" fontId="37" fillId="21" borderId="12" xfId="48" quotePrefix="1" applyNumberFormat="1" applyFont="1" applyFill="1" applyBorder="1" applyAlignment="1">
      <alignment horizontal="center" vertical="center" wrapText="1"/>
    </xf>
    <xf numFmtId="49" fontId="37" fillId="21" borderId="12" xfId="48" applyNumberFormat="1" applyFont="1" applyFill="1" applyBorder="1" applyAlignment="1">
      <alignment horizontal="center" vertical="center" wrapText="1"/>
    </xf>
    <xf numFmtId="2" fontId="37" fillId="21" borderId="12" xfId="48" applyNumberFormat="1" applyFont="1" applyFill="1" applyBorder="1" applyAlignment="1">
      <alignment horizontal="center" vertical="center" wrapText="1"/>
    </xf>
    <xf numFmtId="49" fontId="37" fillId="21" borderId="12" xfId="52" applyNumberFormat="1" applyFont="1" applyFill="1" applyBorder="1" applyAlignment="1">
      <alignment horizontal="center" vertical="center" wrapText="1"/>
    </xf>
    <xf numFmtId="165" fontId="37" fillId="21" borderId="13" xfId="48" applyNumberFormat="1" applyFont="1" applyFill="1" applyBorder="1" applyAlignment="1">
      <alignment horizontal="center" vertical="center" wrapText="1"/>
    </xf>
    <xf numFmtId="39" fontId="37" fillId="21" borderId="13" xfId="48" applyNumberFormat="1" applyFont="1" applyFill="1" applyBorder="1" applyAlignment="1">
      <alignment horizontal="center" vertical="center" wrapText="1"/>
    </xf>
    <xf numFmtId="165" fontId="37" fillId="21" borderId="12" xfId="48" applyNumberFormat="1" applyFont="1" applyFill="1" applyBorder="1" applyAlignment="1">
      <alignment horizontal="center" vertical="center" wrapText="1"/>
    </xf>
    <xf numFmtId="39" fontId="37" fillId="21" borderId="19" xfId="48" applyNumberFormat="1" applyFont="1" applyFill="1" applyBorder="1" applyAlignment="1">
      <alignment horizontal="center" vertical="center" wrapText="1"/>
    </xf>
    <xf numFmtId="167" fontId="12" fillId="21" borderId="12" xfId="48" applyNumberFormat="1" applyFont="1" applyFill="1" applyBorder="1" applyAlignment="1">
      <alignment horizontal="left"/>
    </xf>
    <xf numFmtId="49" fontId="50" fillId="21" borderId="12" xfId="48" applyNumberFormat="1" applyFont="1" applyFill="1" applyBorder="1"/>
    <xf numFmtId="0" fontId="12" fillId="21" borderId="12" xfId="48" applyFont="1" applyFill="1" applyBorder="1"/>
    <xf numFmtId="167" fontId="6" fillId="14" borderId="12" xfId="48" applyNumberFormat="1" applyFont="1" applyFill="1" applyBorder="1" applyAlignment="1">
      <alignment horizontal="left"/>
    </xf>
    <xf numFmtId="49" fontId="12" fillId="21" borderId="12" xfId="48" applyNumberFormat="1" applyFont="1" applyFill="1" applyBorder="1"/>
    <xf numFmtId="49" fontId="12" fillId="21" borderId="12" xfId="65" applyNumberFormat="1" applyFont="1" applyFill="1" applyBorder="1" applyAlignment="1">
      <alignment horizontal="left"/>
    </xf>
    <xf numFmtId="49" fontId="12" fillId="21" borderId="12" xfId="48" applyNumberFormat="1" applyFont="1" applyFill="1" applyBorder="1" applyAlignment="1">
      <alignment horizontal="left"/>
    </xf>
    <xf numFmtId="49" fontId="12" fillId="22" borderId="12" xfId="48" applyNumberFormat="1" applyFont="1" applyFill="1" applyBorder="1"/>
    <xf numFmtId="170" fontId="38" fillId="14" borderId="12" xfId="48" applyNumberFormat="1" applyFont="1" applyFill="1" applyBorder="1" applyAlignment="1">
      <alignment horizontal="right"/>
    </xf>
    <xf numFmtId="49" fontId="12" fillId="21" borderId="12" xfId="48" applyNumberFormat="1" applyFont="1" applyFill="1" applyBorder="1" applyAlignment="1">
      <alignment horizontal="left" wrapText="1"/>
    </xf>
    <xf numFmtId="49" fontId="37" fillId="21" borderId="12" xfId="48" applyNumberFormat="1" applyFont="1" applyFill="1" applyBorder="1"/>
    <xf numFmtId="2" fontId="37" fillId="21" borderId="20" xfId="48" applyNumberFormat="1" applyFont="1" applyFill="1" applyBorder="1" applyAlignment="1">
      <alignment horizontal="center" vertical="center" wrapText="1"/>
    </xf>
    <xf numFmtId="165" fontId="37" fillId="21" borderId="21" xfId="48" applyNumberFormat="1" applyFont="1" applyFill="1" applyBorder="1" applyAlignment="1">
      <alignment horizontal="center" vertical="center" wrapText="1"/>
    </xf>
    <xf numFmtId="165" fontId="37" fillId="21" borderId="22" xfId="48" applyNumberFormat="1" applyFont="1" applyFill="1" applyBorder="1" applyAlignment="1">
      <alignment horizontal="center" vertical="center" wrapText="1"/>
    </xf>
    <xf numFmtId="39" fontId="37" fillId="21" borderId="20" xfId="48" applyNumberFormat="1" applyFont="1" applyFill="1" applyBorder="1" applyAlignment="1">
      <alignment horizontal="center" vertical="center" wrapText="1"/>
    </xf>
    <xf numFmtId="167" fontId="6" fillId="21" borderId="12" xfId="48" applyNumberFormat="1" applyFont="1" applyFill="1" applyBorder="1" applyAlignment="1">
      <alignment horizontal="left"/>
    </xf>
    <xf numFmtId="49" fontId="51" fillId="21" borderId="13" xfId="48" applyNumberFormat="1" applyFont="1" applyFill="1" applyBorder="1"/>
    <xf numFmtId="167" fontId="12" fillId="21" borderId="23" xfId="30" applyNumberFormat="1" applyFont="1" applyFill="1" applyBorder="1" applyAlignment="1">
      <alignment vertical="center"/>
    </xf>
    <xf numFmtId="167" fontId="37" fillId="21" borderId="23" xfId="30" applyNumberFormat="1" applyFont="1" applyFill="1" applyBorder="1" applyAlignment="1">
      <alignment horizontal="center" vertical="center"/>
    </xf>
    <xf numFmtId="165" fontId="5" fillId="21" borderId="12" xfId="48" applyNumberFormat="1" applyFont="1" applyFill="1" applyBorder="1"/>
    <xf numFmtId="167" fontId="1" fillId="14" borderId="12" xfId="48" applyNumberFormat="1" applyFont="1" applyFill="1" applyBorder="1" applyAlignment="1">
      <alignment horizontal="left"/>
    </xf>
    <xf numFmtId="165" fontId="12" fillId="21" borderId="13" xfId="48" applyNumberFormat="1" applyFont="1" applyFill="1" applyBorder="1" applyAlignment="1"/>
    <xf numFmtId="165" fontId="12" fillId="21" borderId="13" xfId="48" applyNumberFormat="1" applyFont="1" applyFill="1" applyBorder="1"/>
    <xf numFmtId="165" fontId="12" fillId="22" borderId="12" xfId="48" applyNumberFormat="1" applyFont="1" applyFill="1" applyBorder="1"/>
    <xf numFmtId="167" fontId="1" fillId="21" borderId="12" xfId="48" applyNumberFormat="1" applyFont="1" applyFill="1" applyBorder="1" applyAlignment="1">
      <alignment horizontal="left"/>
    </xf>
    <xf numFmtId="165" fontId="5" fillId="21" borderId="13" xfId="48" applyNumberFormat="1" applyFont="1" applyFill="1" applyBorder="1" applyAlignment="1"/>
    <xf numFmtId="0" fontId="12" fillId="21" borderId="12" xfId="48" quotePrefix="1" applyFont="1" applyFill="1" applyBorder="1" applyAlignment="1">
      <alignment horizontal="left"/>
    </xf>
    <xf numFmtId="167" fontId="1" fillId="21" borderId="12" xfId="48" quotePrefix="1" applyNumberFormat="1" applyFont="1" applyFill="1" applyBorder="1" applyAlignment="1">
      <alignment horizontal="left"/>
    </xf>
    <xf numFmtId="167" fontId="1" fillId="14" borderId="12" xfId="48" quotePrefix="1" applyNumberFormat="1" applyFont="1" applyFill="1" applyBorder="1" applyAlignment="1">
      <alignment horizontal="left"/>
    </xf>
    <xf numFmtId="167" fontId="12" fillId="21" borderId="12" xfId="48" quotePrefix="1" applyNumberFormat="1" applyFont="1" applyFill="1" applyBorder="1" applyAlignment="1">
      <alignment horizontal="left"/>
    </xf>
    <xf numFmtId="0" fontId="12" fillId="22" borderId="12" xfId="48" applyFont="1" applyFill="1" applyBorder="1"/>
    <xf numFmtId="167" fontId="1" fillId="20" borderId="0" xfId="48" applyNumberFormat="1" applyFont="1" applyAlignment="1">
      <alignment horizontal="left"/>
    </xf>
    <xf numFmtId="167" fontId="1" fillId="20" borderId="0" xfId="48" applyNumberFormat="1" applyFont="1"/>
    <xf numFmtId="0" fontId="1" fillId="20" borderId="0" xfId="48" applyFont="1" applyAlignment="1">
      <alignment horizontal="center"/>
    </xf>
    <xf numFmtId="0" fontId="1" fillId="20" borderId="0" xfId="48" applyFont="1"/>
    <xf numFmtId="168" fontId="37" fillId="21" borderId="12" xfId="48" applyNumberFormat="1" applyFont="1" applyFill="1" applyBorder="1" applyAlignment="1">
      <alignment horizontal="center" vertical="center" wrapText="1"/>
    </xf>
    <xf numFmtId="165" fontId="37" fillId="21" borderId="14" xfId="48" applyNumberFormat="1" applyFont="1" applyFill="1" applyBorder="1" applyAlignment="1">
      <alignment horizontal="center" vertical="center" wrapText="1"/>
    </xf>
    <xf numFmtId="0" fontId="3" fillId="20" borderId="0" xfId="48" applyFont="1"/>
    <xf numFmtId="165" fontId="37" fillId="22" borderId="12" xfId="48" applyNumberFormat="1" applyFont="1" applyFill="1" applyBorder="1"/>
    <xf numFmtId="165" fontId="12" fillId="21" borderId="12" xfId="48" applyNumberFormat="1" applyFont="1" applyFill="1" applyBorder="1" applyAlignment="1">
      <alignment horizontal="left"/>
    </xf>
    <xf numFmtId="0" fontId="42" fillId="20" borderId="0" xfId="48" applyFont="1"/>
    <xf numFmtId="0" fontId="2" fillId="20" borderId="0" xfId="48" applyFont="1" applyAlignment="1">
      <alignment horizontal="left"/>
    </xf>
    <xf numFmtId="165" fontId="37" fillId="21" borderId="19" xfId="48" applyNumberFormat="1" applyFont="1" applyFill="1" applyBorder="1" applyAlignment="1">
      <alignment horizontal="center" vertical="center" wrapText="1"/>
    </xf>
    <xf numFmtId="2" fontId="37" fillId="21" borderId="23" xfId="48" applyNumberFormat="1" applyFont="1" applyFill="1" applyBorder="1" applyAlignment="1">
      <alignment horizontal="center" vertical="center" wrapText="1"/>
    </xf>
    <xf numFmtId="165" fontId="37" fillId="21" borderId="23" xfId="48" applyNumberFormat="1" applyFont="1" applyFill="1" applyBorder="1" applyAlignment="1">
      <alignment horizontal="center" vertical="center" wrapText="1"/>
    </xf>
    <xf numFmtId="2" fontId="37" fillId="21" borderId="12" xfId="30" applyNumberFormat="1" applyFont="1" applyFill="1" applyBorder="1" applyAlignment="1">
      <alignment horizontal="center" vertical="center"/>
    </xf>
    <xf numFmtId="165" fontId="37" fillId="21" borderId="25" xfId="48" applyNumberFormat="1" applyFont="1" applyFill="1" applyBorder="1" applyAlignment="1">
      <alignment horizontal="center" vertical="center" wrapText="1"/>
    </xf>
    <xf numFmtId="49" fontId="37" fillId="22" borderId="12" xfId="48" quotePrefix="1" applyNumberFormat="1" applyFont="1" applyFill="1" applyBorder="1" applyAlignment="1">
      <alignment horizontal="left"/>
    </xf>
    <xf numFmtId="165" fontId="12" fillId="21" borderId="12" xfId="48" applyNumberFormat="1" applyFont="1" applyFill="1" applyBorder="1"/>
    <xf numFmtId="2" fontId="3" fillId="24" borderId="12" xfId="48" applyNumberFormat="1" applyFont="1" applyFill="1" applyBorder="1" applyAlignment="1">
      <alignment horizontal="center" vertical="center" wrapText="1"/>
    </xf>
    <xf numFmtId="39" fontId="37" fillId="21" borderId="25" xfId="48" applyNumberFormat="1" applyFont="1" applyFill="1" applyBorder="1" applyAlignment="1">
      <alignment horizontal="center" vertical="center" wrapText="1"/>
    </xf>
    <xf numFmtId="49" fontId="12" fillId="21" borderId="12" xfId="48" applyNumberFormat="1" applyFont="1" applyFill="1" applyBorder="1" applyAlignment="1"/>
    <xf numFmtId="170" fontId="1" fillId="19" borderId="12" xfId="48" applyNumberFormat="1" applyFont="1" applyFill="1" applyBorder="1" applyAlignment="1">
      <alignment horizontal="right"/>
    </xf>
    <xf numFmtId="170" fontId="1" fillId="19" borderId="13" xfId="48" applyNumberFormat="1" applyFont="1" applyFill="1" applyBorder="1" applyAlignment="1">
      <alignment horizontal="right"/>
    </xf>
    <xf numFmtId="49" fontId="12" fillId="21" borderId="12" xfId="48" applyNumberFormat="1" applyFont="1" applyFill="1" applyBorder="1" applyAlignment="1">
      <alignment vertical="center" wrapText="1"/>
    </xf>
    <xf numFmtId="49" fontId="12" fillId="22" borderId="12" xfId="48" applyNumberFormat="1" applyFont="1" applyFill="1" applyBorder="1" applyAlignment="1"/>
    <xf numFmtId="0" fontId="4" fillId="20" borderId="0" xfId="48" applyFont="1"/>
    <xf numFmtId="168" fontId="37" fillId="21" borderId="23" xfId="48" quotePrefix="1" applyNumberFormat="1" applyFont="1" applyFill="1" applyBorder="1" applyAlignment="1">
      <alignment horizontal="center" vertical="center" wrapText="1"/>
    </xf>
    <xf numFmtId="49" fontId="37" fillId="21" borderId="23" xfId="48" applyNumberFormat="1" applyFont="1" applyFill="1" applyBorder="1" applyAlignment="1">
      <alignment horizontal="center" vertical="center" wrapText="1"/>
    </xf>
    <xf numFmtId="0" fontId="1" fillId="0" borderId="0" xfId="67"/>
    <xf numFmtId="0" fontId="4" fillId="27" borderId="0" xfId="49" applyFont="1" applyFill="1" applyBorder="1" applyAlignment="1">
      <alignment horizontal="left" vertical="center"/>
    </xf>
    <xf numFmtId="0" fontId="1" fillId="27" borderId="0" xfId="48" applyFill="1"/>
    <xf numFmtId="167" fontId="12" fillId="21" borderId="23" xfId="62" applyNumberFormat="1" applyFont="1" applyFill="1" applyBorder="1" applyAlignment="1">
      <alignment horizontal="center" vertical="center"/>
    </xf>
    <xf numFmtId="2" fontId="12" fillId="21" borderId="12" xfId="62" applyNumberFormat="1" applyFont="1" applyFill="1" applyBorder="1" applyAlignment="1">
      <alignment horizontal="center"/>
    </xf>
    <xf numFmtId="0" fontId="2" fillId="0" borderId="0" xfId="48" applyFont="1" applyFill="1" applyAlignment="1"/>
    <xf numFmtId="170" fontId="38" fillId="14" borderId="12" xfId="50" applyNumberFormat="1" applyFont="1" applyFill="1" applyBorder="1" applyAlignment="1">
      <alignment horizontal="right"/>
    </xf>
    <xf numFmtId="49" fontId="12" fillId="22" borderId="12" xfId="50" applyNumberFormat="1" applyFont="1" applyFill="1" applyBorder="1"/>
    <xf numFmtId="167" fontId="6" fillId="14" borderId="12" xfId="50" applyNumberFormat="1" applyFont="1" applyFill="1" applyBorder="1" applyAlignment="1">
      <alignment horizontal="left"/>
    </xf>
    <xf numFmtId="49" fontId="12" fillId="21" borderId="12" xfId="50" applyNumberFormat="1" applyFont="1" applyFill="1" applyBorder="1" applyAlignment="1"/>
    <xf numFmtId="2" fontId="37" fillId="21" borderId="12" xfId="50" applyNumberFormat="1" applyFont="1" applyFill="1" applyBorder="1" applyAlignment="1">
      <alignment horizontal="center" vertical="center" wrapText="1"/>
    </xf>
    <xf numFmtId="168" fontId="37" fillId="21" borderId="12" xfId="50" quotePrefix="1" applyNumberFormat="1" applyFont="1" applyFill="1" applyBorder="1" applyAlignment="1">
      <alignment horizontal="center" vertical="center" wrapText="1"/>
    </xf>
    <xf numFmtId="0" fontId="1" fillId="20" borderId="0" xfId="50" applyFont="1"/>
    <xf numFmtId="39" fontId="1" fillId="20" borderId="0" xfId="50" applyNumberFormat="1" applyFont="1"/>
    <xf numFmtId="165" fontId="1" fillId="20" borderId="0" xfId="50" applyNumberFormat="1" applyFont="1" applyBorder="1"/>
    <xf numFmtId="2" fontId="1" fillId="20" borderId="0" xfId="50" applyNumberFormat="1" applyFont="1" applyBorder="1"/>
    <xf numFmtId="49" fontId="1" fillId="20" borderId="0" xfId="50" applyNumberFormat="1" applyFont="1"/>
    <xf numFmtId="167" fontId="3" fillId="20" borderId="0" xfId="50" applyNumberFormat="1" applyFont="1" applyBorder="1" applyAlignment="1">
      <alignment horizontal="left"/>
    </xf>
    <xf numFmtId="0" fontId="4" fillId="20" borderId="0" xfId="50" applyFont="1"/>
    <xf numFmtId="0" fontId="2" fillId="20" borderId="0" xfId="50" applyFont="1"/>
    <xf numFmtId="170" fontId="1" fillId="19" borderId="12" xfId="50" applyNumberFormat="1" applyFont="1" applyFill="1" applyBorder="1" applyAlignment="1">
      <alignment horizontal="left"/>
    </xf>
    <xf numFmtId="49" fontId="53" fillId="21" borderId="12" xfId="50" applyNumberFormat="1" applyFont="1" applyFill="1" applyBorder="1" applyAlignment="1">
      <alignment horizontal="left" vertical="center" wrapText="1"/>
    </xf>
    <xf numFmtId="49" fontId="12" fillId="21" borderId="12" xfId="50" applyNumberFormat="1" applyFont="1" applyFill="1" applyBorder="1" applyAlignment="1">
      <alignment horizontal="left" vertical="center" wrapText="1"/>
    </xf>
    <xf numFmtId="0" fontId="42" fillId="20" borderId="0" xfId="71" applyFont="1"/>
    <xf numFmtId="0" fontId="42" fillId="28" borderId="0" xfId="71" applyFont="1" applyFill="1"/>
    <xf numFmtId="0" fontId="38" fillId="14" borderId="12" xfId="71" applyFont="1" applyFill="1" applyBorder="1"/>
    <xf numFmtId="0" fontId="12" fillId="22" borderId="12" xfId="71" applyFont="1" applyFill="1" applyBorder="1"/>
    <xf numFmtId="0" fontId="1" fillId="19" borderId="12" xfId="71" applyFont="1" applyFill="1" applyBorder="1"/>
    <xf numFmtId="0" fontId="37" fillId="21" borderId="12" xfId="71" applyFont="1" applyFill="1" applyBorder="1" applyAlignment="1">
      <alignment horizontal="center" wrapText="1"/>
    </xf>
    <xf numFmtId="0" fontId="37" fillId="21" borderId="12" xfId="71" applyFont="1" applyFill="1" applyBorder="1" applyAlignment="1">
      <alignment horizontal="center" vertical="top"/>
    </xf>
    <xf numFmtId="0" fontId="1" fillId="14" borderId="19" xfId="71" applyFont="1" applyFill="1" applyBorder="1"/>
    <xf numFmtId="0" fontId="1" fillId="14" borderId="14" xfId="71" applyFont="1" applyFill="1" applyBorder="1"/>
    <xf numFmtId="0" fontId="4" fillId="20" borderId="0" xfId="71" applyFont="1"/>
    <xf numFmtId="3" fontId="38" fillId="14" borderId="12" xfId="71" applyNumberFormat="1" applyFont="1" applyFill="1" applyBorder="1" applyAlignment="1">
      <alignment horizontal="right" vertical="center" wrapText="1"/>
    </xf>
    <xf numFmtId="0" fontId="12" fillId="22" borderId="12" xfId="71" applyFont="1" applyFill="1" applyBorder="1" applyAlignment="1">
      <alignment horizontal="left" vertical="center" wrapText="1"/>
    </xf>
    <xf numFmtId="3" fontId="39" fillId="14" borderId="12" xfId="71" applyNumberFormat="1" applyFont="1" applyFill="1" applyBorder="1" applyAlignment="1">
      <alignment horizontal="right" vertical="center" wrapText="1"/>
    </xf>
    <xf numFmtId="0" fontId="12" fillId="21" borderId="12" xfId="71" applyFont="1" applyFill="1" applyBorder="1" applyAlignment="1">
      <alignment horizontal="left" vertical="center" wrapText="1"/>
    </xf>
    <xf numFmtId="0" fontId="1" fillId="14" borderId="12" xfId="71" applyFont="1" applyFill="1" applyBorder="1" applyAlignment="1">
      <alignment horizontal="right" vertical="center" wrapText="1"/>
    </xf>
    <xf numFmtId="0" fontId="1" fillId="19" borderId="12" xfId="71" applyFont="1" applyFill="1" applyBorder="1" applyAlignment="1">
      <alignment horizontal="right" vertical="center" wrapText="1"/>
    </xf>
    <xf numFmtId="0" fontId="37" fillId="21" borderId="12" xfId="71" applyFont="1" applyFill="1" applyBorder="1" applyAlignment="1">
      <alignment horizontal="left" vertical="center" wrapText="1"/>
    </xf>
    <xf numFmtId="0" fontId="5" fillId="21" borderId="23" xfId="71" applyFont="1" applyFill="1" applyBorder="1" applyAlignment="1">
      <alignment vertical="top" wrapText="1"/>
    </xf>
    <xf numFmtId="0" fontId="4" fillId="20" borderId="0" xfId="71" applyFont="1" applyBorder="1"/>
    <xf numFmtId="0" fontId="4" fillId="20" borderId="0" xfId="71" applyFont="1" applyFill="1" applyAlignment="1">
      <alignment horizontal="left" vertical="top" wrapText="1"/>
    </xf>
    <xf numFmtId="0" fontId="2" fillId="20" borderId="0" xfId="71" applyFont="1"/>
    <xf numFmtId="0" fontId="42" fillId="20" borderId="0" xfId="72" applyFont="1"/>
    <xf numFmtId="0" fontId="38" fillId="14" borderId="12" xfId="72" applyFont="1" applyFill="1" applyBorder="1"/>
    <xf numFmtId="0" fontId="37" fillId="22" borderId="19" xfId="72" applyFont="1" applyFill="1" applyBorder="1"/>
    <xf numFmtId="0" fontId="1" fillId="19" borderId="12" xfId="72" applyFont="1" applyFill="1" applyBorder="1"/>
    <xf numFmtId="0" fontId="39" fillId="19" borderId="12" xfId="72" applyFont="1" applyFill="1" applyBorder="1"/>
    <xf numFmtId="0" fontId="4" fillId="20" borderId="0" xfId="72" applyFont="1"/>
    <xf numFmtId="0" fontId="37" fillId="21" borderId="12" xfId="72" applyFont="1" applyFill="1" applyBorder="1" applyAlignment="1">
      <alignment horizontal="center" vertical="center"/>
    </xf>
    <xf numFmtId="0" fontId="54" fillId="20" borderId="0" xfId="72" applyFont="1"/>
    <xf numFmtId="0" fontId="2" fillId="20" borderId="0" xfId="72" applyFont="1"/>
    <xf numFmtId="0" fontId="1" fillId="20" borderId="0" xfId="71"/>
    <xf numFmtId="0" fontId="42" fillId="0" borderId="0" xfId="71" applyFont="1" applyFill="1" applyBorder="1"/>
    <xf numFmtId="0" fontId="42" fillId="0" borderId="0" xfId="71" applyFont="1" applyFill="1" applyBorder="1" applyAlignment="1">
      <alignment horizontal="right" vertical="center" wrapText="1"/>
    </xf>
    <xf numFmtId="0" fontId="42" fillId="20" borderId="0" xfId="71" applyFont="1" applyFill="1"/>
    <xf numFmtId="0" fontId="55" fillId="20" borderId="0" xfId="71" applyFont="1" applyFill="1" applyBorder="1" applyAlignment="1">
      <alignment vertical="top" wrapText="1"/>
    </xf>
    <xf numFmtId="0" fontId="42" fillId="20" borderId="0" xfId="71" applyFont="1" applyFill="1" applyBorder="1" applyAlignment="1">
      <alignment horizontal="right" vertical="center" wrapText="1"/>
    </xf>
    <xf numFmtId="0" fontId="37" fillId="22" borderId="12" xfId="71" applyFont="1" applyFill="1" applyBorder="1" applyAlignment="1">
      <alignment horizontal="right" vertical="center" wrapText="1"/>
    </xf>
    <xf numFmtId="0" fontId="39" fillId="14" borderId="12" xfId="71" applyFont="1" applyFill="1" applyBorder="1" applyAlignment="1">
      <alignment horizontal="right" vertical="center" wrapText="1"/>
    </xf>
    <xf numFmtId="0" fontId="39" fillId="19" borderId="12" xfId="71" applyFont="1" applyFill="1" applyBorder="1" applyAlignment="1">
      <alignment horizontal="right" vertical="center" wrapText="1"/>
    </xf>
    <xf numFmtId="0" fontId="42" fillId="20" borderId="0" xfId="71" applyFont="1" applyBorder="1" applyAlignment="1"/>
    <xf numFmtId="0" fontId="1" fillId="20" borderId="0" xfId="71" applyAlignment="1">
      <alignment horizontal="center" vertical="top" wrapText="1"/>
    </xf>
    <xf numFmtId="0" fontId="12" fillId="21" borderId="12" xfId="71" applyFont="1" applyFill="1" applyBorder="1" applyAlignment="1">
      <alignment horizontal="center" vertical="center" wrapText="1"/>
    </xf>
    <xf numFmtId="0" fontId="3" fillId="20" borderId="0" xfId="71" applyFont="1" applyFill="1" applyBorder="1" applyAlignment="1">
      <alignment horizontal="center" vertical="top" wrapText="1"/>
    </xf>
    <xf numFmtId="0" fontId="1" fillId="20" borderId="0" xfId="71" applyFont="1"/>
    <xf numFmtId="0" fontId="12" fillId="20" borderId="0" xfId="71" applyFont="1"/>
    <xf numFmtId="0" fontId="11" fillId="20" borderId="0" xfId="71" applyFont="1" applyFill="1" applyBorder="1" applyAlignment="1">
      <alignment horizontal="left" vertical="center" wrapText="1"/>
    </xf>
    <xf numFmtId="0" fontId="2" fillId="20" borderId="0" xfId="71" applyFont="1" applyAlignment="1">
      <alignment horizontal="left"/>
    </xf>
    <xf numFmtId="0" fontId="39" fillId="19" borderId="12" xfId="49" applyFont="1" applyFill="1" applyBorder="1"/>
    <xf numFmtId="0" fontId="5" fillId="19" borderId="12" xfId="49" applyFont="1" applyFill="1" applyBorder="1" applyAlignment="1">
      <alignment horizontal="center" vertical="top" wrapText="1"/>
    </xf>
    <xf numFmtId="49" fontId="3" fillId="24" borderId="12" xfId="48" applyNumberFormat="1" applyFont="1" applyFill="1" applyBorder="1" applyAlignment="1">
      <alignment horizontal="center" vertical="center" wrapText="1"/>
    </xf>
    <xf numFmtId="170" fontId="1" fillId="27" borderId="0" xfId="48" applyNumberFormat="1" applyFont="1" applyFill="1" applyBorder="1" applyAlignment="1">
      <alignment horizontal="right"/>
    </xf>
    <xf numFmtId="170" fontId="1" fillId="24" borderId="12" xfId="48" applyNumberFormat="1" applyFont="1" applyFill="1" applyBorder="1" applyAlignment="1">
      <alignment horizontal="right"/>
    </xf>
    <xf numFmtId="170" fontId="1" fillId="25" borderId="12" xfId="48" applyNumberFormat="1" applyFont="1" applyFill="1" applyBorder="1" applyAlignment="1">
      <alignment horizontal="right"/>
    </xf>
    <xf numFmtId="170" fontId="39" fillId="19" borderId="12" xfId="48" applyNumberFormat="1" applyFont="1" applyFill="1" applyBorder="1" applyAlignment="1">
      <alignment horizontal="left"/>
    </xf>
    <xf numFmtId="170" fontId="1" fillId="21" borderId="12" xfId="48" applyNumberFormat="1" applyFont="1" applyFill="1" applyBorder="1" applyAlignment="1">
      <alignment horizontal="right"/>
    </xf>
    <xf numFmtId="49" fontId="37" fillId="22" borderId="12" xfId="48" applyNumberFormat="1" applyFont="1" applyFill="1" applyBorder="1"/>
    <xf numFmtId="2" fontId="37" fillId="27" borderId="0" xfId="48" applyNumberFormat="1" applyFont="1" applyFill="1" applyBorder="1" applyAlignment="1">
      <alignment horizontal="center" vertical="center" wrapText="1"/>
    </xf>
    <xf numFmtId="165" fontId="37" fillId="27" borderId="0" xfId="48" applyNumberFormat="1" applyFont="1" applyFill="1" applyBorder="1" applyAlignment="1">
      <alignment horizontal="center" vertical="center" wrapText="1"/>
    </xf>
    <xf numFmtId="39" fontId="1" fillId="20" borderId="0" xfId="48" applyNumberFormat="1" applyFont="1"/>
    <xf numFmtId="0" fontId="3" fillId="27" borderId="0" xfId="48" applyFont="1" applyFill="1" applyBorder="1"/>
    <xf numFmtId="0" fontId="57" fillId="29" borderId="0" xfId="44" applyFont="1" applyFill="1" applyBorder="1" applyAlignment="1">
      <alignment vertical="center"/>
    </xf>
    <xf numFmtId="0" fontId="13" fillId="19" borderId="34" xfId="44" applyFont="1" applyFill="1" applyBorder="1"/>
    <xf numFmtId="0" fontId="13" fillId="19" borderId="35" xfId="44" applyFont="1" applyFill="1" applyBorder="1"/>
    <xf numFmtId="0" fontId="13" fillId="19" borderId="36" xfId="44" applyFont="1" applyFill="1" applyBorder="1"/>
    <xf numFmtId="0" fontId="13" fillId="19" borderId="37" xfId="44" applyFont="1" applyFill="1" applyBorder="1"/>
    <xf numFmtId="0" fontId="15" fillId="19" borderId="38" xfId="44" applyFont="1" applyFill="1" applyBorder="1" applyAlignment="1">
      <alignment vertical="center"/>
    </xf>
    <xf numFmtId="0" fontId="16" fillId="19" borderId="38" xfId="44" applyFont="1" applyFill="1" applyBorder="1" applyAlignment="1">
      <alignment vertical="center"/>
    </xf>
    <xf numFmtId="0" fontId="13" fillId="19" borderId="38" xfId="44" applyFont="1" applyFill="1" applyBorder="1" applyAlignment="1">
      <alignment vertical="center"/>
    </xf>
    <xf numFmtId="0" fontId="17" fillId="29" borderId="39" xfId="44" applyFont="1" applyFill="1" applyBorder="1" applyAlignment="1">
      <alignment vertical="center"/>
    </xf>
    <xf numFmtId="0" fontId="3" fillId="29" borderId="15" xfId="44" applyFont="1" applyFill="1" applyBorder="1" applyAlignment="1">
      <alignment vertical="center"/>
    </xf>
    <xf numFmtId="0" fontId="3" fillId="29" borderId="40" xfId="44" applyFont="1" applyFill="1" applyBorder="1" applyAlignment="1">
      <alignment vertical="center"/>
    </xf>
    <xf numFmtId="0" fontId="17" fillId="29" borderId="37" xfId="44" applyFont="1" applyFill="1" applyBorder="1" applyAlignment="1">
      <alignment vertical="center"/>
    </xf>
    <xf numFmtId="0" fontId="3" fillId="29" borderId="38" xfId="44" applyFont="1" applyFill="1" applyBorder="1" applyAlignment="1">
      <alignment vertical="center"/>
    </xf>
    <xf numFmtId="0" fontId="3" fillId="29" borderId="41" xfId="44" applyFont="1" applyFill="1" applyBorder="1" applyAlignment="1">
      <alignment vertical="center"/>
    </xf>
    <xf numFmtId="0" fontId="3" fillId="29" borderId="42" xfId="44" applyFont="1" applyFill="1" applyBorder="1" applyAlignment="1">
      <alignment vertical="center"/>
    </xf>
    <xf numFmtId="0" fontId="3" fillId="29" borderId="43" xfId="44" applyFont="1" applyFill="1" applyBorder="1" applyAlignment="1">
      <alignment vertical="center"/>
    </xf>
    <xf numFmtId="167" fontId="38" fillId="25" borderId="12" xfId="48" applyNumberFormat="1" applyFont="1" applyFill="1" applyBorder="1" applyAlignment="1">
      <alignment horizontal="center"/>
    </xf>
    <xf numFmtId="167" fontId="1" fillId="25" borderId="12" xfId="48" applyNumberFormat="1" applyFont="1" applyFill="1" applyBorder="1" applyAlignment="1">
      <alignment horizontal="left"/>
    </xf>
    <xf numFmtId="167" fontId="3" fillId="25" borderId="12" xfId="48" applyNumberFormat="1" applyFont="1" applyFill="1" applyBorder="1" applyAlignment="1">
      <alignment horizontal="center"/>
    </xf>
    <xf numFmtId="0" fontId="3" fillId="25" borderId="31" xfId="48" applyFont="1" applyFill="1" applyBorder="1"/>
    <xf numFmtId="0" fontId="1" fillId="25" borderId="25" xfId="48" applyFont="1" applyFill="1" applyBorder="1"/>
    <xf numFmtId="0" fontId="1" fillId="25" borderId="20" xfId="48" applyFont="1" applyFill="1" applyBorder="1"/>
    <xf numFmtId="0" fontId="1" fillId="25" borderId="22" xfId="48" applyFont="1" applyFill="1" applyBorder="1"/>
    <xf numFmtId="0" fontId="3" fillId="27" borderId="0" xfId="0" applyFont="1" applyFill="1" applyBorder="1" applyAlignment="1">
      <alignment wrapText="1"/>
    </xf>
    <xf numFmtId="0" fontId="0" fillId="27" borderId="0" xfId="0" applyFill="1" applyBorder="1" applyAlignment="1">
      <alignment wrapText="1"/>
    </xf>
    <xf numFmtId="0" fontId="11" fillId="27" borderId="0" xfId="0" applyFont="1" applyFill="1" applyBorder="1" applyAlignment="1">
      <alignment wrapText="1"/>
    </xf>
    <xf numFmtId="0" fontId="57" fillId="29" borderId="0" xfId="73" applyFont="1" applyFill="1" applyBorder="1" applyAlignment="1" applyProtection="1">
      <alignment vertical="center"/>
    </xf>
    <xf numFmtId="0" fontId="37" fillId="30" borderId="12" xfId="0" applyFont="1" applyFill="1" applyBorder="1" applyAlignment="1">
      <alignment horizontal="center" vertical="center" wrapText="1"/>
    </xf>
    <xf numFmtId="0" fontId="39" fillId="19" borderId="12" xfId="49" applyFont="1" applyFill="1" applyBorder="1" applyAlignment="1">
      <alignment horizontal="center" vertical="top" wrapText="1"/>
    </xf>
    <xf numFmtId="0" fontId="37" fillId="22" borderId="12" xfId="49" applyFont="1" applyFill="1" applyBorder="1" applyAlignment="1">
      <alignment horizontal="right" vertical="top" wrapText="1"/>
    </xf>
    <xf numFmtId="170" fontId="38" fillId="31" borderId="12" xfId="48" applyNumberFormat="1" applyFont="1" applyFill="1" applyBorder="1" applyAlignment="1">
      <alignment horizontal="right"/>
    </xf>
    <xf numFmtId="0" fontId="1" fillId="25" borderId="30" xfId="48" applyFont="1" applyFill="1" applyBorder="1"/>
    <xf numFmtId="0" fontId="1" fillId="25" borderId="32" xfId="68" applyFont="1" applyFill="1" applyBorder="1"/>
    <xf numFmtId="170" fontId="38" fillId="25" borderId="12" xfId="48" applyNumberFormat="1" applyFont="1" applyFill="1" applyBorder="1" applyAlignment="1">
      <alignment horizontal="right"/>
    </xf>
    <xf numFmtId="170" fontId="1" fillId="25" borderId="13" xfId="48" applyNumberFormat="1" applyFont="1" applyFill="1" applyBorder="1" applyAlignment="1">
      <alignment horizontal="right"/>
    </xf>
    <xf numFmtId="0" fontId="0" fillId="30" borderId="12" xfId="0" applyFill="1" applyBorder="1"/>
    <xf numFmtId="3" fontId="3" fillId="14" borderId="12" xfId="50" applyNumberFormat="1" applyFont="1" applyFill="1" applyBorder="1" applyAlignment="1">
      <alignment horizontal="right"/>
    </xf>
    <xf numFmtId="0" fontId="0" fillId="0" borderId="0" xfId="0" applyAlignment="1">
      <alignment vertical="center" wrapText="1"/>
    </xf>
    <xf numFmtId="0" fontId="2" fillId="20" borderId="0" xfId="48" applyFont="1" applyAlignment="1">
      <alignment vertical="center"/>
    </xf>
    <xf numFmtId="0" fontId="1" fillId="20" borderId="0" xfId="48" applyAlignment="1">
      <alignment vertical="center"/>
    </xf>
    <xf numFmtId="0" fontId="1" fillId="14" borderId="13" xfId="71" applyFont="1" applyFill="1" applyBorder="1" applyAlignment="1">
      <alignment vertical="center"/>
    </xf>
    <xf numFmtId="0" fontId="38" fillId="14" borderId="13" xfId="63" applyFont="1" applyFill="1" applyBorder="1" applyAlignment="1">
      <alignment wrapText="1"/>
    </xf>
    <xf numFmtId="3" fontId="38" fillId="14" borderId="13" xfId="63" applyNumberFormat="1" applyFont="1" applyFill="1" applyBorder="1" applyAlignment="1">
      <alignment wrapText="1"/>
    </xf>
    <xf numFmtId="0" fontId="1" fillId="19" borderId="13" xfId="63" applyFont="1" applyFill="1" applyBorder="1" applyAlignment="1">
      <alignment wrapText="1"/>
    </xf>
    <xf numFmtId="3" fontId="1" fillId="19" borderId="13" xfId="63" applyNumberFormat="1" applyFont="1" applyFill="1" applyBorder="1" applyAlignment="1">
      <alignment wrapText="1"/>
    </xf>
    <xf numFmtId="0" fontId="37" fillId="21" borderId="13" xfId="63" applyFont="1" applyFill="1" applyBorder="1" applyAlignment="1">
      <alignment horizontal="center" vertical="center" wrapText="1"/>
    </xf>
    <xf numFmtId="0" fontId="37" fillId="21" borderId="20" xfId="63" applyFont="1" applyFill="1" applyBorder="1" applyAlignment="1">
      <alignment horizontal="center" vertical="center" wrapText="1"/>
    </xf>
    <xf numFmtId="0" fontId="1" fillId="20" borderId="0" xfId="49" applyAlignment="1"/>
    <xf numFmtId="0" fontId="37" fillId="21" borderId="12" xfId="49" applyFont="1" applyFill="1" applyBorder="1" applyAlignment="1">
      <alignment horizontal="center" vertical="center" wrapText="1"/>
    </xf>
    <xf numFmtId="0" fontId="1" fillId="19" borderId="12" xfId="49" applyFont="1" applyFill="1" applyBorder="1" applyAlignment="1"/>
    <xf numFmtId="0" fontId="39" fillId="22" borderId="12" xfId="49" applyFont="1" applyFill="1" applyBorder="1" applyAlignment="1"/>
    <xf numFmtId="0" fontId="37" fillId="22" borderId="12" xfId="49" applyFont="1" applyFill="1" applyBorder="1" applyAlignment="1">
      <alignment horizontal="right"/>
    </xf>
    <xf numFmtId="0" fontId="38" fillId="14" borderId="12" xfId="49" applyFont="1" applyFill="1" applyBorder="1" applyAlignment="1"/>
    <xf numFmtId="0" fontId="37" fillId="21" borderId="12" xfId="49" applyFont="1" applyFill="1" applyBorder="1" applyAlignment="1">
      <alignment horizontal="center" vertical="center"/>
    </xf>
    <xf numFmtId="0" fontId="1" fillId="20" borderId="0" xfId="49" applyAlignment="1"/>
    <xf numFmtId="165" fontId="37" fillId="21" borderId="13" xfId="49" applyNumberFormat="1" applyFont="1" applyFill="1" applyBorder="1" applyAlignment="1">
      <alignment horizontal="center" vertical="center" wrapText="1"/>
    </xf>
    <xf numFmtId="0" fontId="1" fillId="20" borderId="0" xfId="49" applyAlignment="1">
      <alignment vertical="center"/>
    </xf>
    <xf numFmtId="0" fontId="37" fillId="21" borderId="12" xfId="72" applyFont="1" applyFill="1" applyBorder="1" applyAlignment="1">
      <alignment horizontal="center" vertical="center" wrapText="1"/>
    </xf>
    <xf numFmtId="168" fontId="53" fillId="21" borderId="12" xfId="0" applyNumberFormat="1" applyFont="1" applyFill="1" applyBorder="1" applyAlignment="1">
      <alignment horizontal="left" vertical="center" wrapText="1"/>
    </xf>
    <xf numFmtId="168" fontId="12" fillId="21" borderId="12" xfId="52" applyNumberFormat="1" applyFont="1" applyFill="1" applyBorder="1" applyAlignment="1">
      <alignment horizontal="center" vertical="center" wrapText="1"/>
    </xf>
    <xf numFmtId="0" fontId="37" fillId="21" borderId="12" xfId="63" applyFont="1" applyFill="1" applyBorder="1" applyAlignment="1">
      <alignment horizontal="center" vertical="center" wrapText="1"/>
    </xf>
    <xf numFmtId="0" fontId="5" fillId="21" borderId="10" xfId="74" applyFont="1" applyFill="1" applyBorder="1" applyAlignment="1" applyProtection="1">
      <alignment vertical="center"/>
      <protection locked="0"/>
    </xf>
    <xf numFmtId="0" fontId="6" fillId="21" borderId="0" xfId="74" applyFont="1" applyFill="1" applyBorder="1" applyAlignment="1">
      <alignment vertical="center"/>
    </xf>
    <xf numFmtId="0" fontId="6" fillId="21" borderId="11" xfId="74" applyFont="1" applyFill="1" applyBorder="1" applyAlignment="1">
      <alignment vertical="center"/>
    </xf>
    <xf numFmtId="0" fontId="3" fillId="25" borderId="12" xfId="0" applyFont="1" applyFill="1" applyBorder="1" applyAlignment="1">
      <alignment horizontal="left" vertical="center" wrapText="1"/>
    </xf>
    <xf numFmtId="3" fontId="1" fillId="19" borderId="12" xfId="63" applyNumberFormat="1" applyFont="1" applyFill="1" applyBorder="1" applyAlignment="1">
      <alignment wrapText="1"/>
    </xf>
    <xf numFmtId="3" fontId="38" fillId="14" borderId="12" xfId="63" applyNumberFormat="1" applyFont="1" applyFill="1" applyBorder="1" applyAlignment="1">
      <alignment wrapText="1"/>
    </xf>
    <xf numFmtId="0" fontId="1" fillId="0" borderId="0" xfId="60" applyFont="1"/>
    <xf numFmtId="172" fontId="2" fillId="19" borderId="12" xfId="60" applyNumberFormat="1" applyFont="1" applyFill="1" applyBorder="1" applyAlignment="1">
      <alignment horizontal="left" vertical="center"/>
    </xf>
    <xf numFmtId="164" fontId="1" fillId="19" borderId="12" xfId="60" applyNumberFormat="1" applyFont="1" applyFill="1" applyBorder="1" applyAlignment="1">
      <alignment horizontal="right"/>
    </xf>
    <xf numFmtId="164" fontId="1" fillId="19" borderId="12" xfId="60" applyNumberFormat="1" applyFont="1" applyFill="1" applyBorder="1"/>
    <xf numFmtId="173" fontId="0" fillId="0" borderId="0" xfId="0" applyNumberFormat="1"/>
    <xf numFmtId="173" fontId="3" fillId="19" borderId="12" xfId="30" applyNumberFormat="1" applyFont="1" applyFill="1" applyBorder="1" applyAlignment="1">
      <alignment horizontal="left" vertical="center" wrapText="1"/>
    </xf>
    <xf numFmtId="3" fontId="3" fillId="14" borderId="12" xfId="30" applyNumberFormat="1" applyFont="1" applyFill="1" applyBorder="1" applyAlignment="1">
      <alignment horizontal="right"/>
    </xf>
    <xf numFmtId="3" fontId="7" fillId="19" borderId="12" xfId="30" applyNumberFormat="1" applyFont="1" applyFill="1" applyBorder="1" applyAlignment="1">
      <alignment horizontal="right"/>
    </xf>
    <xf numFmtId="3" fontId="6" fillId="21" borderId="12" xfId="30" applyNumberFormat="1" applyFont="1" applyFill="1" applyBorder="1" applyAlignment="1">
      <alignment horizontal="right"/>
    </xf>
    <xf numFmtId="3" fontId="7" fillId="25" borderId="12" xfId="30" applyNumberFormat="1" applyFont="1" applyFill="1" applyBorder="1" applyAlignment="1">
      <alignment horizontal="right"/>
    </xf>
    <xf numFmtId="3" fontId="7" fillId="19" borderId="12" xfId="30" applyNumberFormat="1" applyFont="1" applyFill="1" applyBorder="1" applyAlignment="1">
      <alignment horizontal="right" vertical="center" wrapText="1"/>
    </xf>
    <xf numFmtId="3" fontId="38" fillId="14" borderId="12" xfId="30" applyNumberFormat="1" applyFont="1" applyFill="1" applyBorder="1" applyAlignment="1">
      <alignment horizontal="right" vertical="center" wrapText="1"/>
    </xf>
    <xf numFmtId="164" fontId="0" fillId="25" borderId="12" xfId="30" applyFont="1" applyFill="1" applyBorder="1"/>
    <xf numFmtId="164" fontId="0" fillId="30" borderId="12" xfId="30" applyFont="1" applyFill="1" applyBorder="1"/>
    <xf numFmtId="173" fontId="0" fillId="25" borderId="12" xfId="30" applyNumberFormat="1" applyFont="1" applyFill="1" applyBorder="1"/>
    <xf numFmtId="173" fontId="0" fillId="30" borderId="12" xfId="30" applyNumberFormat="1" applyFont="1" applyFill="1" applyBorder="1"/>
    <xf numFmtId="173" fontId="7" fillId="19" borderId="12" xfId="30" applyNumberFormat="1" applyFont="1" applyFill="1" applyBorder="1" applyAlignment="1"/>
    <xf numFmtId="173" fontId="39" fillId="14" borderId="12" xfId="30" applyNumberFormat="1" applyFont="1" applyFill="1" applyBorder="1" applyAlignment="1"/>
    <xf numFmtId="167" fontId="1" fillId="19" borderId="12" xfId="52" applyNumberFormat="1" applyFont="1" applyFill="1" applyBorder="1" applyAlignment="1">
      <alignment horizontal="left"/>
    </xf>
    <xf numFmtId="3" fontId="3" fillId="19" borderId="12" xfId="30" applyNumberFormat="1" applyFont="1" applyFill="1" applyBorder="1" applyAlignment="1">
      <alignment horizontal="right" vertical="center" wrapText="1"/>
    </xf>
    <xf numFmtId="164" fontId="0" fillId="19" borderId="12" xfId="30" applyFont="1" applyFill="1" applyBorder="1"/>
    <xf numFmtId="164" fontId="0" fillId="19" borderId="12" xfId="30" applyFont="1" applyFill="1" applyBorder="1" applyAlignment="1">
      <alignment horizontal="center"/>
    </xf>
    <xf numFmtId="174" fontId="3" fillId="14" borderId="12" xfId="49" applyNumberFormat="1" applyFont="1" applyFill="1" applyBorder="1" applyAlignment="1">
      <alignment horizontal="right"/>
    </xf>
    <xf numFmtId="3" fontId="1" fillId="19" borderId="12" xfId="30" applyNumberFormat="1" applyFont="1" applyFill="1" applyBorder="1" applyAlignment="1">
      <alignment horizontal="right"/>
    </xf>
    <xf numFmtId="3" fontId="1" fillId="25" borderId="12" xfId="30" applyNumberFormat="1" applyFont="1" applyFill="1" applyBorder="1" applyAlignment="1">
      <alignment horizontal="right"/>
    </xf>
    <xf numFmtId="3" fontId="1" fillId="21" borderId="23" xfId="30" applyNumberFormat="1" applyFont="1" applyFill="1" applyBorder="1" applyAlignment="1">
      <alignment horizontal="right" vertical="center"/>
    </xf>
    <xf numFmtId="0" fontId="2" fillId="0" borderId="0" xfId="48" applyFont="1" applyFill="1" applyAlignment="1"/>
    <xf numFmtId="0" fontId="2" fillId="0" borderId="0" xfId="49" applyFont="1" applyFill="1" applyAlignment="1"/>
    <xf numFmtId="3" fontId="7" fillId="19" borderId="12" xfId="49" applyNumberFormat="1" applyFont="1" applyFill="1" applyBorder="1" applyAlignment="1">
      <alignment horizontal="right"/>
    </xf>
    <xf numFmtId="3" fontId="7" fillId="25" borderId="12" xfId="49" applyNumberFormat="1" applyFont="1" applyFill="1" applyBorder="1" applyAlignment="1">
      <alignment horizontal="right"/>
    </xf>
    <xf numFmtId="3" fontId="7" fillId="25" borderId="23" xfId="49" applyNumberFormat="1" applyFont="1" applyFill="1" applyBorder="1" applyAlignment="1">
      <alignment horizontal="right"/>
    </xf>
    <xf numFmtId="3" fontId="12" fillId="21" borderId="23" xfId="30" applyNumberFormat="1" applyFont="1" applyFill="1" applyBorder="1" applyAlignment="1">
      <alignment horizontal="center" vertical="center"/>
    </xf>
    <xf numFmtId="3" fontId="3" fillId="14" borderId="12" xfId="49" applyNumberFormat="1" applyFont="1" applyFill="1" applyBorder="1" applyAlignment="1">
      <alignment horizontal="right"/>
    </xf>
    <xf numFmtId="3" fontId="3" fillId="21" borderId="12" xfId="49" applyNumberFormat="1" applyFont="1" applyFill="1" applyBorder="1" applyAlignment="1">
      <alignment horizontal="center" vertical="center" wrapText="1"/>
    </xf>
    <xf numFmtId="9" fontId="7" fillId="14" borderId="12" xfId="76" applyFont="1" applyFill="1" applyBorder="1" applyAlignment="1">
      <alignment horizontal="right"/>
    </xf>
    <xf numFmtId="9" fontId="12" fillId="21" borderId="23" xfId="76" applyFont="1" applyFill="1" applyBorder="1" applyAlignment="1">
      <alignment horizontal="center" vertical="center"/>
    </xf>
    <xf numFmtId="9" fontId="3" fillId="21" borderId="12" xfId="76" applyFont="1" applyFill="1" applyBorder="1" applyAlignment="1">
      <alignment horizontal="center" vertical="center" wrapText="1"/>
    </xf>
    <xf numFmtId="169" fontId="37" fillId="21" borderId="13" xfId="43" applyNumberFormat="1" applyFont="1" applyFill="1" applyBorder="1" applyAlignment="1">
      <alignment vertical="center" wrapText="1"/>
    </xf>
    <xf numFmtId="0" fontId="9" fillId="20" borderId="0" xfId="49" applyFont="1"/>
    <xf numFmtId="0" fontId="9" fillId="19" borderId="12" xfId="53" applyFont="1" applyFill="1" applyBorder="1" applyAlignment="1">
      <alignment horizontal="left" vertical="top" wrapText="1"/>
    </xf>
    <xf numFmtId="0" fontId="37" fillId="21" borderId="14" xfId="0" applyFont="1" applyFill="1" applyBorder="1" applyAlignment="1">
      <alignment vertical="center" wrapText="1"/>
    </xf>
    <xf numFmtId="0" fontId="37" fillId="21" borderId="19" xfId="0" applyFont="1" applyFill="1" applyBorder="1" applyAlignment="1">
      <alignment vertical="center" wrapText="1"/>
    </xf>
    <xf numFmtId="170" fontId="1" fillId="19" borderId="12" xfId="49" applyNumberFormat="1" applyFont="1" applyFill="1" applyBorder="1" applyAlignment="1">
      <alignment horizontal="left"/>
    </xf>
    <xf numFmtId="173" fontId="7" fillId="19" borderId="12" xfId="30" applyNumberFormat="1" applyFont="1" applyFill="1" applyBorder="1" applyAlignment="1">
      <alignment horizontal="right"/>
    </xf>
    <xf numFmtId="173" fontId="1" fillId="19" borderId="12" xfId="30" applyNumberFormat="1" applyFont="1" applyFill="1" applyBorder="1" applyAlignment="1">
      <alignment horizontal="right"/>
    </xf>
    <xf numFmtId="170" fontId="1" fillId="19" borderId="12" xfId="64" applyNumberFormat="1" applyFont="1" applyFill="1" applyBorder="1" applyAlignment="1">
      <alignment horizontal="left" wrapText="1"/>
    </xf>
    <xf numFmtId="3" fontId="38" fillId="14" borderId="12" xfId="49" applyNumberFormat="1" applyFont="1" applyFill="1" applyBorder="1" applyAlignment="1">
      <alignment horizontal="right"/>
    </xf>
    <xf numFmtId="3" fontId="38" fillId="14" borderId="12" xfId="30" applyNumberFormat="1" applyFont="1" applyFill="1" applyBorder="1" applyAlignment="1">
      <alignment horizontal="right"/>
    </xf>
    <xf numFmtId="3" fontId="1" fillId="20" borderId="0" xfId="49" applyNumberFormat="1"/>
    <xf numFmtId="3" fontId="1" fillId="19" borderId="12" xfId="48" applyNumberFormat="1" applyFont="1" applyFill="1" applyBorder="1" applyAlignment="1">
      <alignment horizontal="right"/>
    </xf>
    <xf numFmtId="3" fontId="6" fillId="31" borderId="12" xfId="48" applyNumberFormat="1" applyFont="1" applyFill="1" applyBorder="1" applyAlignment="1">
      <alignment horizontal="right"/>
    </xf>
    <xf numFmtId="3" fontId="38" fillId="14" borderId="12" xfId="48" applyNumberFormat="1" applyFont="1" applyFill="1" applyBorder="1" applyAlignment="1">
      <alignment horizontal="right"/>
    </xf>
    <xf numFmtId="3" fontId="38" fillId="31" borderId="12" xfId="48" applyNumberFormat="1" applyFont="1" applyFill="1" applyBorder="1" applyAlignment="1">
      <alignment horizontal="right"/>
    </xf>
    <xf numFmtId="3" fontId="1" fillId="14" borderId="12" xfId="48" applyNumberFormat="1" applyFont="1" applyFill="1" applyBorder="1" applyAlignment="1">
      <alignment horizontal="right"/>
    </xf>
    <xf numFmtId="3" fontId="1" fillId="31" borderId="12" xfId="48" applyNumberFormat="1" applyFont="1" applyFill="1" applyBorder="1" applyAlignment="1">
      <alignment horizontal="right"/>
    </xf>
    <xf numFmtId="3" fontId="6" fillId="19" borderId="12" xfId="48" applyNumberFormat="1" applyFont="1" applyFill="1" applyBorder="1" applyAlignment="1">
      <alignment horizontal="right"/>
    </xf>
    <xf numFmtId="3" fontId="1" fillId="19" borderId="12" xfId="48" applyNumberFormat="1" applyFont="1" applyFill="1" applyBorder="1" applyAlignment="1"/>
    <xf numFmtId="3" fontId="1" fillId="31" borderId="13" xfId="48" applyNumberFormat="1" applyFont="1" applyFill="1" applyBorder="1" applyAlignment="1"/>
    <xf numFmtId="3" fontId="1" fillId="19" borderId="12" xfId="48" applyNumberFormat="1" applyFont="1" applyFill="1" applyBorder="1"/>
    <xf numFmtId="3" fontId="39" fillId="14" borderId="12" xfId="48" applyNumberFormat="1" applyFont="1" applyFill="1" applyBorder="1" applyAlignment="1"/>
    <xf numFmtId="3" fontId="39" fillId="31" borderId="12" xfId="48" applyNumberFormat="1" applyFont="1" applyFill="1" applyBorder="1" applyAlignment="1"/>
    <xf numFmtId="3" fontId="1" fillId="21" borderId="12" xfId="48" applyNumberFormat="1" applyFont="1" applyFill="1" applyBorder="1" applyAlignment="1"/>
    <xf numFmtId="3" fontId="1" fillId="21" borderId="12" xfId="48" applyNumberFormat="1" applyFont="1" applyFill="1" applyBorder="1" applyAlignment="1">
      <alignment horizontal="center"/>
    </xf>
    <xf numFmtId="3" fontId="1" fillId="21" borderId="13" xfId="48" applyNumberFormat="1" applyFont="1" applyFill="1" applyBorder="1" applyAlignment="1"/>
    <xf numFmtId="3" fontId="6" fillId="21" borderId="12" xfId="48" applyNumberFormat="1" applyFont="1" applyFill="1" applyBorder="1" applyAlignment="1"/>
    <xf numFmtId="3" fontId="1" fillId="31" borderId="13" xfId="48" applyNumberFormat="1" applyFont="1" applyFill="1" applyBorder="1"/>
    <xf numFmtId="3" fontId="38" fillId="14" borderId="12" xfId="48" applyNumberFormat="1" applyFont="1" applyFill="1" applyBorder="1" applyAlignment="1"/>
    <xf numFmtId="3" fontId="38" fillId="31" borderId="12" xfId="48" applyNumberFormat="1" applyFont="1" applyFill="1" applyBorder="1" applyAlignment="1"/>
    <xf numFmtId="3" fontId="1" fillId="21" borderId="13" xfId="48" applyNumberFormat="1" applyFont="1" applyFill="1" applyBorder="1" applyAlignment="1">
      <alignment horizontal="right"/>
    </xf>
    <xf numFmtId="3" fontId="39" fillId="25" borderId="12" xfId="48" applyNumberFormat="1" applyFont="1" applyFill="1" applyBorder="1" applyAlignment="1"/>
    <xf numFmtId="3" fontId="1" fillId="19" borderId="13" xfId="48" applyNumberFormat="1" applyFont="1" applyFill="1" applyBorder="1" applyAlignment="1">
      <alignment horizontal="right"/>
    </xf>
    <xf numFmtId="3" fontId="1" fillId="25" borderId="12" xfId="48" applyNumberFormat="1" applyFont="1" applyFill="1" applyBorder="1" applyAlignment="1">
      <alignment horizontal="right"/>
    </xf>
    <xf numFmtId="3" fontId="1" fillId="25" borderId="13" xfId="48" applyNumberFormat="1" applyFont="1" applyFill="1" applyBorder="1" applyAlignment="1">
      <alignment horizontal="right"/>
    </xf>
    <xf numFmtId="3" fontId="52" fillId="25" borderId="12" xfId="48" applyNumberFormat="1" applyFont="1" applyFill="1" applyBorder="1" applyAlignment="1">
      <alignment horizontal="right"/>
    </xf>
    <xf numFmtId="3" fontId="12" fillId="21" borderId="12" xfId="48" applyNumberFormat="1" applyFont="1" applyFill="1" applyBorder="1"/>
    <xf numFmtId="3" fontId="52" fillId="25" borderId="13" xfId="48" applyNumberFormat="1" applyFont="1" applyFill="1" applyBorder="1" applyAlignment="1">
      <alignment horizontal="right"/>
    </xf>
    <xf numFmtId="3" fontId="1" fillId="14" borderId="12" xfId="71" applyNumberFormat="1" applyFont="1" applyFill="1" applyBorder="1" applyAlignment="1">
      <alignment horizontal="right" vertical="center" wrapText="1"/>
    </xf>
    <xf numFmtId="3" fontId="1" fillId="19" borderId="12" xfId="71" applyNumberFormat="1" applyFont="1" applyFill="1" applyBorder="1" applyAlignment="1">
      <alignment horizontal="right" vertical="center" wrapText="1"/>
    </xf>
    <xf numFmtId="170" fontId="1" fillId="19" borderId="12" xfId="50" applyNumberFormat="1" applyFont="1" applyFill="1" applyBorder="1" applyAlignment="1">
      <alignment horizontal="right"/>
    </xf>
    <xf numFmtId="0" fontId="39" fillId="19" borderId="13" xfId="71" applyFont="1" applyFill="1" applyBorder="1" applyAlignment="1">
      <alignment horizontal="right" vertical="center" wrapText="1"/>
    </xf>
    <xf numFmtId="4" fontId="1" fillId="19" borderId="12" xfId="72" applyNumberFormat="1" applyFont="1" applyFill="1" applyBorder="1"/>
    <xf numFmtId="171" fontId="7" fillId="19" borderId="12" xfId="50" applyNumberFormat="1" applyFont="1" applyFill="1" applyBorder="1" applyAlignment="1">
      <alignment horizontal="left" wrapText="1"/>
    </xf>
    <xf numFmtId="173" fontId="1" fillId="20" borderId="0" xfId="50" applyNumberFormat="1"/>
    <xf numFmtId="3" fontId="7" fillId="19" borderId="12" xfId="50" applyNumberFormat="1" applyFont="1" applyFill="1" applyBorder="1" applyAlignment="1">
      <alignment horizontal="right"/>
    </xf>
    <xf numFmtId="3" fontId="7" fillId="14" borderId="12" xfId="49" applyNumberFormat="1" applyFont="1" applyFill="1" applyBorder="1" applyAlignment="1">
      <alignment horizontal="right"/>
    </xf>
    <xf numFmtId="3" fontId="7" fillId="25" borderId="12" xfId="50" applyNumberFormat="1" applyFont="1" applyFill="1" applyBorder="1" applyAlignment="1">
      <alignment horizontal="right"/>
    </xf>
    <xf numFmtId="3" fontId="7" fillId="19" borderId="12" xfId="50" applyNumberFormat="1" applyFont="1" applyFill="1" applyBorder="1" applyAlignment="1">
      <alignment horizontal="right" wrapText="1"/>
    </xf>
    <xf numFmtId="0" fontId="1" fillId="20" borderId="12" xfId="50" applyBorder="1"/>
    <xf numFmtId="173" fontId="1" fillId="20" borderId="12" xfId="30" applyNumberFormat="1" applyFill="1" applyBorder="1"/>
    <xf numFmtId="164" fontId="1" fillId="20" borderId="12" xfId="50" applyNumberFormat="1" applyBorder="1"/>
    <xf numFmtId="173" fontId="1" fillId="32" borderId="12" xfId="30" applyNumberFormat="1" applyFill="1" applyBorder="1"/>
    <xf numFmtId="0" fontId="3" fillId="20" borderId="12" xfId="50" applyFont="1" applyBorder="1"/>
    <xf numFmtId="173" fontId="3" fillId="20" borderId="12" xfId="30" applyNumberFormat="1" applyFont="1" applyFill="1" applyBorder="1"/>
    <xf numFmtId="173" fontId="3" fillId="20" borderId="12" xfId="50" applyNumberFormat="1" applyFont="1" applyBorder="1"/>
    <xf numFmtId="0" fontId="3" fillId="20" borderId="12" xfId="50" applyFont="1" applyBorder="1" applyAlignment="1">
      <alignment wrapText="1"/>
    </xf>
    <xf numFmtId="167" fontId="7" fillId="19" borderId="14" xfId="52" applyNumberFormat="1" applyFont="1" applyFill="1" applyBorder="1" applyAlignment="1">
      <alignment horizontal="left"/>
    </xf>
    <xf numFmtId="167" fontId="7" fillId="19" borderId="19" xfId="52" applyNumberFormat="1" applyFont="1" applyFill="1" applyBorder="1" applyAlignment="1">
      <alignment horizontal="left"/>
    </xf>
    <xf numFmtId="167" fontId="1" fillId="19" borderId="13" xfId="52" applyNumberFormat="1" applyFont="1" applyFill="1" applyBorder="1" applyAlignment="1">
      <alignment horizontal="left"/>
    </xf>
    <xf numFmtId="3" fontId="1" fillId="19" borderId="12" xfId="49" applyNumberFormat="1" applyFont="1" applyFill="1" applyBorder="1" applyAlignment="1"/>
    <xf numFmtId="3" fontId="1" fillId="19" borderId="12" xfId="49" applyNumberFormat="1" applyFill="1" applyBorder="1" applyAlignment="1"/>
    <xf numFmtId="0" fontId="1" fillId="19" borderId="14" xfId="47" applyFont="1" applyFill="1" applyBorder="1" applyAlignment="1"/>
    <xf numFmtId="0" fontId="1" fillId="19" borderId="19" xfId="47" applyFont="1" applyFill="1" applyBorder="1" applyAlignment="1"/>
    <xf numFmtId="170" fontId="7" fillId="19" borderId="12" xfId="49" applyNumberFormat="1" applyFont="1" applyFill="1" applyBorder="1" applyAlignment="1"/>
    <xf numFmtId="0" fontId="3" fillId="14" borderId="14" xfId="47" applyFont="1" applyFill="1" applyBorder="1" applyAlignment="1"/>
    <xf numFmtId="0" fontId="0" fillId="0" borderId="19" xfId="0" applyBorder="1" applyAlignment="1"/>
    <xf numFmtId="173" fontId="1" fillId="19" borderId="13" xfId="30" applyNumberFormat="1" applyFont="1" applyFill="1" applyBorder="1" applyAlignment="1"/>
    <xf numFmtId="173" fontId="3" fillId="14" borderId="13" xfId="30" applyNumberFormat="1" applyFont="1" applyFill="1" applyBorder="1" applyAlignment="1"/>
    <xf numFmtId="174" fontId="1" fillId="19" borderId="12" xfId="49" applyNumberFormat="1" applyFont="1" applyFill="1" applyBorder="1" applyAlignment="1">
      <alignment horizontal="right"/>
    </xf>
    <xf numFmtId="174" fontId="7" fillId="14" borderId="12" xfId="49" applyNumberFormat="1" applyFont="1" applyFill="1" applyBorder="1" applyAlignment="1">
      <alignment horizontal="right"/>
    </xf>
    <xf numFmtId="173" fontId="38" fillId="14" borderId="12" xfId="30" applyNumberFormat="1" applyFont="1" applyFill="1" applyBorder="1"/>
    <xf numFmtId="164" fontId="1" fillId="32" borderId="12" xfId="50" applyNumberFormat="1" applyFill="1" applyBorder="1"/>
    <xf numFmtId="173" fontId="3" fillId="20" borderId="0" xfId="50" applyNumberFormat="1" applyFont="1"/>
    <xf numFmtId="173" fontId="1" fillId="20" borderId="0" xfId="30" applyNumberFormat="1" applyFill="1"/>
    <xf numFmtId="3" fontId="1" fillId="19" borderId="12" xfId="30" applyNumberFormat="1" applyFont="1" applyFill="1" applyBorder="1" applyAlignment="1">
      <alignment horizontal="right" vertical="center" wrapText="1"/>
    </xf>
    <xf numFmtId="0" fontId="7" fillId="0" borderId="0" xfId="46" applyFont="1" applyFill="1" applyBorder="1" applyAlignment="1" applyProtection="1"/>
    <xf numFmtId="0" fontId="1" fillId="20" borderId="0" xfId="46" applyBorder="1" applyAlignment="1"/>
    <xf numFmtId="0" fontId="4" fillId="20" borderId="26" xfId="74" applyFont="1" applyBorder="1" applyAlignment="1" applyProtection="1">
      <alignment vertical="center"/>
      <protection locked="0"/>
    </xf>
    <xf numFmtId="0" fontId="1" fillId="20" borderId="27" xfId="74" applyBorder="1" applyAlignment="1">
      <alignment vertical="center"/>
    </xf>
    <xf numFmtId="0" fontId="1" fillId="20" borderId="28" xfId="74" applyBorder="1" applyAlignment="1">
      <alignment vertical="center"/>
    </xf>
    <xf numFmtId="165" fontId="3" fillId="14" borderId="16" xfId="69" applyFont="1" applyBorder="1" applyAlignment="1">
      <alignment vertical="center"/>
    </xf>
    <xf numFmtId="0" fontId="1" fillId="20" borderId="17" xfId="74" applyBorder="1" applyAlignment="1">
      <alignment vertical="center"/>
    </xf>
    <xf numFmtId="0" fontId="1" fillId="20" borderId="18" xfId="74" applyBorder="1" applyAlignment="1">
      <alignment vertical="center"/>
    </xf>
    <xf numFmtId="165" fontId="3" fillId="19" borderId="10" xfId="75" applyFont="1" applyFill="1" applyBorder="1" applyAlignment="1">
      <alignment vertical="center"/>
      <protection locked="0"/>
    </xf>
    <xf numFmtId="0" fontId="1" fillId="19" borderId="0" xfId="74" applyFill="1" applyBorder="1" applyAlignment="1">
      <alignment vertical="center"/>
    </xf>
    <xf numFmtId="0" fontId="1" fillId="19" borderId="11" xfId="74" applyFill="1" applyBorder="1" applyAlignment="1">
      <alignment vertical="center"/>
    </xf>
    <xf numFmtId="0" fontId="12" fillId="21" borderId="0" xfId="48" applyFont="1" applyFill="1" applyBorder="1" applyAlignment="1">
      <alignment horizontal="right" indent="1"/>
    </xf>
    <xf numFmtId="0" fontId="12" fillId="21" borderId="30" xfId="48" applyFont="1" applyFill="1" applyBorder="1" applyAlignment="1">
      <alignment horizontal="right" indent="1"/>
    </xf>
    <xf numFmtId="0" fontId="7" fillId="19" borderId="13" xfId="48" applyFont="1" applyFill="1" applyBorder="1" applyAlignment="1" applyProtection="1">
      <alignment horizontal="left"/>
      <protection locked="0"/>
    </xf>
    <xf numFmtId="0" fontId="7" fillId="19" borderId="14" xfId="48" applyFont="1" applyFill="1" applyBorder="1" applyAlignment="1" applyProtection="1">
      <alignment horizontal="left"/>
      <protection locked="0"/>
    </xf>
    <xf numFmtId="0" fontId="11" fillId="19" borderId="12" xfId="46" applyFont="1" applyFill="1" applyBorder="1" applyAlignment="1"/>
    <xf numFmtId="0" fontId="1" fillId="19" borderId="12" xfId="46" applyFill="1" applyBorder="1" applyAlignment="1"/>
    <xf numFmtId="0" fontId="11" fillId="0" borderId="0" xfId="46" applyFont="1" applyFill="1" applyAlignment="1"/>
    <xf numFmtId="0" fontId="1" fillId="0" borderId="0" xfId="45" applyFill="1" applyAlignment="1"/>
    <xf numFmtId="0" fontId="11" fillId="19" borderId="14" xfId="46" applyFont="1" applyFill="1" applyBorder="1" applyAlignment="1"/>
    <xf numFmtId="0" fontId="1" fillId="19" borderId="14" xfId="45" applyFill="1" applyBorder="1" applyAlignment="1"/>
    <xf numFmtId="0" fontId="1" fillId="19" borderId="19" xfId="45" applyFill="1" applyBorder="1" applyAlignment="1"/>
    <xf numFmtId="0" fontId="12" fillId="19" borderId="12" xfId="48" applyFont="1" applyFill="1" applyBorder="1" applyAlignment="1" applyProtection="1">
      <alignment horizontal="left"/>
      <protection locked="0"/>
    </xf>
    <xf numFmtId="0" fontId="7" fillId="19" borderId="12" xfId="48" applyFont="1" applyFill="1" applyBorder="1" applyAlignment="1" applyProtection="1">
      <alignment horizontal="left"/>
      <protection locked="0"/>
    </xf>
    <xf numFmtId="0" fontId="7" fillId="19" borderId="19" xfId="48" applyFont="1" applyFill="1" applyBorder="1" applyAlignment="1" applyProtection="1">
      <alignment horizontal="left"/>
      <protection locked="0"/>
    </xf>
    <xf numFmtId="0" fontId="1" fillId="20" borderId="14" xfId="48" applyBorder="1" applyAlignment="1"/>
    <xf numFmtId="0" fontId="1" fillId="20" borderId="19" xfId="48" applyBorder="1" applyAlignment="1"/>
    <xf numFmtId="0" fontId="14" fillId="19" borderId="0" xfId="44" applyFont="1" applyFill="1" applyBorder="1" applyAlignment="1">
      <alignment horizontal="center" vertical="center" wrapText="1"/>
    </xf>
    <xf numFmtId="0" fontId="1" fillId="0" borderId="0" xfId="70" applyBorder="1" applyAlignment="1">
      <alignment horizontal="center" vertical="center"/>
    </xf>
    <xf numFmtId="0" fontId="14" fillId="19" borderId="0" xfId="44" applyFont="1" applyFill="1" applyBorder="1" applyAlignment="1">
      <alignment horizontal="center" vertical="center"/>
    </xf>
    <xf numFmtId="0" fontId="2" fillId="0" borderId="0" xfId="48" applyFont="1" applyFill="1" applyAlignment="1"/>
    <xf numFmtId="0" fontId="4" fillId="0" borderId="0" xfId="49" applyFont="1" applyFill="1" applyBorder="1" applyAlignment="1">
      <alignment horizontal="left" vertical="center"/>
    </xf>
    <xf numFmtId="0" fontId="0" fillId="31" borderId="13" xfId="48" applyFont="1" applyFill="1" applyBorder="1" applyAlignment="1">
      <alignment vertical="center" wrapText="1"/>
    </xf>
    <xf numFmtId="0" fontId="0" fillId="31" borderId="19" xfId="0" applyFont="1" applyFill="1" applyBorder="1" applyAlignment="1">
      <alignment vertical="center" wrapText="1"/>
    </xf>
    <xf numFmtId="0" fontId="2" fillId="20" borderId="0" xfId="48" applyFont="1" applyAlignment="1"/>
    <xf numFmtId="0" fontId="0" fillId="25" borderId="13" xfId="48" applyFont="1" applyFill="1" applyBorder="1" applyAlignment="1">
      <alignment vertical="center" wrapText="1"/>
    </xf>
    <xf numFmtId="0" fontId="0" fillId="25" borderId="14" xfId="0" applyFill="1" applyBorder="1" applyAlignment="1">
      <alignment vertical="center" wrapText="1"/>
    </xf>
    <xf numFmtId="0" fontId="0" fillId="25" borderId="19" xfId="0" applyFill="1" applyBorder="1" applyAlignment="1">
      <alignment vertical="center" wrapText="1"/>
    </xf>
    <xf numFmtId="0" fontId="1" fillId="20" borderId="0" xfId="48" applyAlignment="1"/>
    <xf numFmtId="0" fontId="1" fillId="25" borderId="13" xfId="48" applyFont="1" applyFill="1" applyBorder="1" applyAlignment="1">
      <alignment vertical="center" wrapText="1"/>
    </xf>
    <xf numFmtId="0" fontId="0" fillId="25" borderId="19" xfId="0" applyFont="1" applyFill="1" applyBorder="1" applyAlignment="1">
      <alignment vertical="center" wrapText="1"/>
    </xf>
    <xf numFmtId="0" fontId="0" fillId="25" borderId="13" xfId="49" applyFont="1" applyFill="1" applyBorder="1" applyAlignment="1">
      <alignment horizontal="left" vertical="center" wrapText="1"/>
    </xf>
    <xf numFmtId="0" fontId="1" fillId="25" borderId="19" xfId="49" applyFont="1" applyFill="1" applyBorder="1" applyAlignment="1">
      <alignment horizontal="left" vertical="center" wrapText="1"/>
    </xf>
    <xf numFmtId="0" fontId="1" fillId="19" borderId="13" xfId="0" applyFont="1" applyFill="1" applyBorder="1" applyAlignment="1">
      <alignment horizontal="left" vertical="center" wrapText="1"/>
    </xf>
    <xf numFmtId="0" fontId="1" fillId="19" borderId="14" xfId="0" applyFont="1" applyFill="1" applyBorder="1" applyAlignment="1">
      <alignment horizontal="left" vertical="center" wrapText="1"/>
    </xf>
    <xf numFmtId="0" fontId="1" fillId="19" borderId="19" xfId="0" applyFont="1" applyFill="1" applyBorder="1" applyAlignment="1">
      <alignment horizontal="left" vertical="center" wrapText="1"/>
    </xf>
    <xf numFmtId="167" fontId="1" fillId="19" borderId="13" xfId="52" applyNumberFormat="1" applyFont="1" applyFill="1" applyBorder="1" applyAlignment="1">
      <alignment horizontal="left"/>
    </xf>
    <xf numFmtId="167" fontId="7" fillId="19" borderId="14" xfId="52" applyNumberFormat="1" applyFont="1" applyFill="1" applyBorder="1" applyAlignment="1">
      <alignment horizontal="left"/>
    </xf>
    <xf numFmtId="167" fontId="7" fillId="19" borderId="19" xfId="52" applyNumberFormat="1" applyFont="1" applyFill="1" applyBorder="1" applyAlignment="1">
      <alignment horizontal="left"/>
    </xf>
    <xf numFmtId="167" fontId="37" fillId="21" borderId="13" xfId="52" applyNumberFormat="1" applyFont="1" applyFill="1" applyBorder="1" applyAlignment="1">
      <alignment horizontal="center"/>
    </xf>
    <xf numFmtId="167" fontId="37" fillId="21" borderId="14" xfId="52" applyNumberFormat="1" applyFont="1" applyFill="1" applyBorder="1" applyAlignment="1">
      <alignment horizontal="center"/>
    </xf>
    <xf numFmtId="167" fontId="37" fillId="21" borderId="19" xfId="52" applyNumberFormat="1" applyFont="1" applyFill="1" applyBorder="1" applyAlignment="1">
      <alignment horizontal="center"/>
    </xf>
    <xf numFmtId="0" fontId="2" fillId="0" borderId="0" xfId="0" applyFont="1" applyAlignment="1"/>
    <xf numFmtId="0" fontId="0" fillId="0" borderId="0" xfId="0" applyAlignment="1"/>
    <xf numFmtId="0" fontId="3" fillId="14" borderId="13" xfId="63" applyFont="1" applyFill="1" applyBorder="1" applyAlignment="1">
      <alignment vertical="center"/>
    </xf>
    <xf numFmtId="0" fontId="0" fillId="0" borderId="19" xfId="0" applyBorder="1" applyAlignment="1">
      <alignment vertical="center"/>
    </xf>
    <xf numFmtId="0" fontId="1" fillId="25" borderId="13" xfId="67" applyFont="1" applyFill="1" applyBorder="1" applyAlignment="1">
      <alignment vertical="center" wrapText="1"/>
    </xf>
    <xf numFmtId="0" fontId="1" fillId="25" borderId="19" xfId="67" applyFill="1" applyBorder="1" applyAlignment="1">
      <alignment vertical="center" wrapText="1"/>
    </xf>
    <xf numFmtId="167" fontId="7" fillId="19" borderId="13" xfId="52" applyNumberFormat="1" applyFont="1" applyFill="1" applyBorder="1" applyAlignment="1">
      <alignment horizontal="left"/>
    </xf>
    <xf numFmtId="0" fontId="3" fillId="14" borderId="13" xfId="48" applyFont="1" applyFill="1" applyBorder="1" applyAlignment="1">
      <alignment vertical="center"/>
    </xf>
    <xf numFmtId="0" fontId="0" fillId="0" borderId="14" xfId="0" applyBorder="1" applyAlignment="1">
      <alignment vertical="center"/>
    </xf>
    <xf numFmtId="168" fontId="37" fillId="21" borderId="13" xfId="0" applyNumberFormat="1" applyFont="1" applyFill="1" applyBorder="1" applyAlignment="1">
      <alignment horizontal="center" vertical="center" wrapText="1"/>
    </xf>
    <xf numFmtId="168" fontId="37" fillId="21" borderId="14" xfId="0" applyNumberFormat="1" applyFont="1" applyFill="1" applyBorder="1" applyAlignment="1">
      <alignment horizontal="center" vertical="center" wrapText="1"/>
    </xf>
    <xf numFmtId="168" fontId="37" fillId="21" borderId="19" xfId="0" applyNumberFormat="1" applyFont="1" applyFill="1" applyBorder="1" applyAlignment="1">
      <alignment horizontal="center" vertical="center" wrapText="1"/>
    </xf>
    <xf numFmtId="0" fontId="1" fillId="25" borderId="12" xfId="67" applyFont="1" applyFill="1" applyBorder="1" applyAlignment="1">
      <alignment vertical="center" wrapText="1"/>
    </xf>
    <xf numFmtId="0" fontId="1" fillId="25" borderId="12" xfId="67" applyFill="1" applyBorder="1" applyAlignment="1">
      <alignment vertical="center" wrapText="1"/>
    </xf>
    <xf numFmtId="0" fontId="38" fillId="14" borderId="13" xfId="0" applyNumberFormat="1" applyFont="1" applyFill="1" applyBorder="1" applyAlignment="1">
      <alignment horizontal="left" vertical="center" wrapText="1"/>
    </xf>
    <xf numFmtId="0" fontId="0" fillId="0" borderId="19" xfId="0" applyBorder="1" applyAlignment="1">
      <alignment vertical="center" wrapText="1"/>
    </xf>
    <xf numFmtId="0" fontId="3" fillId="14" borderId="13" xfId="48" applyFont="1" applyFill="1" applyBorder="1" applyAlignment="1">
      <alignment vertical="center" wrapText="1"/>
    </xf>
    <xf numFmtId="0" fontId="0" fillId="0" borderId="14" xfId="0" applyBorder="1" applyAlignment="1">
      <alignment vertical="center" wrapText="1"/>
    </xf>
    <xf numFmtId="0" fontId="48" fillId="30" borderId="13" xfId="0" applyFont="1" applyFill="1" applyBorder="1" applyAlignment="1"/>
    <xf numFmtId="0" fontId="48" fillId="30" borderId="14" xfId="0" applyFont="1" applyFill="1" applyBorder="1" applyAlignment="1"/>
    <xf numFmtId="0" fontId="48" fillId="30" borderId="19" xfId="0" applyFont="1" applyFill="1" applyBorder="1" applyAlignment="1"/>
    <xf numFmtId="0" fontId="0" fillId="25" borderId="13" xfId="0" applyFill="1" applyBorder="1" applyAlignment="1">
      <alignment vertical="center" wrapText="1"/>
    </xf>
    <xf numFmtId="0" fontId="49" fillId="26" borderId="13" xfId="0" applyFont="1" applyFill="1" applyBorder="1" applyAlignment="1"/>
    <xf numFmtId="0" fontId="49" fillId="26" borderId="14" xfId="0" applyFont="1" applyFill="1" applyBorder="1" applyAlignment="1"/>
    <xf numFmtId="0" fontId="49" fillId="26" borderId="19" xfId="0" applyFont="1" applyFill="1" applyBorder="1" applyAlignment="1"/>
    <xf numFmtId="0" fontId="59" fillId="30" borderId="13" xfId="0" applyFont="1" applyFill="1" applyBorder="1" applyAlignment="1"/>
    <xf numFmtId="0" fontId="59" fillId="30" borderId="14" xfId="0" applyFont="1" applyFill="1" applyBorder="1" applyAlignment="1"/>
    <xf numFmtId="0" fontId="59" fillId="30" borderId="19" xfId="0" applyFont="1" applyFill="1" applyBorder="1" applyAlignment="1"/>
    <xf numFmtId="0" fontId="37" fillId="30" borderId="12" xfId="0" applyFont="1" applyFill="1" applyBorder="1" applyAlignment="1">
      <alignment horizontal="center" vertical="center" wrapText="1"/>
    </xf>
    <xf numFmtId="169" fontId="9" fillId="24" borderId="13" xfId="43" applyNumberFormat="1" applyFont="1" applyFill="1" applyBorder="1" applyAlignment="1">
      <alignment horizontal="left" vertical="center" wrapText="1"/>
    </xf>
    <xf numFmtId="169" fontId="9" fillId="24" borderId="14" xfId="43" applyNumberFormat="1" applyFont="1" applyFill="1" applyBorder="1" applyAlignment="1">
      <alignment horizontal="left" vertical="center" wrapText="1"/>
    </xf>
    <xf numFmtId="169" fontId="9" fillId="24" borderId="19" xfId="43" applyNumberFormat="1" applyFont="1" applyFill="1" applyBorder="1" applyAlignment="1">
      <alignment horizontal="left" vertical="center" wrapText="1"/>
    </xf>
    <xf numFmtId="0" fontId="37" fillId="22" borderId="13" xfId="47" applyFont="1" applyFill="1" applyBorder="1" applyAlignment="1">
      <alignment horizontal="right"/>
    </xf>
    <xf numFmtId="0" fontId="37" fillId="22" borderId="14" xfId="47" applyFont="1" applyFill="1" applyBorder="1" applyAlignment="1">
      <alignment horizontal="right"/>
    </xf>
    <xf numFmtId="0" fontId="1" fillId="19" borderId="13" xfId="47" applyFont="1" applyFill="1" applyBorder="1" applyAlignment="1"/>
    <xf numFmtId="0" fontId="1" fillId="19" borderId="14" xfId="47" applyFont="1" applyFill="1" applyBorder="1" applyAlignment="1"/>
    <xf numFmtId="0" fontId="1" fillId="19" borderId="19" xfId="47" applyFont="1" applyFill="1" applyBorder="1" applyAlignment="1"/>
    <xf numFmtId="0" fontId="1" fillId="19" borderId="12" xfId="47" applyFont="1" applyFill="1" applyBorder="1" applyAlignment="1"/>
    <xf numFmtId="0" fontId="37" fillId="21" borderId="13" xfId="47" applyFont="1" applyFill="1" applyBorder="1" applyAlignment="1">
      <alignment horizontal="center"/>
    </xf>
    <xf numFmtId="0" fontId="37" fillId="21" borderId="14" xfId="47" applyFont="1" applyFill="1" applyBorder="1" applyAlignment="1">
      <alignment horizontal="center"/>
    </xf>
    <xf numFmtId="0" fontId="37" fillId="21" borderId="19" xfId="47" applyFont="1" applyFill="1" applyBorder="1" applyAlignment="1">
      <alignment horizontal="center"/>
    </xf>
    <xf numFmtId="0" fontId="2" fillId="0" borderId="0" xfId="49" applyFont="1" applyFill="1" applyAlignment="1"/>
    <xf numFmtId="0" fontId="1" fillId="20" borderId="0" xfId="49" applyAlignment="1"/>
    <xf numFmtId="0" fontId="0" fillId="25" borderId="13" xfId="67" applyFont="1" applyFill="1" applyBorder="1" applyAlignment="1">
      <alignment vertical="center" wrapText="1"/>
    </xf>
    <xf numFmtId="165" fontId="37" fillId="21" borderId="13" xfId="49" applyNumberFormat="1" applyFont="1" applyFill="1" applyBorder="1" applyAlignment="1">
      <alignment horizontal="center" vertical="center" wrapText="1"/>
    </xf>
    <xf numFmtId="165" fontId="37" fillId="21" borderId="14" xfId="49" applyNumberFormat="1" applyFont="1" applyFill="1" applyBorder="1" applyAlignment="1">
      <alignment horizontal="center" vertical="center" wrapText="1"/>
    </xf>
    <xf numFmtId="165" fontId="37" fillId="21" borderId="19" xfId="49" applyNumberFormat="1" applyFont="1" applyFill="1" applyBorder="1" applyAlignment="1">
      <alignment horizontal="center" vertical="center" wrapText="1"/>
    </xf>
    <xf numFmtId="169" fontId="61" fillId="24" borderId="13" xfId="43" applyNumberFormat="1" applyFont="1" applyFill="1" applyBorder="1" applyAlignment="1">
      <alignment vertical="center" wrapText="1"/>
    </xf>
    <xf numFmtId="169" fontId="61" fillId="24" borderId="14" xfId="43" applyNumberFormat="1" applyFont="1" applyFill="1" applyBorder="1" applyAlignment="1">
      <alignment vertical="center" wrapText="1"/>
    </xf>
    <xf numFmtId="169" fontId="61" fillId="24" borderId="19" xfId="43" applyNumberFormat="1" applyFont="1" applyFill="1" applyBorder="1" applyAlignment="1">
      <alignment vertical="center" wrapText="1"/>
    </xf>
    <xf numFmtId="0" fontId="3" fillId="14" borderId="14" xfId="48" applyFont="1" applyFill="1" applyBorder="1" applyAlignment="1">
      <alignment vertical="center"/>
    </xf>
    <xf numFmtId="0" fontId="3" fillId="14" borderId="19" xfId="48" applyFont="1" applyFill="1" applyBorder="1" applyAlignment="1">
      <alignment vertical="center"/>
    </xf>
    <xf numFmtId="0" fontId="37" fillId="22" borderId="24" xfId="63" applyFont="1" applyFill="1" applyBorder="1" applyAlignment="1">
      <alignment horizontal="right" wrapText="1"/>
    </xf>
    <xf numFmtId="0" fontId="1" fillId="20" borderId="24" xfId="64" applyBorder="1" applyAlignment="1">
      <alignment horizontal="right" wrapText="1"/>
    </xf>
    <xf numFmtId="0" fontId="1" fillId="20" borderId="25" xfId="64" applyBorder="1" applyAlignment="1">
      <alignment horizontal="right" wrapText="1"/>
    </xf>
    <xf numFmtId="0" fontId="1" fillId="19" borderId="13" xfId="63" applyFont="1" applyFill="1" applyBorder="1" applyAlignment="1">
      <alignment wrapText="1"/>
    </xf>
    <xf numFmtId="0" fontId="1" fillId="19" borderId="14" xfId="63" applyFont="1" applyFill="1" applyBorder="1" applyAlignment="1">
      <alignment wrapText="1"/>
    </xf>
    <xf numFmtId="0" fontId="1" fillId="19" borderId="19" xfId="63" applyFont="1" applyFill="1" applyBorder="1" applyAlignment="1">
      <alignment wrapText="1"/>
    </xf>
    <xf numFmtId="169" fontId="37" fillId="21" borderId="13" xfId="43" applyNumberFormat="1" applyFont="1" applyFill="1" applyBorder="1" applyAlignment="1">
      <alignment horizontal="center" vertical="center" wrapText="1"/>
    </xf>
    <xf numFmtId="169" fontId="37" fillId="21" borderId="14" xfId="43" applyNumberFormat="1" applyFont="1" applyFill="1" applyBorder="1" applyAlignment="1">
      <alignment horizontal="center" vertical="center" wrapText="1"/>
    </xf>
    <xf numFmtId="169" fontId="37" fillId="21" borderId="19" xfId="43" applyNumberFormat="1" applyFont="1" applyFill="1" applyBorder="1" applyAlignment="1">
      <alignment horizontal="center" vertical="center" wrapText="1"/>
    </xf>
    <xf numFmtId="0" fontId="37" fillId="21" borderId="12" xfId="63" applyFont="1" applyFill="1" applyBorder="1" applyAlignment="1">
      <alignment horizontal="center" vertical="center" wrapText="1"/>
    </xf>
    <xf numFmtId="0" fontId="12" fillId="0" borderId="12" xfId="63" applyFont="1" applyBorder="1" applyAlignment="1">
      <alignment horizontal="center" vertical="center" wrapText="1"/>
    </xf>
    <xf numFmtId="0" fontId="37" fillId="21" borderId="13" xfId="63" applyFont="1" applyFill="1" applyBorder="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3" fillId="14" borderId="13" xfId="48" applyFont="1" applyFill="1" applyBorder="1" applyAlignment="1">
      <alignment horizontal="left" vertical="center"/>
    </xf>
    <xf numFmtId="0" fontId="3" fillId="14" borderId="14" xfId="48" applyFont="1" applyFill="1" applyBorder="1" applyAlignment="1">
      <alignment horizontal="left" vertical="center"/>
    </xf>
    <xf numFmtId="0" fontId="3" fillId="14" borderId="19" xfId="48" applyFont="1" applyFill="1" applyBorder="1" applyAlignment="1">
      <alignment horizontal="left" vertical="center"/>
    </xf>
    <xf numFmtId="0" fontId="1" fillId="20" borderId="19" xfId="49" applyBorder="1" applyAlignment="1">
      <alignment horizontal="center" vertical="center" wrapText="1"/>
    </xf>
    <xf numFmtId="169" fontId="37" fillId="21" borderId="12" xfId="43" applyNumberFormat="1" applyFont="1" applyFill="1" applyBorder="1" applyAlignment="1">
      <alignment horizontal="center" vertical="center" wrapText="1"/>
    </xf>
    <xf numFmtId="0" fontId="37" fillId="21" borderId="12" xfId="49" applyFont="1" applyFill="1" applyBorder="1" applyAlignment="1">
      <alignment horizontal="center" vertical="center" wrapText="1"/>
    </xf>
    <xf numFmtId="169" fontId="41" fillId="19" borderId="13" xfId="43" applyNumberFormat="1" applyFont="1" applyFill="1" applyBorder="1" applyAlignment="1">
      <alignment horizontal="left" vertical="top" wrapText="1"/>
    </xf>
    <xf numFmtId="0" fontId="41" fillId="19" borderId="14" xfId="49" applyFont="1" applyFill="1" applyBorder="1" applyAlignment="1">
      <alignment horizontal="left" vertical="top" wrapText="1"/>
    </xf>
    <xf numFmtId="0" fontId="41" fillId="19" borderId="19" xfId="49" applyFont="1" applyFill="1" applyBorder="1" applyAlignment="1">
      <alignment horizontal="left" vertical="top" wrapText="1"/>
    </xf>
    <xf numFmtId="169" fontId="41" fillId="19" borderId="13" xfId="43" applyNumberFormat="1" applyFont="1" applyFill="1" applyBorder="1" applyAlignment="1">
      <alignment horizontal="left" vertical="top"/>
    </xf>
    <xf numFmtId="0" fontId="41" fillId="19" borderId="14" xfId="49" applyFont="1" applyFill="1" applyBorder="1" applyAlignment="1">
      <alignment horizontal="left" vertical="top"/>
    </xf>
    <xf numFmtId="0" fontId="41" fillId="19" borderId="19" xfId="49" applyFont="1" applyFill="1" applyBorder="1" applyAlignment="1">
      <alignment horizontal="left" vertical="top"/>
    </xf>
    <xf numFmtId="0" fontId="1" fillId="25" borderId="14" xfId="67" applyFill="1" applyBorder="1" applyAlignment="1">
      <alignment vertical="center" wrapText="1"/>
    </xf>
    <xf numFmtId="169" fontId="41" fillId="19" borderId="12" xfId="43" applyNumberFormat="1" applyFont="1" applyFill="1" applyBorder="1" applyAlignment="1">
      <alignment horizontal="left" vertical="top" wrapText="1"/>
    </xf>
    <xf numFmtId="0" fontId="41" fillId="19" borderId="12" xfId="49" applyFont="1" applyFill="1" applyBorder="1" applyAlignment="1">
      <alignment horizontal="left" vertical="top" wrapText="1"/>
    </xf>
    <xf numFmtId="2" fontId="37" fillId="21" borderId="13" xfId="49" applyNumberFormat="1" applyFont="1" applyFill="1" applyBorder="1" applyAlignment="1">
      <alignment horizontal="center" vertical="center" wrapText="1"/>
    </xf>
    <xf numFmtId="0" fontId="1" fillId="20" borderId="14" xfId="49" applyBorder="1" applyAlignment="1">
      <alignment horizontal="center" vertical="center" wrapText="1"/>
    </xf>
    <xf numFmtId="0" fontId="3" fillId="14" borderId="13" xfId="48" applyFont="1" applyFill="1" applyBorder="1" applyAlignment="1">
      <alignment horizontal="left" vertical="center" wrapText="1"/>
    </xf>
    <xf numFmtId="0" fontId="1" fillId="0" borderId="14" xfId="61" applyBorder="1" applyAlignment="1">
      <alignment horizontal="left" vertical="center" wrapText="1"/>
    </xf>
    <xf numFmtId="0" fontId="0" fillId="0" borderId="19" xfId="0" applyBorder="1" applyAlignment="1">
      <alignment horizontal="left" vertical="center" wrapText="1"/>
    </xf>
    <xf numFmtId="0" fontId="1" fillId="14" borderId="13" xfId="48" applyFont="1" applyFill="1" applyBorder="1" applyAlignment="1">
      <alignment horizontal="left" vertical="center" wrapText="1"/>
    </xf>
    <xf numFmtId="0" fontId="1" fillId="0" borderId="14" xfId="61" applyFont="1" applyBorder="1" applyAlignment="1">
      <alignment horizontal="left" vertical="center" wrapText="1"/>
    </xf>
    <xf numFmtId="0" fontId="1" fillId="0" borderId="19" xfId="0" applyFont="1" applyBorder="1" applyAlignment="1">
      <alignment horizontal="left" vertical="center" wrapText="1"/>
    </xf>
    <xf numFmtId="0" fontId="1" fillId="25" borderId="13" xfId="49" applyFont="1" applyFill="1" applyBorder="1" applyAlignment="1">
      <alignment vertical="center" wrapText="1"/>
    </xf>
    <xf numFmtId="0" fontId="1" fillId="25" borderId="19" xfId="0" applyFont="1" applyFill="1" applyBorder="1" applyAlignment="1">
      <alignment vertical="center" wrapText="1"/>
    </xf>
    <xf numFmtId="0" fontId="37" fillId="21" borderId="13" xfId="48" applyFont="1" applyFill="1" applyBorder="1" applyAlignment="1">
      <alignment horizontal="left"/>
    </xf>
    <xf numFmtId="0" fontId="37" fillId="21" borderId="14" xfId="48" applyFont="1" applyFill="1" applyBorder="1" applyAlignment="1">
      <alignment horizontal="left"/>
    </xf>
    <xf numFmtId="0" fontId="1" fillId="0" borderId="14" xfId="66" applyFont="1" applyBorder="1" applyAlignment="1">
      <alignment horizontal="left" vertical="center" wrapText="1"/>
    </xf>
    <xf numFmtId="0" fontId="1" fillId="0" borderId="19" xfId="66" applyFont="1" applyBorder="1" applyAlignment="1">
      <alignment horizontal="left" vertical="center" wrapText="1"/>
    </xf>
    <xf numFmtId="171" fontId="1" fillId="19" borderId="13" xfId="60" applyNumberFormat="1" applyFont="1" applyFill="1" applyBorder="1" applyAlignment="1">
      <alignment horizontal="left" vertical="center" wrapText="1"/>
    </xf>
    <xf numFmtId="171" fontId="1" fillId="19" borderId="14" xfId="60" applyNumberFormat="1" applyFont="1" applyFill="1" applyBorder="1" applyAlignment="1">
      <alignment horizontal="left" vertical="center" wrapText="1"/>
    </xf>
    <xf numFmtId="171" fontId="1" fillId="19" borderId="19" xfId="60" applyNumberFormat="1" applyFont="1" applyFill="1" applyBorder="1" applyAlignment="1">
      <alignment horizontal="left" vertical="center" wrapText="1"/>
    </xf>
    <xf numFmtId="0" fontId="2" fillId="20" borderId="0" xfId="50" applyFont="1" applyAlignment="1"/>
    <xf numFmtId="165" fontId="37" fillId="21" borderId="13" xfId="50" applyNumberFormat="1" applyFont="1" applyFill="1" applyBorder="1" applyAlignment="1">
      <alignment horizontal="center" vertical="center" wrapText="1"/>
    </xf>
    <xf numFmtId="165" fontId="37" fillId="21" borderId="14" xfId="50" applyNumberFormat="1" applyFont="1" applyFill="1" applyBorder="1" applyAlignment="1">
      <alignment horizontal="center" vertical="center" wrapText="1"/>
    </xf>
    <xf numFmtId="165" fontId="37" fillId="21" borderId="19" xfId="50" applyNumberFormat="1" applyFont="1" applyFill="1" applyBorder="1" applyAlignment="1">
      <alignment horizontal="center" vertical="center" wrapText="1"/>
    </xf>
    <xf numFmtId="0" fontId="1" fillId="25" borderId="14" xfId="0" applyFont="1" applyFill="1" applyBorder="1" applyAlignment="1">
      <alignment vertical="center" wrapText="1"/>
    </xf>
    <xf numFmtId="0" fontId="2" fillId="0" borderId="0" xfId="50" applyFont="1" applyFill="1" applyAlignment="1"/>
    <xf numFmtId="0" fontId="1" fillId="25" borderId="13" xfId="48" applyFont="1" applyFill="1" applyBorder="1" applyAlignment="1">
      <alignment horizontal="left" vertical="center" wrapText="1"/>
    </xf>
    <xf numFmtId="0" fontId="1" fillId="25" borderId="19" xfId="48" applyFont="1" applyFill="1" applyBorder="1" applyAlignment="1">
      <alignment horizontal="left" vertical="center" wrapText="1"/>
    </xf>
    <xf numFmtId="0" fontId="2" fillId="0" borderId="0" xfId="50" applyFont="1" applyFill="1" applyAlignment="1">
      <alignment horizontal="left" wrapText="1"/>
    </xf>
    <xf numFmtId="0" fontId="1" fillId="25" borderId="13" xfId="50" applyFont="1" applyFill="1" applyBorder="1" applyAlignment="1">
      <alignment vertical="center" wrapText="1"/>
    </xf>
    <xf numFmtId="0" fontId="1" fillId="25" borderId="14" xfId="50" applyFont="1" applyFill="1" applyBorder="1" applyAlignment="1">
      <alignment vertical="center" wrapText="1"/>
    </xf>
    <xf numFmtId="0" fontId="1" fillId="25" borderId="19" xfId="50" applyFont="1" applyFill="1" applyBorder="1" applyAlignment="1">
      <alignment vertical="center" wrapText="1"/>
    </xf>
    <xf numFmtId="0" fontId="1" fillId="25" borderId="19" xfId="48" applyFont="1" applyFill="1" applyBorder="1" applyAlignment="1">
      <alignment vertical="center" wrapText="1"/>
    </xf>
    <xf numFmtId="0" fontId="1" fillId="14" borderId="13" xfId="71" applyFont="1" applyFill="1" applyBorder="1" applyAlignment="1">
      <alignment vertical="center" wrapText="1"/>
    </xf>
    <xf numFmtId="0" fontId="1" fillId="14" borderId="19" xfId="71" applyFont="1" applyFill="1" applyBorder="1" applyAlignment="1">
      <alignment vertical="center" wrapText="1"/>
    </xf>
    <xf numFmtId="0" fontId="1" fillId="19" borderId="12" xfId="71" applyFont="1" applyFill="1" applyBorder="1" applyAlignment="1">
      <alignment horizontal="center"/>
    </xf>
    <xf numFmtId="0" fontId="37" fillId="21" borderId="12" xfId="71" applyFont="1" applyFill="1" applyBorder="1" applyAlignment="1">
      <alignment horizontal="center" vertical="top"/>
    </xf>
    <xf numFmtId="0" fontId="3" fillId="25" borderId="13" xfId="0" applyFont="1" applyFill="1" applyBorder="1" applyAlignment="1">
      <alignment vertical="center" wrapText="1"/>
    </xf>
    <xf numFmtId="0" fontId="1" fillId="25" borderId="13" xfId="72" applyFont="1" applyFill="1" applyBorder="1" applyAlignment="1">
      <alignment horizontal="left" vertical="center" wrapText="1"/>
    </xf>
    <xf numFmtId="0" fontId="1" fillId="25" borderId="19" xfId="72" applyFont="1" applyFill="1" applyBorder="1" applyAlignment="1">
      <alignment horizontal="left" vertical="center" wrapText="1"/>
    </xf>
    <xf numFmtId="0" fontId="1" fillId="25" borderId="13" xfId="71" applyFont="1" applyFill="1" applyBorder="1" applyAlignment="1">
      <alignment horizontal="left" vertical="center" wrapText="1"/>
    </xf>
    <xf numFmtId="0" fontId="11" fillId="25" borderId="14" xfId="71" applyFont="1" applyFill="1" applyBorder="1" applyAlignment="1">
      <alignment horizontal="left" vertical="center" wrapText="1"/>
    </xf>
    <xf numFmtId="0" fontId="11" fillId="25" borderId="19" xfId="71" applyFont="1" applyFill="1" applyBorder="1" applyAlignment="1">
      <alignment horizontal="left" vertical="center" wrapText="1"/>
    </xf>
    <xf numFmtId="0" fontId="37" fillId="21" borderId="23" xfId="71" applyFont="1" applyFill="1" applyBorder="1" applyAlignment="1">
      <alignment horizontal="center" vertical="center" wrapText="1"/>
    </xf>
    <xf numFmtId="0" fontId="37" fillId="21" borderId="33" xfId="71" applyFont="1" applyFill="1" applyBorder="1" applyAlignment="1">
      <alignment horizontal="center" vertical="center" wrapText="1"/>
    </xf>
    <xf numFmtId="0" fontId="37" fillId="21" borderId="21" xfId="71" applyFont="1" applyFill="1" applyBorder="1" applyAlignment="1">
      <alignment horizontal="center" vertical="center" wrapText="1"/>
    </xf>
    <xf numFmtId="0" fontId="37" fillId="21" borderId="13" xfId="71" applyFont="1" applyFill="1" applyBorder="1" applyAlignment="1">
      <alignment horizontal="center" vertical="top" wrapText="1"/>
    </xf>
    <xf numFmtId="0" fontId="12" fillId="20" borderId="14" xfId="71" applyFont="1" applyBorder="1"/>
    <xf numFmtId="0" fontId="12" fillId="20" borderId="19" xfId="71" applyFont="1" applyBorder="1"/>
    <xf numFmtId="0" fontId="56" fillId="20" borderId="0" xfId="71" applyFont="1" applyFill="1" applyBorder="1" applyAlignment="1">
      <alignment horizontal="center" vertical="center" wrapText="1"/>
    </xf>
    <xf numFmtId="0" fontId="1" fillId="20" borderId="0" xfId="71" applyFill="1" applyBorder="1" applyAlignment="1">
      <alignment horizontal="center" vertical="center" wrapText="1"/>
    </xf>
    <xf numFmtId="0" fontId="12" fillId="20" borderId="14" xfId="71" applyFont="1" applyBorder="1" applyAlignment="1">
      <alignment horizontal="center" vertical="top" wrapText="1"/>
    </xf>
    <xf numFmtId="0" fontId="12" fillId="20" borderId="19" xfId="71" applyFont="1" applyBorder="1" applyAlignment="1">
      <alignment horizontal="center" vertical="top" wrapText="1"/>
    </xf>
    <xf numFmtId="0" fontId="42" fillId="20" borderId="0" xfId="71" applyFont="1" applyFill="1" applyBorder="1" applyAlignment="1">
      <alignment horizontal="right" vertical="center" wrapText="1"/>
    </xf>
    <xf numFmtId="0" fontId="37" fillId="21" borderId="13" xfId="49" applyFont="1" applyFill="1" applyBorder="1" applyAlignment="1">
      <alignment horizontal="center" vertical="center"/>
    </xf>
    <xf numFmtId="0" fontId="0" fillId="0" borderId="14" xfId="0" applyBorder="1" applyAlignment="1">
      <alignment horizontal="center" vertical="center"/>
    </xf>
    <xf numFmtId="0" fontId="0" fillId="0" borderId="19" xfId="0" applyBorder="1" applyAlignment="1">
      <alignment horizontal="center" vertical="center"/>
    </xf>
    <xf numFmtId="0" fontId="37" fillId="21" borderId="14" xfId="49" applyFont="1" applyFill="1" applyBorder="1" applyAlignment="1">
      <alignment horizontal="center" vertical="center"/>
    </xf>
    <xf numFmtId="0" fontId="37" fillId="21" borderId="19" xfId="49" applyFont="1" applyFill="1" applyBorder="1" applyAlignment="1">
      <alignment horizontal="center" vertical="center"/>
    </xf>
    <xf numFmtId="0" fontId="1" fillId="25" borderId="14" xfId="48" applyFont="1" applyFill="1" applyBorder="1" applyAlignment="1">
      <alignment horizontal="left" vertical="center"/>
    </xf>
    <xf numFmtId="0" fontId="1" fillId="25" borderId="19" xfId="48" applyFont="1" applyFill="1" applyBorder="1" applyAlignment="1">
      <alignment horizontal="left" vertical="center"/>
    </xf>
    <xf numFmtId="0" fontId="37" fillId="21" borderId="12" xfId="49" applyFont="1" applyFill="1" applyBorder="1" applyAlignment="1"/>
    <xf numFmtId="0" fontId="12" fillId="20" borderId="12" xfId="49" applyFont="1" applyBorder="1" applyAlignment="1"/>
    <xf numFmtId="0" fontId="1" fillId="25" borderId="14" xfId="48" applyFont="1" applyFill="1" applyBorder="1" applyAlignment="1">
      <alignment horizontal="left" vertical="center" wrapText="1"/>
    </xf>
    <xf numFmtId="49" fontId="37" fillId="21" borderId="12" xfId="48" applyNumberFormat="1" applyFont="1" applyFill="1" applyBorder="1" applyAlignment="1">
      <alignment horizontal="center" vertical="center" wrapText="1"/>
    </xf>
    <xf numFmtId="0" fontId="0" fillId="0" borderId="12" xfId="0" applyBorder="1" applyAlignment="1">
      <alignment horizontal="center" vertical="center" wrapText="1"/>
    </xf>
    <xf numFmtId="49" fontId="3" fillId="24" borderId="12" xfId="48" applyNumberFormat="1" applyFont="1" applyFill="1" applyBorder="1" applyAlignment="1">
      <alignment horizontal="center" vertical="center" wrapText="1"/>
    </xf>
    <xf numFmtId="170" fontId="39" fillId="19" borderId="12" xfId="48" applyNumberFormat="1" applyFont="1" applyFill="1" applyBorder="1" applyAlignment="1">
      <alignment horizontal="center"/>
    </xf>
  </cellXfs>
  <cellStyles count="77">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Bad" xfId="26" builtinId="27" customBuiltin="1"/>
    <cellStyle name="Blockout" xfId="27"/>
    <cellStyle name="Blockout 2" xfId="69"/>
    <cellStyle name="Calculation" xfId="28" builtinId="22" customBuiltin="1"/>
    <cellStyle name="Check Cell" xfId="29" builtinId="23" customBuiltin="1"/>
    <cellStyle name="Comma" xfId="30" builtinId="3"/>
    <cellStyle name="Comma 2" xfId="62"/>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73" builtinId="8"/>
    <cellStyle name="Input" xfId="37" builtinId="20" customBuiltin="1"/>
    <cellStyle name="Input1" xfId="38"/>
    <cellStyle name="Input1 2" xfId="75"/>
    <cellStyle name="Input2" xfId="39"/>
    <cellStyle name="Input3" xfId="40"/>
    <cellStyle name="Linked Cell" xfId="41" builtinId="24" customBuiltin="1"/>
    <cellStyle name="Neutral" xfId="42" builtinId="28" customBuiltin="1"/>
    <cellStyle name="Normal" xfId="0" builtinId="0"/>
    <cellStyle name="Normal 2" xfId="60"/>
    <cellStyle name="Normal 2 2" xfId="70"/>
    <cellStyle name="Normal 3" xfId="61"/>
    <cellStyle name="Normal 4" xfId="67"/>
    <cellStyle name="Normal 5" xfId="66"/>
    <cellStyle name="Normal_20070904 - Suggested revised templates" xfId="43"/>
    <cellStyle name="Normal_2010 06 02 - Urgent RIN for Vic DNSPs revised proposals" xfId="44"/>
    <cellStyle name="Normal_2010 06 22 - AA - Scheme Templates for data collection" xfId="45"/>
    <cellStyle name="Normal_2010 06 22 - IE - Scheme Template for data collection" xfId="46"/>
    <cellStyle name="Normal_2010 06 22 - IE - Scheme Template for data collection 2" xfId="74"/>
    <cellStyle name="Normal_2010 10 21 - draft 2009-10 ActewAGL RIN - incentive schemes" xfId="71"/>
    <cellStyle name="Normal_Book1" xfId="47"/>
    <cellStyle name="Normal_Book1 2" xfId="63"/>
    <cellStyle name="Normal_D11 2371025  Financial information - 2012 Draft RIN - Ausgrid" xfId="48"/>
    <cellStyle name="Normal_D11 2371025  Financial information - 2012 Draft RIN - Ausgrid 2" xfId="68"/>
    <cellStyle name="Normal_D12 1569  Opex, DMIS, EBSS - 2012 draft RIN - Ausgrid" xfId="49"/>
    <cellStyle name="Normal_D12 1569  Opex, DMIS, EBSS - 2012 draft RIN - Ausgrid 2" xfId="64"/>
    <cellStyle name="Normal_D12 16703  Overheads, Avoided Cost, ACS, Demand and Revenue - 2012 draft RIN - Ausgrid" xfId="50"/>
    <cellStyle name="Normal_D12 5269  Jurisdictional schemes - 2012 draft RIN - Ausgrid" xfId="72"/>
    <cellStyle name="Normal_financial information - 2012 draft rin - aurora (D2011-02371024)" xfId="65"/>
    <cellStyle name="Normal_Section 11-RAB" xfId="51"/>
    <cellStyle name="Normal_Sheet1" xfId="52"/>
    <cellStyle name="Normal_Sheet2" xfId="53"/>
    <cellStyle name="Normal_Sheet3" xfId="54"/>
    <cellStyle name="Note" xfId="55" builtinId="10" customBuiltin="1"/>
    <cellStyle name="Output" xfId="56" builtinId="21" customBuiltin="1"/>
    <cellStyle name="Percent" xfId="76" builtinId="5"/>
    <cellStyle name="Style 1" xfId="1"/>
    <cellStyle name="Title" xfId="57" builtinId="15" customBuiltin="1"/>
    <cellStyle name="Total" xfId="58" builtinId="25" customBuiltin="1"/>
    <cellStyle name="Warning Text" xfId="59"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DDDDDD"/>
      <color rgb="FF333399"/>
      <color rgb="FF000080"/>
      <color rgb="FF00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1024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1505" name="Group 1"/>
        <xdr:cNvGrpSpPr>
          <a:grpSpLocks/>
        </xdr:cNvGrpSpPr>
      </xdr:nvGrpSpPr>
      <xdr:grpSpPr bwMode="auto">
        <a:xfrm>
          <a:off x="0" y="19050"/>
          <a:ext cx="733425" cy="581025"/>
          <a:chOff x="0" y="2"/>
          <a:chExt cx="77" cy="61"/>
        </a:xfrm>
      </xdr:grpSpPr>
      <xdr:sp macro="" textlink="">
        <xdr:nvSpPr>
          <xdr:cNvPr id="2150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150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2529" name="Group 1"/>
        <xdr:cNvGrpSpPr>
          <a:grpSpLocks/>
        </xdr:cNvGrpSpPr>
      </xdr:nvGrpSpPr>
      <xdr:grpSpPr bwMode="auto">
        <a:xfrm>
          <a:off x="0" y="19050"/>
          <a:ext cx="733425" cy="581025"/>
          <a:chOff x="0" y="2"/>
          <a:chExt cx="77" cy="61"/>
        </a:xfrm>
      </xdr:grpSpPr>
      <xdr:sp macro="" textlink="">
        <xdr:nvSpPr>
          <xdr:cNvPr id="22530"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253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3553" name="Group 1"/>
        <xdr:cNvGrpSpPr>
          <a:grpSpLocks/>
        </xdr:cNvGrpSpPr>
      </xdr:nvGrpSpPr>
      <xdr:grpSpPr bwMode="auto">
        <a:xfrm>
          <a:off x="0" y="19050"/>
          <a:ext cx="733425" cy="581025"/>
          <a:chOff x="0" y="2"/>
          <a:chExt cx="77" cy="61"/>
        </a:xfrm>
      </xdr:grpSpPr>
      <xdr:sp macro="" textlink="">
        <xdr:nvSpPr>
          <xdr:cNvPr id="23554"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355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4577" name="Group 1"/>
        <xdr:cNvGrpSpPr>
          <a:grpSpLocks/>
        </xdr:cNvGrpSpPr>
      </xdr:nvGrpSpPr>
      <xdr:grpSpPr bwMode="auto">
        <a:xfrm>
          <a:off x="0" y="19050"/>
          <a:ext cx="733425" cy="581025"/>
          <a:chOff x="0" y="2"/>
          <a:chExt cx="77" cy="61"/>
        </a:xfrm>
      </xdr:grpSpPr>
      <xdr:sp macro="" textlink="">
        <xdr:nvSpPr>
          <xdr:cNvPr id="2457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457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26625" name="Group 1"/>
        <xdr:cNvGrpSpPr>
          <a:grpSpLocks/>
        </xdr:cNvGrpSpPr>
      </xdr:nvGrpSpPr>
      <xdr:grpSpPr bwMode="auto">
        <a:xfrm>
          <a:off x="0" y="0"/>
          <a:ext cx="800100" cy="0"/>
          <a:chOff x="0" y="2"/>
          <a:chExt cx="77" cy="61"/>
        </a:xfrm>
      </xdr:grpSpPr>
      <xdr:sp macro="" textlink="">
        <xdr:nvSpPr>
          <xdr:cNvPr id="2662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6627"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xdr:spPr>
      </xdr:pic>
    </xdr:grpSp>
    <xdr:clientData/>
  </xdr:twoCellAnchor>
  <xdr:twoCellAnchor>
    <xdr:from>
      <xdr:col>0</xdr:col>
      <xdr:colOff>9525</xdr:colOff>
      <xdr:row>0</xdr:row>
      <xdr:rowOff>47625</xdr:rowOff>
    </xdr:from>
    <xdr:to>
      <xdr:col>0</xdr:col>
      <xdr:colOff>742950</xdr:colOff>
      <xdr:row>2</xdr:row>
      <xdr:rowOff>114300</xdr:rowOff>
    </xdr:to>
    <xdr:grpSp>
      <xdr:nvGrpSpPr>
        <xdr:cNvPr id="26628" name="Group 4"/>
        <xdr:cNvGrpSpPr>
          <a:grpSpLocks/>
        </xdr:cNvGrpSpPr>
      </xdr:nvGrpSpPr>
      <xdr:grpSpPr bwMode="auto">
        <a:xfrm>
          <a:off x="9525" y="47625"/>
          <a:ext cx="733425" cy="581025"/>
          <a:chOff x="0" y="2"/>
          <a:chExt cx="77" cy="61"/>
        </a:xfrm>
      </xdr:grpSpPr>
      <xdr:sp macro="" textlink="">
        <xdr:nvSpPr>
          <xdr:cNvPr id="2662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6630"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810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190500</xdr:rowOff>
    </xdr:to>
    <xdr:grpSp>
      <xdr:nvGrpSpPr>
        <xdr:cNvPr id="2" name="Group 1"/>
        <xdr:cNvGrpSpPr>
          <a:grpSpLocks/>
        </xdr:cNvGrpSpPr>
      </xdr:nvGrpSpPr>
      <xdr:grpSpPr bwMode="auto">
        <a:xfrm>
          <a:off x="0" y="19050"/>
          <a:ext cx="800100" cy="68580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5361" name="Group 1"/>
        <xdr:cNvGrpSpPr>
          <a:grpSpLocks/>
        </xdr:cNvGrpSpPr>
      </xdr:nvGrpSpPr>
      <xdr:grpSpPr bwMode="auto">
        <a:xfrm>
          <a:off x="0" y="19050"/>
          <a:ext cx="733425" cy="581025"/>
          <a:chOff x="0" y="2"/>
          <a:chExt cx="77" cy="61"/>
        </a:xfrm>
      </xdr:grpSpPr>
      <xdr:sp macro="" textlink="">
        <xdr:nvSpPr>
          <xdr:cNvPr id="153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536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2" name="Group 1"/>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5" name="Group 4"/>
        <xdr:cNvGrpSpPr>
          <a:grpSpLocks/>
        </xdr:cNvGrpSpPr>
      </xdr:nvGrpSpPr>
      <xdr:grpSpPr bwMode="auto">
        <a:xfrm>
          <a:off x="0" y="19050"/>
          <a:ext cx="733425" cy="58102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2" name="Group 1"/>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5" name="Group 4"/>
        <xdr:cNvGrpSpPr>
          <a:grpSpLocks/>
        </xdr:cNvGrpSpPr>
      </xdr:nvGrpSpPr>
      <xdr:grpSpPr bwMode="auto">
        <a:xfrm>
          <a:off x="0" y="19050"/>
          <a:ext cx="733425" cy="58102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1133475</xdr:colOff>
      <xdr:row>1</xdr:row>
      <xdr:rowOff>228600</xdr:rowOff>
    </xdr:from>
    <xdr:to>
      <xdr:col>3</xdr:col>
      <xdr:colOff>2257425</xdr:colOff>
      <xdr:row>1</xdr:row>
      <xdr:rowOff>733425</xdr:rowOff>
    </xdr:to>
    <xdr:pic>
      <xdr:nvPicPr>
        <xdr:cNvPr id="2"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5305425" y="523875"/>
          <a:ext cx="1123950" cy="504825"/>
        </a:xfrm>
        <a:prstGeom prst="rect">
          <a:avLst/>
        </a:prstGeom>
        <a:solidFill>
          <a:srgbClr val="FFFFCC"/>
        </a:solidFill>
        <a:ln w="19050">
          <a:solidFill>
            <a:srgbClr val="333399"/>
          </a:solid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810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914400</xdr:colOff>
      <xdr:row>3</xdr:row>
      <xdr:rowOff>104775</xdr:rowOff>
    </xdr:to>
    <xdr:grpSp>
      <xdr:nvGrpSpPr>
        <xdr:cNvPr id="2" name="Group 13"/>
        <xdr:cNvGrpSpPr>
          <a:grpSpLocks/>
        </xdr:cNvGrpSpPr>
      </xdr:nvGrpSpPr>
      <xdr:grpSpPr bwMode="auto">
        <a:xfrm>
          <a:off x="0" y="19050"/>
          <a:ext cx="914400" cy="8572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828675</xdr:colOff>
      <xdr:row>3</xdr:row>
      <xdr:rowOff>9525</xdr:rowOff>
    </xdr:to>
    <xdr:grpSp>
      <xdr:nvGrpSpPr>
        <xdr:cNvPr id="2" name="Group 1"/>
        <xdr:cNvGrpSpPr>
          <a:grpSpLocks/>
        </xdr:cNvGrpSpPr>
      </xdr:nvGrpSpPr>
      <xdr:grpSpPr bwMode="auto">
        <a:xfrm>
          <a:off x="9525" y="0"/>
          <a:ext cx="819150" cy="7810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0</xdr:rowOff>
    </xdr:to>
    <xdr:grpSp>
      <xdr:nvGrpSpPr>
        <xdr:cNvPr id="2" name="Group 1"/>
        <xdr:cNvGrpSpPr>
          <a:grpSpLocks/>
        </xdr:cNvGrpSpPr>
      </xdr:nvGrpSpPr>
      <xdr:grpSpPr bwMode="auto">
        <a:xfrm>
          <a:off x="0" y="19050"/>
          <a:ext cx="733425" cy="49530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2" name="Group 1"/>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5" name="Group 4"/>
        <xdr:cNvGrpSpPr>
          <a:grpSpLocks/>
        </xdr:cNvGrpSpPr>
      </xdr:nvGrpSpPr>
      <xdr:grpSpPr bwMode="auto">
        <a:xfrm>
          <a:off x="0" y="19050"/>
          <a:ext cx="733425" cy="58102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0</xdr:rowOff>
    </xdr:from>
    <xdr:to>
      <xdr:col>1</xdr:col>
      <xdr:colOff>0</xdr:colOff>
      <xdr:row>0</xdr:row>
      <xdr:rowOff>0</xdr:rowOff>
    </xdr:to>
    <xdr:grpSp>
      <xdr:nvGrpSpPr>
        <xdr:cNvPr id="8" name="Group 7"/>
        <xdr:cNvGrpSpPr>
          <a:grpSpLocks/>
        </xdr:cNvGrpSpPr>
      </xdr:nvGrpSpPr>
      <xdr:grpSpPr bwMode="auto">
        <a:xfrm>
          <a:off x="0" y="0"/>
          <a:ext cx="800100" cy="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11" name="Group 10"/>
        <xdr:cNvGrpSpPr>
          <a:grpSpLocks/>
        </xdr:cNvGrpSpPr>
      </xdr:nvGrpSpPr>
      <xdr:grpSpPr bwMode="auto">
        <a:xfrm>
          <a:off x="0" y="19050"/>
          <a:ext cx="733425" cy="581025"/>
          <a:chOff x="0" y="2"/>
          <a:chExt cx="77" cy="61"/>
        </a:xfrm>
      </xdr:grpSpPr>
      <xdr:sp macro="" textlink="">
        <xdr:nvSpPr>
          <xdr:cNvPr id="1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3" name="Picture 12"/>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810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810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810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810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695325</xdr:colOff>
      <xdr:row>2</xdr:row>
      <xdr:rowOff>219075</xdr:rowOff>
    </xdr:to>
    <xdr:grpSp>
      <xdr:nvGrpSpPr>
        <xdr:cNvPr id="39937" name="Group 4"/>
        <xdr:cNvGrpSpPr>
          <a:grpSpLocks/>
        </xdr:cNvGrpSpPr>
      </xdr:nvGrpSpPr>
      <xdr:grpSpPr bwMode="auto">
        <a:xfrm>
          <a:off x="0" y="19050"/>
          <a:ext cx="695325" cy="714375"/>
          <a:chOff x="0" y="2"/>
          <a:chExt cx="77" cy="61"/>
        </a:xfrm>
      </xdr:grpSpPr>
      <xdr:sp macro="" textlink="">
        <xdr:nvSpPr>
          <xdr:cNvPr id="116741"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9939"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723900</xdr:colOff>
      <xdr:row>2</xdr:row>
      <xdr:rowOff>209550</xdr:rowOff>
    </xdr:to>
    <xdr:grpSp>
      <xdr:nvGrpSpPr>
        <xdr:cNvPr id="38913" name="Group 4"/>
        <xdr:cNvGrpSpPr>
          <a:grpSpLocks/>
        </xdr:cNvGrpSpPr>
      </xdr:nvGrpSpPr>
      <xdr:grpSpPr bwMode="auto">
        <a:xfrm>
          <a:off x="0" y="19050"/>
          <a:ext cx="723900" cy="704850"/>
          <a:chOff x="0" y="2"/>
          <a:chExt cx="77" cy="61"/>
        </a:xfrm>
      </xdr:grpSpPr>
      <xdr:sp macro="" textlink="">
        <xdr:nvSpPr>
          <xdr:cNvPr id="116741"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8915"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19050</xdr:colOff>
      <xdr:row>2</xdr:row>
      <xdr:rowOff>219075</xdr:rowOff>
    </xdr:to>
    <xdr:grpSp>
      <xdr:nvGrpSpPr>
        <xdr:cNvPr id="35841" name="Group 4"/>
        <xdr:cNvGrpSpPr>
          <a:grpSpLocks/>
        </xdr:cNvGrpSpPr>
      </xdr:nvGrpSpPr>
      <xdr:grpSpPr bwMode="auto">
        <a:xfrm>
          <a:off x="0" y="19050"/>
          <a:ext cx="771525" cy="714375"/>
          <a:chOff x="0" y="2"/>
          <a:chExt cx="77" cy="61"/>
        </a:xfrm>
      </xdr:grpSpPr>
      <xdr:sp macro="" textlink="">
        <xdr:nvSpPr>
          <xdr:cNvPr id="116741"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5843"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vpwxfs01\home$\Documents%20and%20Settings\jbutl\Local%20Settings\Temporary%20Internet%20Files\OLK413B\Copy%20of%202010%2006%2028%20-%20AA%20-%20Template%20for%20data%20collection%2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abrya\Local%20Settings\Temporary%20Internet%20Files\Content.Outlook\VRT2XFRW\Deloitte\Related%20Party%20Transaction%202012-1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abrya\Local%20Settings\Temporary%20Internet%20Files\Content.Outlook\VRT2XFRW\Compensation%20Payments%202012-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rvpwxfs01\home$\TRIMDATA\TRIM\TEMP\CONTEXT.3388\2010%2008%2013%20-%20AA%20-%20Template%20for%20data%20colle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rvpwxfs01\home$\Documents%20and%20Settings\Kjo\Local%20Settings\Temporary%20Internet%20Files\OLK7B3\ARC%20Compliance%20Model%20-%202010-11%20ActewAG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staso\Local%20Settings\Temporary%20Internet%20Files\Content.Outlook\5CBQIV2G\2012-14%20-%20Annual%20RINs%20-%20ActewAGL%20-%20Financial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abrya\Local%20Settings\Temporary%20Internet%20Files\Content.Outlook\VRT2XFRW\Annual%20Statement%20Recon%202012-1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egulation\Annual%20Report%20Requirements%20AER\Regulatory%20Analysis%20Electricity.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egulation\Annual%20Report%20Requirements%20AER\Capital%20Expenditure%20Analysi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abrya\Local%20Settings\Temporary%20Internet%20Files\Content.Outlook\VRT2XFRW\Related%20Party%20Transaction%202012-1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abrya\Local%20Settings\Temporary%20Internet%20Files\Content.Outlook\VRT2XFRW\Corporate%20Overhead%20detail%20for%20RIN%202012-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 Classification"/>
      <sheetName val="2. Negotiation"/>
      <sheetName val="3. Control mechanisms"/>
      <sheetName val="4. RAB"/>
      <sheetName val="5. Demand"/>
      <sheetName val="6. Capex"/>
      <sheetName val="7. Opex"/>
      <sheetName val="8a. STPIS Reliability"/>
      <sheetName val="8b. STPIS feeder performance"/>
      <sheetName val="8c. STPIS Customer service"/>
      <sheetName val="8d. STPIS Unplanned outages"/>
      <sheetName val="8e. STPIS Exclusions"/>
      <sheetName val="8f.STPIS daily data"/>
      <sheetName val="9. EBSS"/>
      <sheetName val="10. DMIS - annual report"/>
      <sheetName val="11. Pass through events"/>
      <sheetName val="12. Self insurance"/>
      <sheetName val="13a. ACS - opex and capex"/>
      <sheetName val="13b. ACS - control mechanism "/>
      <sheetName val="14. Financial performance"/>
      <sheetName val="14a. Financial performance"/>
      <sheetName val="15. Financial position"/>
      <sheetName val="16. Cashflows"/>
      <sheetName val="17. Shared cost alloca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Retail"/>
      <sheetName val="Detail Retail"/>
      <sheetName val="Actew Corporation"/>
      <sheetName val="Jemena"/>
      <sheetName val="Detail"/>
    </sheetNames>
    <sheetDataSet>
      <sheetData sheetId="0">
        <row r="5">
          <cell r="B5">
            <v>229362.93000000002</v>
          </cell>
        </row>
        <row r="6">
          <cell r="B6">
            <v>1371065.5299999996</v>
          </cell>
        </row>
        <row r="7">
          <cell r="B7">
            <v>1703082.24</v>
          </cell>
        </row>
        <row r="8">
          <cell r="B8">
            <v>2181.42</v>
          </cell>
        </row>
        <row r="9">
          <cell r="B9">
            <v>700.09</v>
          </cell>
        </row>
        <row r="10">
          <cell r="B10">
            <v>65378.380000000005</v>
          </cell>
        </row>
        <row r="11">
          <cell r="B11">
            <v>1611378.6700000004</v>
          </cell>
        </row>
        <row r="12">
          <cell r="B12">
            <v>0</v>
          </cell>
        </row>
        <row r="13">
          <cell r="B13">
            <v>1333.24</v>
          </cell>
        </row>
        <row r="14">
          <cell r="B14">
            <v>133.94999999999999</v>
          </cell>
        </row>
        <row r="15">
          <cell r="B15">
            <v>6902.85</v>
          </cell>
        </row>
        <row r="16">
          <cell r="B16">
            <v>2016.24</v>
          </cell>
        </row>
        <row r="17">
          <cell r="B17">
            <v>612.36</v>
          </cell>
        </row>
        <row r="18">
          <cell r="B18">
            <v>97</v>
          </cell>
        </row>
        <row r="19">
          <cell r="B19">
            <v>270.58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1"/>
      <sheetName val="Sheet2"/>
      <sheetName val="Sheet3"/>
    </sheetNames>
    <sheetDataSet>
      <sheetData sheetId="0">
        <row r="37">
          <cell r="B37">
            <v>1600</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 Income"/>
      <sheetName val="2. Balance"/>
      <sheetName val="3. Cashflows"/>
      <sheetName val="4. Equity"/>
      <sheetName val="20. Provisions"/>
      <sheetName val="Financial Template Annotations"/>
      <sheetName val="Definitions"/>
    </sheetNames>
    <sheetDataSet>
      <sheetData sheetId="0" refreshError="1">
        <row r="22">
          <cell r="C22" t="str">
            <v>ActewAGL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1213"/>
      <sheetName val="BS1213"/>
      <sheetName val="BS11112"/>
    </sheetNames>
    <sheetDataSet>
      <sheetData sheetId="0">
        <row r="16">
          <cell r="E16">
            <v>0</v>
          </cell>
          <cell r="F16">
            <v>0</v>
          </cell>
          <cell r="G16">
            <v>0</v>
          </cell>
          <cell r="H16">
            <v>0</v>
          </cell>
          <cell r="N16">
            <v>73531411.389999971</v>
          </cell>
        </row>
        <row r="17">
          <cell r="E17">
            <v>211740212.11999997</v>
          </cell>
          <cell r="G17">
            <v>0</v>
          </cell>
          <cell r="H17">
            <v>0</v>
          </cell>
          <cell r="N17">
            <v>211740212.11999997</v>
          </cell>
        </row>
        <row r="18">
          <cell r="F18">
            <v>8375213.7799999993</v>
          </cell>
          <cell r="G18">
            <v>0</v>
          </cell>
          <cell r="H18">
            <v>319360.02</v>
          </cell>
          <cell r="N18">
            <v>8694573.7999999989</v>
          </cell>
        </row>
        <row r="20">
          <cell r="E20">
            <v>42897613.339999996</v>
          </cell>
          <cell r="G20">
            <v>0</v>
          </cell>
          <cell r="H20">
            <v>0</v>
          </cell>
          <cell r="N20">
            <v>42897613.339999996</v>
          </cell>
        </row>
        <row r="21">
          <cell r="E21">
            <v>5484165.080000001</v>
          </cell>
          <cell r="G21">
            <v>0</v>
          </cell>
          <cell r="H21">
            <v>0</v>
          </cell>
          <cell r="N21">
            <v>10371750.280000001</v>
          </cell>
        </row>
        <row r="22">
          <cell r="E22">
            <v>14057123.57</v>
          </cell>
          <cell r="G22">
            <v>0</v>
          </cell>
          <cell r="H22">
            <v>0</v>
          </cell>
          <cell r="N22">
            <v>14057123.57</v>
          </cell>
        </row>
        <row r="23">
          <cell r="E23">
            <v>0</v>
          </cell>
          <cell r="G23">
            <v>0</v>
          </cell>
          <cell r="H23">
            <v>0</v>
          </cell>
          <cell r="N23">
            <v>1980732.4699999988</v>
          </cell>
        </row>
        <row r="24">
          <cell r="E24">
            <v>0</v>
          </cell>
          <cell r="G24">
            <v>0</v>
          </cell>
          <cell r="H24">
            <v>0</v>
          </cell>
          <cell r="N24">
            <v>0</v>
          </cell>
        </row>
        <row r="28">
          <cell r="E28">
            <v>0</v>
          </cell>
          <cell r="G28">
            <v>0</v>
          </cell>
          <cell r="H28">
            <v>0</v>
          </cell>
          <cell r="N28">
            <v>101770.56000000001</v>
          </cell>
        </row>
        <row r="29">
          <cell r="E29">
            <v>0</v>
          </cell>
          <cell r="G29">
            <v>0</v>
          </cell>
          <cell r="H29">
            <v>0</v>
          </cell>
          <cell r="N29">
            <v>928262.04000000015</v>
          </cell>
        </row>
        <row r="30">
          <cell r="F30">
            <v>102895.34999999963</v>
          </cell>
          <cell r="G30">
            <v>0</v>
          </cell>
          <cell r="H30">
            <v>0</v>
          </cell>
          <cell r="N30">
            <v>102895.34999999963</v>
          </cell>
        </row>
        <row r="31">
          <cell r="F31">
            <v>8718169.8100000005</v>
          </cell>
          <cell r="H31">
            <v>0</v>
          </cell>
          <cell r="N31">
            <v>10188137.750000002</v>
          </cell>
        </row>
        <row r="32">
          <cell r="F32">
            <v>5498758.3300000001</v>
          </cell>
          <cell r="H32">
            <v>0</v>
          </cell>
          <cell r="N32">
            <v>5498758.3300000001</v>
          </cell>
        </row>
        <row r="33">
          <cell r="E33">
            <v>1726125.58</v>
          </cell>
          <cell r="G33">
            <v>0</v>
          </cell>
          <cell r="H33">
            <v>10534617.299999999</v>
          </cell>
          <cell r="N33">
            <v>53324184.629999988</v>
          </cell>
        </row>
        <row r="34">
          <cell r="E34">
            <v>1140532.21</v>
          </cell>
        </row>
        <row r="35">
          <cell r="E35">
            <v>2542.2099999999996</v>
          </cell>
          <cell r="G35">
            <v>0</v>
          </cell>
          <cell r="H35">
            <v>0</v>
          </cell>
          <cell r="N35">
            <v>27356881.930000003</v>
          </cell>
        </row>
        <row r="39">
          <cell r="H39">
            <v>8280.7099999999991</v>
          </cell>
        </row>
        <row r="40">
          <cell r="H40">
            <v>0</v>
          </cell>
        </row>
        <row r="41">
          <cell r="H41">
            <v>0</v>
          </cell>
        </row>
        <row r="42">
          <cell r="H42">
            <v>3833269.459999999</v>
          </cell>
        </row>
        <row r="43">
          <cell r="H43">
            <v>14579.59</v>
          </cell>
        </row>
        <row r="44">
          <cell r="H44">
            <v>0</v>
          </cell>
        </row>
        <row r="45">
          <cell r="H45">
            <v>13588.199999999999</v>
          </cell>
        </row>
        <row r="46">
          <cell r="H46">
            <v>0</v>
          </cell>
        </row>
        <row r="47">
          <cell r="H47">
            <v>0</v>
          </cell>
        </row>
        <row r="48">
          <cell r="H48">
            <v>0</v>
          </cell>
        </row>
        <row r="49">
          <cell r="H49">
            <v>5707082.5899999999</v>
          </cell>
        </row>
        <row r="50">
          <cell r="H50">
            <v>0</v>
          </cell>
        </row>
        <row r="51">
          <cell r="H51">
            <v>-125515</v>
          </cell>
        </row>
        <row r="53">
          <cell r="E53">
            <v>77570959.99504815</v>
          </cell>
          <cell r="F53">
            <v>0</v>
          </cell>
          <cell r="G53">
            <v>1960826.0199999996</v>
          </cell>
          <cell r="N53">
            <v>152741802.74999997</v>
          </cell>
        </row>
        <row r="55">
          <cell r="E55">
            <v>31630804.784951847</v>
          </cell>
          <cell r="G55">
            <v>0</v>
          </cell>
          <cell r="H55">
            <v>0</v>
          </cell>
          <cell r="N55">
            <v>37596552.109999985</v>
          </cell>
        </row>
        <row r="57">
          <cell r="E57">
            <v>-10597501.66</v>
          </cell>
          <cell r="G57">
            <v>259613.41</v>
          </cell>
          <cell r="H57">
            <v>508258.29</v>
          </cell>
          <cell r="N57">
            <v>-9829629.959999999</v>
          </cell>
        </row>
        <row r="58">
          <cell r="E58">
            <v>859059.30999999994</v>
          </cell>
          <cell r="G58">
            <v>0</v>
          </cell>
          <cell r="H58">
            <v>0</v>
          </cell>
          <cell r="N58">
            <v>883781.79999999993</v>
          </cell>
        </row>
        <row r="64">
          <cell r="F64">
            <v>991.08</v>
          </cell>
          <cell r="G64">
            <v>0</v>
          </cell>
          <cell r="H64">
            <v>0</v>
          </cell>
          <cell r="N64">
            <v>1821366.4700000002</v>
          </cell>
        </row>
        <row r="65">
          <cell r="F65">
            <v>195319.25999999998</v>
          </cell>
          <cell r="G65">
            <v>0</v>
          </cell>
          <cell r="H65">
            <v>0</v>
          </cell>
          <cell r="N65">
            <v>297957.69</v>
          </cell>
        </row>
        <row r="81">
          <cell r="E81">
            <v>-1728667.79</v>
          </cell>
        </row>
      </sheetData>
      <sheetData sheetId="1">
        <row r="16">
          <cell r="E16">
            <v>-4134098.9800000787</v>
          </cell>
          <cell r="M16">
            <v>6870685.5200000405</v>
          </cell>
        </row>
        <row r="17">
          <cell r="E17">
            <v>44470028.549999997</v>
          </cell>
          <cell r="M17">
            <v>66047838.07</v>
          </cell>
        </row>
        <row r="18">
          <cell r="E18">
            <v>0</v>
          </cell>
          <cell r="M18">
            <v>37500000</v>
          </cell>
        </row>
        <row r="19">
          <cell r="E19">
            <v>88753.68</v>
          </cell>
          <cell r="M19">
            <v>2270036.5099999998</v>
          </cell>
        </row>
        <row r="20">
          <cell r="E20">
            <v>1652569.52</v>
          </cell>
          <cell r="M20">
            <v>6654760.6700000018</v>
          </cell>
        </row>
        <row r="21">
          <cell r="E21">
            <v>10022421.23</v>
          </cell>
          <cell r="M21">
            <v>10022421.16</v>
          </cell>
        </row>
        <row r="22">
          <cell r="E22">
            <v>0</v>
          </cell>
          <cell r="M22">
            <v>429607.81999999983</v>
          </cell>
        </row>
        <row r="25">
          <cell r="E25">
            <v>746806369.9799999</v>
          </cell>
          <cell r="M25">
            <v>1029838596.5699999</v>
          </cell>
        </row>
        <row r="26">
          <cell r="E26">
            <v>0</v>
          </cell>
          <cell r="M26">
            <v>0</v>
          </cell>
        </row>
        <row r="27">
          <cell r="E27">
            <v>0</v>
          </cell>
          <cell r="M27">
            <v>1874110.8499999999</v>
          </cell>
        </row>
        <row r="28">
          <cell r="E28">
            <v>0</v>
          </cell>
          <cell r="M28">
            <v>0</v>
          </cell>
        </row>
        <row r="29">
          <cell r="E29">
            <v>0</v>
          </cell>
          <cell r="M29">
            <v>0</v>
          </cell>
        </row>
        <row r="35">
          <cell r="E35">
            <v>30358157.969999995</v>
          </cell>
          <cell r="M35">
            <v>57542971.00999999</v>
          </cell>
        </row>
        <row r="36">
          <cell r="E36">
            <v>0</v>
          </cell>
          <cell r="M36">
            <v>0</v>
          </cell>
        </row>
        <row r="37">
          <cell r="E37">
            <v>5346301.24</v>
          </cell>
          <cell r="M37">
            <v>5429625.8100000005</v>
          </cell>
        </row>
        <row r="38">
          <cell r="E38">
            <v>0</v>
          </cell>
          <cell r="M38">
            <v>0</v>
          </cell>
        </row>
        <row r="39">
          <cell r="E39">
            <v>16109506.199999999</v>
          </cell>
          <cell r="M39">
            <v>19029987.530000001</v>
          </cell>
        </row>
        <row r="40">
          <cell r="E40">
            <v>0</v>
          </cell>
          <cell r="M40">
            <v>0</v>
          </cell>
        </row>
        <row r="43">
          <cell r="E43">
            <v>0</v>
          </cell>
          <cell r="M43">
            <v>0</v>
          </cell>
        </row>
        <row r="44">
          <cell r="E44">
            <v>0</v>
          </cell>
          <cell r="M44">
            <v>0</v>
          </cell>
        </row>
        <row r="45">
          <cell r="E45">
            <v>0</v>
          </cell>
          <cell r="M45">
            <v>0</v>
          </cell>
        </row>
        <row r="46">
          <cell r="E46">
            <v>2693735.69</v>
          </cell>
          <cell r="M46">
            <v>4546719.5199999996</v>
          </cell>
        </row>
        <row r="47">
          <cell r="E47">
            <v>4131619.58</v>
          </cell>
          <cell r="M47">
            <v>7901279.6799999997</v>
          </cell>
        </row>
        <row r="55">
          <cell r="E55">
            <v>489093866.26999998</v>
          </cell>
          <cell r="M55">
            <v>708020465.66999996</v>
          </cell>
        </row>
        <row r="56">
          <cell r="E56">
            <v>0</v>
          </cell>
          <cell r="M56">
            <v>0</v>
          </cell>
        </row>
        <row r="57">
          <cell r="E57">
            <v>251172857.03000003</v>
          </cell>
          <cell r="M57">
            <v>359037007.95000005</v>
          </cell>
        </row>
        <row r="63">
          <cell r="E63">
            <v>653864715.32000005</v>
          </cell>
          <cell r="M63">
            <v>985402248.63</v>
          </cell>
        </row>
        <row r="65">
          <cell r="E65">
            <v>-476573749.13</v>
          </cell>
          <cell r="M65">
            <v>-768656011</v>
          </cell>
        </row>
      </sheetData>
      <sheetData sheetId="2">
        <row r="16">
          <cell r="E16">
            <v>-16702691.859999985</v>
          </cell>
          <cell r="M16">
            <v>20067663.349999953</v>
          </cell>
        </row>
        <row r="55">
          <cell r="E55">
            <v>489093866.26999998</v>
          </cell>
          <cell r="M55">
            <v>708020465.66999996</v>
          </cell>
        </row>
        <row r="56">
          <cell r="E56">
            <v>0</v>
          </cell>
          <cell r="M56">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Paper Summary"/>
      <sheetName val="Historic"/>
      <sheetName val="Electricity Decision"/>
      <sheetName val="2.2.1 AA capex"/>
      <sheetName val="Opex Analysis"/>
      <sheetName val="Revised Summary"/>
      <sheetName val="Network Summary Board Paper"/>
      <sheetName val="Budget Paper Real"/>
      <sheetName val="Budget Paper Nominal"/>
      <sheetName val="Input Variables - EN"/>
      <sheetName val="CPI"/>
      <sheetName val="Non BAU"/>
      <sheetName val="2.2.2 AA opex "/>
      <sheetName val="Corp ospend"/>
      <sheetName val="CSS &amp; PSS 2012-13"/>
      <sheetName val="Control P&amp;L"/>
      <sheetName val="Alternate P&amp;L"/>
      <sheetName val="Unregulated"/>
      <sheetName val="Comparison Real Dollars"/>
      <sheetName val="Comparison Nominal Dollars"/>
      <sheetName val="Div Summ - Electricity"/>
      <sheetName val="CAM ADJ"/>
      <sheetName val="Corp Dep-CAM Adj"/>
      <sheetName val="Hist CAPEX"/>
      <sheetName val="CAPEX Forecast"/>
      <sheetName val="10 Year  CAPEX Corporate"/>
      <sheetName val="Network IT"/>
      <sheetName val="Network IT (2)"/>
      <sheetName val="Network IT Detail"/>
      <sheetName val="Corporate Capex "/>
      <sheetName val="css_pss_0910_co11"/>
      <sheetName val="css_pss_0607_co11"/>
      <sheetName val="css-pss-emper-ytd-2011-2012-co1"/>
      <sheetName val="css_pss_1011_co1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ow r="46">
          <cell r="F46">
            <v>2.3300000000000001E-2</v>
          </cell>
        </row>
      </sheetData>
      <sheetData sheetId="11" refreshError="1"/>
      <sheetData sheetId="12" refreshError="1"/>
      <sheetData sheetId="13" refreshError="1"/>
      <sheetData sheetId="14" refreshError="1"/>
      <sheetData sheetId="15">
        <row r="67">
          <cell r="BA67">
            <v>148054.68000000002</v>
          </cell>
        </row>
        <row r="68">
          <cell r="BA68">
            <v>6212.47</v>
          </cell>
        </row>
        <row r="69">
          <cell r="BA69">
            <v>23983.42</v>
          </cell>
        </row>
        <row r="70">
          <cell r="BA70">
            <v>855445.14</v>
          </cell>
        </row>
        <row r="71">
          <cell r="BA71">
            <v>119186.41</v>
          </cell>
        </row>
        <row r="72">
          <cell r="BA72">
            <v>29930.1</v>
          </cell>
        </row>
        <row r="73">
          <cell r="BA73">
            <v>8553.5300000000007</v>
          </cell>
        </row>
        <row r="74">
          <cell r="BA74">
            <v>2872.84</v>
          </cell>
        </row>
        <row r="75">
          <cell r="BA75">
            <v>2479.8900000000003</v>
          </cell>
        </row>
        <row r="76">
          <cell r="BA76">
            <v>238869.84999999998</v>
          </cell>
        </row>
        <row r="77">
          <cell r="BA77">
            <v>273166.18</v>
          </cell>
        </row>
        <row r="78">
          <cell r="BA78">
            <v>23841.090000000004</v>
          </cell>
        </row>
        <row r="79">
          <cell r="BA79">
            <v>11324.590000000002</v>
          </cell>
        </row>
        <row r="88">
          <cell r="AU88">
            <v>1170741.8400000003</v>
          </cell>
          <cell r="AV88">
            <v>285434.41000000003</v>
          </cell>
          <cell r="AW88">
            <v>4719501.4299999988</v>
          </cell>
          <cell r="AX88">
            <v>465726.98</v>
          </cell>
          <cell r="AY88">
            <v>12220889.709999999</v>
          </cell>
          <cell r="AZ88">
            <v>3733622.5300000007</v>
          </cell>
          <cell r="BA88">
            <v>1744193.4700000002</v>
          </cell>
        </row>
        <row r="89">
          <cell r="BA89">
            <v>342467.91</v>
          </cell>
        </row>
        <row r="90">
          <cell r="BA90">
            <v>328546.73999999993</v>
          </cell>
        </row>
        <row r="91">
          <cell r="BA91">
            <v>134339.17000000001</v>
          </cell>
        </row>
        <row r="92">
          <cell r="BA92">
            <v>0</v>
          </cell>
        </row>
        <row r="93">
          <cell r="BA93">
            <v>0</v>
          </cell>
        </row>
        <row r="94">
          <cell r="BA94">
            <v>330767.52</v>
          </cell>
        </row>
        <row r="95">
          <cell r="BA95">
            <v>670</v>
          </cell>
        </row>
        <row r="96">
          <cell r="BA96">
            <v>0</v>
          </cell>
        </row>
        <row r="97">
          <cell r="BA97">
            <v>149739.13</v>
          </cell>
        </row>
        <row r="98">
          <cell r="BA98">
            <v>241872.26000000013</v>
          </cell>
        </row>
        <row r="99">
          <cell r="AU99">
            <v>34851.260000000009</v>
          </cell>
          <cell r="AV99">
            <v>2380</v>
          </cell>
          <cell r="AW99">
            <v>2744269.1799999997</v>
          </cell>
          <cell r="AX99">
            <v>5029709.9399999995</v>
          </cell>
          <cell r="AY99">
            <v>11337125.089999996</v>
          </cell>
          <cell r="AZ99">
            <v>2441584.21</v>
          </cell>
          <cell r="BA99">
            <v>1528402.73</v>
          </cell>
        </row>
        <row r="102">
          <cell r="BA102">
            <v>0</v>
          </cell>
        </row>
        <row r="103">
          <cell r="BA103">
            <v>549410.54999999993</v>
          </cell>
        </row>
        <row r="105">
          <cell r="BA105">
            <v>93844.830000000016</v>
          </cell>
        </row>
        <row r="106">
          <cell r="BA106">
            <v>134632.07</v>
          </cell>
        </row>
        <row r="107">
          <cell r="AU107">
            <v>515312.95999999961</v>
          </cell>
          <cell r="AV107">
            <v>88183.140000000014</v>
          </cell>
          <cell r="AW107">
            <v>7007073.5900000036</v>
          </cell>
          <cell r="AX107">
            <v>5509715.1800000072</v>
          </cell>
          <cell r="AY107">
            <v>5940406.290000014</v>
          </cell>
          <cell r="AZ107">
            <v>1709618.81</v>
          </cell>
          <cell r="BA107">
            <v>14442263.780000001</v>
          </cell>
        </row>
        <row r="137">
          <cell r="I137">
            <v>105961.51</v>
          </cell>
        </row>
        <row r="148">
          <cell r="I148">
            <v>13551.45</v>
          </cell>
        </row>
        <row r="155">
          <cell r="I155">
            <v>1140532.21</v>
          </cell>
        </row>
        <row r="156">
          <cell r="I156">
            <v>2747144.83</v>
          </cell>
        </row>
      </sheetData>
      <sheetData sheetId="16">
        <row r="63">
          <cell r="BA63">
            <v>0</v>
          </cell>
        </row>
        <row r="64">
          <cell r="BA64">
            <v>40742.140000000007</v>
          </cell>
        </row>
        <row r="65">
          <cell r="BA65">
            <v>0</v>
          </cell>
        </row>
        <row r="66">
          <cell r="BA66">
            <v>9508.17</v>
          </cell>
        </row>
        <row r="67">
          <cell r="AU67">
            <v>4349.8500000000004</v>
          </cell>
          <cell r="AV67">
            <v>0</v>
          </cell>
          <cell r="AW67">
            <v>1418304.3899999997</v>
          </cell>
          <cell r="AX67">
            <v>8894.2000000000007</v>
          </cell>
          <cell r="AY67">
            <v>361777.05999999994</v>
          </cell>
          <cell r="AZ67">
            <v>117250.20999999999</v>
          </cell>
          <cell r="BA67">
            <v>50250.310000000005</v>
          </cell>
        </row>
      </sheetData>
      <sheetData sheetId="17">
        <row r="80">
          <cell r="AU80">
            <v>2641683.3099999996</v>
          </cell>
          <cell r="AV80">
            <v>191466.85</v>
          </cell>
          <cell r="AW80">
            <v>1173376.22</v>
          </cell>
          <cell r="AX80">
            <v>-74002.570000000007</v>
          </cell>
          <cell r="AY80">
            <v>4030432.42</v>
          </cell>
          <cell r="AZ80">
            <v>1222695.93</v>
          </cell>
          <cell r="BA80">
            <v>265633.39</v>
          </cell>
        </row>
      </sheetData>
      <sheetData sheetId="18" refreshError="1"/>
      <sheetData sheetId="19">
        <row r="10">
          <cell r="W10">
            <v>4719785.0882233046</v>
          </cell>
          <cell r="X10">
            <v>0</v>
          </cell>
          <cell r="Z10">
            <v>5484165.080000001</v>
          </cell>
        </row>
        <row r="11">
          <cell r="W11">
            <v>14050238.237400804</v>
          </cell>
          <cell r="X11">
            <v>0</v>
          </cell>
          <cell r="Z11">
            <v>14057123.57</v>
          </cell>
        </row>
        <row r="13">
          <cell r="W13">
            <v>4346936.9508560719</v>
          </cell>
          <cell r="X13">
            <v>-64181.104613268348</v>
          </cell>
          <cell r="Z13">
            <v>6044049.7153867316</v>
          </cell>
        </row>
        <row r="14">
          <cell r="W14">
            <v>1201008.164956585</v>
          </cell>
          <cell r="X14">
            <v>-34515.521218891809</v>
          </cell>
          <cell r="Z14">
            <v>3250388.528781109</v>
          </cell>
        </row>
        <row r="15">
          <cell r="W15">
            <v>3538682.8397392179</v>
          </cell>
          <cell r="X15">
            <v>-36838.237250692066</v>
          </cell>
          <cell r="Z15">
            <v>3469122.8627493079</v>
          </cell>
        </row>
        <row r="16">
          <cell r="W16">
            <v>1455872.5807832291</v>
          </cell>
          <cell r="X16">
            <v>-17011.532034831576</v>
          </cell>
          <cell r="Z16">
            <v>1602006.4779651687</v>
          </cell>
        </row>
        <row r="17">
          <cell r="W17">
            <v>2056135.1355362022</v>
          </cell>
          <cell r="Z17">
            <v>1240183.48</v>
          </cell>
        </row>
        <row r="18">
          <cell r="W18">
            <v>4612901.7691697488</v>
          </cell>
          <cell r="X18">
            <v>-77191.710355520525</v>
          </cell>
          <cell r="Z18">
            <v>7269281.7896444807</v>
          </cell>
        </row>
        <row r="19">
          <cell r="X19">
            <v>-229738.10547320434</v>
          </cell>
        </row>
        <row r="22">
          <cell r="W22">
            <v>2365771.4792630137</v>
          </cell>
          <cell r="X22">
            <v>-23863.368252313187</v>
          </cell>
          <cell r="Z22">
            <v>2247256.181747687</v>
          </cell>
        </row>
        <row r="23">
          <cell r="W23">
            <v>189201.65608399612</v>
          </cell>
          <cell r="X23">
            <v>-1019.7283950105917</v>
          </cell>
          <cell r="Z23">
            <v>96029.651604989383</v>
          </cell>
        </row>
        <row r="26">
          <cell r="W26">
            <v>261514.12404074016</v>
          </cell>
          <cell r="X26">
            <v>-434.302628756567</v>
          </cell>
          <cell r="Z26">
            <v>40899.057371243427</v>
          </cell>
        </row>
        <row r="27">
          <cell r="W27">
            <v>25706.588055370172</v>
          </cell>
          <cell r="X27">
            <v>-334.03142788643135</v>
          </cell>
          <cell r="Z27">
            <v>31456.338572113567</v>
          </cell>
        </row>
        <row r="30">
          <cell r="W30">
            <v>392380.56845741806</v>
          </cell>
          <cell r="X30">
            <v>-2575.4761109565547</v>
          </cell>
          <cell r="Z30">
            <v>242537.20388904345</v>
          </cell>
        </row>
        <row r="31">
          <cell r="W31">
            <v>1441875.7679294664</v>
          </cell>
          <cell r="X31">
            <v>-33118.988113489599</v>
          </cell>
          <cell r="Z31">
            <v>3118874.5018865108</v>
          </cell>
        </row>
        <row r="34">
          <cell r="W34">
            <v>8653133.1065206062</v>
          </cell>
          <cell r="X34">
            <v>-136015.85254861589</v>
          </cell>
          <cell r="Z34">
            <v>12808856.747451385</v>
          </cell>
        </row>
        <row r="35">
          <cell r="W35">
            <v>2414419.4531630296</v>
          </cell>
          <cell r="X35">
            <v>-37596.779540594158</v>
          </cell>
          <cell r="Z35">
            <v>3540556.150459406</v>
          </cell>
        </row>
        <row r="38">
          <cell r="W38">
            <v>2325987.7983499942</v>
          </cell>
          <cell r="X38">
            <v>-15352.487326548171</v>
          </cell>
          <cell r="Z38">
            <v>1445771.2626734518</v>
          </cell>
        </row>
        <row r="39">
          <cell r="W39">
            <v>245587.04704880514</v>
          </cell>
          <cell r="X39">
            <v>-4324.8186869679739</v>
          </cell>
          <cell r="Z39">
            <v>407275.93131303205</v>
          </cell>
        </row>
        <row r="41">
          <cell r="X41">
            <v>-254635.8330311391</v>
          </cell>
          <cell r="Z41">
            <v>23979513.026968863</v>
          </cell>
        </row>
        <row r="43">
          <cell r="W43">
            <v>1192688.7388175644</v>
          </cell>
          <cell r="Z43">
            <v>1366111.34</v>
          </cell>
        </row>
        <row r="44">
          <cell r="W44">
            <v>12363919.191921614</v>
          </cell>
          <cell r="X44">
            <v>-4542240.7868746733</v>
          </cell>
          <cell r="Z44">
            <v>9122135.5431253277</v>
          </cell>
        </row>
        <row r="45">
          <cell r="W45">
            <v>2375016.6405139519</v>
          </cell>
          <cell r="Z45">
            <v>1703082.2400000002</v>
          </cell>
        </row>
        <row r="46">
          <cell r="W46">
            <v>5760146.9093271839</v>
          </cell>
          <cell r="X46">
            <v>-58307.979805975097</v>
          </cell>
          <cell r="Z46">
            <v>5490967.0201940248</v>
          </cell>
        </row>
        <row r="47">
          <cell r="W47">
            <v>3395577.0901785977</v>
          </cell>
          <cell r="Z47">
            <v>9355332.9399999883</v>
          </cell>
        </row>
        <row r="48">
          <cell r="W48">
            <v>1436951.0747549322</v>
          </cell>
          <cell r="X48">
            <v>-15123.82976685927</v>
          </cell>
          <cell r="Z48">
            <v>1424238.1702331414</v>
          </cell>
        </row>
        <row r="49">
          <cell r="W49">
            <v>-27001.237141623438</v>
          </cell>
          <cell r="Z49">
            <v>528421.28000000014</v>
          </cell>
        </row>
        <row r="50">
          <cell r="X50">
            <v>-4615672.5964475079</v>
          </cell>
        </row>
        <row r="62">
          <cell r="Z62">
            <v>1401581.0099999998</v>
          </cell>
        </row>
        <row r="63">
          <cell r="Z63">
            <v>559245.01</v>
          </cell>
        </row>
        <row r="88">
          <cell r="Z88">
            <v>0</v>
          </cell>
        </row>
        <row r="89">
          <cell r="Z89">
            <v>1755594.4662576688</v>
          </cell>
        </row>
        <row r="90">
          <cell r="Z90">
            <v>1117218.9300000002</v>
          </cell>
        </row>
        <row r="91">
          <cell r="Z91">
            <v>2376302.3899999997</v>
          </cell>
        </row>
        <row r="92">
          <cell r="Z92">
            <v>5484165.080000001</v>
          </cell>
        </row>
        <row r="93">
          <cell r="Z93">
            <v>14057123.57</v>
          </cell>
        </row>
        <row r="94">
          <cell r="W94">
            <v>110389.47589010878</v>
          </cell>
          <cell r="Z94">
            <v>67051.37</v>
          </cell>
        </row>
        <row r="165">
          <cell r="W165">
            <v>3813437.3236404667</v>
          </cell>
          <cell r="Z165">
            <v>4116159.3299999996</v>
          </cell>
        </row>
      </sheetData>
      <sheetData sheetId="20" refreshError="1"/>
      <sheetData sheetId="21" refreshError="1"/>
      <sheetData sheetId="22">
        <row r="6">
          <cell r="G6">
            <v>1526977.1242634207</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ercentages"/>
      <sheetName val="2008-2009"/>
      <sheetName val="2009-2010"/>
      <sheetName val="2010-2011"/>
      <sheetName val="2011-2012"/>
      <sheetName val="2012-2013"/>
      <sheetName val="2013-2014"/>
      <sheetName val="Asset breakup"/>
      <sheetName val="AER Approved 201011"/>
      <sheetName val="AER Approved 201112"/>
      <sheetName val="Capital Expenditure Analysis"/>
      <sheetName val="AER Approved 201213"/>
      <sheetName val="AER Approv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D5">
            <v>0</v>
          </cell>
          <cell r="H5">
            <v>0</v>
          </cell>
        </row>
        <row r="6">
          <cell r="H6">
            <v>4955364.9446484828</v>
          </cell>
        </row>
        <row r="7">
          <cell r="H7">
            <v>3463397.5144095309</v>
          </cell>
        </row>
        <row r="8">
          <cell r="H8">
            <v>7295942.7050694395</v>
          </cell>
        </row>
        <row r="9">
          <cell r="H9">
            <v>1408661.4758633375</v>
          </cell>
        </row>
        <row r="10">
          <cell r="H10">
            <v>2241609.913777763</v>
          </cell>
        </row>
        <row r="11">
          <cell r="H11">
            <v>4463528.7962314459</v>
          </cell>
        </row>
        <row r="12">
          <cell r="H12">
            <v>0</v>
          </cell>
        </row>
        <row r="13">
          <cell r="H13">
            <v>0</v>
          </cell>
        </row>
        <row r="16">
          <cell r="H16">
            <v>12849291.809861798</v>
          </cell>
        </row>
        <row r="17">
          <cell r="H17">
            <v>10926074.759999998</v>
          </cell>
        </row>
        <row r="18">
          <cell r="H18">
            <v>0</v>
          </cell>
        </row>
        <row r="19">
          <cell r="H19">
            <v>14000379.740138197</v>
          </cell>
        </row>
        <row r="20">
          <cell r="H20">
            <v>0</v>
          </cell>
        </row>
        <row r="22">
          <cell r="H22">
            <v>662828.85000000021</v>
          </cell>
        </row>
        <row r="23">
          <cell r="H23">
            <v>4577996.0199999996</v>
          </cell>
        </row>
        <row r="24">
          <cell r="H24">
            <v>7233279.29</v>
          </cell>
        </row>
        <row r="25">
          <cell r="H25">
            <v>0</v>
          </cell>
        </row>
        <row r="26">
          <cell r="H26">
            <v>1288338.56</v>
          </cell>
        </row>
        <row r="29">
          <cell r="H29">
            <v>754495.81064999988</v>
          </cell>
        </row>
        <row r="30">
          <cell r="H30">
            <v>3191691.8638373255</v>
          </cell>
        </row>
        <row r="31">
          <cell r="H31">
            <v>58973.513549999996</v>
          </cell>
        </row>
        <row r="39">
          <cell r="H39">
            <v>0</v>
          </cell>
        </row>
        <row r="40">
          <cell r="H40">
            <v>774920.3562591254</v>
          </cell>
        </row>
        <row r="41">
          <cell r="H41">
            <v>445154.99749636295</v>
          </cell>
        </row>
        <row r="42">
          <cell r="H42">
            <v>1140940.0888554812</v>
          </cell>
        </row>
        <row r="43">
          <cell r="H43">
            <v>220286.59138483641</v>
          </cell>
        </row>
        <row r="44">
          <cell r="H44">
            <v>350543.13302486204</v>
          </cell>
        </row>
        <row r="45">
          <cell r="H45">
            <v>547339.10297933198</v>
          </cell>
        </row>
        <row r="46">
          <cell r="H46">
            <v>0</v>
          </cell>
        </row>
        <row r="47">
          <cell r="H47">
            <v>0</v>
          </cell>
        </row>
        <row r="50">
          <cell r="H50">
            <v>5485497.4708950408</v>
          </cell>
        </row>
        <row r="51">
          <cell r="H51">
            <v>0</v>
          </cell>
        </row>
        <row r="52">
          <cell r="H52">
            <v>0</v>
          </cell>
        </row>
        <row r="53">
          <cell r="H53">
            <v>5252246.3991049621</v>
          </cell>
        </row>
        <row r="54">
          <cell r="H54">
            <v>0</v>
          </cell>
        </row>
        <row r="56">
          <cell r="H56">
            <v>0</v>
          </cell>
        </row>
        <row r="58">
          <cell r="H58">
            <v>0</v>
          </cell>
        </row>
      </sheetData>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ew Corporation"/>
      <sheetName val="Pivot"/>
      <sheetName val="Detail"/>
    </sheetNames>
    <sheetDataSet>
      <sheetData sheetId="0">
        <row r="12">
          <cell r="G12">
            <v>401598</v>
          </cell>
        </row>
        <row r="13">
          <cell r="G13">
            <v>23000</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porate overhead Detail"/>
    </sheetNames>
    <sheetDataSet>
      <sheetData sheetId="0">
        <row r="14">
          <cell r="E14">
            <v>1551717.3599999999</v>
          </cell>
        </row>
        <row r="17">
          <cell r="D17">
            <v>3080016.89</v>
          </cell>
          <cell r="E17">
            <v>186379.37</v>
          </cell>
        </row>
        <row r="25">
          <cell r="E25">
            <v>818007.97</v>
          </cell>
        </row>
        <row r="29">
          <cell r="D29">
            <v>1139037.79</v>
          </cell>
          <cell r="E29">
            <v>58457.05</v>
          </cell>
        </row>
        <row r="32">
          <cell r="E32">
            <v>395833.80000000005</v>
          </cell>
        </row>
        <row r="33">
          <cell r="E33">
            <v>64.19</v>
          </cell>
        </row>
        <row r="34">
          <cell r="E34">
            <v>89902.889999999985</v>
          </cell>
        </row>
        <row r="35">
          <cell r="E35">
            <v>-242.83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0C0C0">
            <a:alpha val="89803"/>
          </a:srgbClr>
        </a:solidFill>
        <a:ln w="9525" cap="flat" cmpd="sng" algn="ctr">
          <a:noFill/>
          <a:prstDash val="solid"/>
          <a:round/>
          <a:headEnd type="none" w="med" len="med"/>
          <a:tailEnd type="none" w="med" len="med"/>
        </a:ln>
        <a:effectLst/>
      </a:spPr>
      <a:bodyPr vertOverflow="clip" wrap="square" lIns="180000" tIns="46800" rIns="180000" bIns="46800" upright="1"/>
      <a:lstStyle/>
    </a:spDef>
    <a:lnDef>
      <a:spPr bwMode="auto">
        <a:xfrm>
          <a:off x="0" y="0"/>
          <a:ext cx="1" cy="1"/>
        </a:xfrm>
        <a:custGeom>
          <a:avLst/>
          <a:gdLst/>
          <a:ahLst/>
          <a:cxnLst/>
          <a:rect l="0" t="0" r="0" b="0"/>
          <a:pathLst/>
        </a:custGeom>
        <a:solidFill>
          <a:srgbClr val="C0C0C0">
            <a:alpha val="89803"/>
          </a:srgbClr>
        </a:solidFill>
        <a:ln w="9525" cap="flat" cmpd="sng" algn="ctr">
          <a:noFill/>
          <a:prstDash val="solid"/>
          <a:round/>
          <a:headEnd type="none" w="med" len="med"/>
          <a:tailEnd type="none" w="med" len="med"/>
        </a:ln>
        <a:effectLst/>
      </a:spPr>
      <a:bodyPr vertOverflow="clip" wrap="square" lIns="180000" tIns="46800" rIns="180000" bIns="4680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8:I43"/>
  <sheetViews>
    <sheetView zoomScaleNormal="100" zoomScaleSheetLayoutView="100" workbookViewId="0">
      <selection activeCell="B35" sqref="B35:C35"/>
    </sheetView>
  </sheetViews>
  <sheetFormatPr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4.42578125" style="2" customWidth="1"/>
    <col min="8" max="8" width="4.85546875" style="2" customWidth="1"/>
    <col min="9" max="16384" width="9.140625" style="2"/>
  </cols>
  <sheetData>
    <row r="8" spans="1:8" ht="20.25" x14ac:dyDescent="0.3">
      <c r="A8" s="1" t="s">
        <v>31</v>
      </c>
    </row>
    <row r="9" spans="1:8" ht="20.25" x14ac:dyDescent="0.3">
      <c r="A9" s="1" t="s">
        <v>32</v>
      </c>
    </row>
    <row r="11" spans="1:8" x14ac:dyDescent="0.2">
      <c r="A11" s="3" t="s">
        <v>33</v>
      </c>
    </row>
    <row r="12" spans="1:8" ht="13.5" thickBot="1" x14ac:dyDescent="0.25"/>
    <row r="13" spans="1:8" ht="15.75" x14ac:dyDescent="0.2">
      <c r="A13" s="526" t="s">
        <v>34</v>
      </c>
      <c r="B13" s="527"/>
      <c r="C13" s="527"/>
      <c r="D13" s="527"/>
      <c r="E13" s="527"/>
      <c r="F13" s="527"/>
      <c r="G13" s="527"/>
      <c r="H13" s="528"/>
    </row>
    <row r="14" spans="1:8" x14ac:dyDescent="0.2">
      <c r="A14" s="404" t="s">
        <v>411</v>
      </c>
      <c r="B14" s="405"/>
      <c r="C14" s="405"/>
      <c r="D14" s="405"/>
      <c r="E14" s="405"/>
      <c r="F14" s="405"/>
      <c r="G14" s="405"/>
      <c r="H14" s="406"/>
    </row>
    <row r="15" spans="1:8" x14ac:dyDescent="0.2">
      <c r="A15" s="532" t="s">
        <v>409</v>
      </c>
      <c r="B15" s="533"/>
      <c r="C15" s="533"/>
      <c r="D15" s="533"/>
      <c r="E15" s="533"/>
      <c r="F15" s="533"/>
      <c r="G15" s="533"/>
      <c r="H15" s="534"/>
    </row>
    <row r="16" spans="1:8" ht="13.5" thickBot="1" x14ac:dyDescent="0.25">
      <c r="A16" s="529" t="s">
        <v>410</v>
      </c>
      <c r="B16" s="530"/>
      <c r="C16" s="530"/>
      <c r="D16" s="530"/>
      <c r="E16" s="530"/>
      <c r="F16" s="530"/>
      <c r="G16" s="530"/>
      <c r="H16" s="531"/>
    </row>
    <row r="17" spans="1:9" x14ac:dyDescent="0.2">
      <c r="A17" s="524"/>
      <c r="B17" s="525"/>
      <c r="C17" s="525"/>
      <c r="D17" s="525"/>
      <c r="E17" s="525"/>
      <c r="F17" s="525"/>
      <c r="G17" s="525"/>
      <c r="H17" s="525"/>
    </row>
    <row r="18" spans="1:9" x14ac:dyDescent="0.2">
      <c r="A18" s="4" t="s">
        <v>35</v>
      </c>
      <c r="B18" s="5"/>
      <c r="C18" s="5"/>
      <c r="D18" s="6"/>
      <c r="E18" s="6"/>
      <c r="F18" s="6"/>
    </row>
    <row r="19" spans="1:9" x14ac:dyDescent="0.2">
      <c r="A19" s="7" t="s">
        <v>374</v>
      </c>
    </row>
    <row r="21" spans="1:9" x14ac:dyDescent="0.2">
      <c r="I21" s="8"/>
    </row>
    <row r="22" spans="1:9" ht="18" x14ac:dyDescent="0.25">
      <c r="A22" s="9" t="s">
        <v>36</v>
      </c>
      <c r="B22" s="10"/>
      <c r="C22" s="539" t="s">
        <v>89</v>
      </c>
      <c r="D22" s="540"/>
      <c r="E22" s="540"/>
    </row>
    <row r="23" spans="1:9" ht="18" x14ac:dyDescent="0.25">
      <c r="A23" s="11"/>
      <c r="B23" s="11"/>
    </row>
    <row r="24" spans="1:9" ht="18" x14ac:dyDescent="0.25">
      <c r="A24" s="9" t="s">
        <v>37</v>
      </c>
      <c r="B24" s="10"/>
      <c r="C24" s="539"/>
      <c r="D24" s="540"/>
      <c r="E24" s="540"/>
    </row>
    <row r="25" spans="1:9" ht="18" x14ac:dyDescent="0.25">
      <c r="A25" s="11"/>
      <c r="B25" s="11"/>
      <c r="C25" s="541"/>
      <c r="D25" s="542"/>
      <c r="E25" s="542"/>
    </row>
    <row r="26" spans="1:9" ht="18" x14ac:dyDescent="0.25">
      <c r="A26" s="12" t="s">
        <v>38</v>
      </c>
      <c r="B26" s="13"/>
      <c r="C26" s="543" t="s">
        <v>8</v>
      </c>
      <c r="D26" s="544"/>
      <c r="E26" s="545"/>
    </row>
    <row r="29" spans="1:9" ht="13.5" thickBot="1" x14ac:dyDescent="0.25"/>
    <row r="30" spans="1:9" x14ac:dyDescent="0.2">
      <c r="A30" s="30"/>
      <c r="B30" s="31"/>
      <c r="C30" s="31"/>
      <c r="D30" s="31"/>
      <c r="E30" s="32"/>
      <c r="F30" s="32"/>
      <c r="G30" s="33"/>
    </row>
    <row r="31" spans="1:9" x14ac:dyDescent="0.2">
      <c r="A31" s="34" t="s">
        <v>39</v>
      </c>
      <c r="B31" s="535" t="s">
        <v>40</v>
      </c>
      <c r="C31" s="536"/>
      <c r="D31" s="537"/>
      <c r="E31" s="538"/>
      <c r="F31" s="538"/>
      <c r="G31" s="36"/>
    </row>
    <row r="32" spans="1:9" x14ac:dyDescent="0.2">
      <c r="A32" s="34"/>
      <c r="B32" s="535" t="s">
        <v>41</v>
      </c>
      <c r="C32" s="536"/>
      <c r="D32" s="537"/>
      <c r="E32" s="538"/>
      <c r="F32" s="538"/>
      <c r="G32" s="36"/>
    </row>
    <row r="33" spans="1:7" x14ac:dyDescent="0.2">
      <c r="A33" s="34"/>
      <c r="B33" s="37"/>
      <c r="C33" s="35" t="s">
        <v>42</v>
      </c>
      <c r="D33" s="38"/>
      <c r="E33" s="35" t="s">
        <v>43</v>
      </c>
      <c r="F33" s="38"/>
      <c r="G33" s="40"/>
    </row>
    <row r="34" spans="1:7" x14ac:dyDescent="0.2">
      <c r="A34" s="34"/>
      <c r="B34" s="37"/>
      <c r="C34" s="37"/>
      <c r="D34" s="37"/>
      <c r="E34" s="39"/>
      <c r="F34" s="37"/>
      <c r="G34" s="41"/>
    </row>
    <row r="35" spans="1:7" x14ac:dyDescent="0.2">
      <c r="A35" s="34" t="s">
        <v>44</v>
      </c>
      <c r="B35" s="535" t="s">
        <v>40</v>
      </c>
      <c r="C35" s="536"/>
      <c r="D35" s="546"/>
      <c r="E35" s="547"/>
      <c r="F35" s="547"/>
      <c r="G35" s="42"/>
    </row>
    <row r="36" spans="1:7" x14ac:dyDescent="0.2">
      <c r="A36" s="34"/>
      <c r="B36" s="535" t="s">
        <v>41</v>
      </c>
      <c r="C36" s="536"/>
      <c r="D36" s="546"/>
      <c r="E36" s="547"/>
      <c r="F36" s="547"/>
      <c r="G36" s="42"/>
    </row>
    <row r="37" spans="1:7" x14ac:dyDescent="0.2">
      <c r="A37" s="43"/>
      <c r="B37" s="37"/>
      <c r="C37" s="35" t="s">
        <v>42</v>
      </c>
      <c r="D37" s="38"/>
      <c r="E37" s="35" t="s">
        <v>43</v>
      </c>
      <c r="F37" s="38"/>
      <c r="G37" s="40"/>
    </row>
    <row r="38" spans="1:7" ht="13.5" thickBot="1" x14ac:dyDescent="0.25">
      <c r="A38" s="44"/>
      <c r="B38" s="45"/>
      <c r="C38" s="45"/>
      <c r="D38" s="45"/>
      <c r="E38" s="46"/>
      <c r="F38" s="46"/>
      <c r="G38" s="47"/>
    </row>
    <row r="39" spans="1:7" x14ac:dyDescent="0.2">
      <c r="A39" s="30"/>
      <c r="B39" s="31"/>
      <c r="C39" s="31"/>
      <c r="D39" s="31"/>
      <c r="E39" s="32"/>
      <c r="F39" s="32"/>
      <c r="G39" s="33"/>
    </row>
    <row r="40" spans="1:7" x14ac:dyDescent="0.2">
      <c r="A40" s="34" t="s">
        <v>45</v>
      </c>
      <c r="B40" s="537"/>
      <c r="C40" s="538"/>
      <c r="D40" s="549"/>
      <c r="E40" s="549"/>
      <c r="F40" s="550"/>
      <c r="G40" s="41"/>
    </row>
    <row r="41" spans="1:7" x14ac:dyDescent="0.2">
      <c r="A41" s="34" t="s">
        <v>46</v>
      </c>
      <c r="B41" s="537"/>
      <c r="C41" s="538"/>
      <c r="D41" s="538"/>
      <c r="E41" s="538"/>
      <c r="F41" s="548"/>
      <c r="G41" s="41"/>
    </row>
    <row r="42" spans="1:7" x14ac:dyDescent="0.2">
      <c r="A42" s="34" t="s">
        <v>47</v>
      </c>
      <c r="B42" s="537"/>
      <c r="C42" s="538"/>
      <c r="D42" s="538"/>
      <c r="E42" s="538"/>
      <c r="F42" s="548"/>
      <c r="G42" s="41"/>
    </row>
    <row r="43" spans="1:7" ht="13.5" thickBot="1" x14ac:dyDescent="0.25">
      <c r="A43" s="44"/>
      <c r="B43" s="45"/>
      <c r="C43" s="45"/>
      <c r="D43" s="45"/>
      <c r="E43" s="46"/>
      <c r="F43" s="46"/>
      <c r="G43" s="47"/>
    </row>
  </sheetData>
  <mergeCells count="19">
    <mergeCell ref="B32:C32"/>
    <mergeCell ref="D32:F32"/>
    <mergeCell ref="B35:C35"/>
    <mergeCell ref="D35:F35"/>
    <mergeCell ref="B42:F42"/>
    <mergeCell ref="B36:C36"/>
    <mergeCell ref="D36:F36"/>
    <mergeCell ref="B40:F40"/>
    <mergeCell ref="B41:F41"/>
    <mergeCell ref="A17:H17"/>
    <mergeCell ref="A13:H13"/>
    <mergeCell ref="A16:H16"/>
    <mergeCell ref="A15:H15"/>
    <mergeCell ref="B31:C31"/>
    <mergeCell ref="D31:F31"/>
    <mergeCell ref="C22:E22"/>
    <mergeCell ref="C25:E25"/>
    <mergeCell ref="C26:E26"/>
    <mergeCell ref="C24:E24"/>
  </mergeCells>
  <phoneticPr fontId="9" type="noConversion"/>
  <dataValidations count="1">
    <dataValidation type="list" allowBlank="1" showInputMessage="1" showErrorMessage="1" sqref="C26:E26">
      <formula1>"2012-13,2013-14"</formula1>
    </dataValidation>
  </dataValidations>
  <pageMargins left="0.35433070866141736" right="0.35433070866141736" top="0.59055118110236227" bottom="0.59055118110236227" header="0.51181102362204722" footer="0.11811023622047245"/>
  <pageSetup paperSize="9" scale="98" fitToHeight="100" orientation="portrait" r:id="rId1"/>
  <headerFooter scaleWithDoc="0" alignWithMargins="0">
    <oddFooter>&amp;L&amp;8&amp;D&amp;C&amp;8&amp; Template: &amp;A
&amp;F&amp;R&amp;8&amp;P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L73"/>
  <sheetViews>
    <sheetView showGridLines="0" topLeftCell="A50" zoomScaleNormal="100" zoomScaleSheetLayoutView="70" workbookViewId="0">
      <selection activeCell="C35" sqref="C35"/>
    </sheetView>
  </sheetViews>
  <sheetFormatPr defaultRowHeight="12.75" x14ac:dyDescent="0.2"/>
  <cols>
    <col min="1" max="1" width="12" style="65" customWidth="1"/>
    <col min="2" max="2" width="16.42578125" style="65" bestFit="1" customWidth="1"/>
    <col min="3" max="3" width="41.28515625" style="65" customWidth="1"/>
    <col min="4" max="12" width="15.7109375" style="65" customWidth="1"/>
    <col min="13" max="16384" width="9.140625" style="65"/>
  </cols>
  <sheetData>
    <row r="1" spans="2:12" ht="20.25" x14ac:dyDescent="0.3">
      <c r="B1" s="26" t="str">
        <f>Cover!C22</f>
        <v>ActewAGL</v>
      </c>
      <c r="C1" s="27"/>
      <c r="D1" s="27"/>
      <c r="E1" s="27"/>
      <c r="F1" s="27"/>
      <c r="G1" s="27"/>
      <c r="H1" s="27"/>
      <c r="I1" s="27"/>
      <c r="J1" s="27"/>
      <c r="K1" s="27"/>
      <c r="L1" s="27"/>
    </row>
    <row r="2" spans="2:12" ht="20.25" x14ac:dyDescent="0.3">
      <c r="B2" s="617" t="s">
        <v>117</v>
      </c>
      <c r="C2" s="617"/>
      <c r="D2" s="618"/>
      <c r="E2" s="618"/>
    </row>
    <row r="3" spans="2:12" ht="20.25" x14ac:dyDescent="0.3">
      <c r="B3" s="26" t="str">
        <f>Cover!C26</f>
        <v>2012-13</v>
      </c>
    </row>
    <row r="4" spans="2:12" ht="12.75" customHeight="1" x14ac:dyDescent="0.3">
      <c r="B4" s="64"/>
    </row>
    <row r="5" spans="2:12" ht="67.5" customHeight="1" x14ac:dyDescent="0.2">
      <c r="B5" s="619" t="s">
        <v>253</v>
      </c>
      <c r="C5" s="581"/>
    </row>
    <row r="6" spans="2:12" ht="12.75" customHeight="1" x14ac:dyDescent="0.3">
      <c r="B6" s="64"/>
    </row>
    <row r="7" spans="2:12" ht="19.5" customHeight="1" x14ac:dyDescent="0.2">
      <c r="B7" s="555" t="s">
        <v>72</v>
      </c>
      <c r="C7" s="555"/>
      <c r="D7" s="555"/>
      <c r="E7" s="555"/>
    </row>
    <row r="8" spans="2:12" ht="12.75" customHeight="1" x14ac:dyDescent="0.3">
      <c r="B8" s="64"/>
    </row>
    <row r="9" spans="2:12" ht="60" customHeight="1" x14ac:dyDescent="0.2">
      <c r="B9" s="73" t="s">
        <v>51</v>
      </c>
      <c r="C9" s="74" t="s">
        <v>52</v>
      </c>
      <c r="D9" s="75" t="s">
        <v>53</v>
      </c>
      <c r="E9" s="75" t="s">
        <v>54</v>
      </c>
      <c r="F9" s="76" t="s">
        <v>65</v>
      </c>
      <c r="G9" s="620" t="s">
        <v>73</v>
      </c>
      <c r="H9" s="621"/>
      <c r="I9" s="622"/>
      <c r="J9" s="145" t="s">
        <v>74</v>
      </c>
      <c r="K9" s="76" t="s">
        <v>66</v>
      </c>
      <c r="L9" s="77" t="s">
        <v>67</v>
      </c>
    </row>
    <row r="10" spans="2:12" ht="23.25" customHeight="1" x14ac:dyDescent="0.2">
      <c r="B10" s="73"/>
      <c r="C10" s="74"/>
      <c r="D10" s="75"/>
      <c r="E10" s="75"/>
      <c r="F10" s="76"/>
      <c r="G10" s="76" t="s">
        <v>15</v>
      </c>
      <c r="H10" s="76" t="s">
        <v>16</v>
      </c>
      <c r="I10" s="76" t="s">
        <v>90</v>
      </c>
      <c r="J10" s="78" t="s">
        <v>106</v>
      </c>
      <c r="K10" s="76"/>
      <c r="L10" s="77"/>
    </row>
    <row r="11" spans="2:12" x14ac:dyDescent="0.2">
      <c r="B11" s="79"/>
      <c r="C11" s="80" t="s">
        <v>75</v>
      </c>
      <c r="D11" s="29" t="s">
        <v>57</v>
      </c>
      <c r="E11" s="29" t="s">
        <v>57</v>
      </c>
      <c r="F11" s="29" t="s">
        <v>57</v>
      </c>
      <c r="G11" s="29" t="s">
        <v>57</v>
      </c>
      <c r="H11" s="29" t="s">
        <v>57</v>
      </c>
      <c r="I11" s="29"/>
      <c r="J11" s="29" t="s">
        <v>57</v>
      </c>
      <c r="K11" s="29" t="s">
        <v>57</v>
      </c>
      <c r="L11" s="29" t="s">
        <v>57</v>
      </c>
    </row>
    <row r="12" spans="2:12" x14ac:dyDescent="0.2">
      <c r="B12" s="130"/>
      <c r="C12" s="148" t="s">
        <v>91</v>
      </c>
      <c r="D12" s="149"/>
      <c r="E12" s="149"/>
      <c r="F12" s="149"/>
      <c r="G12" s="149"/>
      <c r="H12" s="149"/>
      <c r="I12" s="149"/>
      <c r="J12" s="149"/>
      <c r="K12" s="149"/>
      <c r="L12" s="149"/>
    </row>
    <row r="13" spans="2:12" ht="12.75" customHeight="1" x14ac:dyDescent="0.2">
      <c r="B13" s="130"/>
      <c r="C13" s="150" t="s">
        <v>107</v>
      </c>
      <c r="D13" s="151">
        <f>SUM(E13:F13)</f>
        <v>2271119.5500000003</v>
      </c>
      <c r="E13" s="151">
        <f>-'[6]Comparison Nominal Dollars'!$X$22</f>
        <v>23863.368252313187</v>
      </c>
      <c r="F13" s="151">
        <f>H13+J13+L13</f>
        <v>2247256.181747687</v>
      </c>
      <c r="G13" s="151">
        <f>'[6]Comparison Nominal Dollars'!$W$22</f>
        <v>2365771.4792630137</v>
      </c>
      <c r="H13" s="151">
        <f>'[6]Comparison Nominal Dollars'!$Z$22</f>
        <v>2247256.181747687</v>
      </c>
      <c r="I13" s="133">
        <f>(H13-G13)/G13</f>
        <v>-5.0095834933408946E-2</v>
      </c>
      <c r="J13" s="151">
        <v>0</v>
      </c>
      <c r="K13" s="183"/>
      <c r="L13" s="151">
        <v>0</v>
      </c>
    </row>
    <row r="14" spans="2:12" x14ac:dyDescent="0.2">
      <c r="B14" s="130"/>
      <c r="C14" s="150" t="s">
        <v>108</v>
      </c>
      <c r="D14" s="151">
        <f>SUM(E14:F14)</f>
        <v>97049.379999999976</v>
      </c>
      <c r="E14" s="151">
        <f>-'[6]Comparison Nominal Dollars'!$X$23</f>
        <v>1019.7283950105917</v>
      </c>
      <c r="F14" s="151">
        <f>H14+J14+L14</f>
        <v>96029.651604989383</v>
      </c>
      <c r="G14" s="151">
        <f>'[6]Comparison Nominal Dollars'!$W$23</f>
        <v>189201.65608399612</v>
      </c>
      <c r="H14" s="151">
        <f>'[6]Comparison Nominal Dollars'!$Z$23</f>
        <v>96029.651604989383</v>
      </c>
      <c r="I14" s="133">
        <f>(H14-G14)/G14</f>
        <v>-0.49244814452175301</v>
      </c>
      <c r="J14" s="151">
        <v>0</v>
      </c>
      <c r="K14" s="183"/>
      <c r="L14" s="151">
        <v>0</v>
      </c>
    </row>
    <row r="15" spans="2:12" x14ac:dyDescent="0.2">
      <c r="B15" s="130"/>
      <c r="C15" s="138" t="s">
        <v>83</v>
      </c>
      <c r="D15" s="152">
        <f t="shared" ref="D15:J15" si="0">SUM(D13:D14)</f>
        <v>2368168.9300000002</v>
      </c>
      <c r="E15" s="152">
        <f t="shared" ref="E15" si="1">SUM(E13:E14)</f>
        <v>24883.096647323779</v>
      </c>
      <c r="F15" s="152">
        <f t="shared" si="0"/>
        <v>2343285.8333526766</v>
      </c>
      <c r="G15" s="152">
        <f t="shared" si="0"/>
        <v>2554973.1353470096</v>
      </c>
      <c r="H15" s="152">
        <f t="shared" si="0"/>
        <v>2343285.8333526766</v>
      </c>
      <c r="I15" s="133">
        <f>(H15-G15)/G15</f>
        <v>-8.2853044153664748E-2</v>
      </c>
      <c r="J15" s="152">
        <f t="shared" si="0"/>
        <v>0</v>
      </c>
      <c r="K15" s="152"/>
      <c r="L15" s="152">
        <f>SUM(L13:L14)</f>
        <v>0</v>
      </c>
    </row>
    <row r="16" spans="2:12" x14ac:dyDescent="0.2">
      <c r="B16" s="130"/>
      <c r="C16" s="153" t="s">
        <v>14</v>
      </c>
      <c r="D16" s="149"/>
      <c r="E16" s="149"/>
      <c r="F16" s="149"/>
      <c r="G16" s="149"/>
      <c r="H16" s="149"/>
      <c r="I16" s="149"/>
      <c r="J16" s="149"/>
      <c r="K16" s="149"/>
      <c r="L16" s="149"/>
    </row>
    <row r="17" spans="2:12" x14ac:dyDescent="0.2">
      <c r="B17" s="130"/>
      <c r="C17" s="150" t="s">
        <v>107</v>
      </c>
      <c r="D17" s="151">
        <f>SUM(E17:F17)</f>
        <v>41333.359999999993</v>
      </c>
      <c r="E17" s="151">
        <f>-'[6]Comparison Nominal Dollars'!$X$26</f>
        <v>434.302628756567</v>
      </c>
      <c r="F17" s="151">
        <f>H17+J17+L17</f>
        <v>40899.057371243427</v>
      </c>
      <c r="G17" s="151">
        <f>'[6]Comparison Nominal Dollars'!$W$26</f>
        <v>261514.12404074016</v>
      </c>
      <c r="H17" s="151">
        <f>'[6]Comparison Nominal Dollars'!$Z$26</f>
        <v>40899.057371243427</v>
      </c>
      <c r="I17" s="133">
        <f>(H17-G17)/G17</f>
        <v>-0.84360669802724708</v>
      </c>
      <c r="J17" s="151">
        <v>0</v>
      </c>
      <c r="K17" s="183"/>
      <c r="L17" s="151">
        <v>0</v>
      </c>
    </row>
    <row r="18" spans="2:12" x14ac:dyDescent="0.2">
      <c r="B18" s="130"/>
      <c r="C18" s="150" t="s">
        <v>108</v>
      </c>
      <c r="D18" s="151">
        <f>SUM(E18:F18)</f>
        <v>31790.37</v>
      </c>
      <c r="E18" s="151">
        <f>-'[6]Comparison Nominal Dollars'!$X$27</f>
        <v>334.03142788643135</v>
      </c>
      <c r="F18" s="151">
        <f>H18+J18+L18</f>
        <v>31456.338572113567</v>
      </c>
      <c r="G18" s="151">
        <f>'[6]Comparison Nominal Dollars'!$W$27</f>
        <v>25706.588055370172</v>
      </c>
      <c r="H18" s="151">
        <f>'[6]Comparison Nominal Dollars'!$Z$27</f>
        <v>31456.338572113567</v>
      </c>
      <c r="I18" s="133">
        <f>(H18-G18)/G18</f>
        <v>0.22366836487046976</v>
      </c>
      <c r="J18" s="151">
        <v>0</v>
      </c>
      <c r="K18" s="183"/>
      <c r="L18" s="151">
        <v>0</v>
      </c>
    </row>
    <row r="19" spans="2:12" x14ac:dyDescent="0.2">
      <c r="B19" s="130"/>
      <c r="C19" s="138" t="s">
        <v>83</v>
      </c>
      <c r="D19" s="152">
        <f t="shared" ref="D19:J19" si="2">SUM(D17:D18)</f>
        <v>73123.73</v>
      </c>
      <c r="E19" s="152">
        <f t="shared" ref="E19" si="3">SUM(E17:E18)</f>
        <v>768.33405664299835</v>
      </c>
      <c r="F19" s="152">
        <f t="shared" si="2"/>
        <v>72355.395943356998</v>
      </c>
      <c r="G19" s="152">
        <f t="shared" si="2"/>
        <v>287220.71209611034</v>
      </c>
      <c r="H19" s="152">
        <f t="shared" si="2"/>
        <v>72355.395943356998</v>
      </c>
      <c r="I19" s="133">
        <f>(H19-G19)/G19</f>
        <v>-0.74808433759768234</v>
      </c>
      <c r="J19" s="152">
        <f t="shared" si="2"/>
        <v>0</v>
      </c>
      <c r="K19" s="183"/>
      <c r="L19" s="152">
        <f>SUM(L17:L18)</f>
        <v>0</v>
      </c>
    </row>
    <row r="20" spans="2:12" x14ac:dyDescent="0.2">
      <c r="B20" s="130"/>
      <c r="C20" s="153" t="s">
        <v>109</v>
      </c>
      <c r="D20" s="149"/>
      <c r="E20" s="149"/>
      <c r="F20" s="149"/>
      <c r="G20" s="149"/>
      <c r="H20" s="149"/>
      <c r="I20" s="149"/>
      <c r="J20" s="149"/>
      <c r="K20" s="149"/>
      <c r="L20" s="149"/>
    </row>
    <row r="21" spans="2:12" x14ac:dyDescent="0.2">
      <c r="B21" s="130"/>
      <c r="C21" s="150" t="s">
        <v>107</v>
      </c>
      <c r="D21" s="151">
        <f>SUM(E21:F21)</f>
        <v>245112.68</v>
      </c>
      <c r="E21" s="151">
        <f>-'[6]Comparison Nominal Dollars'!$X$30</f>
        <v>2575.4761109565547</v>
      </c>
      <c r="F21" s="151">
        <f>H21+J21+L21</f>
        <v>242537.20388904345</v>
      </c>
      <c r="G21" s="151">
        <f>'[6]Comparison Nominal Dollars'!$W$30</f>
        <v>392380.56845741806</v>
      </c>
      <c r="H21" s="151">
        <f>'[6]Comparison Nominal Dollars'!$Z$30</f>
        <v>242537.20388904345</v>
      </c>
      <c r="I21" s="133">
        <f>(H21-G21)/G21</f>
        <v>-0.38188273480886176</v>
      </c>
      <c r="J21" s="151">
        <v>0</v>
      </c>
      <c r="K21" s="183"/>
      <c r="L21" s="151">
        <v>0</v>
      </c>
    </row>
    <row r="22" spans="2:12" x14ac:dyDescent="0.2">
      <c r="B22" s="130"/>
      <c r="C22" s="150" t="s">
        <v>108</v>
      </c>
      <c r="D22" s="151">
        <f>SUM(E22:F22)</f>
        <v>3151993.49</v>
      </c>
      <c r="E22" s="151">
        <f>-'[6]Comparison Nominal Dollars'!$X$31</f>
        <v>33118.988113489599</v>
      </c>
      <c r="F22" s="151">
        <f>H22+J22+L22</f>
        <v>3118874.5018865108</v>
      </c>
      <c r="G22" s="151">
        <f>'[6]Comparison Nominal Dollars'!$W$31</f>
        <v>1441875.7679294664</v>
      </c>
      <c r="H22" s="151">
        <f>'[6]Comparison Nominal Dollars'!$Z$31</f>
        <v>3118874.5018865108</v>
      </c>
      <c r="I22" s="133">
        <f>(H22-G22)/G22</f>
        <v>1.1630674231839089</v>
      </c>
      <c r="J22" s="151">
        <v>0</v>
      </c>
      <c r="K22" s="183"/>
      <c r="L22" s="151">
        <v>0</v>
      </c>
    </row>
    <row r="23" spans="2:12" x14ac:dyDescent="0.2">
      <c r="B23" s="130"/>
      <c r="C23" s="138" t="s">
        <v>83</v>
      </c>
      <c r="D23" s="152">
        <f t="shared" ref="D23:J23" si="4">SUM(D21:D22)</f>
        <v>3397106.1700000004</v>
      </c>
      <c r="E23" s="152">
        <f t="shared" ref="E23" si="5">SUM(E21:E22)</f>
        <v>35694.46422444615</v>
      </c>
      <c r="F23" s="152">
        <f t="shared" si="4"/>
        <v>3361411.7057755543</v>
      </c>
      <c r="G23" s="152">
        <f t="shared" si="4"/>
        <v>1834256.3363868846</v>
      </c>
      <c r="H23" s="152">
        <f t="shared" si="4"/>
        <v>3361411.7057755543</v>
      </c>
      <c r="I23" s="133">
        <f>(H23-G23)/G23</f>
        <v>0.83257467295811993</v>
      </c>
      <c r="J23" s="152">
        <f t="shared" si="4"/>
        <v>0</v>
      </c>
      <c r="K23" s="152"/>
      <c r="L23" s="152">
        <f>SUM(L21:L22)</f>
        <v>0</v>
      </c>
    </row>
    <row r="24" spans="2:12" x14ac:dyDescent="0.2">
      <c r="B24" s="130"/>
      <c r="C24" s="153" t="s">
        <v>110</v>
      </c>
      <c r="D24" s="149"/>
      <c r="E24" s="149"/>
      <c r="F24" s="149"/>
      <c r="G24" s="149"/>
      <c r="H24" s="149"/>
      <c r="I24" s="149"/>
      <c r="J24" s="149"/>
      <c r="K24" s="149"/>
      <c r="L24" s="149"/>
    </row>
    <row r="25" spans="2:12" x14ac:dyDescent="0.2">
      <c r="B25" s="130"/>
      <c r="C25" s="150" t="s">
        <v>107</v>
      </c>
      <c r="D25" s="151">
        <f>SUM(E25:F25)</f>
        <v>12944872.600000001</v>
      </c>
      <c r="E25" s="151">
        <f>-'[6]Comparison Nominal Dollars'!$X$34</f>
        <v>136015.85254861589</v>
      </c>
      <c r="F25" s="151">
        <f>H25+J25+L25</f>
        <v>12808856.747451385</v>
      </c>
      <c r="G25" s="151">
        <f>'[6]Comparison Nominal Dollars'!$W$34</f>
        <v>8653133.1065206062</v>
      </c>
      <c r="H25" s="151">
        <f>'[6]Comparison Nominal Dollars'!$Z$34</f>
        <v>12808856.747451385</v>
      </c>
      <c r="I25" s="133">
        <f>(H25-G25)/G25</f>
        <v>0.48025652555826465</v>
      </c>
      <c r="J25" s="151">
        <v>0</v>
      </c>
      <c r="K25" s="183"/>
      <c r="L25" s="151">
        <v>0</v>
      </c>
    </row>
    <row r="26" spans="2:12" x14ac:dyDescent="0.2">
      <c r="B26" s="130"/>
      <c r="C26" s="150" t="s">
        <v>108</v>
      </c>
      <c r="D26" s="151">
        <f>SUM(E26:F26)</f>
        <v>3578152.93</v>
      </c>
      <c r="E26" s="151">
        <f>-'[6]Comparison Nominal Dollars'!$X$35</f>
        <v>37596.779540594158</v>
      </c>
      <c r="F26" s="151">
        <f>H26+J26+L26</f>
        <v>3540556.150459406</v>
      </c>
      <c r="G26" s="151">
        <f>'[6]Comparison Nominal Dollars'!$W$35</f>
        <v>2414419.4531630296</v>
      </c>
      <c r="H26" s="151">
        <f>'[6]Comparison Nominal Dollars'!$Z$35</f>
        <v>3540556.150459406</v>
      </c>
      <c r="I26" s="133">
        <f>(H26-G26)/G26</f>
        <v>0.46642131541024157</v>
      </c>
      <c r="J26" s="151">
        <v>0</v>
      </c>
      <c r="K26" s="183"/>
      <c r="L26" s="151">
        <v>0</v>
      </c>
    </row>
    <row r="27" spans="2:12" x14ac:dyDescent="0.2">
      <c r="B27" s="130"/>
      <c r="C27" s="138" t="s">
        <v>83</v>
      </c>
      <c r="D27" s="152">
        <f t="shared" ref="D27:J27" si="6">SUM(D25:D26)</f>
        <v>16523025.530000001</v>
      </c>
      <c r="E27" s="152">
        <f t="shared" ref="E27" si="7">SUM(E25:E26)</f>
        <v>173612.63208921003</v>
      </c>
      <c r="F27" s="152">
        <f t="shared" si="6"/>
        <v>16349412.897910792</v>
      </c>
      <c r="G27" s="152">
        <f t="shared" si="6"/>
        <v>11067552.559683636</v>
      </c>
      <c r="H27" s="152">
        <f t="shared" si="6"/>
        <v>16349412.897910792</v>
      </c>
      <c r="I27" s="133">
        <f>(H27-G27)/G27</f>
        <v>0.47723833338435373</v>
      </c>
      <c r="J27" s="152">
        <f t="shared" si="6"/>
        <v>0</v>
      </c>
      <c r="K27" s="152"/>
      <c r="L27" s="152">
        <f>SUM(L25:L26)</f>
        <v>0</v>
      </c>
    </row>
    <row r="28" spans="2:12" x14ac:dyDescent="0.2">
      <c r="B28" s="130"/>
      <c r="C28" s="153" t="s">
        <v>111</v>
      </c>
      <c r="D28" s="149"/>
      <c r="E28" s="149"/>
      <c r="F28" s="149"/>
      <c r="G28" s="149"/>
      <c r="H28" s="149"/>
      <c r="I28" s="149"/>
      <c r="J28" s="149"/>
      <c r="K28" s="149"/>
      <c r="L28" s="149"/>
    </row>
    <row r="29" spans="2:12" x14ac:dyDescent="0.2">
      <c r="B29" s="130"/>
      <c r="C29" s="150" t="s">
        <v>107</v>
      </c>
      <c r="D29" s="151">
        <f>SUM(E29:F29)</f>
        <v>1461123.75</v>
      </c>
      <c r="E29" s="151">
        <f>-'[6]Comparison Nominal Dollars'!$X$38</f>
        <v>15352.487326548171</v>
      </c>
      <c r="F29" s="151">
        <f>H29+J29+L29</f>
        <v>1445771.2626734518</v>
      </c>
      <c r="G29" s="151">
        <f>'[6]Comparison Nominal Dollars'!$W$38</f>
        <v>2325987.7983499942</v>
      </c>
      <c r="H29" s="151">
        <f>'[6]Comparison Nominal Dollars'!$Z$38</f>
        <v>1445771.2626734518</v>
      </c>
      <c r="I29" s="133">
        <f>(H29-G29)/G29</f>
        <v>-0.37842697898112326</v>
      </c>
      <c r="J29" s="151">
        <v>0</v>
      </c>
      <c r="K29" s="183"/>
      <c r="L29" s="151">
        <v>0</v>
      </c>
    </row>
    <row r="30" spans="2:12" x14ac:dyDescent="0.2">
      <c r="B30" s="130"/>
      <c r="C30" s="150" t="s">
        <v>108</v>
      </c>
      <c r="D30" s="151">
        <f>SUM(E30:F30)</f>
        <v>411600.75</v>
      </c>
      <c r="E30" s="151">
        <f>-'[6]Comparison Nominal Dollars'!$X$39</f>
        <v>4324.8186869679739</v>
      </c>
      <c r="F30" s="151">
        <f>H30+J30+L30</f>
        <v>407275.93131303205</v>
      </c>
      <c r="G30" s="151">
        <f>'[6]Comparison Nominal Dollars'!$W$39:$W$39</f>
        <v>245587.04704880514</v>
      </c>
      <c r="H30" s="151">
        <f>'[6]Comparison Nominal Dollars'!$Z$39</f>
        <v>407275.93131303205</v>
      </c>
      <c r="I30" s="133">
        <f>(H30-G30)/G30</f>
        <v>0.65837708546613505</v>
      </c>
      <c r="J30" s="151">
        <v>0</v>
      </c>
      <c r="K30" s="183"/>
      <c r="L30" s="151">
        <v>0</v>
      </c>
    </row>
    <row r="31" spans="2:12" x14ac:dyDescent="0.2">
      <c r="B31" s="130"/>
      <c r="C31" s="166" t="s">
        <v>58</v>
      </c>
      <c r="D31" s="151"/>
      <c r="E31" s="151"/>
      <c r="F31" s="151"/>
      <c r="G31" s="151"/>
      <c r="H31" s="151"/>
      <c r="I31" s="133"/>
      <c r="J31" s="151"/>
      <c r="K31" s="183"/>
      <c r="L31" s="151"/>
    </row>
    <row r="32" spans="2:12" ht="27" customHeight="1" x14ac:dyDescent="0.2">
      <c r="B32" s="130"/>
      <c r="C32" s="150" t="s">
        <v>143</v>
      </c>
      <c r="D32" s="151">
        <f>SUM(E32:F32)</f>
        <v>559245.01</v>
      </c>
      <c r="E32" s="151">
        <v>0</v>
      </c>
      <c r="F32" s="151">
        <f>H32+J32+L32</f>
        <v>559245.01</v>
      </c>
      <c r="G32" s="151">
        <v>0</v>
      </c>
      <c r="H32" s="151">
        <v>0</v>
      </c>
      <c r="I32" s="133"/>
      <c r="J32" s="151">
        <f>'[6]Comparison Nominal Dollars'!$Z$63</f>
        <v>559245.01</v>
      </c>
      <c r="K32" s="183"/>
      <c r="L32" s="151">
        <v>0</v>
      </c>
    </row>
    <row r="33" spans="2:12" x14ac:dyDescent="0.2">
      <c r="B33" s="130"/>
      <c r="C33" s="138" t="s">
        <v>83</v>
      </c>
      <c r="D33" s="152">
        <f>SUM(D29:D32)</f>
        <v>2431969.5099999998</v>
      </c>
      <c r="E33" s="152">
        <f t="shared" ref="E33:H33" si="8">SUM(E29:E32)</f>
        <v>19677.306013516143</v>
      </c>
      <c r="F33" s="152">
        <f t="shared" si="8"/>
        <v>2412292.2039864836</v>
      </c>
      <c r="G33" s="152">
        <f t="shared" si="8"/>
        <v>2571574.8453987995</v>
      </c>
      <c r="H33" s="152">
        <f t="shared" si="8"/>
        <v>1853047.1939864838</v>
      </c>
      <c r="I33" s="133">
        <f>(H33-G33)/G33</f>
        <v>-0.27941152585853923</v>
      </c>
      <c r="J33" s="152">
        <f>SUM(J29:J32)</f>
        <v>559245.01</v>
      </c>
      <c r="K33" s="183"/>
      <c r="L33" s="152">
        <f>SUM(L29:L32)</f>
        <v>0</v>
      </c>
    </row>
    <row r="34" spans="2:12" x14ac:dyDescent="0.2">
      <c r="B34" s="79"/>
      <c r="C34" s="81" t="s">
        <v>70</v>
      </c>
      <c r="D34" s="432">
        <f>SUM(D15,D19,D23,D27,D33,)</f>
        <v>24793393.869999997</v>
      </c>
      <c r="E34" s="432">
        <f>SUM(E15,E19,E23,E27,E33,)</f>
        <v>254635.8330311391</v>
      </c>
      <c r="F34" s="432">
        <f>SUM(F15,F19,F23,F27,F33,)</f>
        <v>24538758.036968865</v>
      </c>
      <c r="G34" s="432">
        <f>SUM(G15,G19,G23,G27,G33,)</f>
        <v>18315577.588912439</v>
      </c>
      <c r="H34" s="432">
        <f>SUM(H15,H19,H23,H27,H33,)</f>
        <v>23979513.026968863</v>
      </c>
      <c r="I34" s="518">
        <f>(H34-G34)/G34</f>
        <v>0.30924143181185604</v>
      </c>
      <c r="J34" s="432">
        <f>SUM(J15,J19,J23,J27,J33,)</f>
        <v>559245.01</v>
      </c>
      <c r="K34" s="432"/>
      <c r="L34" s="432">
        <f>SUM(L15,L19,L23,L27,L33,)</f>
        <v>0</v>
      </c>
    </row>
    <row r="35" spans="2:12" x14ac:dyDescent="0.2">
      <c r="H35" s="522"/>
    </row>
    <row r="36" spans="2:12" ht="19.5" x14ac:dyDescent="0.25">
      <c r="B36" s="83" t="s">
        <v>113</v>
      </c>
      <c r="C36" s="132"/>
      <c r="D36" s="132"/>
      <c r="E36" s="101"/>
      <c r="F36" s="101"/>
      <c r="G36" s="101"/>
      <c r="H36" s="101"/>
      <c r="I36" s="101"/>
      <c r="J36" s="101"/>
      <c r="K36" s="101"/>
    </row>
    <row r="37" spans="2:12" ht="19.5" x14ac:dyDescent="0.25">
      <c r="B37" s="83"/>
      <c r="C37" s="132"/>
      <c r="D37" s="132"/>
      <c r="E37" s="101"/>
      <c r="F37" s="101"/>
      <c r="G37" s="101"/>
      <c r="H37" s="101"/>
      <c r="I37" s="101"/>
      <c r="J37" s="101"/>
      <c r="K37" s="101"/>
    </row>
    <row r="38" spans="2:12" ht="15" x14ac:dyDescent="0.2">
      <c r="B38" s="578" t="s">
        <v>126</v>
      </c>
      <c r="C38" s="584"/>
      <c r="D38" s="579"/>
      <c r="E38" s="101"/>
      <c r="F38" s="101"/>
      <c r="G38" s="101"/>
      <c r="H38" s="101"/>
      <c r="I38" s="101"/>
      <c r="J38" s="101"/>
      <c r="K38" s="101"/>
    </row>
    <row r="39" spans="2:12" ht="15" x14ac:dyDescent="0.2">
      <c r="B39" s="103"/>
      <c r="C39" s="104"/>
      <c r="D39" s="104"/>
      <c r="E39" s="104"/>
      <c r="F39" s="102"/>
      <c r="G39" s="102"/>
      <c r="H39" s="102"/>
      <c r="I39" s="102"/>
      <c r="J39" s="102"/>
      <c r="K39" s="102"/>
    </row>
    <row r="40" spans="2:12" x14ac:dyDescent="0.2">
      <c r="B40" s="105" t="s">
        <v>4</v>
      </c>
      <c r="C40" s="447" t="s">
        <v>5</v>
      </c>
      <c r="D40" s="450"/>
      <c r="E40" s="450"/>
      <c r="F40" s="450"/>
      <c r="G40" s="450"/>
      <c r="H40" s="450"/>
      <c r="I40" s="450"/>
      <c r="J40" s="450"/>
      <c r="K40" s="451"/>
    </row>
    <row r="41" spans="2:12" ht="22.5" x14ac:dyDescent="0.2">
      <c r="B41" s="449" t="s">
        <v>455</v>
      </c>
      <c r="C41" s="605" t="s">
        <v>519</v>
      </c>
      <c r="D41" s="606"/>
      <c r="E41" s="606"/>
      <c r="F41" s="606"/>
      <c r="G41" s="606"/>
      <c r="H41" s="606"/>
      <c r="I41" s="606"/>
      <c r="J41" s="606"/>
      <c r="K41" s="607"/>
    </row>
    <row r="42" spans="2:12" ht="22.5" customHeight="1" x14ac:dyDescent="0.2">
      <c r="B42" s="449" t="s">
        <v>456</v>
      </c>
      <c r="C42" s="605" t="s">
        <v>520</v>
      </c>
      <c r="D42" s="606"/>
      <c r="E42" s="606"/>
      <c r="F42" s="606"/>
      <c r="G42" s="606"/>
      <c r="H42" s="606"/>
      <c r="I42" s="606"/>
      <c r="J42" s="606"/>
      <c r="K42" s="607"/>
    </row>
    <row r="43" spans="2:12" ht="25.5" customHeight="1" x14ac:dyDescent="0.2">
      <c r="B43" s="449" t="s">
        <v>521</v>
      </c>
      <c r="C43" s="605" t="s">
        <v>522</v>
      </c>
      <c r="D43" s="606"/>
      <c r="E43" s="606"/>
      <c r="F43" s="606"/>
      <c r="G43" s="606"/>
      <c r="H43" s="606"/>
      <c r="I43" s="606"/>
      <c r="J43" s="606"/>
      <c r="K43" s="607"/>
    </row>
    <row r="44" spans="2:12" ht="24" customHeight="1" x14ac:dyDescent="0.2">
      <c r="B44" s="449" t="s">
        <v>509</v>
      </c>
      <c r="C44" s="605" t="s">
        <v>526</v>
      </c>
      <c r="D44" s="606"/>
      <c r="E44" s="606"/>
      <c r="F44" s="606"/>
      <c r="G44" s="606"/>
      <c r="H44" s="606"/>
      <c r="I44" s="606"/>
      <c r="J44" s="606"/>
      <c r="K44" s="607"/>
    </row>
    <row r="45" spans="2:12" ht="24" customHeight="1" x14ac:dyDescent="0.2">
      <c r="B45" s="449" t="s">
        <v>457</v>
      </c>
      <c r="C45" s="605" t="s">
        <v>523</v>
      </c>
      <c r="D45" s="606"/>
      <c r="E45" s="606"/>
      <c r="F45" s="606"/>
      <c r="G45" s="606"/>
      <c r="H45" s="606"/>
      <c r="I45" s="606"/>
      <c r="J45" s="606"/>
      <c r="K45" s="607"/>
    </row>
    <row r="46" spans="2:12" ht="22.5" customHeight="1" x14ac:dyDescent="0.2">
      <c r="B46" s="449" t="s">
        <v>458</v>
      </c>
      <c r="C46" s="605" t="s">
        <v>529</v>
      </c>
      <c r="D46" s="606"/>
      <c r="E46" s="606"/>
      <c r="F46" s="606"/>
      <c r="G46" s="606"/>
      <c r="H46" s="606"/>
      <c r="I46" s="606"/>
      <c r="J46" s="606"/>
      <c r="K46" s="607"/>
    </row>
    <row r="47" spans="2:12" ht="22.5" customHeight="1" x14ac:dyDescent="0.2">
      <c r="B47" s="449" t="s">
        <v>459</v>
      </c>
      <c r="C47" s="605" t="s">
        <v>527</v>
      </c>
      <c r="D47" s="606"/>
      <c r="E47" s="606"/>
      <c r="F47" s="606"/>
      <c r="G47" s="606"/>
      <c r="H47" s="606"/>
      <c r="I47" s="606"/>
      <c r="J47" s="606"/>
      <c r="K47" s="607"/>
    </row>
    <row r="48" spans="2:12" ht="22.5" customHeight="1" x14ac:dyDescent="0.2">
      <c r="B48" s="449" t="s">
        <v>524</v>
      </c>
      <c r="C48" s="605" t="s">
        <v>528</v>
      </c>
      <c r="D48" s="606"/>
      <c r="E48" s="606"/>
      <c r="F48" s="606"/>
      <c r="G48" s="606"/>
      <c r="H48" s="606"/>
      <c r="I48" s="606"/>
      <c r="J48" s="606"/>
      <c r="K48" s="607"/>
    </row>
    <row r="49" spans="2:11" ht="22.5" customHeight="1" x14ac:dyDescent="0.2">
      <c r="B49" s="449" t="s">
        <v>525</v>
      </c>
      <c r="C49" s="605" t="s">
        <v>527</v>
      </c>
      <c r="D49" s="606"/>
      <c r="E49" s="606"/>
      <c r="F49" s="606"/>
      <c r="G49" s="606"/>
      <c r="H49" s="606"/>
      <c r="I49" s="606"/>
      <c r="J49" s="606"/>
      <c r="K49" s="607"/>
    </row>
    <row r="51" spans="2:11" ht="15.75" x14ac:dyDescent="0.2">
      <c r="B51" s="555" t="s">
        <v>142</v>
      </c>
      <c r="C51" s="555"/>
      <c r="D51" s="555"/>
      <c r="E51" s="555"/>
    </row>
    <row r="52" spans="2:11" ht="15.75" x14ac:dyDescent="0.2">
      <c r="B52" s="164"/>
      <c r="C52" s="164"/>
      <c r="D52" s="164"/>
      <c r="E52" s="164"/>
    </row>
    <row r="53" spans="2:11" x14ac:dyDescent="0.2">
      <c r="B53" s="583" t="s">
        <v>275</v>
      </c>
      <c r="C53" s="584"/>
      <c r="D53" s="584"/>
      <c r="E53" s="579"/>
    </row>
    <row r="54" spans="2:11" ht="15.75" x14ac:dyDescent="0.2">
      <c r="B54" s="164"/>
      <c r="C54" s="164"/>
      <c r="D54" s="164"/>
      <c r="E54" s="164"/>
    </row>
    <row r="55" spans="2:11" ht="51" x14ac:dyDescent="0.2">
      <c r="B55" s="167" t="s">
        <v>62</v>
      </c>
      <c r="C55" s="74" t="s">
        <v>52</v>
      </c>
      <c r="D55" s="75" t="s">
        <v>53</v>
      </c>
      <c r="E55" s="75" t="s">
        <v>54</v>
      </c>
      <c r="F55" s="76" t="s">
        <v>65</v>
      </c>
    </row>
    <row r="56" spans="2:11" x14ac:dyDescent="0.2">
      <c r="B56" s="73"/>
      <c r="C56" s="74"/>
      <c r="D56" s="29" t="s">
        <v>57</v>
      </c>
      <c r="E56" s="29" t="s">
        <v>57</v>
      </c>
      <c r="F56" s="29" t="s">
        <v>57</v>
      </c>
    </row>
    <row r="57" spans="2:11" x14ac:dyDescent="0.2">
      <c r="B57" s="168"/>
      <c r="C57" s="163" t="s">
        <v>449</v>
      </c>
      <c r="D57" s="517">
        <f>E57+F57</f>
        <v>559245.01</v>
      </c>
      <c r="E57" s="517">
        <v>0</v>
      </c>
      <c r="F57" s="517">
        <f>J32</f>
        <v>559245.01</v>
      </c>
    </row>
    <row r="58" spans="2:11" x14ac:dyDescent="0.2">
      <c r="B58" s="168"/>
      <c r="C58" s="163"/>
      <c r="D58" s="163"/>
      <c r="E58" s="163"/>
      <c r="F58" s="163"/>
    </row>
    <row r="59" spans="2:11" x14ac:dyDescent="0.2">
      <c r="B59" s="168"/>
      <c r="C59" s="163"/>
      <c r="D59" s="163"/>
      <c r="E59" s="163"/>
      <c r="F59" s="163"/>
    </row>
    <row r="60" spans="2:11" x14ac:dyDescent="0.2">
      <c r="B60" s="168"/>
      <c r="C60" s="163"/>
      <c r="D60" s="163"/>
      <c r="E60" s="163"/>
      <c r="F60" s="163"/>
    </row>
    <row r="61" spans="2:11" x14ac:dyDescent="0.2">
      <c r="B61" s="168"/>
      <c r="C61" s="163"/>
      <c r="D61" s="163"/>
      <c r="E61" s="163"/>
      <c r="F61" s="163"/>
    </row>
    <row r="62" spans="2:11" x14ac:dyDescent="0.2">
      <c r="B62" s="168"/>
      <c r="C62" s="163"/>
      <c r="D62" s="163"/>
      <c r="E62" s="163"/>
      <c r="F62" s="163"/>
    </row>
    <row r="64" spans="2:11" ht="15.75" x14ac:dyDescent="0.25">
      <c r="B64" s="83" t="s">
        <v>114</v>
      </c>
      <c r="E64" s="84"/>
      <c r="G64" s="85"/>
      <c r="H64" s="85"/>
      <c r="I64" s="85"/>
    </row>
    <row r="65" spans="2:11" ht="15.75" x14ac:dyDescent="0.25">
      <c r="B65" s="83"/>
      <c r="E65" s="84"/>
      <c r="G65" s="85"/>
      <c r="H65" s="85"/>
      <c r="I65" s="85"/>
    </row>
    <row r="66" spans="2:11" x14ac:dyDescent="0.2">
      <c r="B66" s="583" t="s">
        <v>275</v>
      </c>
      <c r="C66" s="584"/>
      <c r="D66" s="584"/>
      <c r="E66" s="579"/>
      <c r="G66" s="85"/>
      <c r="H66" s="85"/>
      <c r="I66" s="85"/>
    </row>
    <row r="68" spans="2:11" x14ac:dyDescent="0.2">
      <c r="B68" s="165" t="s">
        <v>76</v>
      </c>
      <c r="C68" s="614" t="s">
        <v>77</v>
      </c>
      <c r="D68" s="615"/>
      <c r="E68" s="615"/>
      <c r="F68" s="616"/>
      <c r="G68" s="614" t="s">
        <v>78</v>
      </c>
      <c r="H68" s="615"/>
      <c r="I68" s="615"/>
      <c r="J68" s="615"/>
      <c r="K68" s="616"/>
    </row>
    <row r="69" spans="2:11" x14ac:dyDescent="0.2">
      <c r="B69" s="129" t="s">
        <v>500</v>
      </c>
      <c r="C69" s="610" t="s">
        <v>503</v>
      </c>
      <c r="D69" s="611"/>
      <c r="E69" s="611"/>
      <c r="F69" s="612"/>
      <c r="G69" s="515">
        <v>2715.0099999999998</v>
      </c>
      <c r="H69" s="510"/>
      <c r="I69" s="510"/>
      <c r="J69" s="510"/>
      <c r="K69" s="511"/>
    </row>
    <row r="70" spans="2:11" x14ac:dyDescent="0.2">
      <c r="B70" s="129" t="s">
        <v>504</v>
      </c>
      <c r="C70" s="610" t="s">
        <v>505</v>
      </c>
      <c r="D70" s="611"/>
      <c r="E70" s="611"/>
      <c r="F70" s="612"/>
      <c r="G70" s="515">
        <f>'[10]Pivot Retail'!$B$9</f>
        <v>700.09</v>
      </c>
      <c r="H70" s="510"/>
      <c r="I70" s="510"/>
      <c r="J70" s="510"/>
      <c r="K70" s="511"/>
    </row>
    <row r="71" spans="2:11" x14ac:dyDescent="0.2">
      <c r="B71" s="129"/>
      <c r="C71" s="610"/>
      <c r="D71" s="611"/>
      <c r="E71" s="611"/>
      <c r="F71" s="612"/>
      <c r="G71" s="515"/>
      <c r="H71" s="510"/>
      <c r="I71" s="510"/>
      <c r="J71" s="510"/>
      <c r="K71" s="511"/>
    </row>
    <row r="72" spans="2:11" x14ac:dyDescent="0.2">
      <c r="B72" s="129"/>
      <c r="C72" s="613"/>
      <c r="D72" s="613"/>
      <c r="E72" s="613"/>
      <c r="F72" s="613"/>
      <c r="G72" s="515"/>
      <c r="H72" s="510"/>
      <c r="I72" s="510"/>
      <c r="J72" s="510"/>
      <c r="K72" s="511"/>
    </row>
    <row r="73" spans="2:11" x14ac:dyDescent="0.2">
      <c r="B73" s="86"/>
      <c r="C73" s="608" t="s">
        <v>79</v>
      </c>
      <c r="D73" s="609"/>
      <c r="E73" s="609"/>
      <c r="F73" s="609"/>
      <c r="G73" s="516">
        <f>SUM(G69:J72)</f>
        <v>3415.1</v>
      </c>
      <c r="H73" s="513"/>
      <c r="I73" s="513"/>
      <c r="J73" s="513"/>
      <c r="K73" s="514"/>
    </row>
  </sheetData>
  <mergeCells count="24">
    <mergeCell ref="B2:E2"/>
    <mergeCell ref="B7:E7"/>
    <mergeCell ref="C69:F69"/>
    <mergeCell ref="B5:C5"/>
    <mergeCell ref="C45:K45"/>
    <mergeCell ref="C48:K48"/>
    <mergeCell ref="C49:K49"/>
    <mergeCell ref="C46:K46"/>
    <mergeCell ref="G9:I9"/>
    <mergeCell ref="G68:K68"/>
    <mergeCell ref="C41:K41"/>
    <mergeCell ref="C42:K42"/>
    <mergeCell ref="B38:D38"/>
    <mergeCell ref="B53:E53"/>
    <mergeCell ref="B66:E66"/>
    <mergeCell ref="C43:K43"/>
    <mergeCell ref="C44:K44"/>
    <mergeCell ref="C47:K47"/>
    <mergeCell ref="B51:E51"/>
    <mergeCell ref="C73:F73"/>
    <mergeCell ref="C71:F71"/>
    <mergeCell ref="C72:F72"/>
    <mergeCell ref="C70:F70"/>
    <mergeCell ref="C68:F68"/>
  </mergeCells>
  <phoneticPr fontId="35" type="noConversion"/>
  <pageMargins left="0.35433070866141736" right="0.35433070866141736" top="0.59055118110236227" bottom="0.59055118110236227" header="0.51181102362204722" footer="0.11811023622047245"/>
  <pageSetup paperSize="9" scale="71" fitToHeight="100" orientation="landscape" r:id="rId1"/>
  <headerFooter scaleWithDoc="0" alignWithMargins="0">
    <oddFooter>&amp;L&amp;8&amp;D&amp;C&amp;8&amp; Template: &amp;A
&amp;F&amp;R&amp;8&amp;P of &amp;N</oddFooter>
  </headerFooter>
  <rowBreaks count="1" manualBreakCount="1">
    <brk id="35"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1:L46"/>
  <sheetViews>
    <sheetView showGridLines="0" topLeftCell="A16" zoomScaleNormal="100" zoomScaleSheetLayoutView="75" workbookViewId="0">
      <selection activeCell="C35" sqref="C35"/>
    </sheetView>
  </sheetViews>
  <sheetFormatPr defaultRowHeight="12.75" x14ac:dyDescent="0.2"/>
  <cols>
    <col min="1" max="1" width="12" style="65" customWidth="1"/>
    <col min="2" max="2" width="16.42578125" style="65" bestFit="1" customWidth="1"/>
    <col min="3" max="3" width="47.7109375" style="65" customWidth="1"/>
    <col min="4" max="12" width="15.7109375" style="65" customWidth="1"/>
    <col min="13" max="16384" width="9.140625" style="65"/>
  </cols>
  <sheetData>
    <row r="1" spans="2:12" ht="20.25" x14ac:dyDescent="0.3">
      <c r="B1" s="26" t="str">
        <f>Cover!C22</f>
        <v>ActewAGL</v>
      </c>
      <c r="C1" s="27"/>
      <c r="D1" s="27"/>
      <c r="E1" s="27"/>
      <c r="F1" s="27"/>
      <c r="G1" s="27"/>
      <c r="H1" s="27"/>
      <c r="I1" s="27"/>
      <c r="J1" s="27"/>
      <c r="K1" s="27"/>
      <c r="L1" s="27"/>
    </row>
    <row r="2" spans="2:12" ht="20.25" x14ac:dyDescent="0.3">
      <c r="B2" s="617" t="s">
        <v>399</v>
      </c>
      <c r="C2" s="617"/>
      <c r="D2" s="618"/>
    </row>
    <row r="3" spans="2:12" ht="20.25" x14ac:dyDescent="0.3">
      <c r="B3" s="26" t="str">
        <f>Cover!C26</f>
        <v>2012-13</v>
      </c>
    </row>
    <row r="4" spans="2:12" ht="12.75" customHeight="1" x14ac:dyDescent="0.3">
      <c r="B4" s="64"/>
    </row>
    <row r="5" spans="2:12" ht="63.75" customHeight="1" x14ac:dyDescent="0.2">
      <c r="B5" s="580" t="s">
        <v>252</v>
      </c>
      <c r="C5" s="581"/>
    </row>
    <row r="6" spans="2:12" ht="12.75" customHeight="1" x14ac:dyDescent="0.3">
      <c r="B6" s="64"/>
    </row>
    <row r="7" spans="2:12" ht="19.5" customHeight="1" x14ac:dyDescent="0.2">
      <c r="B7" s="555" t="s">
        <v>80</v>
      </c>
      <c r="C7" s="555"/>
      <c r="D7" s="555"/>
      <c r="E7" s="555"/>
    </row>
    <row r="8" spans="2:12" x14ac:dyDescent="0.2">
      <c r="B8" s="67"/>
      <c r="C8" s="68"/>
      <c r="D8" s="69"/>
      <c r="E8" s="69"/>
      <c r="F8" s="70"/>
      <c r="G8" s="70"/>
      <c r="H8" s="70"/>
      <c r="I8" s="70"/>
      <c r="J8" s="71"/>
      <c r="K8" s="72"/>
      <c r="L8" s="72"/>
    </row>
    <row r="9" spans="2:12" ht="51" x14ac:dyDescent="0.2">
      <c r="B9" s="73" t="s">
        <v>51</v>
      </c>
      <c r="C9" s="74" t="s">
        <v>52</v>
      </c>
      <c r="D9" s="75" t="s">
        <v>53</v>
      </c>
      <c r="E9" s="75" t="s">
        <v>54</v>
      </c>
      <c r="F9" s="76" t="s">
        <v>65</v>
      </c>
      <c r="G9" s="620" t="s">
        <v>73</v>
      </c>
      <c r="H9" s="621"/>
      <c r="I9" s="622"/>
      <c r="J9" s="145" t="s">
        <v>74</v>
      </c>
      <c r="K9" s="76" t="s">
        <v>66</v>
      </c>
      <c r="L9" s="77" t="s">
        <v>67</v>
      </c>
    </row>
    <row r="10" spans="2:12" x14ac:dyDescent="0.2">
      <c r="B10" s="73"/>
      <c r="C10" s="74"/>
      <c r="D10" s="75"/>
      <c r="E10" s="75"/>
      <c r="F10" s="76"/>
      <c r="G10" s="76" t="s">
        <v>15</v>
      </c>
      <c r="H10" s="76" t="s">
        <v>16</v>
      </c>
      <c r="I10" s="76" t="s">
        <v>90</v>
      </c>
      <c r="J10" s="78" t="s">
        <v>106</v>
      </c>
      <c r="K10" s="76"/>
      <c r="L10" s="77"/>
    </row>
    <row r="11" spans="2:12" x14ac:dyDescent="0.2">
      <c r="B11" s="79"/>
      <c r="C11" s="80" t="s">
        <v>112</v>
      </c>
      <c r="D11" s="29" t="s">
        <v>57</v>
      </c>
      <c r="E11" s="29" t="s">
        <v>57</v>
      </c>
      <c r="F11" s="29" t="s">
        <v>57</v>
      </c>
      <c r="G11" s="29" t="s">
        <v>57</v>
      </c>
      <c r="H11" s="29" t="s">
        <v>57</v>
      </c>
      <c r="I11" s="29"/>
      <c r="J11" s="29" t="s">
        <v>57</v>
      </c>
      <c r="K11" s="29" t="s">
        <v>57</v>
      </c>
      <c r="L11" s="29" t="s">
        <v>57</v>
      </c>
    </row>
    <row r="12" spans="2:12" x14ac:dyDescent="0.2">
      <c r="B12" s="130"/>
      <c r="C12" s="148" t="s">
        <v>91</v>
      </c>
      <c r="D12" s="149"/>
      <c r="E12" s="149"/>
      <c r="F12" s="149"/>
      <c r="G12" s="149"/>
      <c r="H12" s="149"/>
      <c r="I12" s="149"/>
      <c r="J12" s="149"/>
      <c r="K12" s="149"/>
      <c r="L12" s="149"/>
    </row>
    <row r="13" spans="2:12" ht="10.5" customHeight="1" x14ac:dyDescent="0.2">
      <c r="B13" s="130"/>
      <c r="C13" s="150" t="s">
        <v>107</v>
      </c>
      <c r="D13" s="151">
        <f>SUM(E13:F13)</f>
        <v>156608.21000000002</v>
      </c>
      <c r="E13" s="151">
        <f>-'[6]Comparison Nominal Dollars'!$X$22</f>
        <v>23863.368252313187</v>
      </c>
      <c r="F13" s="151">
        <f>H13+J13+L13</f>
        <v>132744.84174768685</v>
      </c>
      <c r="G13" s="151">
        <v>0</v>
      </c>
      <c r="H13" s="151">
        <f>SUM('[6]Control P&amp;L'!$BA$67)+SUM('[6]Control P&amp;L'!$BA$73)+'[6]Comparison Nominal Dollars'!$X$22</f>
        <v>132744.84174768685</v>
      </c>
      <c r="I13" s="133" t="e">
        <f>(H13-G13)/G13</f>
        <v>#DIV/0!</v>
      </c>
      <c r="J13" s="151">
        <v>0</v>
      </c>
      <c r="K13" s="183"/>
      <c r="L13" s="151">
        <v>0</v>
      </c>
    </row>
    <row r="14" spans="2:12" x14ac:dyDescent="0.2">
      <c r="B14" s="130"/>
      <c r="C14" s="150" t="s">
        <v>108</v>
      </c>
      <c r="D14" s="151">
        <f>SUM(E14:F14)</f>
        <v>11324.590000000002</v>
      </c>
      <c r="E14" s="151">
        <f>-'[6]Comparison Nominal Dollars'!$X$23</f>
        <v>1019.7283950105917</v>
      </c>
      <c r="F14" s="151">
        <f>H14+J14+L14</f>
        <v>10304.86160498941</v>
      </c>
      <c r="G14" s="151">
        <v>0</v>
      </c>
      <c r="H14" s="151">
        <f>SUM('[6]Control P&amp;L'!$BA$79)+'[6]Comparison Nominal Dollars'!$X$23</f>
        <v>10304.86160498941</v>
      </c>
      <c r="I14" s="133" t="e">
        <f>(H14-G14)/G14</f>
        <v>#DIV/0!</v>
      </c>
      <c r="J14" s="151">
        <v>0</v>
      </c>
      <c r="K14" s="183"/>
      <c r="L14" s="151">
        <v>0</v>
      </c>
    </row>
    <row r="15" spans="2:12" x14ac:dyDescent="0.2">
      <c r="B15" s="130"/>
      <c r="C15" s="138" t="s">
        <v>83</v>
      </c>
      <c r="D15" s="152">
        <f t="shared" ref="D15:F15" si="0">SUM(D13:D14)</f>
        <v>167932.80000000002</v>
      </c>
      <c r="E15" s="152">
        <f t="shared" ref="E15" si="1">SUM(E13:E14)</f>
        <v>24883.096647323779</v>
      </c>
      <c r="F15" s="152">
        <f t="shared" si="0"/>
        <v>143049.70335267627</v>
      </c>
      <c r="G15" s="152">
        <f t="shared" ref="G15:L15" si="2">SUM(G13:G14)</f>
        <v>0</v>
      </c>
      <c r="H15" s="152">
        <f t="shared" si="2"/>
        <v>143049.70335267627</v>
      </c>
      <c r="I15" s="133"/>
      <c r="J15" s="152">
        <f t="shared" si="2"/>
        <v>0</v>
      </c>
      <c r="K15" s="152"/>
      <c r="L15" s="152">
        <f t="shared" si="2"/>
        <v>0</v>
      </c>
    </row>
    <row r="16" spans="2:12" x14ac:dyDescent="0.2">
      <c r="B16" s="130"/>
      <c r="C16" s="153" t="s">
        <v>14</v>
      </c>
      <c r="D16" s="149"/>
      <c r="E16" s="149"/>
      <c r="F16" s="149"/>
      <c r="G16" s="149"/>
      <c r="H16" s="149"/>
      <c r="I16" s="149"/>
      <c r="J16" s="149"/>
      <c r="K16" s="149"/>
      <c r="L16" s="149"/>
    </row>
    <row r="17" spans="2:12" x14ac:dyDescent="0.2">
      <c r="B17" s="130"/>
      <c r="C17" s="150" t="s">
        <v>107</v>
      </c>
      <c r="D17" s="151">
        <f>SUM(E17:F17)</f>
        <v>9085.3100000000013</v>
      </c>
      <c r="E17" s="151">
        <f>-'[6]Comparison Nominal Dollars'!$X$26</f>
        <v>434.302628756567</v>
      </c>
      <c r="F17" s="151">
        <f>H17+J17+L17</f>
        <v>8651.007371243435</v>
      </c>
      <c r="G17" s="151">
        <v>0</v>
      </c>
      <c r="H17" s="151">
        <f>SUM('[6]Control P&amp;L'!$BA$68)+SUM('[6]Control P&amp;L'!$BA$74)+'[6]Comparison Nominal Dollars'!$X$26</f>
        <v>8651.007371243435</v>
      </c>
      <c r="I17" s="133" t="e">
        <f>(H17-G17)/G17</f>
        <v>#DIV/0!</v>
      </c>
      <c r="J17" s="151">
        <v>0</v>
      </c>
      <c r="K17" s="183"/>
      <c r="L17" s="151">
        <v>0</v>
      </c>
    </row>
    <row r="18" spans="2:12" x14ac:dyDescent="0.2">
      <c r="B18" s="130"/>
      <c r="C18" s="150" t="s">
        <v>108</v>
      </c>
      <c r="D18" s="151">
        <f>SUM(E18:F18)</f>
        <v>2479.8900000000003</v>
      </c>
      <c r="E18" s="151">
        <f>-'[6]Comparison Nominal Dollars'!$X$27</f>
        <v>334.03142788643135</v>
      </c>
      <c r="F18" s="151">
        <f>H18+J18+L18</f>
        <v>2145.8585721135692</v>
      </c>
      <c r="G18" s="151">
        <v>0</v>
      </c>
      <c r="H18" s="151">
        <f>SUM('[6]Control P&amp;L'!$BA$75)+'[6]Comparison Nominal Dollars'!$X$27</f>
        <v>2145.8585721135692</v>
      </c>
      <c r="I18" s="133" t="e">
        <f>(H18-G18)/G18</f>
        <v>#DIV/0!</v>
      </c>
      <c r="J18" s="151">
        <v>0</v>
      </c>
      <c r="K18" s="183"/>
      <c r="L18" s="151">
        <v>0</v>
      </c>
    </row>
    <row r="19" spans="2:12" x14ac:dyDescent="0.2">
      <c r="B19" s="130"/>
      <c r="C19" s="138" t="s">
        <v>83</v>
      </c>
      <c r="D19" s="152">
        <f t="shared" ref="D19:F19" si="3">SUM(D17:D18)</f>
        <v>11565.2</v>
      </c>
      <c r="E19" s="152">
        <f t="shared" ref="E19" si="4">SUM(E17:E18)</f>
        <v>768.33405664299835</v>
      </c>
      <c r="F19" s="152">
        <f t="shared" si="3"/>
        <v>10796.865943357005</v>
      </c>
      <c r="G19" s="152">
        <f t="shared" ref="G19:L19" si="5">SUM(G17:G18)</f>
        <v>0</v>
      </c>
      <c r="H19" s="152">
        <f t="shared" si="5"/>
        <v>10796.865943357005</v>
      </c>
      <c r="I19" s="133"/>
      <c r="J19" s="152">
        <f t="shared" si="5"/>
        <v>0</v>
      </c>
      <c r="K19" s="152"/>
      <c r="L19" s="152">
        <f t="shared" si="5"/>
        <v>0</v>
      </c>
    </row>
    <row r="20" spans="2:12" x14ac:dyDescent="0.2">
      <c r="B20" s="130"/>
      <c r="C20" s="153" t="s">
        <v>109</v>
      </c>
      <c r="D20" s="149"/>
      <c r="E20" s="149"/>
      <c r="F20" s="149"/>
      <c r="G20" s="149"/>
      <c r="H20" s="149"/>
      <c r="I20" s="149"/>
      <c r="J20" s="149"/>
      <c r="K20" s="149"/>
      <c r="L20" s="149"/>
    </row>
    <row r="21" spans="2:12" x14ac:dyDescent="0.2">
      <c r="B21" s="130"/>
      <c r="C21" s="150" t="s">
        <v>107</v>
      </c>
      <c r="D21" s="151">
        <f>SUM(E21:F21)</f>
        <v>23983.42</v>
      </c>
      <c r="E21" s="151">
        <f>-'[6]Comparison Nominal Dollars'!$X$30</f>
        <v>2575.4761109565547</v>
      </c>
      <c r="F21" s="151">
        <f>H21+J21+L21</f>
        <v>21407.943889043443</v>
      </c>
      <c r="G21" s="151">
        <v>0</v>
      </c>
      <c r="H21" s="151">
        <f>SUM('[6]Control P&amp;L'!$BA$69)+'[6]Comparison Nominal Dollars'!$X$30</f>
        <v>21407.943889043443</v>
      </c>
      <c r="I21" s="133" t="e">
        <f>(H21-G21)/G21</f>
        <v>#DIV/0!</v>
      </c>
      <c r="J21" s="151">
        <v>0</v>
      </c>
      <c r="K21" s="183"/>
      <c r="L21" s="151">
        <v>0</v>
      </c>
    </row>
    <row r="22" spans="2:12" x14ac:dyDescent="0.2">
      <c r="B22" s="130"/>
      <c r="C22" s="150" t="s">
        <v>108</v>
      </c>
      <c r="D22" s="151">
        <f>SUM(E22:F22)</f>
        <v>238869.84999999998</v>
      </c>
      <c r="E22" s="151">
        <f>-'[6]Comparison Nominal Dollars'!$X$31</f>
        <v>33118.988113489599</v>
      </c>
      <c r="F22" s="151">
        <f>H22+J22+L22</f>
        <v>205750.86188651039</v>
      </c>
      <c r="G22" s="151">
        <v>0</v>
      </c>
      <c r="H22" s="151">
        <f>SUM('[6]Control P&amp;L'!$BA$76)+'[6]Comparison Nominal Dollars'!$X$31</f>
        <v>205750.86188651039</v>
      </c>
      <c r="I22" s="133" t="e">
        <f>(H22-G22)/G22</f>
        <v>#DIV/0!</v>
      </c>
      <c r="J22" s="151">
        <v>0</v>
      </c>
      <c r="K22" s="183"/>
      <c r="L22" s="151">
        <v>0</v>
      </c>
    </row>
    <row r="23" spans="2:12" x14ac:dyDescent="0.2">
      <c r="B23" s="130"/>
      <c r="C23" s="138" t="s">
        <v>83</v>
      </c>
      <c r="D23" s="152">
        <f t="shared" ref="D23:F23" si="6">SUM(D21:D22)</f>
        <v>262853.26999999996</v>
      </c>
      <c r="E23" s="152">
        <f t="shared" ref="E23" si="7">SUM(E21:E22)</f>
        <v>35694.46422444615</v>
      </c>
      <c r="F23" s="152">
        <f t="shared" si="6"/>
        <v>227158.80577555383</v>
      </c>
      <c r="G23" s="152">
        <f t="shared" ref="G23:L23" si="8">SUM(G21:G22)</f>
        <v>0</v>
      </c>
      <c r="H23" s="152">
        <f t="shared" si="8"/>
        <v>227158.80577555383</v>
      </c>
      <c r="I23" s="133"/>
      <c r="J23" s="152">
        <f t="shared" si="8"/>
        <v>0</v>
      </c>
      <c r="K23" s="152"/>
      <c r="L23" s="152">
        <f t="shared" si="8"/>
        <v>0</v>
      </c>
    </row>
    <row r="24" spans="2:12" x14ac:dyDescent="0.2">
      <c r="B24" s="130"/>
      <c r="C24" s="153" t="s">
        <v>110</v>
      </c>
      <c r="D24" s="149"/>
      <c r="E24" s="149"/>
      <c r="F24" s="149"/>
      <c r="G24" s="149"/>
      <c r="H24" s="149"/>
      <c r="I24" s="149"/>
      <c r="J24" s="149"/>
      <c r="K24" s="149"/>
      <c r="L24" s="149"/>
    </row>
    <row r="25" spans="2:12" x14ac:dyDescent="0.2">
      <c r="B25" s="130"/>
      <c r="C25" s="150" t="s">
        <v>107</v>
      </c>
      <c r="D25" s="151">
        <f>SUM(E25:F25)</f>
        <v>885375.24</v>
      </c>
      <c r="E25" s="151">
        <f>-'[6]Comparison Nominal Dollars'!$X$34</f>
        <v>136015.85254861589</v>
      </c>
      <c r="F25" s="151">
        <f>H25+J25+L25</f>
        <v>749359.3874513841</v>
      </c>
      <c r="G25" s="151">
        <v>0</v>
      </c>
      <c r="H25" s="151">
        <f>SUM('[6]Control P&amp;L'!$BA$70)+SUM('[6]Control P&amp;L'!$BA$72)+'[6]Comparison Nominal Dollars'!$X$34</f>
        <v>749359.3874513841</v>
      </c>
      <c r="I25" s="133" t="e">
        <f>(H25-G25)/G25</f>
        <v>#DIV/0!</v>
      </c>
      <c r="J25" s="151">
        <v>0</v>
      </c>
      <c r="K25" s="183"/>
      <c r="L25" s="151">
        <v>0</v>
      </c>
    </row>
    <row r="26" spans="2:12" x14ac:dyDescent="0.2">
      <c r="B26" s="130"/>
      <c r="C26" s="150" t="s">
        <v>108</v>
      </c>
      <c r="D26" s="151">
        <f>SUM(E26:F26)</f>
        <v>273166.18</v>
      </c>
      <c r="E26" s="151">
        <f>-'[6]Comparison Nominal Dollars'!$X$35</f>
        <v>37596.779540594158</v>
      </c>
      <c r="F26" s="151">
        <f>H26+J26+L26</f>
        <v>235569.40045940585</v>
      </c>
      <c r="G26" s="151">
        <v>0</v>
      </c>
      <c r="H26" s="151">
        <f>SUM('[6]Control P&amp;L'!$BA$77)+'[6]Comparison Nominal Dollars'!$X$35</f>
        <v>235569.40045940585</v>
      </c>
      <c r="I26" s="133" t="e">
        <f>(H26-G26)/G26</f>
        <v>#DIV/0!</v>
      </c>
      <c r="J26" s="151">
        <v>0</v>
      </c>
      <c r="K26" s="183"/>
      <c r="L26" s="151">
        <v>0</v>
      </c>
    </row>
    <row r="27" spans="2:12" x14ac:dyDescent="0.2">
      <c r="B27" s="130"/>
      <c r="C27" s="138" t="s">
        <v>83</v>
      </c>
      <c r="D27" s="152">
        <f t="shared" ref="D27:F27" si="9">SUM(D25:D26)</f>
        <v>1158541.42</v>
      </c>
      <c r="E27" s="152">
        <f t="shared" ref="E27" si="10">SUM(E25:E26)</f>
        <v>173612.63208921003</v>
      </c>
      <c r="F27" s="152">
        <f t="shared" si="9"/>
        <v>984928.78791078995</v>
      </c>
      <c r="G27" s="152">
        <f t="shared" ref="G27:L27" si="11">SUM(G25:G26)</f>
        <v>0</v>
      </c>
      <c r="H27" s="152">
        <f t="shared" si="11"/>
        <v>984928.78791078995</v>
      </c>
      <c r="I27" s="133"/>
      <c r="J27" s="152">
        <f t="shared" si="11"/>
        <v>0</v>
      </c>
      <c r="K27" s="152"/>
      <c r="L27" s="152">
        <f t="shared" si="11"/>
        <v>0</v>
      </c>
    </row>
    <row r="28" spans="2:12" x14ac:dyDescent="0.2">
      <c r="B28" s="130"/>
      <c r="C28" s="153" t="s">
        <v>111</v>
      </c>
      <c r="D28" s="149"/>
      <c r="E28" s="149"/>
      <c r="F28" s="149"/>
      <c r="G28" s="149"/>
      <c r="H28" s="149"/>
      <c r="I28" s="149"/>
      <c r="J28" s="149"/>
      <c r="K28" s="149"/>
      <c r="L28" s="149"/>
    </row>
    <row r="29" spans="2:12" x14ac:dyDescent="0.2">
      <c r="B29" s="130"/>
      <c r="C29" s="150" t="s">
        <v>107</v>
      </c>
      <c r="D29" s="151">
        <f>SUM(E29:F29)</f>
        <v>119186.41</v>
      </c>
      <c r="E29" s="151">
        <f>-'[6]Comparison Nominal Dollars'!$X$38</f>
        <v>15352.487326548171</v>
      </c>
      <c r="F29" s="151">
        <f>H29+J29+L29</f>
        <v>103833.92267345183</v>
      </c>
      <c r="G29" s="151">
        <v>0</v>
      </c>
      <c r="H29" s="151">
        <f>SUM('[6]Control P&amp;L'!$BA$71)+'[6]Comparison Nominal Dollars'!$X$38</f>
        <v>103833.92267345183</v>
      </c>
      <c r="I29" s="133" t="e">
        <f>(H29-G29)/G29</f>
        <v>#DIV/0!</v>
      </c>
      <c r="J29" s="151">
        <v>0</v>
      </c>
      <c r="K29" s="183"/>
      <c r="L29" s="151">
        <v>0</v>
      </c>
    </row>
    <row r="30" spans="2:12" x14ac:dyDescent="0.2">
      <c r="B30" s="130"/>
      <c r="C30" s="150" t="s">
        <v>108</v>
      </c>
      <c r="D30" s="151">
        <f>SUM(E30:F30)</f>
        <v>23841.090000000004</v>
      </c>
      <c r="E30" s="151">
        <f>-'[6]Comparison Nominal Dollars'!$X$39</f>
        <v>4324.8186869679739</v>
      </c>
      <c r="F30" s="151">
        <f>H30+J30+L30</f>
        <v>19516.27131303203</v>
      </c>
      <c r="G30" s="151">
        <v>0</v>
      </c>
      <c r="H30" s="151">
        <f>SUM('[6]Control P&amp;L'!$BA$78)+'[6]Comparison Nominal Dollars'!$X$39</f>
        <v>19516.27131303203</v>
      </c>
      <c r="I30" s="133" t="e">
        <f>(H30-G30)/G30</f>
        <v>#DIV/0!</v>
      </c>
      <c r="J30" s="151">
        <v>0</v>
      </c>
      <c r="K30" s="183"/>
      <c r="L30" s="151">
        <v>0</v>
      </c>
    </row>
    <row r="31" spans="2:12" ht="25.5" x14ac:dyDescent="0.2">
      <c r="B31" s="130"/>
      <c r="C31" s="150" t="s">
        <v>145</v>
      </c>
      <c r="D31" s="151">
        <f>SUM(E31:F31)</f>
        <v>50250.310000000005</v>
      </c>
      <c r="E31" s="151">
        <v>0</v>
      </c>
      <c r="F31" s="151">
        <f>H31+J31+L31</f>
        <v>50250.310000000005</v>
      </c>
      <c r="G31" s="151">
        <v>0</v>
      </c>
      <c r="H31" s="151">
        <v>0</v>
      </c>
      <c r="I31" s="133"/>
      <c r="J31" s="151">
        <f>SUM('[6]Alternate P&amp;L'!$BA$64:$BA$66)</f>
        <v>50250.310000000005</v>
      </c>
      <c r="K31" s="183"/>
      <c r="L31" s="151">
        <v>0</v>
      </c>
    </row>
    <row r="32" spans="2:12" x14ac:dyDescent="0.2">
      <c r="B32" s="130"/>
      <c r="C32" s="138" t="s">
        <v>83</v>
      </c>
      <c r="D32" s="152">
        <f>SUM(D29:D31)</f>
        <v>193277.81</v>
      </c>
      <c r="E32" s="152">
        <f t="shared" ref="E32:H32" si="12">SUM(E29:E31)</f>
        <v>19677.306013516143</v>
      </c>
      <c r="F32" s="152">
        <f t="shared" si="12"/>
        <v>173600.50398648388</v>
      </c>
      <c r="G32" s="152">
        <f t="shared" si="12"/>
        <v>0</v>
      </c>
      <c r="H32" s="152">
        <f t="shared" si="12"/>
        <v>123350.19398648386</v>
      </c>
      <c r="I32" s="133"/>
      <c r="J32" s="152">
        <f>SUM(J29:J31)</f>
        <v>50250.310000000005</v>
      </c>
      <c r="K32" s="152"/>
      <c r="L32" s="152">
        <f>SUM(L29:L31)</f>
        <v>0</v>
      </c>
    </row>
    <row r="33" spans="2:12" x14ac:dyDescent="0.2">
      <c r="B33" s="79"/>
      <c r="C33" s="81" t="s">
        <v>70</v>
      </c>
      <c r="D33" s="432">
        <f>SUM(D15,D19,D23,D27,D32,)</f>
        <v>1794170.5</v>
      </c>
      <c r="E33" s="432">
        <f>SUM(E15,E19,E23,E27,E32,)</f>
        <v>254635.8330311391</v>
      </c>
      <c r="F33" s="432">
        <f>SUM(F15,F19,F23,F27,F32,)</f>
        <v>1539534.6669688609</v>
      </c>
      <c r="G33" s="432">
        <f>SUM(G15,G19,G23,G27,G32,)</f>
        <v>0</v>
      </c>
      <c r="H33" s="432">
        <f>SUM(H15,H19,H23,H27,H32,)</f>
        <v>1489284.3569688608</v>
      </c>
      <c r="I33" s="432"/>
      <c r="J33" s="432">
        <f>SUM(J15,J19,J23,J27,J32,)</f>
        <v>50250.310000000005</v>
      </c>
      <c r="K33" s="432"/>
      <c r="L33" s="432">
        <f>SUM(L15,L19,L23,L27,L32,)</f>
        <v>0</v>
      </c>
    </row>
    <row r="34" spans="2:12" ht="19.5" x14ac:dyDescent="0.25">
      <c r="B34" s="83"/>
      <c r="C34" t="s">
        <v>533</v>
      </c>
      <c r="D34" s="132"/>
      <c r="E34" s="132"/>
      <c r="F34" s="132"/>
      <c r="G34" s="132"/>
      <c r="H34" s="132"/>
      <c r="I34" s="101"/>
      <c r="J34" s="101"/>
    </row>
    <row r="35" spans="2:12" ht="15.75" x14ac:dyDescent="0.2">
      <c r="B35" s="555" t="s">
        <v>144</v>
      </c>
      <c r="C35" s="555"/>
      <c r="D35" s="555"/>
      <c r="E35" s="555"/>
    </row>
    <row r="36" spans="2:12" ht="15.75" x14ac:dyDescent="0.2">
      <c r="B36" s="169"/>
      <c r="C36" s="169"/>
      <c r="D36" s="169"/>
      <c r="E36" s="169"/>
    </row>
    <row r="37" spans="2:12" x14ac:dyDescent="0.2">
      <c r="B37" s="583" t="s">
        <v>276</v>
      </c>
      <c r="C37" s="584"/>
      <c r="D37" s="584"/>
      <c r="E37" s="584"/>
      <c r="F37" s="579"/>
    </row>
    <row r="39" spans="2:12" ht="51" x14ac:dyDescent="0.2">
      <c r="B39" s="167" t="s">
        <v>62</v>
      </c>
      <c r="C39" s="74" t="s">
        <v>52</v>
      </c>
      <c r="D39" s="75" t="s">
        <v>53</v>
      </c>
      <c r="E39" s="75" t="s">
        <v>54</v>
      </c>
      <c r="F39" s="76" t="s">
        <v>65</v>
      </c>
    </row>
    <row r="40" spans="2:12" x14ac:dyDescent="0.2">
      <c r="B40" s="73"/>
      <c r="C40" s="74"/>
      <c r="D40" s="29" t="s">
        <v>127</v>
      </c>
      <c r="E40" s="29" t="s">
        <v>127</v>
      </c>
      <c r="F40" s="29" t="s">
        <v>127</v>
      </c>
    </row>
    <row r="41" spans="2:12" x14ac:dyDescent="0.2">
      <c r="B41" s="161"/>
      <c r="C41" s="163"/>
      <c r="D41" s="163"/>
      <c r="E41" s="163"/>
      <c r="F41" s="163"/>
    </row>
    <row r="42" spans="2:12" x14ac:dyDescent="0.2">
      <c r="B42" s="161"/>
      <c r="C42" s="163"/>
      <c r="D42" s="163"/>
      <c r="E42" s="163"/>
      <c r="F42" s="163"/>
    </row>
    <row r="43" spans="2:12" x14ac:dyDescent="0.2">
      <c r="B43" s="161"/>
      <c r="C43" s="163"/>
      <c r="D43" s="163"/>
      <c r="E43" s="163"/>
      <c r="F43" s="163"/>
    </row>
    <row r="44" spans="2:12" x14ac:dyDescent="0.2">
      <c r="B44" s="161"/>
      <c r="C44" s="163"/>
      <c r="D44" s="163"/>
      <c r="E44" s="163"/>
      <c r="F44" s="163"/>
    </row>
    <row r="45" spans="2:12" x14ac:dyDescent="0.2">
      <c r="B45" s="161"/>
      <c r="C45" s="163"/>
      <c r="D45" s="163"/>
      <c r="E45" s="163"/>
      <c r="F45" s="163"/>
    </row>
    <row r="46" spans="2:12" x14ac:dyDescent="0.2">
      <c r="B46" s="161"/>
      <c r="C46" s="163"/>
      <c r="D46" s="163"/>
      <c r="E46" s="163"/>
      <c r="F46" s="163"/>
    </row>
  </sheetData>
  <mergeCells count="6">
    <mergeCell ref="B37:F37"/>
    <mergeCell ref="G9:I9"/>
    <mergeCell ref="B2:D2"/>
    <mergeCell ref="B7:E7"/>
    <mergeCell ref="B35:E35"/>
    <mergeCell ref="B5:C5"/>
  </mergeCells>
  <phoneticPr fontId="35" type="noConversion"/>
  <pageMargins left="0.35433070866141736" right="0.35433070866141736" top="0.59055118110236227" bottom="0.59055118110236227" header="0.51181102362204722" footer="0.11811023622047245"/>
  <pageSetup paperSize="9" scale="68" fitToHeight="100" orientation="landscape" r:id="rId1"/>
  <headerFooter scaleWithDoc="0" alignWithMargins="0">
    <oddFooter>&amp;L&amp;8&amp;D&amp;C&amp;8&amp; Template: &amp;A
&amp;F&amp;R&amp;8&amp;P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1:L102"/>
  <sheetViews>
    <sheetView zoomScaleNormal="100" zoomScaleSheetLayoutView="75" workbookViewId="0">
      <selection activeCell="C35" sqref="C35"/>
    </sheetView>
  </sheetViews>
  <sheetFormatPr defaultRowHeight="12.75" x14ac:dyDescent="0.2"/>
  <cols>
    <col min="1" max="1" width="12" style="65" customWidth="1"/>
    <col min="2" max="2" width="16.42578125" style="65" bestFit="1" customWidth="1"/>
    <col min="3" max="3" width="48.5703125" style="65" customWidth="1"/>
    <col min="4" max="19" width="15.7109375" style="65" customWidth="1"/>
    <col min="20" max="16384" width="9.140625" style="65"/>
  </cols>
  <sheetData>
    <row r="1" spans="2:12" ht="20.25" x14ac:dyDescent="0.3">
      <c r="B1" s="26" t="str">
        <f>Cover!C22</f>
        <v>ActewAGL</v>
      </c>
      <c r="C1" s="27"/>
      <c r="D1" s="27"/>
      <c r="E1" s="27"/>
      <c r="F1" s="27"/>
      <c r="G1" s="27"/>
      <c r="H1" s="27"/>
      <c r="I1" s="27"/>
      <c r="J1" s="27"/>
      <c r="K1" s="27"/>
    </row>
    <row r="2" spans="2:12" ht="20.25" x14ac:dyDescent="0.3">
      <c r="B2" s="437" t="s">
        <v>118</v>
      </c>
      <c r="C2" s="66"/>
    </row>
    <row r="3" spans="2:12" ht="20.25" x14ac:dyDescent="0.3">
      <c r="B3" s="26" t="str">
        <f>Cover!C26</f>
        <v>2012-13</v>
      </c>
    </row>
    <row r="4" spans="2:12" ht="20.25" x14ac:dyDescent="0.3">
      <c r="B4" s="64"/>
    </row>
    <row r="5" spans="2:12" ht="52.5" customHeight="1" x14ac:dyDescent="0.2">
      <c r="B5" s="580" t="s">
        <v>251</v>
      </c>
      <c r="C5" s="581"/>
    </row>
    <row r="6" spans="2:12" ht="20.25" x14ac:dyDescent="0.3">
      <c r="B6" s="64"/>
    </row>
    <row r="7" spans="2:12" ht="15.75" x14ac:dyDescent="0.25">
      <c r="B7" s="87" t="s">
        <v>81</v>
      </c>
    </row>
    <row r="8" spans="2:12" x14ac:dyDescent="0.2">
      <c r="B8" s="67"/>
      <c r="C8" s="68"/>
      <c r="D8" s="69"/>
      <c r="E8" s="69"/>
      <c r="F8" s="70"/>
      <c r="G8" s="70"/>
      <c r="H8" s="70"/>
      <c r="I8" s="70"/>
      <c r="J8" s="71"/>
      <c r="K8" s="72"/>
    </row>
    <row r="9" spans="2:12" ht="51" x14ac:dyDescent="0.2">
      <c r="B9" s="73" t="s">
        <v>51</v>
      </c>
      <c r="C9" s="74" t="s">
        <v>52</v>
      </c>
      <c r="D9" s="75" t="s">
        <v>53</v>
      </c>
      <c r="E9" s="75" t="s">
        <v>54</v>
      </c>
      <c r="F9" s="76" t="s">
        <v>65</v>
      </c>
      <c r="G9" s="620" t="s">
        <v>73</v>
      </c>
      <c r="H9" s="621"/>
      <c r="I9" s="622"/>
      <c r="J9" s="145" t="s">
        <v>74</v>
      </c>
      <c r="K9" s="76" t="s">
        <v>66</v>
      </c>
      <c r="L9" s="77" t="s">
        <v>67</v>
      </c>
    </row>
    <row r="10" spans="2:12" ht="20.25" customHeight="1" x14ac:dyDescent="0.2">
      <c r="B10" s="73"/>
      <c r="C10" s="118"/>
      <c r="D10" s="75"/>
      <c r="E10" s="75"/>
      <c r="F10" s="76"/>
      <c r="G10" s="76" t="s">
        <v>15</v>
      </c>
      <c r="H10" s="76" t="s">
        <v>16</v>
      </c>
      <c r="I10" s="76" t="s">
        <v>90</v>
      </c>
      <c r="J10" s="78" t="s">
        <v>106</v>
      </c>
      <c r="K10" s="76"/>
      <c r="L10" s="77"/>
    </row>
    <row r="11" spans="2:12" ht="13.5" customHeight="1" x14ac:dyDescent="0.2">
      <c r="B11" s="73"/>
      <c r="C11" s="118"/>
      <c r="D11" s="29" t="s">
        <v>57</v>
      </c>
      <c r="E11" s="29" t="s">
        <v>57</v>
      </c>
      <c r="F11" s="29" t="s">
        <v>57</v>
      </c>
      <c r="G11" s="29" t="s">
        <v>57</v>
      </c>
      <c r="H11" s="29" t="s">
        <v>57</v>
      </c>
      <c r="I11" s="29"/>
      <c r="J11" s="29" t="s">
        <v>57</v>
      </c>
      <c r="K11" s="29" t="s">
        <v>57</v>
      </c>
      <c r="L11" s="29" t="s">
        <v>57</v>
      </c>
    </row>
    <row r="12" spans="2:12" ht="12.75" customHeight="1" x14ac:dyDescent="0.2">
      <c r="B12" s="156"/>
      <c r="C12" s="118" t="s">
        <v>92</v>
      </c>
      <c r="D12" s="151">
        <f>SUM(E12:F12)</f>
        <v>5484165.080000001</v>
      </c>
      <c r="E12" s="151">
        <f>-'[6]Comparison Nominal Dollars'!X10</f>
        <v>0</v>
      </c>
      <c r="F12" s="151">
        <f>H12+J12+L12</f>
        <v>5484165.080000001</v>
      </c>
      <c r="G12" s="438">
        <f>'[6]Comparison Nominal Dollars'!W10</f>
        <v>4719785.0882233046</v>
      </c>
      <c r="H12" s="438">
        <f>'[6]Comparison Nominal Dollars'!Z10</f>
        <v>5484165.080000001</v>
      </c>
      <c r="I12" s="444">
        <f>(H12-G12)/G12</f>
        <v>0.16195228754884605</v>
      </c>
      <c r="J12" s="438">
        <v>0</v>
      </c>
      <c r="K12" s="439"/>
      <c r="L12" s="438">
        <v>0</v>
      </c>
    </row>
    <row r="13" spans="2:12" ht="12.75" customHeight="1" x14ac:dyDescent="0.2">
      <c r="B13" s="156"/>
      <c r="C13" s="118" t="s">
        <v>398</v>
      </c>
      <c r="D13" s="151">
        <f>SUM(E13:F13)</f>
        <v>14057123.57</v>
      </c>
      <c r="E13" s="151">
        <f>-'[6]Comparison Nominal Dollars'!X11</f>
        <v>0</v>
      </c>
      <c r="F13" s="151">
        <f>H13+J13+L13</f>
        <v>14057123.57</v>
      </c>
      <c r="G13" s="438">
        <f>'[6]Comparison Nominal Dollars'!W11</f>
        <v>14050238.237400804</v>
      </c>
      <c r="H13" s="438">
        <f>'[6]Comparison Nominal Dollars'!Z11</f>
        <v>14057123.57</v>
      </c>
      <c r="I13" s="444">
        <f>(H13-G13)/G13</f>
        <v>4.9005095023003128E-4</v>
      </c>
      <c r="J13" s="438">
        <v>0</v>
      </c>
      <c r="K13" s="440"/>
      <c r="L13" s="438">
        <v>0</v>
      </c>
    </row>
    <row r="14" spans="2:12" x14ac:dyDescent="0.2">
      <c r="B14" s="157"/>
      <c r="C14" s="118" t="s">
        <v>93</v>
      </c>
      <c r="D14" s="441"/>
      <c r="E14" s="441"/>
      <c r="F14" s="441"/>
      <c r="G14" s="441"/>
      <c r="H14" s="441"/>
      <c r="I14" s="445"/>
      <c r="J14" s="441"/>
      <c r="K14" s="441"/>
      <c r="L14" s="441"/>
    </row>
    <row r="15" spans="2:12" x14ac:dyDescent="0.2">
      <c r="B15" s="130"/>
      <c r="C15" s="119" t="s">
        <v>82</v>
      </c>
      <c r="D15" s="151">
        <f>SUM(E15:F15)</f>
        <v>6108230.8200000003</v>
      </c>
      <c r="E15" s="151">
        <f>-'[6]Comparison Nominal Dollars'!X13</f>
        <v>64181.104613268348</v>
      </c>
      <c r="F15" s="151">
        <f>H15+J15+L15</f>
        <v>6044049.7153867316</v>
      </c>
      <c r="G15" s="438">
        <f>'[6]Comparison Nominal Dollars'!W13</f>
        <v>4346936.9508560719</v>
      </c>
      <c r="H15" s="438">
        <f>'[6]Comparison Nominal Dollars'!Z13</f>
        <v>6044049.7153867316</v>
      </c>
      <c r="I15" s="444">
        <f t="shared" ref="I15:I21" si="0">(H15-G15)/G15</f>
        <v>0.39041577637707298</v>
      </c>
      <c r="J15" s="438">
        <v>0</v>
      </c>
      <c r="K15" s="439"/>
      <c r="L15" s="438">
        <v>0</v>
      </c>
    </row>
    <row r="16" spans="2:12" x14ac:dyDescent="0.2">
      <c r="B16" s="130"/>
      <c r="C16" s="119" t="s">
        <v>94</v>
      </c>
      <c r="D16" s="151">
        <f>SUM(E16:F16)</f>
        <v>3284904.0500000007</v>
      </c>
      <c r="E16" s="151">
        <f>-'[6]Comparison Nominal Dollars'!X14</f>
        <v>34515.521218891809</v>
      </c>
      <c r="F16" s="151">
        <f t="shared" ref="F16:F19" si="1">H16+J16+L16</f>
        <v>3250388.528781109</v>
      </c>
      <c r="G16" s="438">
        <f>'[6]Comparison Nominal Dollars'!W14</f>
        <v>1201008.164956585</v>
      </c>
      <c r="H16" s="438">
        <f>'[6]Comparison Nominal Dollars'!Z14</f>
        <v>3250388.528781109</v>
      </c>
      <c r="I16" s="444">
        <f t="shared" si="0"/>
        <v>1.7063833732542582</v>
      </c>
      <c r="J16" s="438">
        <v>0</v>
      </c>
      <c r="K16" s="439"/>
      <c r="L16" s="438">
        <v>0</v>
      </c>
    </row>
    <row r="17" spans="2:12" x14ac:dyDescent="0.2">
      <c r="B17" s="130"/>
      <c r="C17" s="119" t="s">
        <v>95</v>
      </c>
      <c r="D17" s="151">
        <f t="shared" ref="D17:D19" si="2">SUM(E17:F17)</f>
        <v>3505961.1</v>
      </c>
      <c r="E17" s="151">
        <f>-'[6]Comparison Nominal Dollars'!X15</f>
        <v>36838.237250692066</v>
      </c>
      <c r="F17" s="151">
        <f t="shared" si="1"/>
        <v>3469122.8627493079</v>
      </c>
      <c r="G17" s="438">
        <f>'[6]Comparison Nominal Dollars'!W15</f>
        <v>3538682.8397392179</v>
      </c>
      <c r="H17" s="438">
        <f>'[6]Comparison Nominal Dollars'!Z15</f>
        <v>3469122.8627493079</v>
      </c>
      <c r="I17" s="444">
        <f t="shared" si="0"/>
        <v>-1.9657024983633798E-2</v>
      </c>
      <c r="J17" s="438">
        <v>0</v>
      </c>
      <c r="K17" s="439"/>
      <c r="L17" s="438">
        <v>0</v>
      </c>
    </row>
    <row r="18" spans="2:12" x14ac:dyDescent="0.2">
      <c r="B18" s="130"/>
      <c r="C18" s="119" t="s">
        <v>96</v>
      </c>
      <c r="D18" s="151">
        <f t="shared" si="2"/>
        <v>1619018.0100000002</v>
      </c>
      <c r="E18" s="151">
        <f>-'[6]Comparison Nominal Dollars'!X16</f>
        <v>17011.532034831576</v>
      </c>
      <c r="F18" s="151">
        <f t="shared" si="1"/>
        <v>1602006.4779651687</v>
      </c>
      <c r="G18" s="438">
        <f>'[6]Comparison Nominal Dollars'!W16</f>
        <v>1455872.5807832291</v>
      </c>
      <c r="H18" s="438">
        <f>'[6]Comparison Nominal Dollars'!Z16</f>
        <v>1602006.4779651687</v>
      </c>
      <c r="I18" s="444">
        <f t="shared" si="0"/>
        <v>0.10037547180353007</v>
      </c>
      <c r="J18" s="438">
        <v>0</v>
      </c>
      <c r="K18" s="439"/>
      <c r="L18" s="438">
        <v>0</v>
      </c>
    </row>
    <row r="19" spans="2:12" x14ac:dyDescent="0.2">
      <c r="B19" s="130"/>
      <c r="C19" s="119" t="s">
        <v>97</v>
      </c>
      <c r="D19" s="151">
        <f t="shared" si="2"/>
        <v>1240183.48</v>
      </c>
      <c r="E19" s="151">
        <f>-'[6]Comparison Nominal Dollars'!X17</f>
        <v>0</v>
      </c>
      <c r="F19" s="151">
        <f t="shared" si="1"/>
        <v>1240183.48</v>
      </c>
      <c r="G19" s="438">
        <f>'[6]Comparison Nominal Dollars'!W17</f>
        <v>2056135.1355362022</v>
      </c>
      <c r="H19" s="438">
        <f>'[6]Comparison Nominal Dollars'!Z17</f>
        <v>1240183.48</v>
      </c>
      <c r="I19" s="444">
        <f t="shared" si="0"/>
        <v>-0.39683756258725528</v>
      </c>
      <c r="J19" s="438">
        <v>0</v>
      </c>
      <c r="K19" s="439"/>
      <c r="L19" s="438">
        <v>0</v>
      </c>
    </row>
    <row r="20" spans="2:12" x14ac:dyDescent="0.2">
      <c r="B20" s="130"/>
      <c r="C20" s="89" t="s">
        <v>146</v>
      </c>
      <c r="D20" s="151">
        <f>SUM(E20:F20)</f>
        <v>18132288.689999998</v>
      </c>
      <c r="E20" s="151">
        <f>-'[6]Comparison Nominal Dollars'!X18</f>
        <v>77191.710355520525</v>
      </c>
      <c r="F20" s="151">
        <f>H20+J20+L20</f>
        <v>18055096.979644477</v>
      </c>
      <c r="G20" s="438">
        <f>'[6]Comparison Nominal Dollars'!W18</f>
        <v>4612901.7691697488</v>
      </c>
      <c r="H20" s="438">
        <f>'[6]Comparison Nominal Dollars'!Z18-H23</f>
        <v>7202230.4196444806</v>
      </c>
      <c r="I20" s="444">
        <f t="shared" si="0"/>
        <v>0.56132317141034005</v>
      </c>
      <c r="J20" s="438">
        <f>'[6]Comparison Nominal Dollars'!$Z$62</f>
        <v>1401581.0099999998</v>
      </c>
      <c r="K20" s="439"/>
      <c r="L20" s="438">
        <f>'1. Income'!J23</f>
        <v>9451285.5499999989</v>
      </c>
    </row>
    <row r="21" spans="2:12" x14ac:dyDescent="0.2">
      <c r="B21" s="130"/>
      <c r="C21" s="186" t="s">
        <v>149</v>
      </c>
      <c r="D21" s="442">
        <f>SUM(D15:D20)</f>
        <v>33890586.149999999</v>
      </c>
      <c r="E21" s="442">
        <f>SUM(E15:E20)</f>
        <v>229738.10547320434</v>
      </c>
      <c r="F21" s="442">
        <f>SUM(F15:F20)</f>
        <v>33660848.044526793</v>
      </c>
      <c r="G21" s="442">
        <f>SUM(G15:G20)</f>
        <v>17211537.441041056</v>
      </c>
      <c r="H21" s="442">
        <f>SUM(H15:H20)</f>
        <v>22807981.484526798</v>
      </c>
      <c r="I21" s="444">
        <f t="shared" si="0"/>
        <v>0.32515654471058314</v>
      </c>
      <c r="J21" s="442">
        <f>SUM(J15:J20)</f>
        <v>1401581.0099999998</v>
      </c>
      <c r="K21" s="442"/>
      <c r="L21" s="442">
        <f>SUM(L15:L20)</f>
        <v>9451285.5499999989</v>
      </c>
    </row>
    <row r="22" spans="2:12" x14ac:dyDescent="0.2">
      <c r="B22" s="130"/>
      <c r="C22" s="146" t="s">
        <v>98</v>
      </c>
      <c r="D22" s="443"/>
      <c r="E22" s="443"/>
      <c r="F22" s="443"/>
      <c r="G22" s="443"/>
      <c r="H22" s="443"/>
      <c r="I22" s="446"/>
      <c r="J22" s="443"/>
      <c r="K22" s="443"/>
      <c r="L22" s="443"/>
    </row>
    <row r="23" spans="2:12" ht="12.75" customHeight="1" x14ac:dyDescent="0.2">
      <c r="B23" s="130"/>
      <c r="C23" s="147" t="s">
        <v>84</v>
      </c>
      <c r="D23" s="151">
        <f t="shared" ref="D23" si="3">SUM(E23:F23)</f>
        <v>67051.37</v>
      </c>
      <c r="E23" s="151">
        <f>-'[6]Comparison Nominal Dollars'!X94</f>
        <v>0</v>
      </c>
      <c r="F23" s="151">
        <f t="shared" ref="F23" si="4">H23+J23+L23</f>
        <v>67051.37</v>
      </c>
      <c r="G23" s="438">
        <f>'[6]Comparison Nominal Dollars'!W94</f>
        <v>110389.47589010878</v>
      </c>
      <c r="H23" s="438">
        <f>'[6]Comparison Nominal Dollars'!Z94</f>
        <v>67051.37</v>
      </c>
      <c r="I23" s="444">
        <f t="shared" ref="I23:I32" si="5">(H23-G23)/G23</f>
        <v>-0.39259273169528658</v>
      </c>
      <c r="J23" s="438">
        <v>0</v>
      </c>
      <c r="K23" s="439"/>
      <c r="L23" s="438">
        <v>0</v>
      </c>
    </row>
    <row r="24" spans="2:12" x14ac:dyDescent="0.2">
      <c r="B24" s="130"/>
      <c r="C24" s="147" t="s">
        <v>99</v>
      </c>
      <c r="D24" s="151">
        <f t="shared" ref="D24" si="6">SUM(E24:F24)</f>
        <v>1366111.34</v>
      </c>
      <c r="E24" s="151">
        <f>-'[6]Comparison Nominal Dollars'!X43</f>
        <v>0</v>
      </c>
      <c r="F24" s="151">
        <f t="shared" ref="F24" si="7">H24+J24+L24</f>
        <v>1366111.34</v>
      </c>
      <c r="G24" s="438">
        <f>'[6]Comparison Nominal Dollars'!W43</f>
        <v>1192688.7388175644</v>
      </c>
      <c r="H24" s="438">
        <f>'[6]Comparison Nominal Dollars'!Z43</f>
        <v>1366111.34</v>
      </c>
      <c r="I24" s="444">
        <f t="shared" si="5"/>
        <v>0.14540474437141696</v>
      </c>
      <c r="J24" s="438">
        <v>0</v>
      </c>
      <c r="K24" s="439"/>
      <c r="L24" s="438">
        <v>0</v>
      </c>
    </row>
    <row r="25" spans="2:12" ht="12.75" customHeight="1" x14ac:dyDescent="0.2">
      <c r="B25" s="130"/>
      <c r="C25" s="147" t="s">
        <v>100</v>
      </c>
      <c r="D25" s="151">
        <f t="shared" ref="D25:D31" si="8">SUM(E25:F25)</f>
        <v>13664376.330000002</v>
      </c>
      <c r="E25" s="151">
        <f>-'[6]Comparison Nominal Dollars'!X44</f>
        <v>4542240.7868746733</v>
      </c>
      <c r="F25" s="151">
        <f t="shared" ref="F25:F30" si="9">H25+J25+L25</f>
        <v>9122135.5431253277</v>
      </c>
      <c r="G25" s="438">
        <f>'[6]Comparison Nominal Dollars'!W44</f>
        <v>12363919.191921614</v>
      </c>
      <c r="H25" s="438">
        <f>'[6]Comparison Nominal Dollars'!Z44</f>
        <v>9122135.5431253277</v>
      </c>
      <c r="I25" s="444">
        <f t="shared" si="5"/>
        <v>-0.26219709126814866</v>
      </c>
      <c r="J25" s="438">
        <v>0</v>
      </c>
      <c r="K25" s="439"/>
      <c r="L25" s="438">
        <v>0</v>
      </c>
    </row>
    <row r="26" spans="2:12" x14ac:dyDescent="0.2">
      <c r="B26" s="130"/>
      <c r="C26" s="147" t="s">
        <v>101</v>
      </c>
      <c r="D26" s="151">
        <f t="shared" si="8"/>
        <v>1703082.2400000002</v>
      </c>
      <c r="E26" s="151">
        <f>-'[6]Comparison Nominal Dollars'!X45</f>
        <v>0</v>
      </c>
      <c r="F26" s="151">
        <f t="shared" si="9"/>
        <v>1703082.2400000002</v>
      </c>
      <c r="G26" s="438">
        <f>'[6]Comparison Nominal Dollars'!W45</f>
        <v>2375016.6405139519</v>
      </c>
      <c r="H26" s="438">
        <f>'[6]Comparison Nominal Dollars'!Z45</f>
        <v>1703082.2400000002</v>
      </c>
      <c r="I26" s="444">
        <f t="shared" si="5"/>
        <v>-0.28291776531239188</v>
      </c>
      <c r="J26" s="438">
        <v>0</v>
      </c>
      <c r="K26" s="439"/>
      <c r="L26" s="438">
        <v>0</v>
      </c>
    </row>
    <row r="27" spans="2:12" x14ac:dyDescent="0.2">
      <c r="B27" s="130"/>
      <c r="C27" s="147" t="s">
        <v>102</v>
      </c>
      <c r="D27" s="151">
        <f t="shared" si="8"/>
        <v>5549275</v>
      </c>
      <c r="E27" s="151">
        <f>-'[6]Comparison Nominal Dollars'!X46</f>
        <v>58307.979805975097</v>
      </c>
      <c r="F27" s="151">
        <f t="shared" si="9"/>
        <v>5490967.0201940248</v>
      </c>
      <c r="G27" s="438">
        <f>'[6]Comparison Nominal Dollars'!W46</f>
        <v>5760146.9093271839</v>
      </c>
      <c r="H27" s="438">
        <f>'[6]Comparison Nominal Dollars'!Z46</f>
        <v>5490967.0201940248</v>
      </c>
      <c r="I27" s="444">
        <f t="shared" si="5"/>
        <v>-4.6731427751831547E-2</v>
      </c>
      <c r="J27" s="438">
        <v>0</v>
      </c>
      <c r="K27" s="439"/>
      <c r="L27" s="438">
        <v>0</v>
      </c>
    </row>
    <row r="28" spans="2:12" x14ac:dyDescent="0.2">
      <c r="B28" s="130"/>
      <c r="C28" s="147" t="s">
        <v>103</v>
      </c>
      <c r="D28" s="151">
        <f t="shared" si="8"/>
        <v>9355332.9399999883</v>
      </c>
      <c r="E28" s="151">
        <f>-'[6]Comparison Nominal Dollars'!X47</f>
        <v>0</v>
      </c>
      <c r="F28" s="151">
        <f t="shared" si="9"/>
        <v>9355332.9399999883</v>
      </c>
      <c r="G28" s="438">
        <f>'[6]Comparison Nominal Dollars'!W47</f>
        <v>3395577.0901785977</v>
      </c>
      <c r="H28" s="438">
        <f>'[6]Comparison Nominal Dollars'!Z47</f>
        <v>9355332.9399999883</v>
      </c>
      <c r="I28" s="444">
        <f t="shared" si="5"/>
        <v>1.7551525680448987</v>
      </c>
      <c r="J28" s="438">
        <v>0</v>
      </c>
      <c r="K28" s="439"/>
      <c r="L28" s="438">
        <v>0</v>
      </c>
    </row>
    <row r="29" spans="2:12" x14ac:dyDescent="0.2">
      <c r="B29" s="130"/>
      <c r="C29" s="147" t="s">
        <v>104</v>
      </c>
      <c r="D29" s="151">
        <f t="shared" si="8"/>
        <v>1439362.0000000007</v>
      </c>
      <c r="E29" s="151">
        <f>-'[6]Comparison Nominal Dollars'!X48</f>
        <v>15123.82976685927</v>
      </c>
      <c r="F29" s="151">
        <f t="shared" si="9"/>
        <v>1424238.1702331414</v>
      </c>
      <c r="G29" s="438">
        <f>'[6]Comparison Nominal Dollars'!W48</f>
        <v>1436951.0747549322</v>
      </c>
      <c r="H29" s="438">
        <f>'[6]Comparison Nominal Dollars'!Z48</f>
        <v>1424238.1702331414</v>
      </c>
      <c r="I29" s="444">
        <f t="shared" si="5"/>
        <v>-8.8471380446679074E-3</v>
      </c>
      <c r="J29" s="438">
        <v>0</v>
      </c>
      <c r="K29" s="439"/>
      <c r="L29" s="438">
        <v>0</v>
      </c>
    </row>
    <row r="30" spans="2:12" x14ac:dyDescent="0.2">
      <c r="B30" s="130"/>
      <c r="C30" s="147" t="s">
        <v>105</v>
      </c>
      <c r="D30" s="151">
        <f t="shared" si="8"/>
        <v>528421.28000000014</v>
      </c>
      <c r="E30" s="151">
        <f>-'[6]Comparison Nominal Dollars'!X49</f>
        <v>0</v>
      </c>
      <c r="F30" s="151">
        <f t="shared" si="9"/>
        <v>528421.28000000014</v>
      </c>
      <c r="G30" s="438">
        <f>'[6]Comparison Nominal Dollars'!W49</f>
        <v>-27001.237141623438</v>
      </c>
      <c r="H30" s="438">
        <f>'[6]Comparison Nominal Dollars'!Z49</f>
        <v>528421.28000000014</v>
      </c>
      <c r="I30" s="444">
        <f>(H30-G30)/G30</f>
        <v>-20.570261807945773</v>
      </c>
      <c r="J30" s="438">
        <v>0</v>
      </c>
      <c r="K30" s="439"/>
      <c r="L30" s="438"/>
    </row>
    <row r="31" spans="2:12" x14ac:dyDescent="0.2">
      <c r="B31" s="130"/>
      <c r="C31" s="147" t="s">
        <v>506</v>
      </c>
      <c r="D31" s="151">
        <f t="shared" si="8"/>
        <v>60384810.439999975</v>
      </c>
      <c r="E31" s="151">
        <f>'1. Income'!E23-E30-E29-E28-E27-E26-E25-E24-E23-E21-2542</f>
        <v>60384810.439999975</v>
      </c>
      <c r="F31" s="151">
        <v>0</v>
      </c>
      <c r="G31" s="438">
        <v>0</v>
      </c>
      <c r="H31" s="438">
        <v>0</v>
      </c>
      <c r="I31" s="444"/>
      <c r="J31" s="438">
        <v>0</v>
      </c>
      <c r="K31" s="439"/>
      <c r="L31" s="438">
        <v>0</v>
      </c>
    </row>
    <row r="32" spans="2:12" x14ac:dyDescent="0.2">
      <c r="B32" s="130"/>
      <c r="C32" s="123" t="s">
        <v>83</v>
      </c>
      <c r="D32" s="442">
        <f>SUM(D23:D31)</f>
        <v>94057822.939999968</v>
      </c>
      <c r="E32" s="442">
        <f t="shared" ref="E32:H32" si="10">SUM(E23:E31)</f>
        <v>65000483.03644748</v>
      </c>
      <c r="F32" s="442">
        <f t="shared" si="10"/>
        <v>29057339.903552484</v>
      </c>
      <c r="G32" s="442">
        <f t="shared" si="10"/>
        <v>26607687.884262327</v>
      </c>
      <c r="H32" s="442">
        <f t="shared" si="10"/>
        <v>29057339.903552484</v>
      </c>
      <c r="I32" s="444">
        <f t="shared" si="5"/>
        <v>9.206557254976877E-2</v>
      </c>
      <c r="J32" s="442">
        <f>SUM(J23:J31)</f>
        <v>0</v>
      </c>
      <c r="K32" s="442"/>
      <c r="L32" s="442">
        <f>SUM(L23:L31)</f>
        <v>0</v>
      </c>
    </row>
    <row r="33" spans="2:12" x14ac:dyDescent="0.2">
      <c r="B33" s="79"/>
      <c r="C33" s="90" t="s">
        <v>70</v>
      </c>
      <c r="D33" s="442">
        <f>SUM(D21,D32)</f>
        <v>127948409.08999997</v>
      </c>
      <c r="E33" s="442">
        <f>SUM(E21,E32)</f>
        <v>65230221.141920686</v>
      </c>
      <c r="F33" s="442">
        <f>SUM(F21,F32)</f>
        <v>62718187.948079273</v>
      </c>
      <c r="G33" s="442">
        <f>SUM(G21,G32)</f>
        <v>43819225.325303383</v>
      </c>
      <c r="H33" s="442">
        <f>SUM(H21,H32)</f>
        <v>51865321.388079286</v>
      </c>
      <c r="I33" s="444">
        <f>(H33-G33)/G33</f>
        <v>0.18362022612320555</v>
      </c>
      <c r="J33" s="442">
        <f>SUM(J21,J32)</f>
        <v>1401581.0099999998</v>
      </c>
      <c r="K33" s="442"/>
      <c r="L33" s="442">
        <f>SUM(L21,L32)</f>
        <v>9451285.5499999989</v>
      </c>
    </row>
    <row r="34" spans="2:12" x14ac:dyDescent="0.2">
      <c r="D34" s="458"/>
      <c r="E34" s="458"/>
    </row>
    <row r="35" spans="2:12" ht="19.5" x14ac:dyDescent="0.25">
      <c r="B35" s="83" t="s">
        <v>113</v>
      </c>
      <c r="C35" s="132"/>
      <c r="H35" s="458"/>
    </row>
    <row r="37" spans="2:12" x14ac:dyDescent="0.2">
      <c r="B37" s="578" t="s">
        <v>126</v>
      </c>
      <c r="C37" s="584"/>
      <c r="D37" s="579"/>
    </row>
    <row r="39" spans="2:12" x14ac:dyDescent="0.2">
      <c r="B39" s="105" t="s">
        <v>4</v>
      </c>
      <c r="C39" s="634" t="s">
        <v>5</v>
      </c>
      <c r="D39" s="635"/>
      <c r="E39" s="635"/>
      <c r="F39" s="636"/>
    </row>
    <row r="40" spans="2:12" ht="50.25" customHeight="1" x14ac:dyDescent="0.2">
      <c r="B40" s="449" t="s">
        <v>92</v>
      </c>
      <c r="C40" s="623" t="s">
        <v>513</v>
      </c>
      <c r="D40" s="624"/>
      <c r="E40" s="624"/>
      <c r="F40" s="625"/>
      <c r="G40" s="448"/>
      <c r="H40" s="448"/>
      <c r="I40" s="448"/>
      <c r="J40" s="448"/>
      <c r="K40" s="448"/>
    </row>
    <row r="41" spans="2:12" ht="50.25" customHeight="1" x14ac:dyDescent="0.2">
      <c r="B41" s="449" t="s">
        <v>82</v>
      </c>
      <c r="C41" s="623" t="s">
        <v>514</v>
      </c>
      <c r="D41" s="624"/>
      <c r="E41" s="624"/>
      <c r="F41" s="625"/>
      <c r="G41" s="448"/>
      <c r="H41" s="448"/>
      <c r="I41" s="448"/>
      <c r="J41" s="448"/>
      <c r="K41" s="448"/>
    </row>
    <row r="42" spans="2:12" ht="50.25" customHeight="1" x14ac:dyDescent="0.2">
      <c r="B42" s="449" t="s">
        <v>94</v>
      </c>
      <c r="C42" s="623" t="s">
        <v>450</v>
      </c>
      <c r="D42" s="624"/>
      <c r="E42" s="624"/>
      <c r="F42" s="625"/>
      <c r="G42" s="448"/>
      <c r="H42" s="448"/>
      <c r="I42" s="448"/>
      <c r="J42" s="448"/>
      <c r="K42" s="448"/>
    </row>
    <row r="43" spans="2:12" ht="45" customHeight="1" x14ac:dyDescent="0.2">
      <c r="B43" s="449" t="s">
        <v>97</v>
      </c>
      <c r="C43" s="623" t="s">
        <v>515</v>
      </c>
      <c r="D43" s="624"/>
      <c r="E43" s="624"/>
      <c r="F43" s="625"/>
      <c r="G43" s="448"/>
      <c r="H43" s="448"/>
      <c r="I43" s="448"/>
      <c r="J43" s="448"/>
      <c r="K43" s="448"/>
    </row>
    <row r="44" spans="2:12" ht="66.75" customHeight="1" x14ac:dyDescent="0.2">
      <c r="B44" s="449" t="s">
        <v>451</v>
      </c>
      <c r="C44" s="623" t="s">
        <v>518</v>
      </c>
      <c r="D44" s="624"/>
      <c r="E44" s="624"/>
      <c r="F44" s="625"/>
      <c r="G44" s="448"/>
      <c r="H44" s="448"/>
      <c r="I44" s="448"/>
      <c r="J44" s="448"/>
      <c r="K44" s="448"/>
    </row>
    <row r="45" spans="2:12" ht="45" customHeight="1" x14ac:dyDescent="0.2">
      <c r="B45" s="449" t="s">
        <v>84</v>
      </c>
      <c r="C45" s="623" t="s">
        <v>510</v>
      </c>
      <c r="D45" s="624"/>
      <c r="E45" s="624"/>
      <c r="F45" s="625"/>
      <c r="G45" s="448"/>
      <c r="H45" s="448"/>
      <c r="I45" s="448"/>
      <c r="J45" s="448"/>
      <c r="K45" s="448"/>
    </row>
    <row r="46" spans="2:12" ht="30" customHeight="1" x14ac:dyDescent="0.2">
      <c r="B46" s="449" t="s">
        <v>99</v>
      </c>
      <c r="C46" s="623" t="s">
        <v>452</v>
      </c>
      <c r="D46" s="624"/>
      <c r="E46" s="624"/>
      <c r="F46" s="625"/>
      <c r="G46" s="448"/>
      <c r="H46" s="448"/>
      <c r="I46" s="448"/>
      <c r="J46" s="448"/>
      <c r="K46" s="448"/>
    </row>
    <row r="47" spans="2:12" ht="30" customHeight="1" x14ac:dyDescent="0.2">
      <c r="B47" s="449" t="s">
        <v>100</v>
      </c>
      <c r="C47" s="623" t="s">
        <v>516</v>
      </c>
      <c r="D47" s="624"/>
      <c r="E47" s="624"/>
      <c r="F47" s="625"/>
      <c r="G47" s="448"/>
      <c r="H47" s="448"/>
      <c r="I47" s="448"/>
      <c r="J47" s="448"/>
      <c r="K47" s="448"/>
    </row>
    <row r="48" spans="2:12" ht="33.75" x14ac:dyDescent="0.2">
      <c r="B48" s="449" t="s">
        <v>101</v>
      </c>
      <c r="C48" s="623" t="s">
        <v>453</v>
      </c>
      <c r="D48" s="624"/>
      <c r="E48" s="624"/>
      <c r="F48" s="625"/>
      <c r="G48" s="448"/>
      <c r="H48" s="448"/>
      <c r="I48" s="448"/>
      <c r="J48" s="448"/>
      <c r="K48" s="448"/>
    </row>
    <row r="49" spans="2:11" ht="47.25" customHeight="1" x14ac:dyDescent="0.2">
      <c r="B49" s="449" t="s">
        <v>103</v>
      </c>
      <c r="C49" s="623" t="s">
        <v>517</v>
      </c>
      <c r="D49" s="624"/>
      <c r="E49" s="624"/>
      <c r="F49" s="625"/>
      <c r="G49" s="448"/>
      <c r="H49" s="448"/>
      <c r="I49" s="448"/>
      <c r="J49" s="448"/>
      <c r="K49" s="448"/>
    </row>
    <row r="50" spans="2:11" ht="45" customHeight="1" x14ac:dyDescent="0.2">
      <c r="B50" s="449" t="s">
        <v>105</v>
      </c>
      <c r="C50" s="623" t="s">
        <v>454</v>
      </c>
      <c r="D50" s="624"/>
      <c r="E50" s="624"/>
      <c r="F50" s="625"/>
      <c r="G50" s="448"/>
      <c r="H50" s="448"/>
      <c r="I50" s="448"/>
      <c r="J50" s="448"/>
      <c r="K50" s="448"/>
    </row>
    <row r="52" spans="2:11" ht="16.5" customHeight="1" x14ac:dyDescent="0.25">
      <c r="B52" s="87" t="s">
        <v>147</v>
      </c>
    </row>
    <row r="53" spans="2:11" ht="11.25" customHeight="1" x14ac:dyDescent="0.25">
      <c r="B53" s="87"/>
    </row>
    <row r="54" spans="2:11" ht="12.75" customHeight="1" x14ac:dyDescent="0.2">
      <c r="B54" s="583" t="s">
        <v>277</v>
      </c>
      <c r="C54" s="626"/>
      <c r="D54" s="626"/>
      <c r="E54" s="627"/>
    </row>
    <row r="55" spans="2:11" ht="15.75" x14ac:dyDescent="0.25">
      <c r="B55" s="87"/>
    </row>
    <row r="56" spans="2:11" ht="51" x14ac:dyDescent="0.2">
      <c r="B56" s="73" t="s">
        <v>51</v>
      </c>
      <c r="C56" s="74" t="s">
        <v>52</v>
      </c>
      <c r="D56" s="75" t="s">
        <v>53</v>
      </c>
      <c r="E56" s="75" t="s">
        <v>54</v>
      </c>
      <c r="F56" s="76" t="s">
        <v>65</v>
      </c>
    </row>
    <row r="57" spans="2:11" x14ac:dyDescent="0.2">
      <c r="B57" s="73"/>
      <c r="C57" s="74"/>
      <c r="D57" s="29" t="s">
        <v>57</v>
      </c>
      <c r="E57" s="29" t="s">
        <v>57</v>
      </c>
      <c r="F57" s="29" t="s">
        <v>57</v>
      </c>
    </row>
    <row r="58" spans="2:11" x14ac:dyDescent="0.2">
      <c r="B58" s="130"/>
      <c r="C58" s="452" t="s">
        <v>460</v>
      </c>
      <c r="D58" s="453">
        <v>3206266.5</v>
      </c>
      <c r="E58" s="98"/>
      <c r="F58" s="98"/>
    </row>
    <row r="59" spans="2:11" x14ac:dyDescent="0.2">
      <c r="B59" s="130"/>
      <c r="C59" s="452" t="s">
        <v>461</v>
      </c>
      <c r="D59" s="453">
        <v>3588184.37</v>
      </c>
      <c r="E59" s="98"/>
      <c r="F59" s="98"/>
    </row>
    <row r="60" spans="2:11" x14ac:dyDescent="0.2">
      <c r="B60" s="130"/>
      <c r="C60" s="98"/>
      <c r="D60" s="98"/>
      <c r="E60" s="98"/>
      <c r="F60" s="98"/>
    </row>
    <row r="61" spans="2:11" x14ac:dyDescent="0.2">
      <c r="B61" s="130"/>
      <c r="C61" s="98"/>
      <c r="D61" s="98"/>
      <c r="E61" s="98"/>
      <c r="F61" s="98"/>
    </row>
    <row r="62" spans="2:11" x14ac:dyDescent="0.2">
      <c r="B62" s="130"/>
      <c r="C62" s="98"/>
      <c r="D62" s="98"/>
      <c r="E62" s="98"/>
      <c r="F62" s="98"/>
    </row>
    <row r="63" spans="2:11" x14ac:dyDescent="0.2">
      <c r="B63" s="130"/>
      <c r="C63" s="98"/>
      <c r="D63" s="98"/>
      <c r="E63" s="98"/>
      <c r="F63" s="98"/>
    </row>
    <row r="65" spans="2:12" ht="15.75" x14ac:dyDescent="0.25">
      <c r="B65" s="87" t="s">
        <v>114</v>
      </c>
    </row>
    <row r="66" spans="2:12" ht="15.75" x14ac:dyDescent="0.25">
      <c r="B66" s="87"/>
    </row>
    <row r="67" spans="2:12" x14ac:dyDescent="0.2">
      <c r="B67" s="583" t="s">
        <v>277</v>
      </c>
      <c r="C67" s="584"/>
      <c r="D67" s="584"/>
      <c r="E67" s="579"/>
    </row>
    <row r="68" spans="2:12" ht="15.75" x14ac:dyDescent="0.25">
      <c r="B68" s="87"/>
    </row>
    <row r="69" spans="2:12" ht="51" x14ac:dyDescent="0.2">
      <c r="B69" s="73" t="s">
        <v>51</v>
      </c>
      <c r="C69" s="74" t="s">
        <v>85</v>
      </c>
      <c r="D69" s="75" t="s">
        <v>53</v>
      </c>
      <c r="E69" s="75" t="s">
        <v>54</v>
      </c>
      <c r="F69" s="76" t="s">
        <v>65</v>
      </c>
      <c r="G69" s="620" t="s">
        <v>73</v>
      </c>
      <c r="H69" s="621"/>
      <c r="I69" s="131"/>
      <c r="J69" s="145" t="s">
        <v>74</v>
      </c>
      <c r="K69" s="76" t="s">
        <v>66</v>
      </c>
      <c r="L69" s="77" t="s">
        <v>67</v>
      </c>
    </row>
    <row r="70" spans="2:12" ht="17.25" customHeight="1" x14ac:dyDescent="0.2">
      <c r="B70" s="73"/>
      <c r="C70" s="74"/>
      <c r="D70" s="75"/>
      <c r="E70" s="75"/>
      <c r="F70" s="76"/>
      <c r="G70" s="76" t="s">
        <v>15</v>
      </c>
      <c r="H70" s="76" t="s">
        <v>16</v>
      </c>
      <c r="I70" s="76" t="s">
        <v>90</v>
      </c>
      <c r="J70" s="78" t="s">
        <v>106</v>
      </c>
      <c r="K70" s="76"/>
      <c r="L70" s="77"/>
    </row>
    <row r="71" spans="2:12" x14ac:dyDescent="0.2">
      <c r="B71" s="73"/>
      <c r="C71" s="74"/>
      <c r="D71" s="29" t="s">
        <v>57</v>
      </c>
      <c r="E71" s="29" t="s">
        <v>57</v>
      </c>
      <c r="F71" s="29" t="s">
        <v>57</v>
      </c>
      <c r="G71" s="29" t="s">
        <v>57</v>
      </c>
      <c r="H71" s="29" t="s">
        <v>57</v>
      </c>
      <c r="I71" s="29"/>
      <c r="J71" s="29" t="s">
        <v>57</v>
      </c>
      <c r="K71" s="29" t="s">
        <v>57</v>
      </c>
      <c r="L71" s="29" t="s">
        <v>57</v>
      </c>
    </row>
    <row r="72" spans="2:12" x14ac:dyDescent="0.2">
      <c r="B72" s="130"/>
      <c r="C72" s="120" t="s">
        <v>500</v>
      </c>
      <c r="D72" s="438">
        <f>E72+F72</f>
        <v>176257.04</v>
      </c>
      <c r="E72" s="438">
        <v>168841.92</v>
      </c>
      <c r="F72" s="438">
        <f>H72+J72+K72+L72</f>
        <v>7415.119999999999</v>
      </c>
      <c r="G72" s="184"/>
      <c r="H72" s="438">
        <f>10130.13-'8. Maintenance'!G69</f>
        <v>7415.119999999999</v>
      </c>
      <c r="I72" s="133" t="e">
        <f t="shared" ref="I72:I77" si="11">(H72-G72)/G72</f>
        <v>#DIV/0!</v>
      </c>
      <c r="J72" s="438">
        <v>0</v>
      </c>
      <c r="K72" s="438">
        <v>0</v>
      </c>
      <c r="L72" s="438">
        <v>0</v>
      </c>
    </row>
    <row r="73" spans="2:12" x14ac:dyDescent="0.2">
      <c r="B73" s="130"/>
      <c r="C73" s="512" t="s">
        <v>504</v>
      </c>
      <c r="D73" s="438">
        <f>E73+F73</f>
        <v>4993815.3899999997</v>
      </c>
      <c r="E73" s="438">
        <f>'[10]Pivot Retail'!$B$19+'[10]Pivot Retail'!$B$18+'[10]Pivot Retail'!$B$17+'[10]Pivot Retail'!$B$16+'[10]Pivot Retail'!$B$15+'[10]Pivot Retail'!$B$14+'[10]Pivot Retail'!$B$13+'[10]Pivot Retail'!$B$12+'[10]Pivot Retail'!$B$11+'[10]Pivot Retail'!$B$10</f>
        <v>1688123.2700000005</v>
      </c>
      <c r="F73" s="438">
        <f>H73+J73+K73+L73</f>
        <v>3305692.1199999992</v>
      </c>
      <c r="G73" s="184"/>
      <c r="H73" s="438">
        <f>'[10]Pivot Retail'!$B$5+'[10]Pivot Retail'!$B$6+'[10]Pivot Retail'!$B$7+'[10]Pivot Retail'!$B$8</f>
        <v>3305692.1199999992</v>
      </c>
      <c r="I73" s="133" t="e">
        <f t="shared" si="11"/>
        <v>#DIV/0!</v>
      </c>
      <c r="J73" s="438">
        <v>0</v>
      </c>
      <c r="K73" s="438">
        <v>0</v>
      </c>
      <c r="L73" s="438">
        <v>0</v>
      </c>
    </row>
    <row r="74" spans="2:12" x14ac:dyDescent="0.2">
      <c r="B74" s="130"/>
      <c r="C74" s="98"/>
      <c r="D74" s="438"/>
      <c r="E74" s="438"/>
      <c r="F74" s="438"/>
      <c r="G74" s="184"/>
      <c r="H74" s="438"/>
      <c r="I74" s="133" t="e">
        <f t="shared" si="11"/>
        <v>#DIV/0!</v>
      </c>
      <c r="J74" s="98"/>
      <c r="K74" s="160"/>
      <c r="L74" s="98"/>
    </row>
    <row r="75" spans="2:12" x14ac:dyDescent="0.2">
      <c r="B75" s="130"/>
      <c r="C75" s="98"/>
      <c r="D75" s="438"/>
      <c r="E75" s="438"/>
      <c r="F75" s="438"/>
      <c r="G75" s="184"/>
      <c r="H75" s="438"/>
      <c r="I75" s="133" t="e">
        <f t="shared" si="11"/>
        <v>#DIV/0!</v>
      </c>
      <c r="J75" s="98"/>
      <c r="K75" s="160"/>
      <c r="L75" s="98"/>
    </row>
    <row r="76" spans="2:12" x14ac:dyDescent="0.2">
      <c r="B76" s="130"/>
      <c r="C76" s="98"/>
      <c r="D76" s="438"/>
      <c r="E76" s="438"/>
      <c r="F76" s="438"/>
      <c r="G76" s="184"/>
      <c r="H76" s="438"/>
      <c r="I76" s="133" t="e">
        <f t="shared" si="11"/>
        <v>#DIV/0!</v>
      </c>
      <c r="J76" s="98"/>
      <c r="K76" s="160"/>
      <c r="L76" s="98"/>
    </row>
    <row r="77" spans="2:12" x14ac:dyDescent="0.2">
      <c r="B77" s="130"/>
      <c r="C77" s="98"/>
      <c r="D77" s="98"/>
      <c r="E77" s="98"/>
      <c r="F77" s="98"/>
      <c r="G77" s="184"/>
      <c r="H77" s="98"/>
      <c r="I77" s="133" t="e">
        <f t="shared" si="11"/>
        <v>#DIV/0!</v>
      </c>
      <c r="J77" s="98"/>
      <c r="K77" s="160"/>
      <c r="L77" s="98"/>
    </row>
    <row r="79" spans="2:12" ht="19.5" x14ac:dyDescent="0.25">
      <c r="B79" s="87" t="s">
        <v>115</v>
      </c>
      <c r="C79" s="91"/>
      <c r="D79" s="91"/>
      <c r="E79" s="91"/>
      <c r="F79" s="91"/>
      <c r="G79" s="91"/>
      <c r="H79" s="91"/>
      <c r="I79" s="91"/>
      <c r="J79" s="91"/>
    </row>
    <row r="80" spans="2:12" ht="19.5" x14ac:dyDescent="0.25">
      <c r="B80" s="87"/>
      <c r="C80" s="91"/>
      <c r="D80" s="91"/>
      <c r="E80" s="91"/>
      <c r="F80" s="91"/>
      <c r="G80" s="91"/>
      <c r="H80" s="91"/>
      <c r="I80" s="91"/>
      <c r="J80" s="91"/>
    </row>
    <row r="81" spans="2:12" ht="14.25" customHeight="1" x14ac:dyDescent="0.2">
      <c r="B81" s="583" t="s">
        <v>277</v>
      </c>
      <c r="C81" s="584"/>
      <c r="D81" s="584"/>
      <c r="E81" s="579"/>
      <c r="F81" s="91"/>
      <c r="G81" s="91"/>
      <c r="H81" s="91"/>
      <c r="I81" s="91"/>
      <c r="J81" s="91"/>
    </row>
    <row r="82" spans="2:12" ht="12.75" customHeight="1" x14ac:dyDescent="0.25">
      <c r="B82" s="83"/>
      <c r="C82" s="91"/>
      <c r="D82" s="91"/>
      <c r="E82" s="91"/>
      <c r="F82" s="91"/>
      <c r="G82" s="91"/>
      <c r="H82" s="91"/>
      <c r="I82" s="91"/>
      <c r="J82" s="91"/>
    </row>
    <row r="83" spans="2:12" ht="51" x14ac:dyDescent="0.2">
      <c r="B83" s="73" t="s">
        <v>51</v>
      </c>
      <c r="C83" s="74" t="s">
        <v>52</v>
      </c>
      <c r="D83" s="75" t="s">
        <v>53</v>
      </c>
      <c r="E83" s="75" t="s">
        <v>54</v>
      </c>
      <c r="F83" s="76" t="s">
        <v>65</v>
      </c>
      <c r="G83" s="620" t="s">
        <v>73</v>
      </c>
      <c r="H83" s="621"/>
      <c r="I83" s="131"/>
      <c r="J83" s="145" t="s">
        <v>74</v>
      </c>
      <c r="K83" s="76" t="s">
        <v>66</v>
      </c>
      <c r="L83" s="77" t="s">
        <v>67</v>
      </c>
    </row>
    <row r="84" spans="2:12" ht="18.75" customHeight="1" x14ac:dyDescent="0.2">
      <c r="B84" s="92"/>
      <c r="C84" s="93"/>
      <c r="D84" s="75"/>
      <c r="E84" s="75"/>
      <c r="F84" s="76"/>
      <c r="G84" s="76" t="s">
        <v>15</v>
      </c>
      <c r="H84" s="76" t="s">
        <v>16</v>
      </c>
      <c r="I84" s="76" t="s">
        <v>90</v>
      </c>
      <c r="J84" s="78" t="s">
        <v>106</v>
      </c>
      <c r="K84" s="76"/>
      <c r="L84" s="77"/>
    </row>
    <row r="85" spans="2:12" x14ac:dyDescent="0.2">
      <c r="B85" s="92"/>
      <c r="C85" s="93"/>
      <c r="D85" s="29" t="s">
        <v>57</v>
      </c>
      <c r="E85" s="29" t="s">
        <v>57</v>
      </c>
      <c r="F85" s="29" t="s">
        <v>57</v>
      </c>
      <c r="G85" s="29" t="s">
        <v>57</v>
      </c>
      <c r="H85" s="29" t="s">
        <v>57</v>
      </c>
      <c r="I85" s="29"/>
      <c r="J85" s="29" t="s">
        <v>57</v>
      </c>
      <c r="K85" s="29" t="s">
        <v>57</v>
      </c>
      <c r="L85" s="29" t="s">
        <v>57</v>
      </c>
    </row>
    <row r="86" spans="2:12" x14ac:dyDescent="0.2">
      <c r="B86" s="130"/>
      <c r="C86" s="163" t="s">
        <v>462</v>
      </c>
      <c r="D86" s="98"/>
      <c r="E86" s="98"/>
      <c r="F86" s="98"/>
      <c r="G86" s="184"/>
      <c r="H86" s="98"/>
      <c r="I86" s="133" t="e">
        <f t="shared" ref="I86:I91" si="12">(H86-G86)/G86</f>
        <v>#DIV/0!</v>
      </c>
      <c r="J86" s="98"/>
      <c r="K86" s="160"/>
      <c r="L86" s="98"/>
    </row>
    <row r="87" spans="2:12" x14ac:dyDescent="0.2">
      <c r="B87" s="130"/>
      <c r="C87" s="98"/>
      <c r="D87" s="98"/>
      <c r="E87" s="98"/>
      <c r="F87" s="98"/>
      <c r="G87" s="184"/>
      <c r="H87" s="98"/>
      <c r="I87" s="133" t="e">
        <f t="shared" si="12"/>
        <v>#DIV/0!</v>
      </c>
      <c r="J87" s="98"/>
      <c r="K87" s="160"/>
      <c r="L87" s="98"/>
    </row>
    <row r="88" spans="2:12" x14ac:dyDescent="0.2">
      <c r="B88" s="130"/>
      <c r="C88" s="98"/>
      <c r="D88" s="98"/>
      <c r="E88" s="98"/>
      <c r="F88" s="98"/>
      <c r="G88" s="184"/>
      <c r="H88" s="98"/>
      <c r="I88" s="133" t="e">
        <f t="shared" si="12"/>
        <v>#DIV/0!</v>
      </c>
      <c r="J88" s="98"/>
      <c r="K88" s="160"/>
      <c r="L88" s="98"/>
    </row>
    <row r="89" spans="2:12" x14ac:dyDescent="0.2">
      <c r="B89" s="130"/>
      <c r="C89" s="98"/>
      <c r="D89" s="98"/>
      <c r="E89" s="98"/>
      <c r="F89" s="98"/>
      <c r="G89" s="184"/>
      <c r="H89" s="98"/>
      <c r="I89" s="133" t="e">
        <f t="shared" si="12"/>
        <v>#DIV/0!</v>
      </c>
      <c r="J89" s="98"/>
      <c r="K89" s="160"/>
      <c r="L89" s="98"/>
    </row>
    <row r="90" spans="2:12" x14ac:dyDescent="0.2">
      <c r="B90" s="130"/>
      <c r="C90" s="98"/>
      <c r="D90" s="98"/>
      <c r="E90" s="98"/>
      <c r="F90" s="98"/>
      <c r="G90" s="184"/>
      <c r="H90" s="98"/>
      <c r="I90" s="133" t="e">
        <f t="shared" si="12"/>
        <v>#DIV/0!</v>
      </c>
      <c r="J90" s="98"/>
      <c r="K90" s="160"/>
      <c r="L90" s="98"/>
    </row>
    <row r="91" spans="2:12" x14ac:dyDescent="0.2">
      <c r="B91" s="130"/>
      <c r="C91" s="98"/>
      <c r="D91" s="98"/>
      <c r="E91" s="98"/>
      <c r="F91" s="98"/>
      <c r="G91" s="184"/>
      <c r="H91" s="98"/>
      <c r="I91" s="133" t="e">
        <f t="shared" si="12"/>
        <v>#DIV/0!</v>
      </c>
      <c r="J91" s="98"/>
      <c r="K91" s="160"/>
      <c r="L91" s="98"/>
    </row>
    <row r="93" spans="2:12" ht="15.75" customHeight="1" x14ac:dyDescent="0.25">
      <c r="B93" s="87" t="s">
        <v>123</v>
      </c>
      <c r="C93" s="91"/>
      <c r="D93" s="87"/>
      <c r="E93" s="91"/>
      <c r="F93" s="87"/>
      <c r="G93" s="91"/>
      <c r="H93" s="91"/>
      <c r="I93" s="91"/>
      <c r="J93" s="91"/>
    </row>
    <row r="94" spans="2:12" ht="12.75" customHeight="1" x14ac:dyDescent="0.2"/>
    <row r="95" spans="2:12" ht="89.25" customHeight="1" x14ac:dyDescent="0.2">
      <c r="B95" s="170" t="s">
        <v>51</v>
      </c>
      <c r="C95" s="94" t="s">
        <v>86</v>
      </c>
      <c r="D95" s="637" t="s">
        <v>87</v>
      </c>
      <c r="E95" s="638"/>
      <c r="F95" s="637"/>
      <c r="G95" s="388" t="s">
        <v>88</v>
      </c>
      <c r="H95" s="388" t="s">
        <v>88</v>
      </c>
      <c r="I95" s="389" t="s">
        <v>136</v>
      </c>
      <c r="J95" s="403" t="s">
        <v>136</v>
      </c>
    </row>
    <row r="96" spans="2:12" ht="38.25" x14ac:dyDescent="0.2">
      <c r="B96" s="170"/>
      <c r="C96" s="94"/>
      <c r="D96" s="639"/>
      <c r="E96" s="640"/>
      <c r="F96" s="641"/>
      <c r="G96" s="388" t="s">
        <v>128</v>
      </c>
      <c r="H96" s="388" t="s">
        <v>129</v>
      </c>
      <c r="I96" s="388" t="s">
        <v>128</v>
      </c>
      <c r="J96" s="403" t="s">
        <v>129</v>
      </c>
    </row>
    <row r="97" spans="2:10" x14ac:dyDescent="0.2">
      <c r="B97" s="171"/>
      <c r="C97" s="172" t="s">
        <v>462</v>
      </c>
      <c r="D97" s="631"/>
      <c r="E97" s="632"/>
      <c r="F97" s="633"/>
      <c r="G97" s="386"/>
      <c r="H97" s="386"/>
      <c r="I97" s="387"/>
      <c r="J97" s="408"/>
    </row>
    <row r="98" spans="2:10" x14ac:dyDescent="0.2">
      <c r="B98" s="171"/>
      <c r="C98" s="172"/>
      <c r="D98" s="631"/>
      <c r="E98" s="632"/>
      <c r="F98" s="633"/>
      <c r="G98" s="386"/>
      <c r="H98" s="386"/>
      <c r="I98" s="387"/>
      <c r="J98" s="408"/>
    </row>
    <row r="99" spans="2:10" x14ac:dyDescent="0.2">
      <c r="B99" s="171"/>
      <c r="C99" s="172"/>
      <c r="D99" s="631"/>
      <c r="E99" s="632"/>
      <c r="F99" s="633"/>
      <c r="G99" s="386"/>
      <c r="H99" s="386"/>
      <c r="I99" s="387"/>
      <c r="J99" s="408"/>
    </row>
    <row r="100" spans="2:10" x14ac:dyDescent="0.2">
      <c r="B100" s="173"/>
      <c r="C100" s="628" t="s">
        <v>69</v>
      </c>
      <c r="D100" s="629"/>
      <c r="E100" s="629"/>
      <c r="F100" s="630"/>
      <c r="G100" s="384">
        <v>0</v>
      </c>
      <c r="H100" s="384">
        <v>0</v>
      </c>
      <c r="I100" s="385">
        <v>0</v>
      </c>
      <c r="J100" s="409">
        <v>0</v>
      </c>
    </row>
    <row r="101" spans="2:10" x14ac:dyDescent="0.2">
      <c r="C101" s="95"/>
    </row>
    <row r="102" spans="2:10" x14ac:dyDescent="0.2">
      <c r="D102" s="96"/>
    </row>
  </sheetData>
  <mergeCells count="26">
    <mergeCell ref="B81:E81"/>
    <mergeCell ref="B5:C5"/>
    <mergeCell ref="C100:F100"/>
    <mergeCell ref="G9:I9"/>
    <mergeCell ref="B37:D37"/>
    <mergeCell ref="G83:H83"/>
    <mergeCell ref="G69:H69"/>
    <mergeCell ref="D99:F99"/>
    <mergeCell ref="C39:F39"/>
    <mergeCell ref="C42:F42"/>
    <mergeCell ref="D98:F98"/>
    <mergeCell ref="D97:F97"/>
    <mergeCell ref="D95:F95"/>
    <mergeCell ref="D96:F96"/>
    <mergeCell ref="C47:F47"/>
    <mergeCell ref="C40:F40"/>
    <mergeCell ref="C41:F41"/>
    <mergeCell ref="B54:E54"/>
    <mergeCell ref="B67:E67"/>
    <mergeCell ref="C43:F43"/>
    <mergeCell ref="C44:F44"/>
    <mergeCell ref="C45:F45"/>
    <mergeCell ref="C46:F46"/>
    <mergeCell ref="C48:F48"/>
    <mergeCell ref="C49:F49"/>
    <mergeCell ref="C50:F50"/>
  </mergeCells>
  <phoneticPr fontId="35" type="noConversion"/>
  <pageMargins left="0.35433070866141736" right="0.35433070866141736" top="0.59055118110236227" bottom="0.59055118110236227" header="0.51181102362204722" footer="0.11811023622047245"/>
  <pageSetup paperSize="9" scale="69" fitToHeight="100" orientation="landscape" r:id="rId1"/>
  <headerFooter scaleWithDoc="0" alignWithMargins="0">
    <oddFooter>&amp;L&amp;8&amp;D&amp;C&amp;8&amp; Template: &amp;A
&amp;F&amp;R&amp;8&amp;P of &amp;N</oddFooter>
  </headerFooter>
  <rowBreaks count="3" manualBreakCount="3">
    <brk id="34" max="16383" man="1"/>
    <brk id="51" max="16383" man="1"/>
    <brk id="92"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1:L46"/>
  <sheetViews>
    <sheetView showGridLines="0" topLeftCell="A19" zoomScaleNormal="100" zoomScaleSheetLayoutView="75" workbookViewId="0">
      <selection activeCell="C35" sqref="C35"/>
    </sheetView>
  </sheetViews>
  <sheetFormatPr defaultRowHeight="12.75" x14ac:dyDescent="0.2"/>
  <cols>
    <col min="1" max="1" width="12" style="65" customWidth="1"/>
    <col min="2" max="2" width="16.42578125" style="65" bestFit="1" customWidth="1"/>
    <col min="3" max="3" width="41.28515625" style="65" customWidth="1"/>
    <col min="4" max="12" width="15.7109375" style="65" customWidth="1"/>
    <col min="13" max="13" width="15.28515625" style="65" customWidth="1"/>
    <col min="14" max="16384" width="9.140625" style="65"/>
  </cols>
  <sheetData>
    <row r="1" spans="2:12" ht="20.25" x14ac:dyDescent="0.3">
      <c r="B1" s="26" t="str">
        <f>Cover!C22</f>
        <v>ActewAGL</v>
      </c>
      <c r="C1" s="27"/>
      <c r="D1" s="27"/>
      <c r="E1" s="27"/>
      <c r="F1" s="27"/>
      <c r="G1" s="27"/>
      <c r="H1" s="27"/>
      <c r="I1" s="27"/>
      <c r="J1" s="27"/>
      <c r="K1" s="27"/>
    </row>
    <row r="2" spans="2:12" ht="20.25" x14ac:dyDescent="0.3">
      <c r="B2" s="437" t="s">
        <v>119</v>
      </c>
      <c r="C2" s="66"/>
    </row>
    <row r="3" spans="2:12" ht="20.25" x14ac:dyDescent="0.3">
      <c r="B3" s="26" t="str">
        <f>Cover!C26</f>
        <v>2012-13</v>
      </c>
    </row>
    <row r="4" spans="2:12" ht="20.25" x14ac:dyDescent="0.3">
      <c r="B4" s="64"/>
    </row>
    <row r="5" spans="2:12" ht="69" customHeight="1" x14ac:dyDescent="0.2">
      <c r="B5" s="580" t="s">
        <v>250</v>
      </c>
      <c r="C5" s="581"/>
    </row>
    <row r="6" spans="2:12" ht="20.25" x14ac:dyDescent="0.3">
      <c r="B6" s="64"/>
    </row>
    <row r="7" spans="2:12" ht="15.75" x14ac:dyDescent="0.25">
      <c r="B7" s="87" t="s">
        <v>1</v>
      </c>
    </row>
    <row r="8" spans="2:12" x14ac:dyDescent="0.2">
      <c r="B8" s="67"/>
      <c r="C8" s="68"/>
      <c r="D8" s="69"/>
      <c r="E8" s="69"/>
      <c r="F8" s="70"/>
      <c r="G8" s="70"/>
      <c r="H8" s="70"/>
      <c r="I8" s="70"/>
      <c r="J8" s="71"/>
      <c r="K8" s="72"/>
    </row>
    <row r="9" spans="2:12" ht="40.15" customHeight="1" x14ac:dyDescent="0.2">
      <c r="B9" s="73" t="s">
        <v>59</v>
      </c>
      <c r="C9" s="74" t="s">
        <v>52</v>
      </c>
      <c r="D9" s="75" t="s">
        <v>53</v>
      </c>
      <c r="E9" s="75" t="s">
        <v>54</v>
      </c>
      <c r="F9" s="76" t="s">
        <v>65</v>
      </c>
      <c r="G9" s="620" t="s">
        <v>73</v>
      </c>
      <c r="H9" s="621"/>
      <c r="I9" s="622"/>
      <c r="J9" s="145" t="s">
        <v>74</v>
      </c>
      <c r="K9" s="76" t="s">
        <v>66</v>
      </c>
      <c r="L9" s="77" t="s">
        <v>67</v>
      </c>
    </row>
    <row r="10" spans="2:12" ht="21.75" customHeight="1" x14ac:dyDescent="0.2">
      <c r="B10" s="73"/>
      <c r="C10" s="74"/>
      <c r="D10" s="75"/>
      <c r="E10" s="75"/>
      <c r="F10" s="76"/>
      <c r="G10" s="76" t="s">
        <v>15</v>
      </c>
      <c r="H10" s="76" t="s">
        <v>16</v>
      </c>
      <c r="I10" s="76" t="s">
        <v>90</v>
      </c>
      <c r="J10" s="78" t="s">
        <v>106</v>
      </c>
      <c r="K10" s="76"/>
      <c r="L10" s="76"/>
    </row>
    <row r="11" spans="2:12" ht="12.75" customHeight="1" x14ac:dyDescent="0.2">
      <c r="B11" s="73"/>
      <c r="C11" s="74"/>
      <c r="D11" s="29" t="s">
        <v>57</v>
      </c>
      <c r="E11" s="29" t="s">
        <v>57</v>
      </c>
      <c r="F11" s="29" t="s">
        <v>57</v>
      </c>
      <c r="G11" s="29" t="s">
        <v>57</v>
      </c>
      <c r="H11" s="29" t="s">
        <v>57</v>
      </c>
      <c r="I11" s="29"/>
      <c r="J11" s="29" t="s">
        <v>57</v>
      </c>
      <c r="K11" s="29" t="s">
        <v>57</v>
      </c>
      <c r="L11" s="29" t="s">
        <v>57</v>
      </c>
    </row>
    <row r="12" spans="2:12" ht="12.75" customHeight="1" x14ac:dyDescent="0.2">
      <c r="B12" s="156"/>
      <c r="C12" s="118" t="s">
        <v>92</v>
      </c>
      <c r="D12" s="151">
        <f>SUM(E12:F12)</f>
        <v>0</v>
      </c>
      <c r="E12" s="151">
        <f>-'[6]Comparison Nominal Dollars'!X10</f>
        <v>0</v>
      </c>
      <c r="F12" s="151">
        <f>H12+J12+L12</f>
        <v>0</v>
      </c>
      <c r="G12" s="438">
        <v>0</v>
      </c>
      <c r="H12" s="438">
        <v>0</v>
      </c>
      <c r="I12" s="444" t="e">
        <f>(H12-G12)/G12</f>
        <v>#DIV/0!</v>
      </c>
      <c r="J12" s="438">
        <v>0</v>
      </c>
      <c r="K12" s="439"/>
      <c r="L12" s="438">
        <v>0</v>
      </c>
    </row>
    <row r="13" spans="2:12" ht="12.75" customHeight="1" x14ac:dyDescent="0.2">
      <c r="B13" s="156"/>
      <c r="C13" s="118" t="s">
        <v>398</v>
      </c>
      <c r="D13" s="151">
        <f>SUM(E13:F13)</f>
        <v>0</v>
      </c>
      <c r="E13" s="151">
        <f>-'[6]Comparison Nominal Dollars'!X11</f>
        <v>0</v>
      </c>
      <c r="F13" s="151">
        <f>H13+J13+L13</f>
        <v>0</v>
      </c>
      <c r="G13" s="438">
        <v>0</v>
      </c>
      <c r="H13" s="438">
        <v>0</v>
      </c>
      <c r="I13" s="444" t="e">
        <f>(H13-G13)/G13</f>
        <v>#DIV/0!</v>
      </c>
      <c r="J13" s="438">
        <v>0</v>
      </c>
      <c r="K13" s="440"/>
      <c r="L13" s="438">
        <v>0</v>
      </c>
    </row>
    <row r="14" spans="2:12" x14ac:dyDescent="0.2">
      <c r="B14" s="157"/>
      <c r="C14" s="118" t="s">
        <v>93</v>
      </c>
      <c r="D14" s="441"/>
      <c r="E14" s="441"/>
      <c r="F14" s="441"/>
      <c r="G14" s="441"/>
      <c r="H14" s="441"/>
      <c r="I14" s="445"/>
      <c r="J14" s="441"/>
      <c r="K14" s="441"/>
      <c r="L14" s="441"/>
    </row>
    <row r="15" spans="2:12" x14ac:dyDescent="0.2">
      <c r="B15" s="130"/>
      <c r="C15" s="119" t="s">
        <v>82</v>
      </c>
      <c r="D15" s="151">
        <f>SUM(E15:F15)</f>
        <v>671014.64999999991</v>
      </c>
      <c r="E15" s="151">
        <f>-'[6]Comparison Nominal Dollars'!X13</f>
        <v>64181.104613268348</v>
      </c>
      <c r="F15" s="151">
        <f>H15+J15+L15</f>
        <v>606833.54538673151</v>
      </c>
      <c r="G15" s="438">
        <v>0</v>
      </c>
      <c r="H15" s="438">
        <f>SUM('[6]Control P&amp;L'!$BA$89:$BA$90)+'[6]Comparison Nominal Dollars'!X13</f>
        <v>606833.54538673151</v>
      </c>
      <c r="I15" s="444" t="e">
        <f t="shared" ref="I15:I21" si="0">(H15-G15)/G15</f>
        <v>#DIV/0!</v>
      </c>
      <c r="J15" s="438">
        <v>0</v>
      </c>
      <c r="K15" s="439"/>
      <c r="L15" s="438">
        <v>0</v>
      </c>
    </row>
    <row r="16" spans="2:12" x14ac:dyDescent="0.2">
      <c r="B16" s="130"/>
      <c r="C16" s="119" t="s">
        <v>94</v>
      </c>
      <c r="D16" s="151">
        <f t="shared" ref="D16:D19" si="1">SUM(E16:F16)</f>
        <v>134339.17000000001</v>
      </c>
      <c r="E16" s="151">
        <f>-'[6]Comparison Nominal Dollars'!X14</f>
        <v>34515.521218891809</v>
      </c>
      <c r="F16" s="151">
        <f t="shared" ref="F16:F19" si="2">H16+J16+L16</f>
        <v>99823.648781108204</v>
      </c>
      <c r="G16" s="438">
        <v>0</v>
      </c>
      <c r="H16" s="438">
        <f>SUM('[6]Control P&amp;L'!$BA$91:$BA$93)+'[6]Comparison Nominal Dollars'!X14</f>
        <v>99823.648781108204</v>
      </c>
      <c r="I16" s="444" t="e">
        <f t="shared" si="0"/>
        <v>#DIV/0!</v>
      </c>
      <c r="J16" s="438">
        <v>0</v>
      </c>
      <c r="K16" s="439"/>
      <c r="L16" s="438">
        <v>0</v>
      </c>
    </row>
    <row r="17" spans="2:12" x14ac:dyDescent="0.2">
      <c r="B17" s="130"/>
      <c r="C17" s="119" t="s">
        <v>95</v>
      </c>
      <c r="D17" s="151">
        <f t="shared" si="1"/>
        <v>330767.52</v>
      </c>
      <c r="E17" s="151">
        <f>-'[6]Comparison Nominal Dollars'!X15</f>
        <v>36838.237250692066</v>
      </c>
      <c r="F17" s="151">
        <f t="shared" si="2"/>
        <v>293929.28274930792</v>
      </c>
      <c r="G17" s="438">
        <v>0</v>
      </c>
      <c r="H17" s="438">
        <f>SUM('[6]Control P&amp;L'!$BA$94)+'[6]Comparison Nominal Dollars'!X15</f>
        <v>293929.28274930792</v>
      </c>
      <c r="I17" s="444" t="e">
        <f t="shared" si="0"/>
        <v>#DIV/0!</v>
      </c>
      <c r="J17" s="438">
        <v>0</v>
      </c>
      <c r="K17" s="439"/>
      <c r="L17" s="438">
        <v>0</v>
      </c>
    </row>
    <row r="18" spans="2:12" x14ac:dyDescent="0.2">
      <c r="B18" s="130"/>
      <c r="C18" s="119" t="s">
        <v>96</v>
      </c>
      <c r="D18" s="151">
        <f t="shared" si="1"/>
        <v>670</v>
      </c>
      <c r="E18" s="151">
        <f>-'[6]Comparison Nominal Dollars'!X16</f>
        <v>17011.532034831576</v>
      </c>
      <c r="F18" s="151">
        <f t="shared" si="2"/>
        <v>-16341.532034831576</v>
      </c>
      <c r="G18" s="438">
        <v>0</v>
      </c>
      <c r="H18" s="438">
        <f>SUM('[6]Control P&amp;L'!$BA$95)+'[6]Comparison Nominal Dollars'!X16</f>
        <v>-16341.532034831576</v>
      </c>
      <c r="I18" s="444" t="e">
        <f t="shared" si="0"/>
        <v>#DIV/0!</v>
      </c>
      <c r="J18" s="438">
        <v>0</v>
      </c>
      <c r="K18" s="439"/>
      <c r="L18" s="438">
        <v>0</v>
      </c>
    </row>
    <row r="19" spans="2:12" x14ac:dyDescent="0.2">
      <c r="B19" s="130"/>
      <c r="C19" s="119" t="s">
        <v>97</v>
      </c>
      <c r="D19" s="151">
        <f t="shared" si="1"/>
        <v>0</v>
      </c>
      <c r="E19" s="151">
        <f>-'[6]Comparison Nominal Dollars'!X17</f>
        <v>0</v>
      </c>
      <c r="F19" s="151">
        <f t="shared" si="2"/>
        <v>0</v>
      </c>
      <c r="G19" s="438">
        <v>0</v>
      </c>
      <c r="H19" s="438">
        <f>SUM('[6]Control P&amp;L'!$BA$96)+'[6]Comparison Nominal Dollars'!X17</f>
        <v>0</v>
      </c>
      <c r="I19" s="444" t="e">
        <f t="shared" si="0"/>
        <v>#DIV/0!</v>
      </c>
      <c r="J19" s="438">
        <v>0</v>
      </c>
      <c r="K19" s="439"/>
      <c r="L19" s="438">
        <v>0</v>
      </c>
    </row>
    <row r="20" spans="2:12" ht="12.75" customHeight="1" x14ac:dyDescent="0.2">
      <c r="B20" s="130"/>
      <c r="C20" s="89" t="s">
        <v>146</v>
      </c>
      <c r="D20" s="151">
        <f>SUM(E20:F20)</f>
        <v>657244.78</v>
      </c>
      <c r="E20" s="151">
        <f>-'[6]Comparison Nominal Dollars'!X18</f>
        <v>77191.710355520525</v>
      </c>
      <c r="F20" s="151">
        <f>H20+J20+L20</f>
        <v>580053.06964447955</v>
      </c>
      <c r="G20" s="438">
        <v>0</v>
      </c>
      <c r="H20" s="438">
        <f>SUM('[6]Control P&amp;L'!$BA$97:$BA$98)+'[6]Comparison Nominal Dollars'!X18</f>
        <v>314419.67964447959</v>
      </c>
      <c r="I20" s="444" t="e">
        <f t="shared" si="0"/>
        <v>#DIV/0!</v>
      </c>
      <c r="J20" s="438">
        <f>SUM('[6]Alternate P&amp;L'!$BA$63)</f>
        <v>0</v>
      </c>
      <c r="K20" s="439"/>
      <c r="L20" s="438">
        <f>[6]Unregulated!$BA$80</f>
        <v>265633.39</v>
      </c>
    </row>
    <row r="21" spans="2:12" x14ac:dyDescent="0.2">
      <c r="B21" s="130"/>
      <c r="C21" s="186" t="s">
        <v>149</v>
      </c>
      <c r="D21" s="442">
        <f>SUM(D15:D20)</f>
        <v>1794036.1199999999</v>
      </c>
      <c r="E21" s="442">
        <f>SUM(E15:E20)</f>
        <v>229738.10547320434</v>
      </c>
      <c r="F21" s="442">
        <f>SUM(F15:F20)</f>
        <v>1564298.0145267956</v>
      </c>
      <c r="G21" s="442">
        <f>SUM(G15:G20)</f>
        <v>0</v>
      </c>
      <c r="H21" s="442">
        <f>SUM(H15:H20)</f>
        <v>1298664.6245267957</v>
      </c>
      <c r="I21" s="444" t="e">
        <f t="shared" si="0"/>
        <v>#DIV/0!</v>
      </c>
      <c r="J21" s="442">
        <f>SUM(J15:J20)</f>
        <v>0</v>
      </c>
      <c r="K21" s="442"/>
      <c r="L21" s="442">
        <f>SUM(L15:L20)</f>
        <v>265633.39</v>
      </c>
    </row>
    <row r="22" spans="2:12" x14ac:dyDescent="0.2">
      <c r="B22" s="130"/>
      <c r="C22" s="146" t="s">
        <v>98</v>
      </c>
      <c r="D22" s="443"/>
      <c r="E22" s="443"/>
      <c r="F22" s="443"/>
      <c r="G22" s="443"/>
      <c r="H22" s="443"/>
      <c r="I22" s="446"/>
      <c r="J22" s="443"/>
      <c r="K22" s="443"/>
      <c r="L22" s="443"/>
    </row>
    <row r="23" spans="2:12" ht="12.75" customHeight="1" x14ac:dyDescent="0.2">
      <c r="B23" s="130"/>
      <c r="C23" s="147" t="s">
        <v>84</v>
      </c>
      <c r="D23" s="151">
        <f t="shared" ref="D23:D30" si="3">SUM(E23:F23)</f>
        <v>0</v>
      </c>
      <c r="E23" s="151">
        <f>-'[6]Comparison Nominal Dollars'!X94</f>
        <v>0</v>
      </c>
      <c r="F23" s="151">
        <f t="shared" ref="F23:F30" si="4">H23+J23+L23</f>
        <v>0</v>
      </c>
      <c r="G23" s="438">
        <v>0</v>
      </c>
      <c r="H23" s="438">
        <f>'[6]Comparison Nominal Dollars'!X94</f>
        <v>0</v>
      </c>
      <c r="I23" s="444" t="e">
        <f t="shared" ref="I23:I31" si="5">(H23-G23)/G23</f>
        <v>#DIV/0!</v>
      </c>
      <c r="J23" s="438">
        <v>0</v>
      </c>
      <c r="K23" s="439"/>
      <c r="L23" s="438">
        <v>0</v>
      </c>
    </row>
    <row r="24" spans="2:12" x14ac:dyDescent="0.2">
      <c r="B24" s="130"/>
      <c r="C24" s="147" t="s">
        <v>99</v>
      </c>
      <c r="D24" s="151">
        <f t="shared" si="3"/>
        <v>0</v>
      </c>
      <c r="E24" s="151">
        <f>-'[6]Comparison Nominal Dollars'!X43</f>
        <v>0</v>
      </c>
      <c r="F24" s="151">
        <f t="shared" si="4"/>
        <v>0</v>
      </c>
      <c r="G24" s="438">
        <v>0</v>
      </c>
      <c r="H24" s="438">
        <f>'[6]Comparison Nominal Dollars'!X43</f>
        <v>0</v>
      </c>
      <c r="I24" s="444" t="e">
        <f t="shared" si="5"/>
        <v>#DIV/0!</v>
      </c>
      <c r="J24" s="438">
        <v>0</v>
      </c>
      <c r="K24" s="439"/>
      <c r="L24" s="438">
        <v>0</v>
      </c>
    </row>
    <row r="25" spans="2:12" ht="12.75" customHeight="1" x14ac:dyDescent="0.2">
      <c r="B25" s="130"/>
      <c r="C25" s="147" t="s">
        <v>100</v>
      </c>
      <c r="D25" s="151">
        <f t="shared" si="3"/>
        <v>17195268.270000003</v>
      </c>
      <c r="E25" s="151">
        <f>'15. Overheads allocation'!E22-SUM(E15:E20)-SUM(E26:E30)-'9. Maintenance overheads'!E33</f>
        <v>4546608.4546586303</v>
      </c>
      <c r="F25" s="151">
        <f t="shared" si="4"/>
        <v>12648659.815341372</v>
      </c>
      <c r="G25" s="438">
        <v>0</v>
      </c>
      <c r="H25" s="438">
        <f>'15. Overheads allocation'!H22-SUM(H15:H20)-SUM(H26:H30)-'9. Maintenance overheads'!H33</f>
        <v>12648659.815341372</v>
      </c>
      <c r="I25" s="444" t="e">
        <f t="shared" si="5"/>
        <v>#DIV/0!</v>
      </c>
      <c r="J25" s="438">
        <f>'15. Overheads allocation'!J22-SUM(J15:J20)-SUM(J26:J30)-'9. Maintenance overheads'!J33</f>
        <v>0</v>
      </c>
      <c r="K25" s="439"/>
      <c r="L25" s="438">
        <f>'15. Overheads allocation'!L22-SUM(L15:L20)-SUM(L26:L30)-'9. Maintenance overheads'!L33</f>
        <v>0</v>
      </c>
    </row>
    <row r="26" spans="2:12" x14ac:dyDescent="0.2">
      <c r="B26" s="130"/>
      <c r="C26" s="147" t="s">
        <v>101</v>
      </c>
      <c r="D26" s="151">
        <f t="shared" si="3"/>
        <v>0</v>
      </c>
      <c r="E26" s="151">
        <f>-'[6]Comparison Nominal Dollars'!X45</f>
        <v>0</v>
      </c>
      <c r="F26" s="151">
        <f t="shared" si="4"/>
        <v>0</v>
      </c>
      <c r="G26" s="438">
        <v>0</v>
      </c>
      <c r="H26" s="438">
        <f>SUM('[6]Control P&amp;L'!$BA$102)+'[6]Comparison Nominal Dollars'!X45</f>
        <v>0</v>
      </c>
      <c r="I26" s="444" t="e">
        <f t="shared" si="5"/>
        <v>#DIV/0!</v>
      </c>
      <c r="J26" s="438">
        <v>0</v>
      </c>
      <c r="K26" s="439"/>
      <c r="L26" s="438">
        <v>0</v>
      </c>
    </row>
    <row r="27" spans="2:12" x14ac:dyDescent="0.2">
      <c r="B27" s="130"/>
      <c r="C27" s="147" t="s">
        <v>102</v>
      </c>
      <c r="D27" s="151">
        <f t="shared" si="3"/>
        <v>549410.54999999993</v>
      </c>
      <c r="E27" s="151">
        <f>-'[6]Comparison Nominal Dollars'!X46</f>
        <v>58307.979805975097</v>
      </c>
      <c r="F27" s="151">
        <f t="shared" si="4"/>
        <v>491102.57019402483</v>
      </c>
      <c r="G27" s="438">
        <v>0</v>
      </c>
      <c r="H27" s="438">
        <f>SUM('[6]Control P&amp;L'!$BA$103)+'[6]Comparison Nominal Dollars'!X46</f>
        <v>491102.57019402483</v>
      </c>
      <c r="I27" s="444" t="e">
        <f t="shared" si="5"/>
        <v>#DIV/0!</v>
      </c>
      <c r="J27" s="438">
        <v>0</v>
      </c>
      <c r="K27" s="439"/>
      <c r="L27" s="438">
        <v>0</v>
      </c>
    </row>
    <row r="28" spans="2:12" x14ac:dyDescent="0.2">
      <c r="B28" s="130"/>
      <c r="C28" s="147" t="s">
        <v>103</v>
      </c>
      <c r="D28" s="151">
        <f t="shared" si="3"/>
        <v>0</v>
      </c>
      <c r="E28" s="151">
        <f>-'[6]Comparison Nominal Dollars'!X47</f>
        <v>0</v>
      </c>
      <c r="F28" s="151">
        <f t="shared" si="4"/>
        <v>0</v>
      </c>
      <c r="G28" s="438">
        <v>0</v>
      </c>
      <c r="H28" s="438">
        <f>SUM('[6]Control P&amp;L'!$BA$104)+'[6]Comparison Nominal Dollars'!X47</f>
        <v>0</v>
      </c>
      <c r="I28" s="444" t="e">
        <f t="shared" si="5"/>
        <v>#DIV/0!</v>
      </c>
      <c r="J28" s="438">
        <v>0</v>
      </c>
      <c r="K28" s="439"/>
      <c r="L28" s="438">
        <v>0</v>
      </c>
    </row>
    <row r="29" spans="2:12" x14ac:dyDescent="0.2">
      <c r="B29" s="130"/>
      <c r="C29" s="147" t="s">
        <v>104</v>
      </c>
      <c r="D29" s="151">
        <f t="shared" si="3"/>
        <v>93844.830000000016</v>
      </c>
      <c r="E29" s="151">
        <f>-'[6]Comparison Nominal Dollars'!X48</f>
        <v>15123.82976685927</v>
      </c>
      <c r="F29" s="151">
        <f t="shared" si="4"/>
        <v>78721.000233140745</v>
      </c>
      <c r="G29" s="438">
        <v>0</v>
      </c>
      <c r="H29" s="438">
        <f>SUM('[6]Control P&amp;L'!$BA$105)+'[6]Comparison Nominal Dollars'!X48</f>
        <v>78721.000233140745</v>
      </c>
      <c r="I29" s="444" t="e">
        <f t="shared" si="5"/>
        <v>#DIV/0!</v>
      </c>
      <c r="J29" s="438">
        <v>0</v>
      </c>
      <c r="K29" s="439"/>
      <c r="L29" s="438">
        <v>0</v>
      </c>
    </row>
    <row r="30" spans="2:12" x14ac:dyDescent="0.2">
      <c r="B30" s="130"/>
      <c r="C30" s="147" t="s">
        <v>105</v>
      </c>
      <c r="D30" s="151">
        <f t="shared" si="3"/>
        <v>134632.07</v>
      </c>
      <c r="E30" s="151">
        <f>-'[6]Comparison Nominal Dollars'!X49</f>
        <v>0</v>
      </c>
      <c r="F30" s="151">
        <f t="shared" si="4"/>
        <v>134632.07</v>
      </c>
      <c r="G30" s="438">
        <v>0</v>
      </c>
      <c r="H30" s="438">
        <f>SUM('[6]Control P&amp;L'!$BA$106)+'[6]Comparison Nominal Dollars'!X49</f>
        <v>134632.07</v>
      </c>
      <c r="I30" s="444" t="e">
        <f t="shared" si="5"/>
        <v>#DIV/0!</v>
      </c>
      <c r="J30" s="438">
        <v>0</v>
      </c>
      <c r="K30" s="439"/>
      <c r="L30" s="438">
        <v>0</v>
      </c>
    </row>
    <row r="31" spans="2:12" x14ac:dyDescent="0.2">
      <c r="B31" s="130"/>
      <c r="C31" s="123" t="s">
        <v>83</v>
      </c>
      <c r="D31" s="442">
        <f>SUM(D23:D30)</f>
        <v>17973155.720000003</v>
      </c>
      <c r="E31" s="442">
        <f>SUM(E23:E30)</f>
        <v>4620040.2642314648</v>
      </c>
      <c r="F31" s="442">
        <f>SUM(F23:F30)</f>
        <v>13353115.455768537</v>
      </c>
      <c r="G31" s="442">
        <f>SUM(G23:G30)</f>
        <v>0</v>
      </c>
      <c r="H31" s="442">
        <f>SUM(H23:H30)</f>
        <v>13353115.455768537</v>
      </c>
      <c r="I31" s="444" t="e">
        <f t="shared" si="5"/>
        <v>#DIV/0!</v>
      </c>
      <c r="J31" s="442">
        <f>SUM(J23:J30)</f>
        <v>0</v>
      </c>
      <c r="K31" s="442"/>
      <c r="L31" s="442">
        <f>SUM(L23:L30)</f>
        <v>0</v>
      </c>
    </row>
    <row r="32" spans="2:12" x14ac:dyDescent="0.2">
      <c r="B32" s="79"/>
      <c r="C32" s="90" t="s">
        <v>70</v>
      </c>
      <c r="D32" s="442">
        <f>SUM(D21,D31)</f>
        <v>19767191.840000004</v>
      </c>
      <c r="E32" s="442">
        <f>SUM(E21,E31)</f>
        <v>4849778.3697046693</v>
      </c>
      <c r="F32" s="442">
        <f>SUM(F21,F31)</f>
        <v>14917413.470295332</v>
      </c>
      <c r="G32" s="442">
        <f>SUM(G21,G31)</f>
        <v>0</v>
      </c>
      <c r="H32" s="442">
        <f>SUM(H21,H31)</f>
        <v>14651780.080295332</v>
      </c>
      <c r="I32" s="444" t="e">
        <f>(H32-G32)/G32</f>
        <v>#DIV/0!</v>
      </c>
      <c r="J32" s="442">
        <f>SUM(J21,J31)</f>
        <v>0</v>
      </c>
      <c r="K32" s="442"/>
      <c r="L32" s="442">
        <f>SUM(L21,L31)</f>
        <v>265633.39</v>
      </c>
    </row>
    <row r="33" spans="2:12" x14ac:dyDescent="0.2">
      <c r="C33" t="s">
        <v>533</v>
      </c>
      <c r="D33" s="458"/>
      <c r="E33" s="458"/>
      <c r="F33" s="458"/>
      <c r="G33" s="458"/>
      <c r="H33" s="458"/>
      <c r="I33" s="458"/>
      <c r="J33" s="458"/>
      <c r="K33" s="458"/>
      <c r="L33" s="458"/>
    </row>
    <row r="34" spans="2:12" ht="15.75" x14ac:dyDescent="0.25">
      <c r="B34" s="87" t="s">
        <v>148</v>
      </c>
      <c r="D34" s="458"/>
      <c r="E34" s="458"/>
      <c r="F34" s="458"/>
      <c r="G34" s="458"/>
      <c r="H34" s="458"/>
      <c r="I34" s="458"/>
      <c r="J34" s="458"/>
      <c r="K34" s="458"/>
      <c r="L34" s="458"/>
    </row>
    <row r="35" spans="2:12" ht="15.75" x14ac:dyDescent="0.25">
      <c r="B35" s="87"/>
      <c r="H35" s="458"/>
    </row>
    <row r="36" spans="2:12" x14ac:dyDescent="0.2">
      <c r="B36" s="642" t="s">
        <v>278</v>
      </c>
      <c r="C36" s="643"/>
      <c r="D36" s="643"/>
      <c r="E36" s="643"/>
      <c r="F36" s="644"/>
    </row>
    <row r="37" spans="2:12" s="126" customFormat="1" ht="15.75" x14ac:dyDescent="0.2">
      <c r="B37" s="127"/>
      <c r="C37" s="128"/>
      <c r="D37" s="124"/>
      <c r="E37" s="124"/>
    </row>
    <row r="38" spans="2:12" ht="51" x14ac:dyDescent="0.2">
      <c r="B38" s="73" t="s">
        <v>51</v>
      </c>
      <c r="C38" s="74" t="s">
        <v>52</v>
      </c>
      <c r="D38" s="75" t="s">
        <v>53</v>
      </c>
      <c r="E38" s="75" t="s">
        <v>54</v>
      </c>
      <c r="F38" s="76" t="s">
        <v>65</v>
      </c>
    </row>
    <row r="39" spans="2:12" x14ac:dyDescent="0.2">
      <c r="B39" s="73"/>
      <c r="C39" s="74"/>
      <c r="D39" s="29" t="s">
        <v>57</v>
      </c>
      <c r="E39" s="29" t="s">
        <v>57</v>
      </c>
      <c r="F39" s="29" t="s">
        <v>57</v>
      </c>
    </row>
    <row r="40" spans="2:12" x14ac:dyDescent="0.2">
      <c r="B40" s="130"/>
      <c r="C40" s="98"/>
      <c r="D40" s="98"/>
      <c r="E40" s="98"/>
      <c r="F40" s="98"/>
    </row>
    <row r="41" spans="2:12" x14ac:dyDescent="0.2">
      <c r="B41" s="130"/>
      <c r="C41" s="98"/>
      <c r="D41" s="98"/>
      <c r="E41" s="98"/>
      <c r="F41" s="98"/>
    </row>
    <row r="42" spans="2:12" x14ac:dyDescent="0.2">
      <c r="B42" s="130"/>
      <c r="C42" s="98"/>
      <c r="D42" s="98"/>
      <c r="E42" s="98"/>
      <c r="F42" s="98"/>
    </row>
    <row r="43" spans="2:12" x14ac:dyDescent="0.2">
      <c r="B43" s="130"/>
      <c r="C43" s="98"/>
      <c r="D43" s="98"/>
      <c r="E43" s="98"/>
      <c r="F43" s="98"/>
    </row>
    <row r="44" spans="2:12" x14ac:dyDescent="0.2">
      <c r="B44" s="130"/>
      <c r="C44" s="98"/>
      <c r="D44" s="98"/>
      <c r="E44" s="98"/>
      <c r="F44" s="98"/>
    </row>
    <row r="45" spans="2:12" x14ac:dyDescent="0.2">
      <c r="B45" s="130"/>
      <c r="C45" s="98"/>
      <c r="D45" s="98"/>
      <c r="E45" s="98"/>
      <c r="F45" s="98"/>
    </row>
    <row r="46" spans="2:12" ht="19.5" customHeight="1" x14ac:dyDescent="0.2"/>
  </sheetData>
  <mergeCells count="3">
    <mergeCell ref="G9:I9"/>
    <mergeCell ref="B5:C5"/>
    <mergeCell ref="B36:F36"/>
  </mergeCells>
  <phoneticPr fontId="35" type="noConversion"/>
  <pageMargins left="0.35433070866141736" right="0.35433070866141736" top="0.59055118110236227" bottom="0.59055118110236227" header="0.51181102362204722" footer="0.11811023622047245"/>
  <pageSetup paperSize="9" scale="68" fitToHeight="100" orientation="landscape" r:id="rId1"/>
  <headerFooter scaleWithDoc="0" alignWithMargins="0">
    <oddFooter>&amp;L&amp;8&amp;D&amp;C&amp;8&amp; Template: &amp;A
&amp;F&amp;R&amp;8&amp;P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U22"/>
  <sheetViews>
    <sheetView showGridLines="0" zoomScaleNormal="100" zoomScaleSheetLayoutView="100" workbookViewId="0">
      <selection activeCell="C35" sqref="C35"/>
    </sheetView>
  </sheetViews>
  <sheetFormatPr defaultRowHeight="12.75" x14ac:dyDescent="0.2"/>
  <cols>
    <col min="1" max="1" width="12" style="65" customWidth="1"/>
    <col min="2" max="2" width="16.42578125" style="65" bestFit="1" customWidth="1"/>
    <col min="3" max="3" width="29.5703125" style="65" customWidth="1"/>
    <col min="4" max="17" width="15.7109375" style="65" customWidth="1"/>
    <col min="18" max="18" width="10.85546875" style="65" customWidth="1"/>
    <col min="19" max="21" width="19.85546875" style="65" customWidth="1"/>
    <col min="22" max="22" width="18.28515625" style="65" customWidth="1"/>
    <col min="23" max="16384" width="9.140625" style="65"/>
  </cols>
  <sheetData>
    <row r="1" spans="1:21" ht="20.25" x14ac:dyDescent="0.3">
      <c r="B1" s="26" t="str">
        <f>Cover!C22</f>
        <v>ActewAGL</v>
      </c>
      <c r="C1" s="27"/>
      <c r="D1" s="27"/>
      <c r="E1" s="27"/>
      <c r="F1" s="27"/>
      <c r="G1" s="27"/>
      <c r="H1" s="27"/>
      <c r="I1" s="27"/>
      <c r="J1" s="27"/>
      <c r="K1" s="27"/>
      <c r="L1" s="27"/>
      <c r="M1" s="27"/>
      <c r="N1" s="27"/>
      <c r="O1" s="27"/>
      <c r="P1" s="27"/>
      <c r="Q1" s="27"/>
      <c r="R1" s="27"/>
      <c r="S1" s="27"/>
      <c r="T1" s="27"/>
      <c r="U1" s="27"/>
    </row>
    <row r="2" spans="1:21" ht="20.25" x14ac:dyDescent="0.3">
      <c r="B2" s="617" t="s">
        <v>150</v>
      </c>
      <c r="C2" s="617"/>
      <c r="D2" s="577"/>
      <c r="E2" s="577"/>
    </row>
    <row r="3" spans="1:21" ht="20.25" x14ac:dyDescent="0.3">
      <c r="B3" s="26" t="str">
        <f>Cover!C26</f>
        <v>2012-13</v>
      </c>
    </row>
    <row r="4" spans="1:21" ht="20.25" x14ac:dyDescent="0.3">
      <c r="B4" s="26"/>
    </row>
    <row r="5" spans="1:21" ht="68.25" customHeight="1" x14ac:dyDescent="0.2">
      <c r="B5" s="580" t="s">
        <v>249</v>
      </c>
      <c r="C5" s="654"/>
      <c r="D5" s="560"/>
      <c r="E5" s="561"/>
    </row>
    <row r="6" spans="1:21" ht="20.25" x14ac:dyDescent="0.3">
      <c r="B6" s="26"/>
    </row>
    <row r="7" spans="1:21" ht="15.75" x14ac:dyDescent="0.25">
      <c r="B7" s="87" t="s">
        <v>130</v>
      </c>
    </row>
    <row r="8" spans="1:21" ht="20.25" x14ac:dyDescent="0.3">
      <c r="B8" s="64"/>
    </row>
    <row r="9" spans="1:21" ht="51" x14ac:dyDescent="0.2">
      <c r="A9" s="97"/>
      <c r="B9" s="73" t="s">
        <v>62</v>
      </c>
      <c r="C9" s="74" t="s">
        <v>52</v>
      </c>
      <c r="D9" s="657" t="s">
        <v>11</v>
      </c>
      <c r="E9" s="658"/>
      <c r="F9" s="645"/>
      <c r="G9" s="657" t="s">
        <v>2</v>
      </c>
      <c r="H9" s="658"/>
      <c r="I9" s="645"/>
      <c r="J9" s="657" t="s">
        <v>3</v>
      </c>
      <c r="K9" s="658"/>
      <c r="L9" s="645"/>
      <c r="M9" s="657" t="s">
        <v>58</v>
      </c>
      <c r="N9" s="658"/>
      <c r="O9" s="645"/>
      <c r="P9" s="620" t="s">
        <v>69</v>
      </c>
      <c r="Q9" s="645"/>
    </row>
    <row r="10" spans="1:21" ht="21.75" customHeight="1" x14ac:dyDescent="0.2">
      <c r="B10" s="73"/>
      <c r="C10" s="74"/>
      <c r="D10" s="74" t="s">
        <v>15</v>
      </c>
      <c r="E10" s="75" t="s">
        <v>16</v>
      </c>
      <c r="F10" s="75" t="s">
        <v>90</v>
      </c>
      <c r="G10" s="74" t="s">
        <v>15</v>
      </c>
      <c r="H10" s="75" t="s">
        <v>16</v>
      </c>
      <c r="I10" s="75" t="s">
        <v>90</v>
      </c>
      <c r="J10" s="74" t="s">
        <v>15</v>
      </c>
      <c r="K10" s="75" t="s">
        <v>16</v>
      </c>
      <c r="L10" s="75" t="s">
        <v>90</v>
      </c>
      <c r="M10" s="74" t="s">
        <v>15</v>
      </c>
      <c r="N10" s="75" t="s">
        <v>16</v>
      </c>
      <c r="O10" s="75" t="s">
        <v>90</v>
      </c>
      <c r="P10" s="74" t="s">
        <v>15</v>
      </c>
      <c r="Q10" s="75" t="s">
        <v>16</v>
      </c>
    </row>
    <row r="11" spans="1:21" x14ac:dyDescent="0.2">
      <c r="B11" s="73"/>
      <c r="C11" s="74"/>
      <c r="D11" s="29" t="s">
        <v>57</v>
      </c>
      <c r="E11" s="29" t="s">
        <v>57</v>
      </c>
      <c r="F11" s="29"/>
      <c r="G11" s="29" t="s">
        <v>57</v>
      </c>
      <c r="H11" s="29" t="s">
        <v>57</v>
      </c>
      <c r="I11" s="29"/>
      <c r="J11" s="29" t="s">
        <v>57</v>
      </c>
      <c r="K11" s="29" t="s">
        <v>57</v>
      </c>
      <c r="L11" s="29"/>
      <c r="M11" s="29" t="s">
        <v>57</v>
      </c>
      <c r="N11" s="29" t="s">
        <v>57</v>
      </c>
      <c r="O11" s="29"/>
      <c r="P11" s="29" t="s">
        <v>57</v>
      </c>
      <c r="Q11" s="29" t="s">
        <v>57</v>
      </c>
    </row>
    <row r="12" spans="1:21" x14ac:dyDescent="0.2">
      <c r="B12" s="144"/>
      <c r="C12" s="88" t="s">
        <v>12</v>
      </c>
      <c r="D12" s="438">
        <v>0</v>
      </c>
      <c r="E12" s="417">
        <f>SUM('[6]Control P&amp;L'!$AY$99,'[6]Control P&amp;L'!$AY$107)</f>
        <v>17277531.38000001</v>
      </c>
      <c r="F12" s="99" t="e">
        <f>(E12-D12)/D12</f>
        <v>#DIV/0!</v>
      </c>
      <c r="G12" s="438">
        <v>0</v>
      </c>
      <c r="H12" s="417">
        <f>SUM('[6]Control P&amp;L'!$AU$99,'[6]Control P&amp;L'!$AU$107)</f>
        <v>550164.21999999962</v>
      </c>
      <c r="I12" s="99" t="e">
        <f>(H12-G12)/G12</f>
        <v>#DIV/0!</v>
      </c>
      <c r="J12" s="438"/>
      <c r="K12" s="417">
        <f>SUM('[6]Control P&amp;L'!$AW$99,'[6]Control P&amp;L'!$AW$107)</f>
        <v>9751342.7700000033</v>
      </c>
      <c r="L12" s="99" t="e">
        <f>(K12-J12)/J12</f>
        <v>#DIV/0!</v>
      </c>
      <c r="M12" s="438"/>
      <c r="N12" s="417">
        <f>SUM('[6]Control P&amp;L'!$AV$99,'[6]Control P&amp;L'!$AX$99,'[6]Control P&amp;L'!$AZ$99,'[6]Control P&amp;L'!$BA$99,'[6]Control P&amp;L'!$AV$107,'[6]Control P&amp;L'!$AX$107,'[6]Control P&amp;L'!$AZ$107,'[6]Control P&amp;L'!$BA$107,'[6]Comparison Nominal Dollars'!$X$19,'[6]Comparison Nominal Dollars'!$X$50,-'[6]Control P&amp;L'!$I$148,-'[6]Control P&amp;L'!$I$156,'[6]Control P&amp;L'!$I$155)</f>
        <v>24286283.018079296</v>
      </c>
      <c r="O12" s="99" t="e">
        <f>(N12-M12)/M12</f>
        <v>#DIV/0!</v>
      </c>
      <c r="P12" s="100">
        <f>SUM(D12,G12,J12,M12)</f>
        <v>0</v>
      </c>
      <c r="Q12" s="100">
        <f>SUM(E12,H12,K12,N12)</f>
        <v>51865321.388079308</v>
      </c>
    </row>
    <row r="13" spans="1:21" x14ac:dyDescent="0.2">
      <c r="B13" s="144"/>
      <c r="C13" s="88" t="s">
        <v>13</v>
      </c>
      <c r="D13" s="438">
        <v>0</v>
      </c>
      <c r="E13" s="417">
        <f>SUM('[6]Control P&amp;L'!$AY$88)</f>
        <v>12220889.709999999</v>
      </c>
      <c r="F13" s="99" t="e">
        <f>(E13-D13)/D13</f>
        <v>#DIV/0!</v>
      </c>
      <c r="G13" s="438">
        <v>0</v>
      </c>
      <c r="H13" s="417">
        <f>SUM('[6]Control P&amp;L'!$AU$88)</f>
        <v>1170741.8400000003</v>
      </c>
      <c r="I13" s="99" t="e">
        <f>(H13-G13)/G13</f>
        <v>#DIV/0!</v>
      </c>
      <c r="J13" s="438"/>
      <c r="K13" s="417">
        <f>SUM('[6]Control P&amp;L'!$AW$88)</f>
        <v>4719501.4299999988</v>
      </c>
      <c r="L13" s="99" t="e">
        <f>(K13-J13)/J13</f>
        <v>#DIV/0!</v>
      </c>
      <c r="M13" s="438"/>
      <c r="N13" s="417">
        <f>SUM('[6]Control P&amp;L'!$AV$88,'[6]Control P&amp;L'!$AX$88,'[6]Control P&amp;L'!$AZ$88,'[6]Control P&amp;L'!$BA$88,'[6]Comparison Nominal Dollars'!$X$41-'[6]Control P&amp;L'!$I$137)</f>
        <v>5868380.0469688615</v>
      </c>
      <c r="O13" s="99" t="e">
        <f>(N13-M13)/M13</f>
        <v>#DIV/0!</v>
      </c>
      <c r="P13" s="100">
        <f>SUM(D13,G13,J13,M13)</f>
        <v>0</v>
      </c>
      <c r="Q13" s="100">
        <f>SUM(E13,H13,K13,N13)</f>
        <v>23979513.026968859</v>
      </c>
    </row>
    <row r="14" spans="1:21" x14ac:dyDescent="0.2">
      <c r="B14" s="144"/>
      <c r="C14" s="81" t="s">
        <v>70</v>
      </c>
      <c r="D14" s="456">
        <f>SUM(D12:D13)</f>
        <v>0</v>
      </c>
      <c r="E14" s="457">
        <f>SUM(E12:E13)</f>
        <v>29498421.090000011</v>
      </c>
      <c r="F14" s="99" t="e">
        <f>(E14-D14)/D14</f>
        <v>#DIV/0!</v>
      </c>
      <c r="G14" s="456">
        <f>SUM(G12:G13)</f>
        <v>0</v>
      </c>
      <c r="H14" s="457">
        <f>SUM(H12:H13)</f>
        <v>1720906.06</v>
      </c>
      <c r="I14" s="99" t="e">
        <f>(H14-G14)/G14</f>
        <v>#DIV/0!</v>
      </c>
      <c r="J14" s="456">
        <f>SUM(J12:J13)</f>
        <v>0</v>
      </c>
      <c r="K14" s="457">
        <f>SUM(K12:K13)</f>
        <v>14470844.200000003</v>
      </c>
      <c r="L14" s="99" t="e">
        <f>(K14-J14)/J14</f>
        <v>#DIV/0!</v>
      </c>
      <c r="M14" s="456">
        <f>SUM(M12:M13)</f>
        <v>0</v>
      </c>
      <c r="N14" s="457">
        <f>SUM(N12:N13)</f>
        <v>30154663.065048158</v>
      </c>
      <c r="O14" s="99" t="e">
        <f>(N14-M14)/M14</f>
        <v>#DIV/0!</v>
      </c>
      <c r="P14" s="82">
        <f>SUM(P12:P13)</f>
        <v>0</v>
      </c>
      <c r="Q14" s="82">
        <f>SUM(Q12:Q13)</f>
        <v>75844834.415048167</v>
      </c>
    </row>
    <row r="15" spans="1:21" x14ac:dyDescent="0.2">
      <c r="C15" t="s">
        <v>534</v>
      </c>
    </row>
    <row r="16" spans="1:21" ht="19.5" x14ac:dyDescent="0.25">
      <c r="B16" s="83" t="s">
        <v>116</v>
      </c>
      <c r="C16" s="91"/>
      <c r="D16" s="91"/>
      <c r="E16" s="101"/>
      <c r="F16" s="101"/>
      <c r="G16" s="101"/>
      <c r="H16" s="101"/>
      <c r="I16" s="101"/>
      <c r="J16" s="101"/>
      <c r="K16" s="101"/>
      <c r="L16" s="101"/>
      <c r="M16" s="101"/>
      <c r="N16" s="101"/>
      <c r="O16" s="101"/>
      <c r="Q16" s="458"/>
    </row>
    <row r="17" spans="2:15" ht="15" x14ac:dyDescent="0.2">
      <c r="B17" s="103"/>
      <c r="C17" s="104"/>
      <c r="D17" s="104"/>
      <c r="E17" s="104"/>
      <c r="F17" s="104"/>
      <c r="G17" s="102"/>
      <c r="H17" s="102"/>
      <c r="I17" s="102"/>
      <c r="J17" s="102"/>
      <c r="K17" s="102"/>
      <c r="L17" s="102"/>
      <c r="M17" s="102"/>
      <c r="N17" s="102"/>
      <c r="O17" s="102"/>
    </row>
    <row r="18" spans="2:15" x14ac:dyDescent="0.2">
      <c r="B18" s="105" t="s">
        <v>4</v>
      </c>
      <c r="C18" s="646" t="s">
        <v>5</v>
      </c>
      <c r="D18" s="647"/>
      <c r="E18" s="647"/>
      <c r="F18" s="647"/>
      <c r="G18" s="647"/>
      <c r="H18" s="647"/>
      <c r="I18" s="647"/>
      <c r="J18" s="647"/>
      <c r="K18" s="647"/>
      <c r="L18" s="647"/>
      <c r="M18" s="647"/>
      <c r="N18" s="647"/>
    </row>
    <row r="19" spans="2:15" ht="16.5" customHeight="1" x14ac:dyDescent="0.2">
      <c r="B19" s="106"/>
      <c r="C19" s="648"/>
      <c r="D19" s="649"/>
      <c r="E19" s="649"/>
      <c r="F19" s="649"/>
      <c r="G19" s="649"/>
      <c r="H19" s="649"/>
      <c r="I19" s="649"/>
      <c r="J19" s="649"/>
      <c r="K19" s="649"/>
      <c r="L19" s="649"/>
      <c r="M19" s="649"/>
      <c r="N19" s="650"/>
    </row>
    <row r="20" spans="2:15" ht="15.75" x14ac:dyDescent="0.2">
      <c r="B20" s="106"/>
      <c r="C20" s="651"/>
      <c r="D20" s="652"/>
      <c r="E20" s="652"/>
      <c r="F20" s="652"/>
      <c r="G20" s="652"/>
      <c r="H20" s="652"/>
      <c r="I20" s="652"/>
      <c r="J20" s="652"/>
      <c r="K20" s="652"/>
      <c r="L20" s="652"/>
      <c r="M20" s="652"/>
      <c r="N20" s="653"/>
    </row>
    <row r="21" spans="2:15" ht="15.75" x14ac:dyDescent="0.2">
      <c r="B21" s="106"/>
      <c r="C21" s="655"/>
      <c r="D21" s="656"/>
      <c r="E21" s="656"/>
      <c r="F21" s="656"/>
      <c r="G21" s="656"/>
      <c r="H21" s="656"/>
      <c r="I21" s="656"/>
      <c r="J21" s="656"/>
      <c r="K21" s="656"/>
      <c r="L21" s="656"/>
      <c r="M21" s="656"/>
      <c r="N21" s="656"/>
    </row>
    <row r="22" spans="2:15" ht="18" customHeight="1" x14ac:dyDescent="0.2"/>
  </sheetData>
  <mergeCells count="11">
    <mergeCell ref="C21:N21"/>
    <mergeCell ref="D9:F9"/>
    <mergeCell ref="G9:I9"/>
    <mergeCell ref="J9:L9"/>
    <mergeCell ref="M9:O9"/>
    <mergeCell ref="P9:Q9"/>
    <mergeCell ref="C18:N18"/>
    <mergeCell ref="C19:N19"/>
    <mergeCell ref="C20:N20"/>
    <mergeCell ref="B2:E2"/>
    <mergeCell ref="B5:E5"/>
  </mergeCells>
  <phoneticPr fontId="0" type="noConversion"/>
  <pageMargins left="0.35433070866141736" right="0.35433070866141736" top="0.59055118110236227" bottom="0.59055118110236227" header="0.51181102362204722" footer="0.11811023622047245"/>
  <pageSetup paperSize="9" scale="53" fitToHeight="100" orientation="landscape" r:id="rId1"/>
  <headerFooter scaleWithDoc="0" alignWithMargins="0">
    <oddFooter>&amp;L&amp;8&amp;D&amp;C&amp;8&amp; Template: &amp;A
&amp;F&amp;R&amp;8&amp;P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3"/>
  <sheetViews>
    <sheetView zoomScaleNormal="100" zoomScaleSheetLayoutView="85" workbookViewId="0">
      <selection activeCell="C35" sqref="C35"/>
    </sheetView>
  </sheetViews>
  <sheetFormatPr defaultRowHeight="12.75" x14ac:dyDescent="0.2"/>
  <cols>
    <col min="1" max="1" width="12" style="65" customWidth="1"/>
    <col min="2" max="2" width="16.42578125" style="65" bestFit="1" customWidth="1"/>
    <col min="3" max="3" width="45.7109375" style="65" customWidth="1"/>
    <col min="4" max="10" width="15.7109375" style="65" customWidth="1"/>
    <col min="11" max="11" width="30.7109375" style="65" customWidth="1"/>
    <col min="12" max="12" width="7.42578125" style="65" customWidth="1"/>
    <col min="13" max="13" width="15.28515625" style="65" customWidth="1"/>
    <col min="14" max="253" width="9.140625" style="65"/>
    <col min="254" max="254" width="12" style="65" customWidth="1"/>
    <col min="255" max="255" width="16.42578125" style="65" bestFit="1" customWidth="1"/>
    <col min="256" max="256" width="127.85546875" style="65" customWidth="1"/>
    <col min="257" max="257" width="48.7109375" style="65" customWidth="1"/>
    <col min="258" max="258" width="14.140625" style="65" customWidth="1"/>
    <col min="259" max="259" width="22.28515625" style="65" customWidth="1"/>
    <col min="260" max="265" width="19.85546875" style="65" customWidth="1"/>
    <col min="266" max="266" width="12" style="65" customWidth="1"/>
    <col min="267" max="267" width="18.28515625" style="65" customWidth="1"/>
    <col min="268" max="268" width="7.42578125" style="65" customWidth="1"/>
    <col min="269" max="269" width="15.28515625" style="65" customWidth="1"/>
    <col min="270" max="509" width="9.140625" style="65"/>
    <col min="510" max="510" width="12" style="65" customWidth="1"/>
    <col min="511" max="511" width="16.42578125" style="65" bestFit="1" customWidth="1"/>
    <col min="512" max="512" width="127.85546875" style="65" customWidth="1"/>
    <col min="513" max="513" width="48.7109375" style="65" customWidth="1"/>
    <col min="514" max="514" width="14.140625" style="65" customWidth="1"/>
    <col min="515" max="515" width="22.28515625" style="65" customWidth="1"/>
    <col min="516" max="521" width="19.85546875" style="65" customWidth="1"/>
    <col min="522" max="522" width="12" style="65" customWidth="1"/>
    <col min="523" max="523" width="18.28515625" style="65" customWidth="1"/>
    <col min="524" max="524" width="7.42578125" style="65" customWidth="1"/>
    <col min="525" max="525" width="15.28515625" style="65" customWidth="1"/>
    <col min="526" max="765" width="9.140625" style="65"/>
    <col min="766" max="766" width="12" style="65" customWidth="1"/>
    <col min="767" max="767" width="16.42578125" style="65" bestFit="1" customWidth="1"/>
    <col min="768" max="768" width="127.85546875" style="65" customWidth="1"/>
    <col min="769" max="769" width="48.7109375" style="65" customWidth="1"/>
    <col min="770" max="770" width="14.140625" style="65" customWidth="1"/>
    <col min="771" max="771" width="22.28515625" style="65" customWidth="1"/>
    <col min="772" max="777" width="19.85546875" style="65" customWidth="1"/>
    <col min="778" max="778" width="12" style="65" customWidth="1"/>
    <col min="779" max="779" width="18.28515625" style="65" customWidth="1"/>
    <col min="780" max="780" width="7.42578125" style="65" customWidth="1"/>
    <col min="781" max="781" width="15.28515625" style="65" customWidth="1"/>
    <col min="782" max="1021" width="9.140625" style="65"/>
    <col min="1022" max="1022" width="12" style="65" customWidth="1"/>
    <col min="1023" max="1023" width="16.42578125" style="65" bestFit="1" customWidth="1"/>
    <col min="1024" max="1024" width="127.85546875" style="65" customWidth="1"/>
    <col min="1025" max="1025" width="48.7109375" style="65" customWidth="1"/>
    <col min="1026" max="1026" width="14.140625" style="65" customWidth="1"/>
    <col min="1027" max="1027" width="22.28515625" style="65" customWidth="1"/>
    <col min="1028" max="1033" width="19.85546875" style="65" customWidth="1"/>
    <col min="1034" max="1034" width="12" style="65" customWidth="1"/>
    <col min="1035" max="1035" width="18.28515625" style="65" customWidth="1"/>
    <col min="1036" max="1036" width="7.42578125" style="65" customWidth="1"/>
    <col min="1037" max="1037" width="15.28515625" style="65" customWidth="1"/>
    <col min="1038" max="1277" width="9.140625" style="65"/>
    <col min="1278" max="1278" width="12" style="65" customWidth="1"/>
    <col min="1279" max="1279" width="16.42578125" style="65" bestFit="1" customWidth="1"/>
    <col min="1280" max="1280" width="127.85546875" style="65" customWidth="1"/>
    <col min="1281" max="1281" width="48.7109375" style="65" customWidth="1"/>
    <col min="1282" max="1282" width="14.140625" style="65" customWidth="1"/>
    <col min="1283" max="1283" width="22.28515625" style="65" customWidth="1"/>
    <col min="1284" max="1289" width="19.85546875" style="65" customWidth="1"/>
    <col min="1290" max="1290" width="12" style="65" customWidth="1"/>
    <col min="1291" max="1291" width="18.28515625" style="65" customWidth="1"/>
    <col min="1292" max="1292" width="7.42578125" style="65" customWidth="1"/>
    <col min="1293" max="1293" width="15.28515625" style="65" customWidth="1"/>
    <col min="1294" max="1533" width="9.140625" style="65"/>
    <col min="1534" max="1534" width="12" style="65" customWidth="1"/>
    <col min="1535" max="1535" width="16.42578125" style="65" bestFit="1" customWidth="1"/>
    <col min="1536" max="1536" width="127.85546875" style="65" customWidth="1"/>
    <col min="1537" max="1537" width="48.7109375" style="65" customWidth="1"/>
    <col min="1538" max="1538" width="14.140625" style="65" customWidth="1"/>
    <col min="1539" max="1539" width="22.28515625" style="65" customWidth="1"/>
    <col min="1540" max="1545" width="19.85546875" style="65" customWidth="1"/>
    <col min="1546" max="1546" width="12" style="65" customWidth="1"/>
    <col min="1547" max="1547" width="18.28515625" style="65" customWidth="1"/>
    <col min="1548" max="1548" width="7.42578125" style="65" customWidth="1"/>
    <col min="1549" max="1549" width="15.28515625" style="65" customWidth="1"/>
    <col min="1550" max="1789" width="9.140625" style="65"/>
    <col min="1790" max="1790" width="12" style="65" customWidth="1"/>
    <col min="1791" max="1791" width="16.42578125" style="65" bestFit="1" customWidth="1"/>
    <col min="1792" max="1792" width="127.85546875" style="65" customWidth="1"/>
    <col min="1793" max="1793" width="48.7109375" style="65" customWidth="1"/>
    <col min="1794" max="1794" width="14.140625" style="65" customWidth="1"/>
    <col min="1795" max="1795" width="22.28515625" style="65" customWidth="1"/>
    <col min="1796" max="1801" width="19.85546875" style="65" customWidth="1"/>
    <col min="1802" max="1802" width="12" style="65" customWidth="1"/>
    <col min="1803" max="1803" width="18.28515625" style="65" customWidth="1"/>
    <col min="1804" max="1804" width="7.42578125" style="65" customWidth="1"/>
    <col min="1805" max="1805" width="15.28515625" style="65" customWidth="1"/>
    <col min="1806" max="2045" width="9.140625" style="65"/>
    <col min="2046" max="2046" width="12" style="65" customWidth="1"/>
    <col min="2047" max="2047" width="16.42578125" style="65" bestFit="1" customWidth="1"/>
    <col min="2048" max="2048" width="127.85546875" style="65" customWidth="1"/>
    <col min="2049" max="2049" width="48.7109375" style="65" customWidth="1"/>
    <col min="2050" max="2050" width="14.140625" style="65" customWidth="1"/>
    <col min="2051" max="2051" width="22.28515625" style="65" customWidth="1"/>
    <col min="2052" max="2057" width="19.85546875" style="65" customWidth="1"/>
    <col min="2058" max="2058" width="12" style="65" customWidth="1"/>
    <col min="2059" max="2059" width="18.28515625" style="65" customWidth="1"/>
    <col min="2060" max="2060" width="7.42578125" style="65" customWidth="1"/>
    <col min="2061" max="2061" width="15.28515625" style="65" customWidth="1"/>
    <col min="2062" max="2301" width="9.140625" style="65"/>
    <col min="2302" max="2302" width="12" style="65" customWidth="1"/>
    <col min="2303" max="2303" width="16.42578125" style="65" bestFit="1" customWidth="1"/>
    <col min="2304" max="2304" width="127.85546875" style="65" customWidth="1"/>
    <col min="2305" max="2305" width="48.7109375" style="65" customWidth="1"/>
    <col min="2306" max="2306" width="14.140625" style="65" customWidth="1"/>
    <col min="2307" max="2307" width="22.28515625" style="65" customWidth="1"/>
    <col min="2308" max="2313" width="19.85546875" style="65" customWidth="1"/>
    <col min="2314" max="2314" width="12" style="65" customWidth="1"/>
    <col min="2315" max="2315" width="18.28515625" style="65" customWidth="1"/>
    <col min="2316" max="2316" width="7.42578125" style="65" customWidth="1"/>
    <col min="2317" max="2317" width="15.28515625" style="65" customWidth="1"/>
    <col min="2318" max="2557" width="9.140625" style="65"/>
    <col min="2558" max="2558" width="12" style="65" customWidth="1"/>
    <col min="2559" max="2559" width="16.42578125" style="65" bestFit="1" customWidth="1"/>
    <col min="2560" max="2560" width="127.85546875" style="65" customWidth="1"/>
    <col min="2561" max="2561" width="48.7109375" style="65" customWidth="1"/>
    <col min="2562" max="2562" width="14.140625" style="65" customWidth="1"/>
    <col min="2563" max="2563" width="22.28515625" style="65" customWidth="1"/>
    <col min="2564" max="2569" width="19.85546875" style="65" customWidth="1"/>
    <col min="2570" max="2570" width="12" style="65" customWidth="1"/>
    <col min="2571" max="2571" width="18.28515625" style="65" customWidth="1"/>
    <col min="2572" max="2572" width="7.42578125" style="65" customWidth="1"/>
    <col min="2573" max="2573" width="15.28515625" style="65" customWidth="1"/>
    <col min="2574" max="2813" width="9.140625" style="65"/>
    <col min="2814" max="2814" width="12" style="65" customWidth="1"/>
    <col min="2815" max="2815" width="16.42578125" style="65" bestFit="1" customWidth="1"/>
    <col min="2816" max="2816" width="127.85546875" style="65" customWidth="1"/>
    <col min="2817" max="2817" width="48.7109375" style="65" customWidth="1"/>
    <col min="2818" max="2818" width="14.140625" style="65" customWidth="1"/>
    <col min="2819" max="2819" width="22.28515625" style="65" customWidth="1"/>
    <col min="2820" max="2825" width="19.85546875" style="65" customWidth="1"/>
    <col min="2826" max="2826" width="12" style="65" customWidth="1"/>
    <col min="2827" max="2827" width="18.28515625" style="65" customWidth="1"/>
    <col min="2828" max="2828" width="7.42578125" style="65" customWidth="1"/>
    <col min="2829" max="2829" width="15.28515625" style="65" customWidth="1"/>
    <col min="2830" max="3069" width="9.140625" style="65"/>
    <col min="3070" max="3070" width="12" style="65" customWidth="1"/>
    <col min="3071" max="3071" width="16.42578125" style="65" bestFit="1" customWidth="1"/>
    <col min="3072" max="3072" width="127.85546875" style="65" customWidth="1"/>
    <col min="3073" max="3073" width="48.7109375" style="65" customWidth="1"/>
    <col min="3074" max="3074" width="14.140625" style="65" customWidth="1"/>
    <col min="3075" max="3075" width="22.28515625" style="65" customWidth="1"/>
    <col min="3076" max="3081" width="19.85546875" style="65" customWidth="1"/>
    <col min="3082" max="3082" width="12" style="65" customWidth="1"/>
    <col min="3083" max="3083" width="18.28515625" style="65" customWidth="1"/>
    <col min="3084" max="3084" width="7.42578125" style="65" customWidth="1"/>
    <col min="3085" max="3085" width="15.28515625" style="65" customWidth="1"/>
    <col min="3086" max="3325" width="9.140625" style="65"/>
    <col min="3326" max="3326" width="12" style="65" customWidth="1"/>
    <col min="3327" max="3327" width="16.42578125" style="65" bestFit="1" customWidth="1"/>
    <col min="3328" max="3328" width="127.85546875" style="65" customWidth="1"/>
    <col min="3329" max="3329" width="48.7109375" style="65" customWidth="1"/>
    <col min="3330" max="3330" width="14.140625" style="65" customWidth="1"/>
    <col min="3331" max="3331" width="22.28515625" style="65" customWidth="1"/>
    <col min="3332" max="3337" width="19.85546875" style="65" customWidth="1"/>
    <col min="3338" max="3338" width="12" style="65" customWidth="1"/>
    <col min="3339" max="3339" width="18.28515625" style="65" customWidth="1"/>
    <col min="3340" max="3340" width="7.42578125" style="65" customWidth="1"/>
    <col min="3341" max="3341" width="15.28515625" style="65" customWidth="1"/>
    <col min="3342" max="3581" width="9.140625" style="65"/>
    <col min="3582" max="3582" width="12" style="65" customWidth="1"/>
    <col min="3583" max="3583" width="16.42578125" style="65" bestFit="1" customWidth="1"/>
    <col min="3584" max="3584" width="127.85546875" style="65" customWidth="1"/>
    <col min="3585" max="3585" width="48.7109375" style="65" customWidth="1"/>
    <col min="3586" max="3586" width="14.140625" style="65" customWidth="1"/>
    <col min="3587" max="3587" width="22.28515625" style="65" customWidth="1"/>
    <col min="3588" max="3593" width="19.85546875" style="65" customWidth="1"/>
    <col min="3594" max="3594" width="12" style="65" customWidth="1"/>
    <col min="3595" max="3595" width="18.28515625" style="65" customWidth="1"/>
    <col min="3596" max="3596" width="7.42578125" style="65" customWidth="1"/>
    <col min="3597" max="3597" width="15.28515625" style="65" customWidth="1"/>
    <col min="3598" max="3837" width="9.140625" style="65"/>
    <col min="3838" max="3838" width="12" style="65" customWidth="1"/>
    <col min="3839" max="3839" width="16.42578125" style="65" bestFit="1" customWidth="1"/>
    <col min="3840" max="3840" width="127.85546875" style="65" customWidth="1"/>
    <col min="3841" max="3841" width="48.7109375" style="65" customWidth="1"/>
    <col min="3842" max="3842" width="14.140625" style="65" customWidth="1"/>
    <col min="3843" max="3843" width="22.28515625" style="65" customWidth="1"/>
    <col min="3844" max="3849" width="19.85546875" style="65" customWidth="1"/>
    <col min="3850" max="3850" width="12" style="65" customWidth="1"/>
    <col min="3851" max="3851" width="18.28515625" style="65" customWidth="1"/>
    <col min="3852" max="3852" width="7.42578125" style="65" customWidth="1"/>
    <col min="3853" max="3853" width="15.28515625" style="65" customWidth="1"/>
    <col min="3854" max="4093" width="9.140625" style="65"/>
    <col min="4094" max="4094" width="12" style="65" customWidth="1"/>
    <col min="4095" max="4095" width="16.42578125" style="65" bestFit="1" customWidth="1"/>
    <col min="4096" max="4096" width="127.85546875" style="65" customWidth="1"/>
    <col min="4097" max="4097" width="48.7109375" style="65" customWidth="1"/>
    <col min="4098" max="4098" width="14.140625" style="65" customWidth="1"/>
    <col min="4099" max="4099" width="22.28515625" style="65" customWidth="1"/>
    <col min="4100" max="4105" width="19.85546875" style="65" customWidth="1"/>
    <col min="4106" max="4106" width="12" style="65" customWidth="1"/>
    <col min="4107" max="4107" width="18.28515625" style="65" customWidth="1"/>
    <col min="4108" max="4108" width="7.42578125" style="65" customWidth="1"/>
    <col min="4109" max="4109" width="15.28515625" style="65" customWidth="1"/>
    <col min="4110" max="4349" width="9.140625" style="65"/>
    <col min="4350" max="4350" width="12" style="65" customWidth="1"/>
    <col min="4351" max="4351" width="16.42578125" style="65" bestFit="1" customWidth="1"/>
    <col min="4352" max="4352" width="127.85546875" style="65" customWidth="1"/>
    <col min="4353" max="4353" width="48.7109375" style="65" customWidth="1"/>
    <col min="4354" max="4354" width="14.140625" style="65" customWidth="1"/>
    <col min="4355" max="4355" width="22.28515625" style="65" customWidth="1"/>
    <col min="4356" max="4361" width="19.85546875" style="65" customWidth="1"/>
    <col min="4362" max="4362" width="12" style="65" customWidth="1"/>
    <col min="4363" max="4363" width="18.28515625" style="65" customWidth="1"/>
    <col min="4364" max="4364" width="7.42578125" style="65" customWidth="1"/>
    <col min="4365" max="4365" width="15.28515625" style="65" customWidth="1"/>
    <col min="4366" max="4605" width="9.140625" style="65"/>
    <col min="4606" max="4606" width="12" style="65" customWidth="1"/>
    <col min="4607" max="4607" width="16.42578125" style="65" bestFit="1" customWidth="1"/>
    <col min="4608" max="4608" width="127.85546875" style="65" customWidth="1"/>
    <col min="4609" max="4609" width="48.7109375" style="65" customWidth="1"/>
    <col min="4610" max="4610" width="14.140625" style="65" customWidth="1"/>
    <col min="4611" max="4611" width="22.28515625" style="65" customWidth="1"/>
    <col min="4612" max="4617" width="19.85546875" style="65" customWidth="1"/>
    <col min="4618" max="4618" width="12" style="65" customWidth="1"/>
    <col min="4619" max="4619" width="18.28515625" style="65" customWidth="1"/>
    <col min="4620" max="4620" width="7.42578125" style="65" customWidth="1"/>
    <col min="4621" max="4621" width="15.28515625" style="65" customWidth="1"/>
    <col min="4622" max="4861" width="9.140625" style="65"/>
    <col min="4862" max="4862" width="12" style="65" customWidth="1"/>
    <col min="4863" max="4863" width="16.42578125" style="65" bestFit="1" customWidth="1"/>
    <col min="4864" max="4864" width="127.85546875" style="65" customWidth="1"/>
    <col min="4865" max="4865" width="48.7109375" style="65" customWidth="1"/>
    <col min="4866" max="4866" width="14.140625" style="65" customWidth="1"/>
    <col min="4867" max="4867" width="22.28515625" style="65" customWidth="1"/>
    <col min="4868" max="4873" width="19.85546875" style="65" customWidth="1"/>
    <col min="4874" max="4874" width="12" style="65" customWidth="1"/>
    <col min="4875" max="4875" width="18.28515625" style="65" customWidth="1"/>
    <col min="4876" max="4876" width="7.42578125" style="65" customWidth="1"/>
    <col min="4877" max="4877" width="15.28515625" style="65" customWidth="1"/>
    <col min="4878" max="5117" width="9.140625" style="65"/>
    <col min="5118" max="5118" width="12" style="65" customWidth="1"/>
    <col min="5119" max="5119" width="16.42578125" style="65" bestFit="1" customWidth="1"/>
    <col min="5120" max="5120" width="127.85546875" style="65" customWidth="1"/>
    <col min="5121" max="5121" width="48.7109375" style="65" customWidth="1"/>
    <col min="5122" max="5122" width="14.140625" style="65" customWidth="1"/>
    <col min="5123" max="5123" width="22.28515625" style="65" customWidth="1"/>
    <col min="5124" max="5129" width="19.85546875" style="65" customWidth="1"/>
    <col min="5130" max="5130" width="12" style="65" customWidth="1"/>
    <col min="5131" max="5131" width="18.28515625" style="65" customWidth="1"/>
    <col min="5132" max="5132" width="7.42578125" style="65" customWidth="1"/>
    <col min="5133" max="5133" width="15.28515625" style="65" customWidth="1"/>
    <col min="5134" max="5373" width="9.140625" style="65"/>
    <col min="5374" max="5374" width="12" style="65" customWidth="1"/>
    <col min="5375" max="5375" width="16.42578125" style="65" bestFit="1" customWidth="1"/>
    <col min="5376" max="5376" width="127.85546875" style="65" customWidth="1"/>
    <col min="5377" max="5377" width="48.7109375" style="65" customWidth="1"/>
    <col min="5378" max="5378" width="14.140625" style="65" customWidth="1"/>
    <col min="5379" max="5379" width="22.28515625" style="65" customWidth="1"/>
    <col min="5380" max="5385" width="19.85546875" style="65" customWidth="1"/>
    <col min="5386" max="5386" width="12" style="65" customWidth="1"/>
    <col min="5387" max="5387" width="18.28515625" style="65" customWidth="1"/>
    <col min="5388" max="5388" width="7.42578125" style="65" customWidth="1"/>
    <col min="5389" max="5389" width="15.28515625" style="65" customWidth="1"/>
    <col min="5390" max="5629" width="9.140625" style="65"/>
    <col min="5630" max="5630" width="12" style="65" customWidth="1"/>
    <col min="5631" max="5631" width="16.42578125" style="65" bestFit="1" customWidth="1"/>
    <col min="5632" max="5632" width="127.85546875" style="65" customWidth="1"/>
    <col min="5633" max="5633" width="48.7109375" style="65" customWidth="1"/>
    <col min="5634" max="5634" width="14.140625" style="65" customWidth="1"/>
    <col min="5635" max="5635" width="22.28515625" style="65" customWidth="1"/>
    <col min="5636" max="5641" width="19.85546875" style="65" customWidth="1"/>
    <col min="5642" max="5642" width="12" style="65" customWidth="1"/>
    <col min="5643" max="5643" width="18.28515625" style="65" customWidth="1"/>
    <col min="5644" max="5644" width="7.42578125" style="65" customWidth="1"/>
    <col min="5645" max="5645" width="15.28515625" style="65" customWidth="1"/>
    <col min="5646" max="5885" width="9.140625" style="65"/>
    <col min="5886" max="5886" width="12" style="65" customWidth="1"/>
    <col min="5887" max="5887" width="16.42578125" style="65" bestFit="1" customWidth="1"/>
    <col min="5888" max="5888" width="127.85546875" style="65" customWidth="1"/>
    <col min="5889" max="5889" width="48.7109375" style="65" customWidth="1"/>
    <col min="5890" max="5890" width="14.140625" style="65" customWidth="1"/>
    <col min="5891" max="5891" width="22.28515625" style="65" customWidth="1"/>
    <col min="5892" max="5897" width="19.85546875" style="65" customWidth="1"/>
    <col min="5898" max="5898" width="12" style="65" customWidth="1"/>
    <col min="5899" max="5899" width="18.28515625" style="65" customWidth="1"/>
    <col min="5900" max="5900" width="7.42578125" style="65" customWidth="1"/>
    <col min="5901" max="5901" width="15.28515625" style="65" customWidth="1"/>
    <col min="5902" max="6141" width="9.140625" style="65"/>
    <col min="6142" max="6142" width="12" style="65" customWidth="1"/>
    <col min="6143" max="6143" width="16.42578125" style="65" bestFit="1" customWidth="1"/>
    <col min="6144" max="6144" width="127.85546875" style="65" customWidth="1"/>
    <col min="6145" max="6145" width="48.7109375" style="65" customWidth="1"/>
    <col min="6146" max="6146" width="14.140625" style="65" customWidth="1"/>
    <col min="6147" max="6147" width="22.28515625" style="65" customWidth="1"/>
    <col min="6148" max="6153" width="19.85546875" style="65" customWidth="1"/>
    <col min="6154" max="6154" width="12" style="65" customWidth="1"/>
    <col min="6155" max="6155" width="18.28515625" style="65" customWidth="1"/>
    <col min="6156" max="6156" width="7.42578125" style="65" customWidth="1"/>
    <col min="6157" max="6157" width="15.28515625" style="65" customWidth="1"/>
    <col min="6158" max="6397" width="9.140625" style="65"/>
    <col min="6398" max="6398" width="12" style="65" customWidth="1"/>
    <col min="6399" max="6399" width="16.42578125" style="65" bestFit="1" customWidth="1"/>
    <col min="6400" max="6400" width="127.85546875" style="65" customWidth="1"/>
    <col min="6401" max="6401" width="48.7109375" style="65" customWidth="1"/>
    <col min="6402" max="6402" width="14.140625" style="65" customWidth="1"/>
    <col min="6403" max="6403" width="22.28515625" style="65" customWidth="1"/>
    <col min="6404" max="6409" width="19.85546875" style="65" customWidth="1"/>
    <col min="6410" max="6410" width="12" style="65" customWidth="1"/>
    <col min="6411" max="6411" width="18.28515625" style="65" customWidth="1"/>
    <col min="6412" max="6412" width="7.42578125" style="65" customWidth="1"/>
    <col min="6413" max="6413" width="15.28515625" style="65" customWidth="1"/>
    <col min="6414" max="6653" width="9.140625" style="65"/>
    <col min="6654" max="6654" width="12" style="65" customWidth="1"/>
    <col min="6655" max="6655" width="16.42578125" style="65" bestFit="1" customWidth="1"/>
    <col min="6656" max="6656" width="127.85546875" style="65" customWidth="1"/>
    <col min="6657" max="6657" width="48.7109375" style="65" customWidth="1"/>
    <col min="6658" max="6658" width="14.140625" style="65" customWidth="1"/>
    <col min="6659" max="6659" width="22.28515625" style="65" customWidth="1"/>
    <col min="6660" max="6665" width="19.85546875" style="65" customWidth="1"/>
    <col min="6666" max="6666" width="12" style="65" customWidth="1"/>
    <col min="6667" max="6667" width="18.28515625" style="65" customWidth="1"/>
    <col min="6668" max="6668" width="7.42578125" style="65" customWidth="1"/>
    <col min="6669" max="6669" width="15.28515625" style="65" customWidth="1"/>
    <col min="6670" max="6909" width="9.140625" style="65"/>
    <col min="6910" max="6910" width="12" style="65" customWidth="1"/>
    <col min="6911" max="6911" width="16.42578125" style="65" bestFit="1" customWidth="1"/>
    <col min="6912" max="6912" width="127.85546875" style="65" customWidth="1"/>
    <col min="6913" max="6913" width="48.7109375" style="65" customWidth="1"/>
    <col min="6914" max="6914" width="14.140625" style="65" customWidth="1"/>
    <col min="6915" max="6915" width="22.28515625" style="65" customWidth="1"/>
    <col min="6916" max="6921" width="19.85546875" style="65" customWidth="1"/>
    <col min="6922" max="6922" width="12" style="65" customWidth="1"/>
    <col min="6923" max="6923" width="18.28515625" style="65" customWidth="1"/>
    <col min="6924" max="6924" width="7.42578125" style="65" customWidth="1"/>
    <col min="6925" max="6925" width="15.28515625" style="65" customWidth="1"/>
    <col min="6926" max="7165" width="9.140625" style="65"/>
    <col min="7166" max="7166" width="12" style="65" customWidth="1"/>
    <col min="7167" max="7167" width="16.42578125" style="65" bestFit="1" customWidth="1"/>
    <col min="7168" max="7168" width="127.85546875" style="65" customWidth="1"/>
    <col min="7169" max="7169" width="48.7109375" style="65" customWidth="1"/>
    <col min="7170" max="7170" width="14.140625" style="65" customWidth="1"/>
    <col min="7171" max="7171" width="22.28515625" style="65" customWidth="1"/>
    <col min="7172" max="7177" width="19.85546875" style="65" customWidth="1"/>
    <col min="7178" max="7178" width="12" style="65" customWidth="1"/>
    <col min="7179" max="7179" width="18.28515625" style="65" customWidth="1"/>
    <col min="7180" max="7180" width="7.42578125" style="65" customWidth="1"/>
    <col min="7181" max="7181" width="15.28515625" style="65" customWidth="1"/>
    <col min="7182" max="7421" width="9.140625" style="65"/>
    <col min="7422" max="7422" width="12" style="65" customWidth="1"/>
    <col min="7423" max="7423" width="16.42578125" style="65" bestFit="1" customWidth="1"/>
    <col min="7424" max="7424" width="127.85546875" style="65" customWidth="1"/>
    <col min="7425" max="7425" width="48.7109375" style="65" customWidth="1"/>
    <col min="7426" max="7426" width="14.140625" style="65" customWidth="1"/>
    <col min="7427" max="7427" width="22.28515625" style="65" customWidth="1"/>
    <col min="7428" max="7433" width="19.85546875" style="65" customWidth="1"/>
    <col min="7434" max="7434" width="12" style="65" customWidth="1"/>
    <col min="7435" max="7435" width="18.28515625" style="65" customWidth="1"/>
    <col min="7436" max="7436" width="7.42578125" style="65" customWidth="1"/>
    <col min="7437" max="7437" width="15.28515625" style="65" customWidth="1"/>
    <col min="7438" max="7677" width="9.140625" style="65"/>
    <col min="7678" max="7678" width="12" style="65" customWidth="1"/>
    <col min="7679" max="7679" width="16.42578125" style="65" bestFit="1" customWidth="1"/>
    <col min="7680" max="7680" width="127.85546875" style="65" customWidth="1"/>
    <col min="7681" max="7681" width="48.7109375" style="65" customWidth="1"/>
    <col min="7682" max="7682" width="14.140625" style="65" customWidth="1"/>
    <col min="7683" max="7683" width="22.28515625" style="65" customWidth="1"/>
    <col min="7684" max="7689" width="19.85546875" style="65" customWidth="1"/>
    <col min="7690" max="7690" width="12" style="65" customWidth="1"/>
    <col min="7691" max="7691" width="18.28515625" style="65" customWidth="1"/>
    <col min="7692" max="7692" width="7.42578125" style="65" customWidth="1"/>
    <col min="7693" max="7693" width="15.28515625" style="65" customWidth="1"/>
    <col min="7694" max="7933" width="9.140625" style="65"/>
    <col min="7934" max="7934" width="12" style="65" customWidth="1"/>
    <col min="7935" max="7935" width="16.42578125" style="65" bestFit="1" customWidth="1"/>
    <col min="7936" max="7936" width="127.85546875" style="65" customWidth="1"/>
    <col min="7937" max="7937" width="48.7109375" style="65" customWidth="1"/>
    <col min="7938" max="7938" width="14.140625" style="65" customWidth="1"/>
    <col min="7939" max="7939" width="22.28515625" style="65" customWidth="1"/>
    <col min="7940" max="7945" width="19.85546875" style="65" customWidth="1"/>
    <col min="7946" max="7946" width="12" style="65" customWidth="1"/>
    <col min="7947" max="7947" width="18.28515625" style="65" customWidth="1"/>
    <col min="7948" max="7948" width="7.42578125" style="65" customWidth="1"/>
    <col min="7949" max="7949" width="15.28515625" style="65" customWidth="1"/>
    <col min="7950" max="8189" width="9.140625" style="65"/>
    <col min="8190" max="8190" width="12" style="65" customWidth="1"/>
    <col min="8191" max="8191" width="16.42578125" style="65" bestFit="1" customWidth="1"/>
    <col min="8192" max="8192" width="127.85546875" style="65" customWidth="1"/>
    <col min="8193" max="8193" width="48.7109375" style="65" customWidth="1"/>
    <col min="8194" max="8194" width="14.140625" style="65" customWidth="1"/>
    <col min="8195" max="8195" width="22.28515625" style="65" customWidth="1"/>
    <col min="8196" max="8201" width="19.85546875" style="65" customWidth="1"/>
    <col min="8202" max="8202" width="12" style="65" customWidth="1"/>
    <col min="8203" max="8203" width="18.28515625" style="65" customWidth="1"/>
    <col min="8204" max="8204" width="7.42578125" style="65" customWidth="1"/>
    <col min="8205" max="8205" width="15.28515625" style="65" customWidth="1"/>
    <col min="8206" max="8445" width="9.140625" style="65"/>
    <col min="8446" max="8446" width="12" style="65" customWidth="1"/>
    <col min="8447" max="8447" width="16.42578125" style="65" bestFit="1" customWidth="1"/>
    <col min="8448" max="8448" width="127.85546875" style="65" customWidth="1"/>
    <col min="8449" max="8449" width="48.7109375" style="65" customWidth="1"/>
    <col min="8450" max="8450" width="14.140625" style="65" customWidth="1"/>
    <col min="8451" max="8451" width="22.28515625" style="65" customWidth="1"/>
    <col min="8452" max="8457" width="19.85546875" style="65" customWidth="1"/>
    <col min="8458" max="8458" width="12" style="65" customWidth="1"/>
    <col min="8459" max="8459" width="18.28515625" style="65" customWidth="1"/>
    <col min="8460" max="8460" width="7.42578125" style="65" customWidth="1"/>
    <col min="8461" max="8461" width="15.28515625" style="65" customWidth="1"/>
    <col min="8462" max="8701" width="9.140625" style="65"/>
    <col min="8702" max="8702" width="12" style="65" customWidth="1"/>
    <col min="8703" max="8703" width="16.42578125" style="65" bestFit="1" customWidth="1"/>
    <col min="8704" max="8704" width="127.85546875" style="65" customWidth="1"/>
    <col min="8705" max="8705" width="48.7109375" style="65" customWidth="1"/>
    <col min="8706" max="8706" width="14.140625" style="65" customWidth="1"/>
    <col min="8707" max="8707" width="22.28515625" style="65" customWidth="1"/>
    <col min="8708" max="8713" width="19.85546875" style="65" customWidth="1"/>
    <col min="8714" max="8714" width="12" style="65" customWidth="1"/>
    <col min="8715" max="8715" width="18.28515625" style="65" customWidth="1"/>
    <col min="8716" max="8716" width="7.42578125" style="65" customWidth="1"/>
    <col min="8717" max="8717" width="15.28515625" style="65" customWidth="1"/>
    <col min="8718" max="8957" width="9.140625" style="65"/>
    <col min="8958" max="8958" width="12" style="65" customWidth="1"/>
    <col min="8959" max="8959" width="16.42578125" style="65" bestFit="1" customWidth="1"/>
    <col min="8960" max="8960" width="127.85546875" style="65" customWidth="1"/>
    <col min="8961" max="8961" width="48.7109375" style="65" customWidth="1"/>
    <col min="8962" max="8962" width="14.140625" style="65" customWidth="1"/>
    <col min="8963" max="8963" width="22.28515625" style="65" customWidth="1"/>
    <col min="8964" max="8969" width="19.85546875" style="65" customWidth="1"/>
    <col min="8970" max="8970" width="12" style="65" customWidth="1"/>
    <col min="8971" max="8971" width="18.28515625" style="65" customWidth="1"/>
    <col min="8972" max="8972" width="7.42578125" style="65" customWidth="1"/>
    <col min="8973" max="8973" width="15.28515625" style="65" customWidth="1"/>
    <col min="8974" max="9213" width="9.140625" style="65"/>
    <col min="9214" max="9214" width="12" style="65" customWidth="1"/>
    <col min="9215" max="9215" width="16.42578125" style="65" bestFit="1" customWidth="1"/>
    <col min="9216" max="9216" width="127.85546875" style="65" customWidth="1"/>
    <col min="9217" max="9217" width="48.7109375" style="65" customWidth="1"/>
    <col min="9218" max="9218" width="14.140625" style="65" customWidth="1"/>
    <col min="9219" max="9219" width="22.28515625" style="65" customWidth="1"/>
    <col min="9220" max="9225" width="19.85546875" style="65" customWidth="1"/>
    <col min="9226" max="9226" width="12" style="65" customWidth="1"/>
    <col min="9227" max="9227" width="18.28515625" style="65" customWidth="1"/>
    <col min="9228" max="9228" width="7.42578125" style="65" customWidth="1"/>
    <col min="9229" max="9229" width="15.28515625" style="65" customWidth="1"/>
    <col min="9230" max="9469" width="9.140625" style="65"/>
    <col min="9470" max="9470" width="12" style="65" customWidth="1"/>
    <col min="9471" max="9471" width="16.42578125" style="65" bestFit="1" customWidth="1"/>
    <col min="9472" max="9472" width="127.85546875" style="65" customWidth="1"/>
    <col min="9473" max="9473" width="48.7109375" style="65" customWidth="1"/>
    <col min="9474" max="9474" width="14.140625" style="65" customWidth="1"/>
    <col min="9475" max="9475" width="22.28515625" style="65" customWidth="1"/>
    <col min="9476" max="9481" width="19.85546875" style="65" customWidth="1"/>
    <col min="9482" max="9482" width="12" style="65" customWidth="1"/>
    <col min="9483" max="9483" width="18.28515625" style="65" customWidth="1"/>
    <col min="9484" max="9484" width="7.42578125" style="65" customWidth="1"/>
    <col min="9485" max="9485" width="15.28515625" style="65" customWidth="1"/>
    <col min="9486" max="9725" width="9.140625" style="65"/>
    <col min="9726" max="9726" width="12" style="65" customWidth="1"/>
    <col min="9727" max="9727" width="16.42578125" style="65" bestFit="1" customWidth="1"/>
    <col min="9728" max="9728" width="127.85546875" style="65" customWidth="1"/>
    <col min="9729" max="9729" width="48.7109375" style="65" customWidth="1"/>
    <col min="9730" max="9730" width="14.140625" style="65" customWidth="1"/>
    <col min="9731" max="9731" width="22.28515625" style="65" customWidth="1"/>
    <col min="9732" max="9737" width="19.85546875" style="65" customWidth="1"/>
    <col min="9738" max="9738" width="12" style="65" customWidth="1"/>
    <col min="9739" max="9739" width="18.28515625" style="65" customWidth="1"/>
    <col min="9740" max="9740" width="7.42578125" style="65" customWidth="1"/>
    <col min="9741" max="9741" width="15.28515625" style="65" customWidth="1"/>
    <col min="9742" max="9981" width="9.140625" style="65"/>
    <col min="9982" max="9982" width="12" style="65" customWidth="1"/>
    <col min="9983" max="9983" width="16.42578125" style="65" bestFit="1" customWidth="1"/>
    <col min="9984" max="9984" width="127.85546875" style="65" customWidth="1"/>
    <col min="9985" max="9985" width="48.7109375" style="65" customWidth="1"/>
    <col min="9986" max="9986" width="14.140625" style="65" customWidth="1"/>
    <col min="9987" max="9987" width="22.28515625" style="65" customWidth="1"/>
    <col min="9988" max="9993" width="19.85546875" style="65" customWidth="1"/>
    <col min="9994" max="9994" width="12" style="65" customWidth="1"/>
    <col min="9995" max="9995" width="18.28515625" style="65" customWidth="1"/>
    <col min="9996" max="9996" width="7.42578125" style="65" customWidth="1"/>
    <col min="9997" max="9997" width="15.28515625" style="65" customWidth="1"/>
    <col min="9998" max="10237" width="9.140625" style="65"/>
    <col min="10238" max="10238" width="12" style="65" customWidth="1"/>
    <col min="10239" max="10239" width="16.42578125" style="65" bestFit="1" customWidth="1"/>
    <col min="10240" max="10240" width="127.85546875" style="65" customWidth="1"/>
    <col min="10241" max="10241" width="48.7109375" style="65" customWidth="1"/>
    <col min="10242" max="10242" width="14.140625" style="65" customWidth="1"/>
    <col min="10243" max="10243" width="22.28515625" style="65" customWidth="1"/>
    <col min="10244" max="10249" width="19.85546875" style="65" customWidth="1"/>
    <col min="10250" max="10250" width="12" style="65" customWidth="1"/>
    <col min="10251" max="10251" width="18.28515625" style="65" customWidth="1"/>
    <col min="10252" max="10252" width="7.42578125" style="65" customWidth="1"/>
    <col min="10253" max="10253" width="15.28515625" style="65" customWidth="1"/>
    <col min="10254" max="10493" width="9.140625" style="65"/>
    <col min="10494" max="10494" width="12" style="65" customWidth="1"/>
    <col min="10495" max="10495" width="16.42578125" style="65" bestFit="1" customWidth="1"/>
    <col min="10496" max="10496" width="127.85546875" style="65" customWidth="1"/>
    <col min="10497" max="10497" width="48.7109375" style="65" customWidth="1"/>
    <col min="10498" max="10498" width="14.140625" style="65" customWidth="1"/>
    <col min="10499" max="10499" width="22.28515625" style="65" customWidth="1"/>
    <col min="10500" max="10505" width="19.85546875" style="65" customWidth="1"/>
    <col min="10506" max="10506" width="12" style="65" customWidth="1"/>
    <col min="10507" max="10507" width="18.28515625" style="65" customWidth="1"/>
    <col min="10508" max="10508" width="7.42578125" style="65" customWidth="1"/>
    <col min="10509" max="10509" width="15.28515625" style="65" customWidth="1"/>
    <col min="10510" max="10749" width="9.140625" style="65"/>
    <col min="10750" max="10750" width="12" style="65" customWidth="1"/>
    <col min="10751" max="10751" width="16.42578125" style="65" bestFit="1" customWidth="1"/>
    <col min="10752" max="10752" width="127.85546875" style="65" customWidth="1"/>
    <col min="10753" max="10753" width="48.7109375" style="65" customWidth="1"/>
    <col min="10754" max="10754" width="14.140625" style="65" customWidth="1"/>
    <col min="10755" max="10755" width="22.28515625" style="65" customWidth="1"/>
    <col min="10756" max="10761" width="19.85546875" style="65" customWidth="1"/>
    <col min="10762" max="10762" width="12" style="65" customWidth="1"/>
    <col min="10763" max="10763" width="18.28515625" style="65" customWidth="1"/>
    <col min="10764" max="10764" width="7.42578125" style="65" customWidth="1"/>
    <col min="10765" max="10765" width="15.28515625" style="65" customWidth="1"/>
    <col min="10766" max="11005" width="9.140625" style="65"/>
    <col min="11006" max="11006" width="12" style="65" customWidth="1"/>
    <col min="11007" max="11007" width="16.42578125" style="65" bestFit="1" customWidth="1"/>
    <col min="11008" max="11008" width="127.85546875" style="65" customWidth="1"/>
    <col min="11009" max="11009" width="48.7109375" style="65" customWidth="1"/>
    <col min="11010" max="11010" width="14.140625" style="65" customWidth="1"/>
    <col min="11011" max="11011" width="22.28515625" style="65" customWidth="1"/>
    <col min="11012" max="11017" width="19.85546875" style="65" customWidth="1"/>
    <col min="11018" max="11018" width="12" style="65" customWidth="1"/>
    <col min="11019" max="11019" width="18.28515625" style="65" customWidth="1"/>
    <col min="11020" max="11020" width="7.42578125" style="65" customWidth="1"/>
    <col min="11021" max="11021" width="15.28515625" style="65" customWidth="1"/>
    <col min="11022" max="11261" width="9.140625" style="65"/>
    <col min="11262" max="11262" width="12" style="65" customWidth="1"/>
    <col min="11263" max="11263" width="16.42578125" style="65" bestFit="1" customWidth="1"/>
    <col min="11264" max="11264" width="127.85546875" style="65" customWidth="1"/>
    <col min="11265" max="11265" width="48.7109375" style="65" customWidth="1"/>
    <col min="11266" max="11266" width="14.140625" style="65" customWidth="1"/>
    <col min="11267" max="11267" width="22.28515625" style="65" customWidth="1"/>
    <col min="11268" max="11273" width="19.85546875" style="65" customWidth="1"/>
    <col min="11274" max="11274" width="12" style="65" customWidth="1"/>
    <col min="11275" max="11275" width="18.28515625" style="65" customWidth="1"/>
    <col min="11276" max="11276" width="7.42578125" style="65" customWidth="1"/>
    <col min="11277" max="11277" width="15.28515625" style="65" customWidth="1"/>
    <col min="11278" max="11517" width="9.140625" style="65"/>
    <col min="11518" max="11518" width="12" style="65" customWidth="1"/>
    <col min="11519" max="11519" width="16.42578125" style="65" bestFit="1" customWidth="1"/>
    <col min="11520" max="11520" width="127.85546875" style="65" customWidth="1"/>
    <col min="11521" max="11521" width="48.7109375" style="65" customWidth="1"/>
    <col min="11522" max="11522" width="14.140625" style="65" customWidth="1"/>
    <col min="11523" max="11523" width="22.28515625" style="65" customWidth="1"/>
    <col min="11524" max="11529" width="19.85546875" style="65" customWidth="1"/>
    <col min="11530" max="11530" width="12" style="65" customWidth="1"/>
    <col min="11531" max="11531" width="18.28515625" style="65" customWidth="1"/>
    <col min="11532" max="11532" width="7.42578125" style="65" customWidth="1"/>
    <col min="11533" max="11533" width="15.28515625" style="65" customWidth="1"/>
    <col min="11534" max="11773" width="9.140625" style="65"/>
    <col min="11774" max="11774" width="12" style="65" customWidth="1"/>
    <col min="11775" max="11775" width="16.42578125" style="65" bestFit="1" customWidth="1"/>
    <col min="11776" max="11776" width="127.85546875" style="65" customWidth="1"/>
    <col min="11777" max="11777" width="48.7109375" style="65" customWidth="1"/>
    <col min="11778" max="11778" width="14.140625" style="65" customWidth="1"/>
    <col min="11779" max="11779" width="22.28515625" style="65" customWidth="1"/>
    <col min="11780" max="11785" width="19.85546875" style="65" customWidth="1"/>
    <col min="11786" max="11786" width="12" style="65" customWidth="1"/>
    <col min="11787" max="11787" width="18.28515625" style="65" customWidth="1"/>
    <col min="11788" max="11788" width="7.42578125" style="65" customWidth="1"/>
    <col min="11789" max="11789" width="15.28515625" style="65" customWidth="1"/>
    <col min="11790" max="12029" width="9.140625" style="65"/>
    <col min="12030" max="12030" width="12" style="65" customWidth="1"/>
    <col min="12031" max="12031" width="16.42578125" style="65" bestFit="1" customWidth="1"/>
    <col min="12032" max="12032" width="127.85546875" style="65" customWidth="1"/>
    <col min="12033" max="12033" width="48.7109375" style="65" customWidth="1"/>
    <col min="12034" max="12034" width="14.140625" style="65" customWidth="1"/>
    <col min="12035" max="12035" width="22.28515625" style="65" customWidth="1"/>
    <col min="12036" max="12041" width="19.85546875" style="65" customWidth="1"/>
    <col min="12042" max="12042" width="12" style="65" customWidth="1"/>
    <col min="12043" max="12043" width="18.28515625" style="65" customWidth="1"/>
    <col min="12044" max="12044" width="7.42578125" style="65" customWidth="1"/>
    <col min="12045" max="12045" width="15.28515625" style="65" customWidth="1"/>
    <col min="12046" max="12285" width="9.140625" style="65"/>
    <col min="12286" max="12286" width="12" style="65" customWidth="1"/>
    <col min="12287" max="12287" width="16.42578125" style="65" bestFit="1" customWidth="1"/>
    <col min="12288" max="12288" width="127.85546875" style="65" customWidth="1"/>
    <col min="12289" max="12289" width="48.7109375" style="65" customWidth="1"/>
    <col min="12290" max="12290" width="14.140625" style="65" customWidth="1"/>
    <col min="12291" max="12291" width="22.28515625" style="65" customWidth="1"/>
    <col min="12292" max="12297" width="19.85546875" style="65" customWidth="1"/>
    <col min="12298" max="12298" width="12" style="65" customWidth="1"/>
    <col min="12299" max="12299" width="18.28515625" style="65" customWidth="1"/>
    <col min="12300" max="12300" width="7.42578125" style="65" customWidth="1"/>
    <col min="12301" max="12301" width="15.28515625" style="65" customWidth="1"/>
    <col min="12302" max="12541" width="9.140625" style="65"/>
    <col min="12542" max="12542" width="12" style="65" customWidth="1"/>
    <col min="12543" max="12543" width="16.42578125" style="65" bestFit="1" customWidth="1"/>
    <col min="12544" max="12544" width="127.85546875" style="65" customWidth="1"/>
    <col min="12545" max="12545" width="48.7109375" style="65" customWidth="1"/>
    <col min="12546" max="12546" width="14.140625" style="65" customWidth="1"/>
    <col min="12547" max="12547" width="22.28515625" style="65" customWidth="1"/>
    <col min="12548" max="12553" width="19.85546875" style="65" customWidth="1"/>
    <col min="12554" max="12554" width="12" style="65" customWidth="1"/>
    <col min="12555" max="12555" width="18.28515625" style="65" customWidth="1"/>
    <col min="12556" max="12556" width="7.42578125" style="65" customWidth="1"/>
    <col min="12557" max="12557" width="15.28515625" style="65" customWidth="1"/>
    <col min="12558" max="12797" width="9.140625" style="65"/>
    <col min="12798" max="12798" width="12" style="65" customWidth="1"/>
    <col min="12799" max="12799" width="16.42578125" style="65" bestFit="1" customWidth="1"/>
    <col min="12800" max="12800" width="127.85546875" style="65" customWidth="1"/>
    <col min="12801" max="12801" width="48.7109375" style="65" customWidth="1"/>
    <col min="12802" max="12802" width="14.140625" style="65" customWidth="1"/>
    <col min="12803" max="12803" width="22.28515625" style="65" customWidth="1"/>
    <col min="12804" max="12809" width="19.85546875" style="65" customWidth="1"/>
    <col min="12810" max="12810" width="12" style="65" customWidth="1"/>
    <col min="12811" max="12811" width="18.28515625" style="65" customWidth="1"/>
    <col min="12812" max="12812" width="7.42578125" style="65" customWidth="1"/>
    <col min="12813" max="12813" width="15.28515625" style="65" customWidth="1"/>
    <col min="12814" max="13053" width="9.140625" style="65"/>
    <col min="13054" max="13054" width="12" style="65" customWidth="1"/>
    <col min="13055" max="13055" width="16.42578125" style="65" bestFit="1" customWidth="1"/>
    <col min="13056" max="13056" width="127.85546875" style="65" customWidth="1"/>
    <col min="13057" max="13057" width="48.7109375" style="65" customWidth="1"/>
    <col min="13058" max="13058" width="14.140625" style="65" customWidth="1"/>
    <col min="13059" max="13059" width="22.28515625" style="65" customWidth="1"/>
    <col min="13060" max="13065" width="19.85546875" style="65" customWidth="1"/>
    <col min="13066" max="13066" width="12" style="65" customWidth="1"/>
    <col min="13067" max="13067" width="18.28515625" style="65" customWidth="1"/>
    <col min="13068" max="13068" width="7.42578125" style="65" customWidth="1"/>
    <col min="13069" max="13069" width="15.28515625" style="65" customWidth="1"/>
    <col min="13070" max="13309" width="9.140625" style="65"/>
    <col min="13310" max="13310" width="12" style="65" customWidth="1"/>
    <col min="13311" max="13311" width="16.42578125" style="65" bestFit="1" customWidth="1"/>
    <col min="13312" max="13312" width="127.85546875" style="65" customWidth="1"/>
    <col min="13313" max="13313" width="48.7109375" style="65" customWidth="1"/>
    <col min="13314" max="13314" width="14.140625" style="65" customWidth="1"/>
    <col min="13315" max="13315" width="22.28515625" style="65" customWidth="1"/>
    <col min="13316" max="13321" width="19.85546875" style="65" customWidth="1"/>
    <col min="13322" max="13322" width="12" style="65" customWidth="1"/>
    <col min="13323" max="13323" width="18.28515625" style="65" customWidth="1"/>
    <col min="13324" max="13324" width="7.42578125" style="65" customWidth="1"/>
    <col min="13325" max="13325" width="15.28515625" style="65" customWidth="1"/>
    <col min="13326" max="13565" width="9.140625" style="65"/>
    <col min="13566" max="13566" width="12" style="65" customWidth="1"/>
    <col min="13567" max="13567" width="16.42578125" style="65" bestFit="1" customWidth="1"/>
    <col min="13568" max="13568" width="127.85546875" style="65" customWidth="1"/>
    <col min="13569" max="13569" width="48.7109375" style="65" customWidth="1"/>
    <col min="13570" max="13570" width="14.140625" style="65" customWidth="1"/>
    <col min="13571" max="13571" width="22.28515625" style="65" customWidth="1"/>
    <col min="13572" max="13577" width="19.85546875" style="65" customWidth="1"/>
    <col min="13578" max="13578" width="12" style="65" customWidth="1"/>
    <col min="13579" max="13579" width="18.28515625" style="65" customWidth="1"/>
    <col min="13580" max="13580" width="7.42578125" style="65" customWidth="1"/>
    <col min="13581" max="13581" width="15.28515625" style="65" customWidth="1"/>
    <col min="13582" max="13821" width="9.140625" style="65"/>
    <col min="13822" max="13822" width="12" style="65" customWidth="1"/>
    <col min="13823" max="13823" width="16.42578125" style="65" bestFit="1" customWidth="1"/>
    <col min="13824" max="13824" width="127.85546875" style="65" customWidth="1"/>
    <col min="13825" max="13825" width="48.7109375" style="65" customWidth="1"/>
    <col min="13826" max="13826" width="14.140625" style="65" customWidth="1"/>
    <col min="13827" max="13827" width="22.28515625" style="65" customWidth="1"/>
    <col min="13828" max="13833" width="19.85546875" style="65" customWidth="1"/>
    <col min="13834" max="13834" width="12" style="65" customWidth="1"/>
    <col min="13835" max="13835" width="18.28515625" style="65" customWidth="1"/>
    <col min="13836" max="13836" width="7.42578125" style="65" customWidth="1"/>
    <col min="13837" max="13837" width="15.28515625" style="65" customWidth="1"/>
    <col min="13838" max="14077" width="9.140625" style="65"/>
    <col min="14078" max="14078" width="12" style="65" customWidth="1"/>
    <col min="14079" max="14079" width="16.42578125" style="65" bestFit="1" customWidth="1"/>
    <col min="14080" max="14080" width="127.85546875" style="65" customWidth="1"/>
    <col min="14081" max="14081" width="48.7109375" style="65" customWidth="1"/>
    <col min="14082" max="14082" width="14.140625" style="65" customWidth="1"/>
    <col min="14083" max="14083" width="22.28515625" style="65" customWidth="1"/>
    <col min="14084" max="14089" width="19.85546875" style="65" customWidth="1"/>
    <col min="14090" max="14090" width="12" style="65" customWidth="1"/>
    <col min="14091" max="14091" width="18.28515625" style="65" customWidth="1"/>
    <col min="14092" max="14092" width="7.42578125" style="65" customWidth="1"/>
    <col min="14093" max="14093" width="15.28515625" style="65" customWidth="1"/>
    <col min="14094" max="14333" width="9.140625" style="65"/>
    <col min="14334" max="14334" width="12" style="65" customWidth="1"/>
    <col min="14335" max="14335" width="16.42578125" style="65" bestFit="1" customWidth="1"/>
    <col min="14336" max="14336" width="127.85546875" style="65" customWidth="1"/>
    <col min="14337" max="14337" width="48.7109375" style="65" customWidth="1"/>
    <col min="14338" max="14338" width="14.140625" style="65" customWidth="1"/>
    <col min="14339" max="14339" width="22.28515625" style="65" customWidth="1"/>
    <col min="14340" max="14345" width="19.85546875" style="65" customWidth="1"/>
    <col min="14346" max="14346" width="12" style="65" customWidth="1"/>
    <col min="14347" max="14347" width="18.28515625" style="65" customWidth="1"/>
    <col min="14348" max="14348" width="7.42578125" style="65" customWidth="1"/>
    <col min="14349" max="14349" width="15.28515625" style="65" customWidth="1"/>
    <col min="14350" max="14589" width="9.140625" style="65"/>
    <col min="14590" max="14590" width="12" style="65" customWidth="1"/>
    <col min="14591" max="14591" width="16.42578125" style="65" bestFit="1" customWidth="1"/>
    <col min="14592" max="14592" width="127.85546875" style="65" customWidth="1"/>
    <col min="14593" max="14593" width="48.7109375" style="65" customWidth="1"/>
    <col min="14594" max="14594" width="14.140625" style="65" customWidth="1"/>
    <col min="14595" max="14595" width="22.28515625" style="65" customWidth="1"/>
    <col min="14596" max="14601" width="19.85546875" style="65" customWidth="1"/>
    <col min="14602" max="14602" width="12" style="65" customWidth="1"/>
    <col min="14603" max="14603" width="18.28515625" style="65" customWidth="1"/>
    <col min="14604" max="14604" width="7.42578125" style="65" customWidth="1"/>
    <col min="14605" max="14605" width="15.28515625" style="65" customWidth="1"/>
    <col min="14606" max="14845" width="9.140625" style="65"/>
    <col min="14846" max="14846" width="12" style="65" customWidth="1"/>
    <col min="14847" max="14847" width="16.42578125" style="65" bestFit="1" customWidth="1"/>
    <col min="14848" max="14848" width="127.85546875" style="65" customWidth="1"/>
    <col min="14849" max="14849" width="48.7109375" style="65" customWidth="1"/>
    <col min="14850" max="14850" width="14.140625" style="65" customWidth="1"/>
    <col min="14851" max="14851" width="22.28515625" style="65" customWidth="1"/>
    <col min="14852" max="14857" width="19.85546875" style="65" customWidth="1"/>
    <col min="14858" max="14858" width="12" style="65" customWidth="1"/>
    <col min="14859" max="14859" width="18.28515625" style="65" customWidth="1"/>
    <col min="14860" max="14860" width="7.42578125" style="65" customWidth="1"/>
    <col min="14861" max="14861" width="15.28515625" style="65" customWidth="1"/>
    <col min="14862" max="15101" width="9.140625" style="65"/>
    <col min="15102" max="15102" width="12" style="65" customWidth="1"/>
    <col min="15103" max="15103" width="16.42578125" style="65" bestFit="1" customWidth="1"/>
    <col min="15104" max="15104" width="127.85546875" style="65" customWidth="1"/>
    <col min="15105" max="15105" width="48.7109375" style="65" customWidth="1"/>
    <col min="15106" max="15106" width="14.140625" style="65" customWidth="1"/>
    <col min="15107" max="15107" width="22.28515625" style="65" customWidth="1"/>
    <col min="15108" max="15113" width="19.85546875" style="65" customWidth="1"/>
    <col min="15114" max="15114" width="12" style="65" customWidth="1"/>
    <col min="15115" max="15115" width="18.28515625" style="65" customWidth="1"/>
    <col min="15116" max="15116" width="7.42578125" style="65" customWidth="1"/>
    <col min="15117" max="15117" width="15.28515625" style="65" customWidth="1"/>
    <col min="15118" max="15357" width="9.140625" style="65"/>
    <col min="15358" max="15358" width="12" style="65" customWidth="1"/>
    <col min="15359" max="15359" width="16.42578125" style="65" bestFit="1" customWidth="1"/>
    <col min="15360" max="15360" width="127.85546875" style="65" customWidth="1"/>
    <col min="15361" max="15361" width="48.7109375" style="65" customWidth="1"/>
    <col min="15362" max="15362" width="14.140625" style="65" customWidth="1"/>
    <col min="15363" max="15363" width="22.28515625" style="65" customWidth="1"/>
    <col min="15364" max="15369" width="19.85546875" style="65" customWidth="1"/>
    <col min="15370" max="15370" width="12" style="65" customWidth="1"/>
    <col min="15371" max="15371" width="18.28515625" style="65" customWidth="1"/>
    <col min="15372" max="15372" width="7.42578125" style="65" customWidth="1"/>
    <col min="15373" max="15373" width="15.28515625" style="65" customWidth="1"/>
    <col min="15374" max="15613" width="9.140625" style="65"/>
    <col min="15614" max="15614" width="12" style="65" customWidth="1"/>
    <col min="15615" max="15615" width="16.42578125" style="65" bestFit="1" customWidth="1"/>
    <col min="15616" max="15616" width="127.85546875" style="65" customWidth="1"/>
    <col min="15617" max="15617" width="48.7109375" style="65" customWidth="1"/>
    <col min="15618" max="15618" width="14.140625" style="65" customWidth="1"/>
    <col min="15619" max="15619" width="22.28515625" style="65" customWidth="1"/>
    <col min="15620" max="15625" width="19.85546875" style="65" customWidth="1"/>
    <col min="15626" max="15626" width="12" style="65" customWidth="1"/>
    <col min="15627" max="15627" width="18.28515625" style="65" customWidth="1"/>
    <col min="15628" max="15628" width="7.42578125" style="65" customWidth="1"/>
    <col min="15629" max="15629" width="15.28515625" style="65" customWidth="1"/>
    <col min="15630" max="15869" width="9.140625" style="65"/>
    <col min="15870" max="15870" width="12" style="65" customWidth="1"/>
    <col min="15871" max="15871" width="16.42578125" style="65" bestFit="1" customWidth="1"/>
    <col min="15872" max="15872" width="127.85546875" style="65" customWidth="1"/>
    <col min="15873" max="15873" width="48.7109375" style="65" customWidth="1"/>
    <col min="15874" max="15874" width="14.140625" style="65" customWidth="1"/>
    <col min="15875" max="15875" width="22.28515625" style="65" customWidth="1"/>
    <col min="15876" max="15881" width="19.85546875" style="65" customWidth="1"/>
    <col min="15882" max="15882" width="12" style="65" customWidth="1"/>
    <col min="15883" max="15883" width="18.28515625" style="65" customWidth="1"/>
    <col min="15884" max="15884" width="7.42578125" style="65" customWidth="1"/>
    <col min="15885" max="15885" width="15.28515625" style="65" customWidth="1"/>
    <col min="15886" max="16125" width="9.140625" style="65"/>
    <col min="16126" max="16126" width="12" style="65" customWidth="1"/>
    <col min="16127" max="16127" width="16.42578125" style="65" bestFit="1" customWidth="1"/>
    <col min="16128" max="16128" width="127.85546875" style="65" customWidth="1"/>
    <col min="16129" max="16129" width="48.7109375" style="65" customWidth="1"/>
    <col min="16130" max="16130" width="14.140625" style="65" customWidth="1"/>
    <col min="16131" max="16131" width="22.28515625" style="65" customWidth="1"/>
    <col min="16132" max="16137" width="19.85546875" style="65" customWidth="1"/>
    <col min="16138" max="16138" width="12" style="65" customWidth="1"/>
    <col min="16139" max="16139" width="18.28515625" style="65" customWidth="1"/>
    <col min="16140" max="16140" width="7.42578125" style="65" customWidth="1"/>
    <col min="16141" max="16141" width="15.28515625" style="65" customWidth="1"/>
    <col min="16142" max="16384" width="9.140625" style="65"/>
  </cols>
  <sheetData>
    <row r="1" spans="2:11" ht="20.25" x14ac:dyDescent="0.3">
      <c r="B1" s="26" t="str">
        <f>Cover!C22</f>
        <v>ActewAGL</v>
      </c>
      <c r="C1" s="27"/>
      <c r="D1" s="27"/>
      <c r="E1" s="27"/>
      <c r="F1" s="27"/>
      <c r="G1" s="27"/>
      <c r="H1" s="27"/>
      <c r="I1" s="27"/>
    </row>
    <row r="2" spans="2:11" ht="20.25" x14ac:dyDescent="0.3">
      <c r="B2" s="437" t="s">
        <v>6</v>
      </c>
      <c r="C2" s="159"/>
    </row>
    <row r="3" spans="2:11" ht="20.25" x14ac:dyDescent="0.3">
      <c r="B3" s="26" t="str">
        <f>Cover!C26</f>
        <v>2012-13</v>
      </c>
    </row>
    <row r="4" spans="2:11" ht="12.75" customHeight="1" x14ac:dyDescent="0.3">
      <c r="B4" s="26"/>
    </row>
    <row r="5" spans="2:11" ht="64.5" customHeight="1" x14ac:dyDescent="0.2">
      <c r="B5" s="665" t="s">
        <v>248</v>
      </c>
      <c r="C5" s="666"/>
    </row>
    <row r="6" spans="2:11" ht="12.75" customHeight="1" x14ac:dyDescent="0.3">
      <c r="B6" s="26"/>
    </row>
    <row r="7" spans="2:11" ht="15.75" x14ac:dyDescent="0.25">
      <c r="B7" s="87" t="s">
        <v>124</v>
      </c>
    </row>
    <row r="8" spans="2:11" ht="15.75" x14ac:dyDescent="0.25">
      <c r="B8" s="87"/>
    </row>
    <row r="9" spans="2:11" ht="27.75" customHeight="1" x14ac:dyDescent="0.2">
      <c r="B9" s="659" t="s">
        <v>277</v>
      </c>
      <c r="C9" s="660"/>
      <c r="D9" s="661"/>
      <c r="E9" s="91"/>
      <c r="F9" s="91"/>
      <c r="G9" s="91"/>
      <c r="H9" s="91"/>
    </row>
    <row r="10" spans="2:11" ht="19.5" x14ac:dyDescent="0.25">
      <c r="B10" s="83"/>
      <c r="C10" s="91"/>
      <c r="D10" s="91"/>
      <c r="E10" s="91"/>
      <c r="F10" s="91"/>
      <c r="G10" s="91"/>
      <c r="H10" s="91"/>
    </row>
    <row r="11" spans="2:11" ht="51" x14ac:dyDescent="0.2">
      <c r="B11" s="73" t="s">
        <v>51</v>
      </c>
      <c r="C11" s="74" t="s">
        <v>52</v>
      </c>
      <c r="D11" s="75" t="s">
        <v>53</v>
      </c>
      <c r="E11" s="75" t="s">
        <v>54</v>
      </c>
      <c r="F11" s="76" t="s">
        <v>65</v>
      </c>
      <c r="G11" s="398" t="s">
        <v>73</v>
      </c>
      <c r="H11" s="145" t="s">
        <v>74</v>
      </c>
      <c r="I11" s="76" t="s">
        <v>66</v>
      </c>
      <c r="J11" s="77" t="s">
        <v>67</v>
      </c>
      <c r="K11" s="174" t="s">
        <v>137</v>
      </c>
    </row>
    <row r="12" spans="2:11" x14ac:dyDescent="0.2">
      <c r="B12" s="92"/>
      <c r="C12" s="93"/>
      <c r="D12" s="75"/>
      <c r="E12" s="75"/>
      <c r="F12" s="76"/>
      <c r="G12" s="76"/>
      <c r="H12" s="145" t="s">
        <v>106</v>
      </c>
      <c r="I12" s="76"/>
      <c r="J12" s="77"/>
      <c r="K12" s="174"/>
    </row>
    <row r="13" spans="2:11" x14ac:dyDescent="0.2">
      <c r="B13" s="92"/>
      <c r="C13" s="93"/>
      <c r="D13" s="29" t="s">
        <v>57</v>
      </c>
      <c r="E13" s="29" t="s">
        <v>57</v>
      </c>
      <c r="F13" s="29" t="s">
        <v>57</v>
      </c>
      <c r="G13" s="29" t="s">
        <v>57</v>
      </c>
      <c r="H13" s="29" t="s">
        <v>57</v>
      </c>
      <c r="I13" s="29" t="s">
        <v>57</v>
      </c>
      <c r="J13" s="29" t="s">
        <v>57</v>
      </c>
      <c r="K13" s="29" t="s">
        <v>57</v>
      </c>
    </row>
    <row r="14" spans="2:11" x14ac:dyDescent="0.2">
      <c r="B14" s="161"/>
      <c r="C14" s="162"/>
      <c r="D14" s="163"/>
      <c r="E14" s="163"/>
      <c r="F14" s="163"/>
      <c r="G14" s="163"/>
      <c r="H14" s="163"/>
      <c r="I14" s="185"/>
      <c r="J14" s="163"/>
      <c r="K14" s="175"/>
    </row>
    <row r="15" spans="2:11" x14ac:dyDescent="0.2">
      <c r="B15" s="161"/>
      <c r="C15" s="162"/>
      <c r="D15" s="163"/>
      <c r="E15" s="163"/>
      <c r="F15" s="163"/>
      <c r="G15" s="163"/>
      <c r="H15" s="163"/>
      <c r="I15" s="185"/>
      <c r="J15" s="163"/>
      <c r="K15" s="175"/>
    </row>
    <row r="16" spans="2:11" x14ac:dyDescent="0.2">
      <c r="B16" s="161"/>
      <c r="C16" s="162"/>
      <c r="D16" s="163"/>
      <c r="E16" s="163"/>
      <c r="F16" s="163"/>
      <c r="G16" s="163"/>
      <c r="H16" s="163"/>
      <c r="I16" s="185"/>
      <c r="J16" s="163"/>
      <c r="K16" s="175"/>
    </row>
    <row r="17" spans="2:11" x14ac:dyDescent="0.2">
      <c r="B17" s="161"/>
      <c r="C17" s="162"/>
      <c r="D17" s="163"/>
      <c r="E17" s="163"/>
      <c r="F17" s="163"/>
      <c r="G17" s="163"/>
      <c r="H17" s="163"/>
      <c r="I17" s="185"/>
      <c r="J17" s="163"/>
      <c r="K17" s="175"/>
    </row>
    <row r="18" spans="2:11" x14ac:dyDescent="0.2">
      <c r="B18" s="161"/>
      <c r="C18" s="162"/>
      <c r="D18" s="163"/>
      <c r="E18" s="163"/>
      <c r="F18" s="163"/>
      <c r="G18" s="163"/>
      <c r="H18" s="163"/>
      <c r="I18" s="185"/>
      <c r="J18" s="163"/>
      <c r="K18" s="175"/>
    </row>
    <row r="19" spans="2:11" x14ac:dyDescent="0.2">
      <c r="B19" s="161"/>
      <c r="C19" s="162"/>
      <c r="D19" s="163"/>
      <c r="E19" s="163"/>
      <c r="F19" s="163"/>
      <c r="G19" s="163"/>
      <c r="H19" s="163"/>
      <c r="I19" s="185"/>
      <c r="J19" s="163"/>
      <c r="K19" s="175"/>
    </row>
    <row r="20" spans="2:11" x14ac:dyDescent="0.2">
      <c r="G20" s="397"/>
      <c r="K20" s="176"/>
    </row>
    <row r="21" spans="2:11" ht="15.75" x14ac:dyDescent="0.25">
      <c r="B21" s="87" t="s">
        <v>125</v>
      </c>
      <c r="G21" s="397"/>
      <c r="K21" s="176"/>
    </row>
    <row r="22" spans="2:11" ht="15.75" x14ac:dyDescent="0.25">
      <c r="B22" s="87"/>
      <c r="G22" s="397"/>
      <c r="K22" s="176"/>
    </row>
    <row r="23" spans="2:11" ht="28.5" customHeight="1" x14ac:dyDescent="0.2">
      <c r="B23" s="662" t="s">
        <v>279</v>
      </c>
      <c r="C23" s="663"/>
      <c r="D23" s="664"/>
      <c r="E23" s="91"/>
      <c r="F23" s="91"/>
      <c r="G23" s="91"/>
      <c r="H23" s="91"/>
      <c r="K23" s="176"/>
    </row>
    <row r="24" spans="2:11" ht="19.5" x14ac:dyDescent="0.25">
      <c r="B24" s="83"/>
      <c r="C24" s="91"/>
      <c r="D24" s="91"/>
      <c r="E24" s="91"/>
      <c r="F24" s="91"/>
      <c r="G24" s="91"/>
      <c r="H24" s="91"/>
      <c r="K24" s="176"/>
    </row>
    <row r="25" spans="2:11" ht="51" x14ac:dyDescent="0.2">
      <c r="B25" s="73" t="s">
        <v>51</v>
      </c>
      <c r="C25" s="74" t="s">
        <v>52</v>
      </c>
      <c r="D25" s="75" t="s">
        <v>53</v>
      </c>
      <c r="E25" s="75" t="s">
        <v>54</v>
      </c>
      <c r="F25" s="76" t="s">
        <v>65</v>
      </c>
      <c r="G25" s="398" t="s">
        <v>73</v>
      </c>
      <c r="H25" s="145" t="s">
        <v>74</v>
      </c>
      <c r="I25" s="76" t="s">
        <v>66</v>
      </c>
      <c r="J25" s="77" t="s">
        <v>67</v>
      </c>
      <c r="K25" s="174" t="s">
        <v>137</v>
      </c>
    </row>
    <row r="26" spans="2:11" x14ac:dyDescent="0.2">
      <c r="B26" s="92"/>
      <c r="C26" s="93"/>
      <c r="D26" s="75"/>
      <c r="E26" s="75"/>
      <c r="F26" s="76"/>
      <c r="G26" s="76"/>
      <c r="H26" s="145" t="s">
        <v>106</v>
      </c>
      <c r="I26" s="76"/>
      <c r="J26" s="77"/>
      <c r="K26" s="174"/>
    </row>
    <row r="27" spans="2:11" x14ac:dyDescent="0.2">
      <c r="B27" s="92"/>
      <c r="C27" s="93"/>
      <c r="D27" s="29" t="s">
        <v>57</v>
      </c>
      <c r="E27" s="29" t="s">
        <v>57</v>
      </c>
      <c r="F27" s="29" t="s">
        <v>57</v>
      </c>
      <c r="G27" s="29" t="s">
        <v>57</v>
      </c>
      <c r="H27" s="29" t="s">
        <v>57</v>
      </c>
      <c r="I27" s="29" t="s">
        <v>57</v>
      </c>
      <c r="J27" s="29" t="s">
        <v>57</v>
      </c>
      <c r="K27" s="29" t="s">
        <v>57</v>
      </c>
    </row>
    <row r="28" spans="2:11" ht="134.25" customHeight="1" x14ac:dyDescent="0.2">
      <c r="B28" s="161"/>
      <c r="C28" s="162" t="s">
        <v>463</v>
      </c>
      <c r="D28" s="163">
        <v>1893454.2760398374</v>
      </c>
      <c r="E28" s="163"/>
      <c r="F28" s="163">
        <v>1893454.2760398374</v>
      </c>
      <c r="G28" s="454">
        <v>1893454.2760398374</v>
      </c>
      <c r="H28" s="163"/>
      <c r="I28" s="185"/>
      <c r="J28" s="163"/>
      <c r="K28" s="455" t="s">
        <v>464</v>
      </c>
    </row>
    <row r="29" spans="2:11" x14ac:dyDescent="0.2">
      <c r="B29" s="161"/>
      <c r="C29" s="162"/>
      <c r="D29" s="163"/>
      <c r="E29" s="163"/>
      <c r="F29" s="163"/>
      <c r="G29" s="163"/>
      <c r="H29" s="163"/>
      <c r="I29" s="185"/>
      <c r="J29" s="163"/>
      <c r="K29" s="175"/>
    </row>
    <row r="30" spans="2:11" x14ac:dyDescent="0.2">
      <c r="B30" s="161"/>
      <c r="C30" s="162"/>
      <c r="D30" s="163"/>
      <c r="E30" s="163"/>
      <c r="F30" s="163"/>
      <c r="G30" s="163"/>
      <c r="H30" s="163"/>
      <c r="I30" s="185"/>
      <c r="J30" s="163"/>
      <c r="K30" s="175"/>
    </row>
    <row r="31" spans="2:11" x14ac:dyDescent="0.2">
      <c r="B31" s="161"/>
      <c r="C31" s="162"/>
      <c r="D31" s="163"/>
      <c r="E31" s="163"/>
      <c r="F31" s="163"/>
      <c r="G31" s="163"/>
      <c r="H31" s="163"/>
      <c r="I31" s="185"/>
      <c r="J31" s="163"/>
      <c r="K31" s="175"/>
    </row>
    <row r="32" spans="2:11" x14ac:dyDescent="0.2">
      <c r="B32" s="161"/>
      <c r="C32" s="162"/>
      <c r="D32" s="163"/>
      <c r="E32" s="163"/>
      <c r="F32" s="163"/>
      <c r="G32" s="163"/>
      <c r="H32" s="163"/>
      <c r="I32" s="185"/>
      <c r="J32" s="163"/>
      <c r="K32" s="175"/>
    </row>
    <row r="33" spans="2:11" x14ac:dyDescent="0.2">
      <c r="B33" s="161"/>
      <c r="C33" s="162"/>
      <c r="D33" s="163"/>
      <c r="E33" s="163"/>
      <c r="F33" s="163"/>
      <c r="G33" s="163"/>
      <c r="H33" s="163"/>
      <c r="I33" s="185"/>
      <c r="J33" s="163"/>
      <c r="K33" s="175"/>
    </row>
  </sheetData>
  <mergeCells count="3">
    <mergeCell ref="B9:D9"/>
    <mergeCell ref="B23:D23"/>
    <mergeCell ref="B5:C5"/>
  </mergeCells>
  <pageMargins left="0.35433070866141736" right="0.35433070866141736" top="0.59055118110236227" bottom="0.59055118110236227" header="0.51181102362204722" footer="0.11811023622047245"/>
  <pageSetup paperSize="9" scale="70" fitToHeight="100" orientation="landscape" r:id="rId1"/>
  <headerFooter scaleWithDoc="0" alignWithMargins="0">
    <oddFooter>&amp;L&amp;8&amp;D&amp;C&amp;8&amp; Template: &amp;A
&amp;F&amp;R&amp;8&amp;P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68"/>
  <sheetViews>
    <sheetView zoomScaleNormal="100" zoomScaleSheetLayoutView="85" workbookViewId="0">
      <selection activeCell="C35" sqref="C35"/>
    </sheetView>
  </sheetViews>
  <sheetFormatPr defaultRowHeight="12.75" x14ac:dyDescent="0.2"/>
  <cols>
    <col min="1" max="1" width="12" style="187" customWidth="1"/>
    <col min="2" max="2" width="16.42578125" style="187" bestFit="1" customWidth="1"/>
    <col min="3" max="3" width="57.140625" style="187" customWidth="1"/>
    <col min="4" max="10" width="15.7109375" style="187" customWidth="1"/>
    <col min="11" max="256" width="9.140625" style="187"/>
    <col min="257" max="257" width="12" style="187" customWidth="1"/>
    <col min="258" max="258" width="16.42578125" style="187" bestFit="1" customWidth="1"/>
    <col min="259" max="259" width="57.140625" style="187" customWidth="1"/>
    <col min="260" max="266" width="20.7109375" style="187" customWidth="1"/>
    <col min="267" max="512" width="9.140625" style="187"/>
    <col min="513" max="513" width="12" style="187" customWidth="1"/>
    <col min="514" max="514" width="16.42578125" style="187" bestFit="1" customWidth="1"/>
    <col min="515" max="515" width="57.140625" style="187" customWidth="1"/>
    <col min="516" max="522" width="20.7109375" style="187" customWidth="1"/>
    <col min="523" max="768" width="9.140625" style="187"/>
    <col min="769" max="769" width="12" style="187" customWidth="1"/>
    <col min="770" max="770" width="16.42578125" style="187" bestFit="1" customWidth="1"/>
    <col min="771" max="771" width="57.140625" style="187" customWidth="1"/>
    <col min="772" max="778" width="20.7109375" style="187" customWidth="1"/>
    <col min="779" max="1024" width="9.140625" style="187"/>
    <col min="1025" max="1025" width="12" style="187" customWidth="1"/>
    <col min="1026" max="1026" width="16.42578125" style="187" bestFit="1" customWidth="1"/>
    <col min="1027" max="1027" width="57.140625" style="187" customWidth="1"/>
    <col min="1028" max="1034" width="20.7109375" style="187" customWidth="1"/>
    <col min="1035" max="1280" width="9.140625" style="187"/>
    <col min="1281" max="1281" width="12" style="187" customWidth="1"/>
    <col min="1282" max="1282" width="16.42578125" style="187" bestFit="1" customWidth="1"/>
    <col min="1283" max="1283" width="57.140625" style="187" customWidth="1"/>
    <col min="1284" max="1290" width="20.7109375" style="187" customWidth="1"/>
    <col min="1291" max="1536" width="9.140625" style="187"/>
    <col min="1537" max="1537" width="12" style="187" customWidth="1"/>
    <col min="1538" max="1538" width="16.42578125" style="187" bestFit="1" customWidth="1"/>
    <col min="1539" max="1539" width="57.140625" style="187" customWidth="1"/>
    <col min="1540" max="1546" width="20.7109375" style="187" customWidth="1"/>
    <col min="1547" max="1792" width="9.140625" style="187"/>
    <col min="1793" max="1793" width="12" style="187" customWidth="1"/>
    <col min="1794" max="1794" width="16.42578125" style="187" bestFit="1" customWidth="1"/>
    <col min="1795" max="1795" width="57.140625" style="187" customWidth="1"/>
    <col min="1796" max="1802" width="20.7109375" style="187" customWidth="1"/>
    <col min="1803" max="2048" width="9.140625" style="187"/>
    <col min="2049" max="2049" width="12" style="187" customWidth="1"/>
    <col min="2050" max="2050" width="16.42578125" style="187" bestFit="1" customWidth="1"/>
    <col min="2051" max="2051" width="57.140625" style="187" customWidth="1"/>
    <col min="2052" max="2058" width="20.7109375" style="187" customWidth="1"/>
    <col min="2059" max="2304" width="9.140625" style="187"/>
    <col min="2305" max="2305" width="12" style="187" customWidth="1"/>
    <col min="2306" max="2306" width="16.42578125" style="187" bestFit="1" customWidth="1"/>
    <col min="2307" max="2307" width="57.140625" style="187" customWidth="1"/>
    <col min="2308" max="2314" width="20.7109375" style="187" customWidth="1"/>
    <col min="2315" max="2560" width="9.140625" style="187"/>
    <col min="2561" max="2561" width="12" style="187" customWidth="1"/>
    <col min="2562" max="2562" width="16.42578125" style="187" bestFit="1" customWidth="1"/>
    <col min="2563" max="2563" width="57.140625" style="187" customWidth="1"/>
    <col min="2564" max="2570" width="20.7109375" style="187" customWidth="1"/>
    <col min="2571" max="2816" width="9.140625" style="187"/>
    <col min="2817" max="2817" width="12" style="187" customWidth="1"/>
    <col min="2818" max="2818" width="16.42578125" style="187" bestFit="1" customWidth="1"/>
    <col min="2819" max="2819" width="57.140625" style="187" customWidth="1"/>
    <col min="2820" max="2826" width="20.7109375" style="187" customWidth="1"/>
    <col min="2827" max="3072" width="9.140625" style="187"/>
    <col min="3073" max="3073" width="12" style="187" customWidth="1"/>
    <col min="3074" max="3074" width="16.42578125" style="187" bestFit="1" customWidth="1"/>
    <col min="3075" max="3075" width="57.140625" style="187" customWidth="1"/>
    <col min="3076" max="3082" width="20.7109375" style="187" customWidth="1"/>
    <col min="3083" max="3328" width="9.140625" style="187"/>
    <col min="3329" max="3329" width="12" style="187" customWidth="1"/>
    <col min="3330" max="3330" width="16.42578125" style="187" bestFit="1" customWidth="1"/>
    <col min="3331" max="3331" width="57.140625" style="187" customWidth="1"/>
    <col min="3332" max="3338" width="20.7109375" style="187" customWidth="1"/>
    <col min="3339" max="3584" width="9.140625" style="187"/>
    <col min="3585" max="3585" width="12" style="187" customWidth="1"/>
    <col min="3586" max="3586" width="16.42578125" style="187" bestFit="1" customWidth="1"/>
    <col min="3587" max="3587" width="57.140625" style="187" customWidth="1"/>
    <col min="3588" max="3594" width="20.7109375" style="187" customWidth="1"/>
    <col min="3595" max="3840" width="9.140625" style="187"/>
    <col min="3841" max="3841" width="12" style="187" customWidth="1"/>
    <col min="3842" max="3842" width="16.42578125" style="187" bestFit="1" customWidth="1"/>
    <col min="3843" max="3843" width="57.140625" style="187" customWidth="1"/>
    <col min="3844" max="3850" width="20.7109375" style="187" customWidth="1"/>
    <col min="3851" max="4096" width="9.140625" style="187"/>
    <col min="4097" max="4097" width="12" style="187" customWidth="1"/>
    <col min="4098" max="4098" width="16.42578125" style="187" bestFit="1" customWidth="1"/>
    <col min="4099" max="4099" width="57.140625" style="187" customWidth="1"/>
    <col min="4100" max="4106" width="20.7109375" style="187" customWidth="1"/>
    <col min="4107" max="4352" width="9.140625" style="187"/>
    <col min="4353" max="4353" width="12" style="187" customWidth="1"/>
    <col min="4354" max="4354" width="16.42578125" style="187" bestFit="1" customWidth="1"/>
    <col min="4355" max="4355" width="57.140625" style="187" customWidth="1"/>
    <col min="4356" max="4362" width="20.7109375" style="187" customWidth="1"/>
    <col min="4363" max="4608" width="9.140625" style="187"/>
    <col min="4609" max="4609" width="12" style="187" customWidth="1"/>
    <col min="4610" max="4610" width="16.42578125" style="187" bestFit="1" customWidth="1"/>
    <col min="4611" max="4611" width="57.140625" style="187" customWidth="1"/>
    <col min="4612" max="4618" width="20.7109375" style="187" customWidth="1"/>
    <col min="4619" max="4864" width="9.140625" style="187"/>
    <col min="4865" max="4865" width="12" style="187" customWidth="1"/>
    <col min="4866" max="4866" width="16.42578125" style="187" bestFit="1" customWidth="1"/>
    <col min="4867" max="4867" width="57.140625" style="187" customWidth="1"/>
    <col min="4868" max="4874" width="20.7109375" style="187" customWidth="1"/>
    <col min="4875" max="5120" width="9.140625" style="187"/>
    <col min="5121" max="5121" width="12" style="187" customWidth="1"/>
    <col min="5122" max="5122" width="16.42578125" style="187" bestFit="1" customWidth="1"/>
    <col min="5123" max="5123" width="57.140625" style="187" customWidth="1"/>
    <col min="5124" max="5130" width="20.7109375" style="187" customWidth="1"/>
    <col min="5131" max="5376" width="9.140625" style="187"/>
    <col min="5377" max="5377" width="12" style="187" customWidth="1"/>
    <col min="5378" max="5378" width="16.42578125" style="187" bestFit="1" customWidth="1"/>
    <col min="5379" max="5379" width="57.140625" style="187" customWidth="1"/>
    <col min="5380" max="5386" width="20.7109375" style="187" customWidth="1"/>
    <col min="5387" max="5632" width="9.140625" style="187"/>
    <col min="5633" max="5633" width="12" style="187" customWidth="1"/>
    <col min="5634" max="5634" width="16.42578125" style="187" bestFit="1" customWidth="1"/>
    <col min="5635" max="5635" width="57.140625" style="187" customWidth="1"/>
    <col min="5636" max="5642" width="20.7109375" style="187" customWidth="1"/>
    <col min="5643" max="5888" width="9.140625" style="187"/>
    <col min="5889" max="5889" width="12" style="187" customWidth="1"/>
    <col min="5890" max="5890" width="16.42578125" style="187" bestFit="1" customWidth="1"/>
    <col min="5891" max="5891" width="57.140625" style="187" customWidth="1"/>
    <col min="5892" max="5898" width="20.7109375" style="187" customWidth="1"/>
    <col min="5899" max="6144" width="9.140625" style="187"/>
    <col min="6145" max="6145" width="12" style="187" customWidth="1"/>
    <col min="6146" max="6146" width="16.42578125" style="187" bestFit="1" customWidth="1"/>
    <col min="6147" max="6147" width="57.140625" style="187" customWidth="1"/>
    <col min="6148" max="6154" width="20.7109375" style="187" customWidth="1"/>
    <col min="6155" max="6400" width="9.140625" style="187"/>
    <col min="6401" max="6401" width="12" style="187" customWidth="1"/>
    <col min="6402" max="6402" width="16.42578125" style="187" bestFit="1" customWidth="1"/>
    <col min="6403" max="6403" width="57.140625" style="187" customWidth="1"/>
    <col min="6404" max="6410" width="20.7109375" style="187" customWidth="1"/>
    <col min="6411" max="6656" width="9.140625" style="187"/>
    <col min="6657" max="6657" width="12" style="187" customWidth="1"/>
    <col min="6658" max="6658" width="16.42578125" style="187" bestFit="1" customWidth="1"/>
    <col min="6659" max="6659" width="57.140625" style="187" customWidth="1"/>
    <col min="6660" max="6666" width="20.7109375" style="187" customWidth="1"/>
    <col min="6667" max="6912" width="9.140625" style="187"/>
    <col min="6913" max="6913" width="12" style="187" customWidth="1"/>
    <col min="6914" max="6914" width="16.42578125" style="187" bestFit="1" customWidth="1"/>
    <col min="6915" max="6915" width="57.140625" style="187" customWidth="1"/>
    <col min="6916" max="6922" width="20.7109375" style="187" customWidth="1"/>
    <col min="6923" max="7168" width="9.140625" style="187"/>
    <col min="7169" max="7169" width="12" style="187" customWidth="1"/>
    <col min="7170" max="7170" width="16.42578125" style="187" bestFit="1" customWidth="1"/>
    <col min="7171" max="7171" width="57.140625" style="187" customWidth="1"/>
    <col min="7172" max="7178" width="20.7109375" style="187" customWidth="1"/>
    <col min="7179" max="7424" width="9.140625" style="187"/>
    <col min="7425" max="7425" width="12" style="187" customWidth="1"/>
    <col min="7426" max="7426" width="16.42578125" style="187" bestFit="1" customWidth="1"/>
    <col min="7427" max="7427" width="57.140625" style="187" customWidth="1"/>
    <col min="7428" max="7434" width="20.7109375" style="187" customWidth="1"/>
    <col min="7435" max="7680" width="9.140625" style="187"/>
    <col min="7681" max="7681" width="12" style="187" customWidth="1"/>
    <col min="7682" max="7682" width="16.42578125" style="187" bestFit="1" customWidth="1"/>
    <col min="7683" max="7683" width="57.140625" style="187" customWidth="1"/>
    <col min="7684" max="7690" width="20.7109375" style="187" customWidth="1"/>
    <col min="7691" max="7936" width="9.140625" style="187"/>
    <col min="7937" max="7937" width="12" style="187" customWidth="1"/>
    <col min="7938" max="7938" width="16.42578125" style="187" bestFit="1" customWidth="1"/>
    <col min="7939" max="7939" width="57.140625" style="187" customWidth="1"/>
    <col min="7940" max="7946" width="20.7109375" style="187" customWidth="1"/>
    <col min="7947" max="8192" width="9.140625" style="187"/>
    <col min="8193" max="8193" width="12" style="187" customWidth="1"/>
    <col min="8194" max="8194" width="16.42578125" style="187" bestFit="1" customWidth="1"/>
    <col min="8195" max="8195" width="57.140625" style="187" customWidth="1"/>
    <col min="8196" max="8202" width="20.7109375" style="187" customWidth="1"/>
    <col min="8203" max="8448" width="9.140625" style="187"/>
    <col min="8449" max="8449" width="12" style="187" customWidth="1"/>
    <col min="8450" max="8450" width="16.42578125" style="187" bestFit="1" customWidth="1"/>
    <col min="8451" max="8451" width="57.140625" style="187" customWidth="1"/>
    <col min="8452" max="8458" width="20.7109375" style="187" customWidth="1"/>
    <col min="8459" max="8704" width="9.140625" style="187"/>
    <col min="8705" max="8705" width="12" style="187" customWidth="1"/>
    <col min="8706" max="8706" width="16.42578125" style="187" bestFit="1" customWidth="1"/>
    <col min="8707" max="8707" width="57.140625" style="187" customWidth="1"/>
    <col min="8708" max="8714" width="20.7109375" style="187" customWidth="1"/>
    <col min="8715" max="8960" width="9.140625" style="187"/>
    <col min="8961" max="8961" width="12" style="187" customWidth="1"/>
    <col min="8962" max="8962" width="16.42578125" style="187" bestFit="1" customWidth="1"/>
    <col min="8963" max="8963" width="57.140625" style="187" customWidth="1"/>
    <col min="8964" max="8970" width="20.7109375" style="187" customWidth="1"/>
    <col min="8971" max="9216" width="9.140625" style="187"/>
    <col min="9217" max="9217" width="12" style="187" customWidth="1"/>
    <col min="9218" max="9218" width="16.42578125" style="187" bestFit="1" customWidth="1"/>
    <col min="9219" max="9219" width="57.140625" style="187" customWidth="1"/>
    <col min="9220" max="9226" width="20.7109375" style="187" customWidth="1"/>
    <col min="9227" max="9472" width="9.140625" style="187"/>
    <col min="9473" max="9473" width="12" style="187" customWidth="1"/>
    <col min="9474" max="9474" width="16.42578125" style="187" bestFit="1" customWidth="1"/>
    <col min="9475" max="9475" width="57.140625" style="187" customWidth="1"/>
    <col min="9476" max="9482" width="20.7109375" style="187" customWidth="1"/>
    <col min="9483" max="9728" width="9.140625" style="187"/>
    <col min="9729" max="9729" width="12" style="187" customWidth="1"/>
    <col min="9730" max="9730" width="16.42578125" style="187" bestFit="1" customWidth="1"/>
    <col min="9731" max="9731" width="57.140625" style="187" customWidth="1"/>
    <col min="9732" max="9738" width="20.7109375" style="187" customWidth="1"/>
    <col min="9739" max="9984" width="9.140625" style="187"/>
    <col min="9985" max="9985" width="12" style="187" customWidth="1"/>
    <col min="9986" max="9986" width="16.42578125" style="187" bestFit="1" customWidth="1"/>
    <col min="9987" max="9987" width="57.140625" style="187" customWidth="1"/>
    <col min="9988" max="9994" width="20.7109375" style="187" customWidth="1"/>
    <col min="9995" max="10240" width="9.140625" style="187"/>
    <col min="10241" max="10241" width="12" style="187" customWidth="1"/>
    <col min="10242" max="10242" width="16.42578125" style="187" bestFit="1" customWidth="1"/>
    <col min="10243" max="10243" width="57.140625" style="187" customWidth="1"/>
    <col min="10244" max="10250" width="20.7109375" style="187" customWidth="1"/>
    <col min="10251" max="10496" width="9.140625" style="187"/>
    <col min="10497" max="10497" width="12" style="187" customWidth="1"/>
    <col min="10498" max="10498" width="16.42578125" style="187" bestFit="1" customWidth="1"/>
    <col min="10499" max="10499" width="57.140625" style="187" customWidth="1"/>
    <col min="10500" max="10506" width="20.7109375" style="187" customWidth="1"/>
    <col min="10507" max="10752" width="9.140625" style="187"/>
    <col min="10753" max="10753" width="12" style="187" customWidth="1"/>
    <col min="10754" max="10754" width="16.42578125" style="187" bestFit="1" customWidth="1"/>
    <col min="10755" max="10755" width="57.140625" style="187" customWidth="1"/>
    <col min="10756" max="10762" width="20.7109375" style="187" customWidth="1"/>
    <col min="10763" max="11008" width="9.140625" style="187"/>
    <col min="11009" max="11009" width="12" style="187" customWidth="1"/>
    <col min="11010" max="11010" width="16.42578125" style="187" bestFit="1" customWidth="1"/>
    <col min="11011" max="11011" width="57.140625" style="187" customWidth="1"/>
    <col min="11012" max="11018" width="20.7109375" style="187" customWidth="1"/>
    <col min="11019" max="11264" width="9.140625" style="187"/>
    <col min="11265" max="11265" width="12" style="187" customWidth="1"/>
    <col min="11266" max="11266" width="16.42578125" style="187" bestFit="1" customWidth="1"/>
    <col min="11267" max="11267" width="57.140625" style="187" customWidth="1"/>
    <col min="11268" max="11274" width="20.7109375" style="187" customWidth="1"/>
    <col min="11275" max="11520" width="9.140625" style="187"/>
    <col min="11521" max="11521" width="12" style="187" customWidth="1"/>
    <col min="11522" max="11522" width="16.42578125" style="187" bestFit="1" customWidth="1"/>
    <col min="11523" max="11523" width="57.140625" style="187" customWidth="1"/>
    <col min="11524" max="11530" width="20.7109375" style="187" customWidth="1"/>
    <col min="11531" max="11776" width="9.140625" style="187"/>
    <col min="11777" max="11777" width="12" style="187" customWidth="1"/>
    <col min="11778" max="11778" width="16.42578125" style="187" bestFit="1" customWidth="1"/>
    <col min="11779" max="11779" width="57.140625" style="187" customWidth="1"/>
    <col min="11780" max="11786" width="20.7109375" style="187" customWidth="1"/>
    <col min="11787" max="12032" width="9.140625" style="187"/>
    <col min="12033" max="12033" width="12" style="187" customWidth="1"/>
    <col min="12034" max="12034" width="16.42578125" style="187" bestFit="1" customWidth="1"/>
    <col min="12035" max="12035" width="57.140625" style="187" customWidth="1"/>
    <col min="12036" max="12042" width="20.7109375" style="187" customWidth="1"/>
    <col min="12043" max="12288" width="9.140625" style="187"/>
    <col min="12289" max="12289" width="12" style="187" customWidth="1"/>
    <col min="12290" max="12290" width="16.42578125" style="187" bestFit="1" customWidth="1"/>
    <col min="12291" max="12291" width="57.140625" style="187" customWidth="1"/>
    <col min="12292" max="12298" width="20.7109375" style="187" customWidth="1"/>
    <col min="12299" max="12544" width="9.140625" style="187"/>
    <col min="12545" max="12545" width="12" style="187" customWidth="1"/>
    <col min="12546" max="12546" width="16.42578125" style="187" bestFit="1" customWidth="1"/>
    <col min="12547" max="12547" width="57.140625" style="187" customWidth="1"/>
    <col min="12548" max="12554" width="20.7109375" style="187" customWidth="1"/>
    <col min="12555" max="12800" width="9.140625" style="187"/>
    <col min="12801" max="12801" width="12" style="187" customWidth="1"/>
    <col min="12802" max="12802" width="16.42578125" style="187" bestFit="1" customWidth="1"/>
    <col min="12803" max="12803" width="57.140625" style="187" customWidth="1"/>
    <col min="12804" max="12810" width="20.7109375" style="187" customWidth="1"/>
    <col min="12811" max="13056" width="9.140625" style="187"/>
    <col min="13057" max="13057" width="12" style="187" customWidth="1"/>
    <col min="13058" max="13058" width="16.42578125" style="187" bestFit="1" customWidth="1"/>
    <col min="13059" max="13059" width="57.140625" style="187" customWidth="1"/>
    <col min="13060" max="13066" width="20.7109375" style="187" customWidth="1"/>
    <col min="13067" max="13312" width="9.140625" style="187"/>
    <col min="13313" max="13313" width="12" style="187" customWidth="1"/>
    <col min="13314" max="13314" width="16.42578125" style="187" bestFit="1" customWidth="1"/>
    <col min="13315" max="13315" width="57.140625" style="187" customWidth="1"/>
    <col min="13316" max="13322" width="20.7109375" style="187" customWidth="1"/>
    <col min="13323" max="13568" width="9.140625" style="187"/>
    <col min="13569" max="13569" width="12" style="187" customWidth="1"/>
    <col min="13570" max="13570" width="16.42578125" style="187" bestFit="1" customWidth="1"/>
    <col min="13571" max="13571" width="57.140625" style="187" customWidth="1"/>
    <col min="13572" max="13578" width="20.7109375" style="187" customWidth="1"/>
    <col min="13579" max="13824" width="9.140625" style="187"/>
    <col min="13825" max="13825" width="12" style="187" customWidth="1"/>
    <col min="13826" max="13826" width="16.42578125" style="187" bestFit="1" customWidth="1"/>
    <col min="13827" max="13827" width="57.140625" style="187" customWidth="1"/>
    <col min="13828" max="13834" width="20.7109375" style="187" customWidth="1"/>
    <col min="13835" max="14080" width="9.140625" style="187"/>
    <col min="14081" max="14081" width="12" style="187" customWidth="1"/>
    <col min="14082" max="14082" width="16.42578125" style="187" bestFit="1" customWidth="1"/>
    <col min="14083" max="14083" width="57.140625" style="187" customWidth="1"/>
    <col min="14084" max="14090" width="20.7109375" style="187" customWidth="1"/>
    <col min="14091" max="14336" width="9.140625" style="187"/>
    <col min="14337" max="14337" width="12" style="187" customWidth="1"/>
    <col min="14338" max="14338" width="16.42578125" style="187" bestFit="1" customWidth="1"/>
    <col min="14339" max="14339" width="57.140625" style="187" customWidth="1"/>
    <col min="14340" max="14346" width="20.7109375" style="187" customWidth="1"/>
    <col min="14347" max="14592" width="9.140625" style="187"/>
    <col min="14593" max="14593" width="12" style="187" customWidth="1"/>
    <col min="14594" max="14594" width="16.42578125" style="187" bestFit="1" customWidth="1"/>
    <col min="14595" max="14595" width="57.140625" style="187" customWidth="1"/>
    <col min="14596" max="14602" width="20.7109375" style="187" customWidth="1"/>
    <col min="14603" max="14848" width="9.140625" style="187"/>
    <col min="14849" max="14849" width="12" style="187" customWidth="1"/>
    <col min="14850" max="14850" width="16.42578125" style="187" bestFit="1" customWidth="1"/>
    <col min="14851" max="14851" width="57.140625" style="187" customWidth="1"/>
    <col min="14852" max="14858" width="20.7109375" style="187" customWidth="1"/>
    <col min="14859" max="15104" width="9.140625" style="187"/>
    <col min="15105" max="15105" width="12" style="187" customWidth="1"/>
    <col min="15106" max="15106" width="16.42578125" style="187" bestFit="1" customWidth="1"/>
    <col min="15107" max="15107" width="57.140625" style="187" customWidth="1"/>
    <col min="15108" max="15114" width="20.7109375" style="187" customWidth="1"/>
    <col min="15115" max="15360" width="9.140625" style="187"/>
    <col min="15361" max="15361" width="12" style="187" customWidth="1"/>
    <col min="15362" max="15362" width="16.42578125" style="187" bestFit="1" customWidth="1"/>
    <col min="15363" max="15363" width="57.140625" style="187" customWidth="1"/>
    <col min="15364" max="15370" width="20.7109375" style="187" customWidth="1"/>
    <col min="15371" max="15616" width="9.140625" style="187"/>
    <col min="15617" max="15617" width="12" style="187" customWidth="1"/>
    <col min="15618" max="15618" width="16.42578125" style="187" bestFit="1" customWidth="1"/>
    <col min="15619" max="15619" width="57.140625" style="187" customWidth="1"/>
    <col min="15620" max="15626" width="20.7109375" style="187" customWidth="1"/>
    <col min="15627" max="15872" width="9.140625" style="187"/>
    <col min="15873" max="15873" width="12" style="187" customWidth="1"/>
    <col min="15874" max="15874" width="16.42578125" style="187" bestFit="1" customWidth="1"/>
    <col min="15875" max="15875" width="57.140625" style="187" customWidth="1"/>
    <col min="15876" max="15882" width="20.7109375" style="187" customWidth="1"/>
    <col min="15883" max="16128" width="9.140625" style="187"/>
    <col min="16129" max="16129" width="12" style="187" customWidth="1"/>
    <col min="16130" max="16130" width="16.42578125" style="187" bestFit="1" customWidth="1"/>
    <col min="16131" max="16131" width="57.140625" style="187" customWidth="1"/>
    <col min="16132" max="16138" width="20.7109375" style="187" customWidth="1"/>
    <col min="16139" max="16384" width="9.140625" style="187"/>
  </cols>
  <sheetData>
    <row r="1" spans="2:10" ht="20.25" x14ac:dyDescent="0.3">
      <c r="B1" s="26" t="str">
        <f>[4]Cover!C22</f>
        <v>ActewAGL</v>
      </c>
      <c r="C1" s="27"/>
      <c r="D1" s="27"/>
      <c r="E1" s="27"/>
      <c r="F1" s="27"/>
      <c r="G1" s="27"/>
      <c r="H1" s="27"/>
    </row>
    <row r="2" spans="2:10" ht="20.25" x14ac:dyDescent="0.3">
      <c r="B2" s="554" t="s">
        <v>200</v>
      </c>
      <c r="C2" s="554"/>
    </row>
    <row r="3" spans="2:10" ht="20.25" x14ac:dyDescent="0.3">
      <c r="B3" s="26" t="str">
        <f>Cover!C26</f>
        <v>2012-13</v>
      </c>
    </row>
    <row r="4" spans="2:10" ht="20.25" x14ac:dyDescent="0.3">
      <c r="B4" s="26"/>
    </row>
    <row r="5" spans="2:10" ht="26.25" customHeight="1" x14ac:dyDescent="0.2">
      <c r="B5" s="662" t="s">
        <v>247</v>
      </c>
      <c r="C5" s="669"/>
      <c r="D5" s="669"/>
      <c r="E5" s="670"/>
    </row>
    <row r="6" spans="2:10" ht="20.25" x14ac:dyDescent="0.2">
      <c r="B6" s="381"/>
      <c r="C6" s="382"/>
      <c r="D6" s="382"/>
      <c r="E6" s="382"/>
    </row>
    <row r="7" spans="2:10" ht="98.25" customHeight="1" x14ac:dyDescent="0.2">
      <c r="B7" s="659" t="s">
        <v>366</v>
      </c>
      <c r="C7" s="643"/>
      <c r="D7" s="643"/>
      <c r="E7" s="644"/>
    </row>
    <row r="8" spans="2:10" ht="18" customHeight="1" x14ac:dyDescent="0.2">
      <c r="B8" s="187" t="s">
        <v>535</v>
      </c>
    </row>
    <row r="9" spans="2:10" ht="18" customHeight="1" x14ac:dyDescent="0.25">
      <c r="B9" s="87" t="s">
        <v>236</v>
      </c>
    </row>
    <row r="10" spans="2:10" x14ac:dyDescent="0.2">
      <c r="B10" s="188"/>
      <c r="C10" s="189"/>
      <c r="D10" s="190"/>
      <c r="E10" s="190"/>
      <c r="F10" s="191"/>
      <c r="G10" s="191"/>
      <c r="H10" s="192"/>
    </row>
    <row r="11" spans="2:10" ht="40.15" customHeight="1" x14ac:dyDescent="0.2">
      <c r="B11" s="193" t="s">
        <v>59</v>
      </c>
      <c r="C11" s="411" t="s">
        <v>414</v>
      </c>
      <c r="D11" s="195" t="s">
        <v>217</v>
      </c>
      <c r="E11" s="195" t="s">
        <v>54</v>
      </c>
      <c r="F11" s="199" t="s">
        <v>65</v>
      </c>
      <c r="G11" s="197" t="s">
        <v>73</v>
      </c>
      <c r="H11" s="198" t="s">
        <v>74</v>
      </c>
      <c r="I11" s="199" t="s">
        <v>66</v>
      </c>
      <c r="J11" s="200" t="s">
        <v>67</v>
      </c>
    </row>
    <row r="12" spans="2:10" ht="15" customHeight="1" x14ac:dyDescent="0.2">
      <c r="B12" s="193"/>
      <c r="C12" s="195"/>
      <c r="D12" s="244"/>
      <c r="E12" s="244"/>
      <c r="F12" s="245"/>
      <c r="G12" s="245"/>
      <c r="H12" s="78" t="s">
        <v>106</v>
      </c>
      <c r="I12" s="245"/>
      <c r="J12" s="251"/>
    </row>
    <row r="13" spans="2:10" x14ac:dyDescent="0.2">
      <c r="B13" s="201"/>
      <c r="C13" s="211"/>
      <c r="D13" s="29" t="s">
        <v>57</v>
      </c>
      <c r="E13" s="29" t="s">
        <v>57</v>
      </c>
      <c r="F13" s="29" t="s">
        <v>57</v>
      </c>
      <c r="G13" s="29" t="s">
        <v>57</v>
      </c>
      <c r="H13" s="29" t="s">
        <v>57</v>
      </c>
      <c r="I13" s="29" t="s">
        <v>57</v>
      </c>
      <c r="J13" s="29" t="s">
        <v>57</v>
      </c>
    </row>
    <row r="14" spans="2:10" ht="12.75" customHeight="1" x14ac:dyDescent="0.2">
      <c r="B14" s="204"/>
      <c r="C14" s="252" t="s">
        <v>226</v>
      </c>
      <c r="D14" s="253">
        <v>34669934.399999999</v>
      </c>
      <c r="E14" s="253">
        <v>-19278436.380000003</v>
      </c>
      <c r="F14" s="253">
        <v>15391498.02</v>
      </c>
      <c r="G14" s="253"/>
      <c r="H14" s="254"/>
      <c r="I14" s="335"/>
      <c r="J14" s="253"/>
    </row>
    <row r="15" spans="2:10" ht="12.75" customHeight="1" x14ac:dyDescent="0.2">
      <c r="B15" s="204"/>
      <c r="C15" s="255" t="s">
        <v>238</v>
      </c>
      <c r="D15" s="253">
        <v>-6442966.1899999995</v>
      </c>
      <c r="E15" s="253">
        <v>2291937.27</v>
      </c>
      <c r="F15" s="253">
        <v>-4151028.9200000004</v>
      </c>
      <c r="G15" s="253"/>
      <c r="H15" s="254"/>
      <c r="I15" s="335"/>
      <c r="J15" s="253"/>
    </row>
    <row r="16" spans="2:10" ht="12.75" customHeight="1" x14ac:dyDescent="0.2">
      <c r="B16" s="204"/>
      <c r="C16" s="252" t="s">
        <v>239</v>
      </c>
      <c r="D16" s="253">
        <v>0</v>
      </c>
      <c r="E16" s="253">
        <v>0</v>
      </c>
      <c r="F16" s="253">
        <v>0</v>
      </c>
      <c r="G16" s="253"/>
      <c r="H16" s="254"/>
      <c r="I16" s="335"/>
      <c r="J16" s="253"/>
    </row>
    <row r="17" spans="2:10" ht="12.75" customHeight="1" x14ac:dyDescent="0.2">
      <c r="B17" s="204"/>
      <c r="C17" s="252" t="s">
        <v>240</v>
      </c>
      <c r="D17" s="253">
        <v>-6423184.0200000005</v>
      </c>
      <c r="E17" s="253">
        <v>11358328.630000001</v>
      </c>
      <c r="F17" s="253">
        <v>4935144.6100000003</v>
      </c>
      <c r="G17" s="253"/>
      <c r="H17" s="254"/>
      <c r="I17" s="335"/>
      <c r="J17" s="253"/>
    </row>
    <row r="18" spans="2:10" ht="12.75" customHeight="1" x14ac:dyDescent="0.2">
      <c r="B18" s="204"/>
      <c r="C18" s="252" t="s">
        <v>241</v>
      </c>
      <c r="D18" s="253">
        <v>0</v>
      </c>
      <c r="E18" s="253">
        <v>0</v>
      </c>
      <c r="F18" s="253">
        <v>0</v>
      </c>
      <c r="G18" s="253"/>
      <c r="H18" s="254"/>
      <c r="I18" s="335"/>
      <c r="J18" s="253"/>
    </row>
    <row r="19" spans="2:10" ht="12.75" customHeight="1" x14ac:dyDescent="0.2">
      <c r="B19" s="204"/>
      <c r="C19" s="252" t="s">
        <v>242</v>
      </c>
      <c r="D19" s="253">
        <v>0</v>
      </c>
      <c r="E19" s="253">
        <v>0</v>
      </c>
      <c r="F19" s="253">
        <v>0</v>
      </c>
      <c r="G19" s="253"/>
      <c r="H19" s="254"/>
      <c r="I19" s="335"/>
      <c r="J19" s="253"/>
    </row>
    <row r="20" spans="2:10" ht="12.75" customHeight="1" x14ac:dyDescent="0.2">
      <c r="B20" s="204"/>
      <c r="C20" s="252"/>
      <c r="D20" s="253"/>
      <c r="E20" s="253"/>
      <c r="F20" s="253"/>
      <c r="G20" s="253"/>
      <c r="H20" s="254"/>
      <c r="I20" s="335"/>
      <c r="J20" s="253"/>
    </row>
    <row r="21" spans="2:10" ht="12.75" customHeight="1" x14ac:dyDescent="0.2">
      <c r="B21" s="204"/>
      <c r="C21" s="256" t="s">
        <v>229</v>
      </c>
      <c r="D21" s="209">
        <f t="shared" ref="D21:J21" si="0">SUM(D10:D20)</f>
        <v>21803784.190000001</v>
      </c>
      <c r="E21" s="209">
        <f t="shared" si="0"/>
        <v>-5628170.4800000023</v>
      </c>
      <c r="F21" s="209">
        <f t="shared" si="0"/>
        <v>16175613.710000001</v>
      </c>
      <c r="G21" s="209"/>
      <c r="H21" s="209">
        <f t="shared" si="0"/>
        <v>0</v>
      </c>
      <c r="I21" s="376"/>
      <c r="J21" s="209">
        <f t="shared" si="0"/>
        <v>0</v>
      </c>
    </row>
    <row r="23" spans="2:10" x14ac:dyDescent="0.2">
      <c r="B23" s="667" t="s">
        <v>243</v>
      </c>
      <c r="C23" s="668"/>
      <c r="D23" s="671" t="s">
        <v>412</v>
      </c>
      <c r="E23" s="672"/>
      <c r="F23" s="672"/>
      <c r="G23" s="672"/>
      <c r="H23" s="672"/>
      <c r="I23" s="672"/>
      <c r="J23" s="673"/>
    </row>
    <row r="24" spans="2:10" x14ac:dyDescent="0.2">
      <c r="B24" s="235"/>
      <c r="C24" s="235"/>
      <c r="D24" s="410"/>
      <c r="E24" s="410"/>
      <c r="F24" s="410"/>
      <c r="G24" s="410"/>
      <c r="H24" s="410"/>
      <c r="I24" s="410"/>
      <c r="J24" s="410"/>
    </row>
    <row r="25" spans="2:10" ht="48.75" customHeight="1" x14ac:dyDescent="0.2">
      <c r="B25" s="667" t="s">
        <v>244</v>
      </c>
      <c r="C25" s="668"/>
      <c r="D25" s="671" t="s">
        <v>413</v>
      </c>
      <c r="E25" s="672"/>
      <c r="F25" s="672"/>
      <c r="G25" s="672"/>
      <c r="H25" s="672"/>
      <c r="I25" s="672"/>
      <c r="J25" s="673"/>
    </row>
    <row r="26" spans="2:10" x14ac:dyDescent="0.2">
      <c r="B26" s="235"/>
      <c r="C26" s="235"/>
      <c r="D26" s="235"/>
      <c r="E26" s="235"/>
      <c r="F26" s="235"/>
      <c r="G26" s="235"/>
      <c r="H26" s="235"/>
    </row>
    <row r="27" spans="2:10" ht="15.75" x14ac:dyDescent="0.25">
      <c r="B27" s="257" t="s">
        <v>245</v>
      </c>
      <c r="C27" s="235"/>
      <c r="D27" s="235"/>
      <c r="E27" s="235"/>
      <c r="F27" s="235"/>
      <c r="G27" s="235"/>
      <c r="H27" s="235"/>
    </row>
    <row r="29" spans="2:10" ht="38.25" x14ac:dyDescent="0.2">
      <c r="B29" s="193" t="s">
        <v>59</v>
      </c>
      <c r="C29" s="250" t="s">
        <v>237</v>
      </c>
      <c r="D29" s="195" t="s">
        <v>217</v>
      </c>
      <c r="E29" s="195" t="s">
        <v>54</v>
      </c>
      <c r="F29" s="199" t="s">
        <v>65</v>
      </c>
      <c r="G29" s="197" t="s">
        <v>73</v>
      </c>
      <c r="H29" s="198" t="s">
        <v>74</v>
      </c>
      <c r="I29" s="199" t="s">
        <v>66</v>
      </c>
      <c r="J29" s="200" t="s">
        <v>67</v>
      </c>
    </row>
    <row r="30" spans="2:10" x14ac:dyDescent="0.2">
      <c r="B30" s="258"/>
      <c r="C30" s="259"/>
      <c r="D30" s="244"/>
      <c r="E30" s="244"/>
      <c r="F30" s="245"/>
      <c r="G30" s="245"/>
      <c r="H30" s="78" t="s">
        <v>106</v>
      </c>
      <c r="I30" s="245"/>
      <c r="J30" s="251"/>
    </row>
    <row r="31" spans="2:10" x14ac:dyDescent="0.2">
      <c r="B31" s="29"/>
      <c r="C31" s="29"/>
      <c r="D31" s="29" t="s">
        <v>57</v>
      </c>
      <c r="E31" s="29" t="s">
        <v>57</v>
      </c>
      <c r="F31" s="29" t="s">
        <v>57</v>
      </c>
      <c r="G31" s="29" t="s">
        <v>57</v>
      </c>
      <c r="H31" s="29" t="s">
        <v>57</v>
      </c>
      <c r="I31" s="29" t="s">
        <v>57</v>
      </c>
      <c r="J31" s="29" t="s">
        <v>57</v>
      </c>
    </row>
    <row r="32" spans="2:10" x14ac:dyDescent="0.2">
      <c r="B32" s="204"/>
      <c r="C32" s="253"/>
      <c r="D32" s="253"/>
      <c r="E32" s="253"/>
      <c r="F32" s="253"/>
      <c r="G32" s="253"/>
      <c r="H32" s="253"/>
      <c r="I32" s="377"/>
      <c r="J32" s="253"/>
    </row>
    <row r="33" spans="2:10" x14ac:dyDescent="0.2">
      <c r="B33" s="204"/>
      <c r="C33" s="253"/>
      <c r="D33" s="253"/>
      <c r="E33" s="253"/>
      <c r="F33" s="253"/>
      <c r="G33" s="253"/>
      <c r="H33" s="253"/>
      <c r="I33" s="377"/>
      <c r="J33" s="253"/>
    </row>
    <row r="34" spans="2:10" x14ac:dyDescent="0.2">
      <c r="B34" s="204"/>
      <c r="C34" s="253"/>
      <c r="D34" s="253"/>
      <c r="E34" s="253"/>
      <c r="F34" s="253"/>
      <c r="G34" s="253"/>
      <c r="H34" s="253"/>
      <c r="I34" s="377"/>
      <c r="J34" s="253"/>
    </row>
    <row r="36" spans="2:10" ht="18" customHeight="1" x14ac:dyDescent="0.25">
      <c r="B36" s="87" t="s">
        <v>416</v>
      </c>
    </row>
    <row r="37" spans="2:10" x14ac:dyDescent="0.2">
      <c r="B37" s="188"/>
      <c r="C37" s="189"/>
      <c r="D37" s="190"/>
      <c r="E37" s="190"/>
      <c r="F37" s="191"/>
      <c r="G37" s="191"/>
      <c r="H37" s="192"/>
    </row>
    <row r="38" spans="2:10" ht="40.15" customHeight="1" x14ac:dyDescent="0.2">
      <c r="B38" s="193" t="s">
        <v>59</v>
      </c>
      <c r="C38" s="411" t="s">
        <v>415</v>
      </c>
      <c r="D38" s="195" t="s">
        <v>217</v>
      </c>
      <c r="E38" s="195" t="s">
        <v>54</v>
      </c>
      <c r="F38" s="199" t="s">
        <v>65</v>
      </c>
      <c r="G38" s="197" t="s">
        <v>73</v>
      </c>
      <c r="H38" s="198" t="s">
        <v>74</v>
      </c>
      <c r="I38" s="199" t="s">
        <v>66</v>
      </c>
      <c r="J38" s="200" t="s">
        <v>67</v>
      </c>
    </row>
    <row r="39" spans="2:10" ht="15" customHeight="1" x14ac:dyDescent="0.2">
      <c r="B39" s="193"/>
      <c r="C39" s="195"/>
      <c r="D39" s="244"/>
      <c r="E39" s="244"/>
      <c r="F39" s="245"/>
      <c r="G39" s="245"/>
      <c r="H39" s="78" t="s">
        <v>106</v>
      </c>
      <c r="I39" s="245"/>
      <c r="J39" s="251"/>
    </row>
    <row r="40" spans="2:10" x14ac:dyDescent="0.2">
      <c r="B40" s="201"/>
      <c r="C40" s="211"/>
      <c r="D40" s="29" t="s">
        <v>57</v>
      </c>
      <c r="E40" s="29" t="s">
        <v>57</v>
      </c>
      <c r="F40" s="29" t="s">
        <v>57</v>
      </c>
      <c r="G40" s="29" t="s">
        <v>57</v>
      </c>
      <c r="H40" s="29" t="s">
        <v>57</v>
      </c>
      <c r="I40" s="29" t="s">
        <v>57</v>
      </c>
      <c r="J40" s="29" t="s">
        <v>57</v>
      </c>
    </row>
    <row r="41" spans="2:10" ht="12.75" customHeight="1" x14ac:dyDescent="0.2">
      <c r="B41" s="204"/>
      <c r="C41" s="252" t="s">
        <v>226</v>
      </c>
      <c r="D41" s="253">
        <v>0</v>
      </c>
      <c r="E41" s="253">
        <v>0</v>
      </c>
      <c r="F41" s="253">
        <v>0</v>
      </c>
      <c r="G41" s="253"/>
      <c r="H41" s="254"/>
      <c r="I41" s="335"/>
      <c r="J41" s="253"/>
    </row>
    <row r="42" spans="2:10" ht="12.75" customHeight="1" x14ac:dyDescent="0.2">
      <c r="B42" s="204"/>
      <c r="C42" s="255" t="s">
        <v>238</v>
      </c>
      <c r="D42" s="253">
        <v>-564953.74</v>
      </c>
      <c r="E42" s="253">
        <v>265812.95</v>
      </c>
      <c r="F42" s="253">
        <v>-299140.78999999998</v>
      </c>
      <c r="G42" s="253"/>
      <c r="H42" s="254"/>
      <c r="I42" s="335"/>
      <c r="J42" s="253"/>
    </row>
    <row r="43" spans="2:10" ht="12.75" customHeight="1" x14ac:dyDescent="0.2">
      <c r="B43" s="204"/>
      <c r="C43" s="252" t="s">
        <v>239</v>
      </c>
      <c r="D43" s="253">
        <v>0</v>
      </c>
      <c r="E43" s="253">
        <v>0</v>
      </c>
      <c r="F43" s="253">
        <v>0</v>
      </c>
      <c r="G43" s="253"/>
      <c r="H43" s="254"/>
      <c r="I43" s="335"/>
      <c r="J43" s="253"/>
    </row>
    <row r="44" spans="2:10" ht="12.75" customHeight="1" x14ac:dyDescent="0.2">
      <c r="B44" s="204"/>
      <c r="C44" s="252" t="s">
        <v>240</v>
      </c>
      <c r="D44" s="253">
        <v>708369.61000000022</v>
      </c>
      <c r="E44" s="253">
        <v>-409228.82000000018</v>
      </c>
      <c r="F44" s="253">
        <v>299140.78999999998</v>
      </c>
      <c r="G44" s="253"/>
      <c r="H44" s="254"/>
      <c r="I44" s="335"/>
      <c r="J44" s="253"/>
    </row>
    <row r="45" spans="2:10" ht="12.75" customHeight="1" x14ac:dyDescent="0.2">
      <c r="B45" s="204"/>
      <c r="C45" s="252" t="s">
        <v>241</v>
      </c>
      <c r="D45" s="253">
        <v>0</v>
      </c>
      <c r="E45" s="253">
        <v>0</v>
      </c>
      <c r="F45" s="253">
        <v>0</v>
      </c>
      <c r="G45" s="253"/>
      <c r="H45" s="254"/>
      <c r="I45" s="335"/>
      <c r="J45" s="253"/>
    </row>
    <row r="46" spans="2:10" ht="12.75" customHeight="1" x14ac:dyDescent="0.2">
      <c r="B46" s="204"/>
      <c r="C46" s="252" t="s">
        <v>417</v>
      </c>
      <c r="D46" s="253">
        <v>0</v>
      </c>
      <c r="E46" s="253">
        <v>0</v>
      </c>
      <c r="F46" s="253">
        <v>0</v>
      </c>
      <c r="G46" s="253"/>
      <c r="H46" s="254"/>
      <c r="I46" s="335"/>
      <c r="J46" s="253"/>
    </row>
    <row r="47" spans="2:10" ht="12.75" customHeight="1" x14ac:dyDescent="0.2">
      <c r="B47" s="204"/>
      <c r="C47" s="252"/>
      <c r="D47" s="253"/>
      <c r="E47" s="253"/>
      <c r="F47" s="253"/>
      <c r="G47" s="253"/>
      <c r="H47" s="254"/>
      <c r="I47" s="335"/>
      <c r="J47" s="253"/>
    </row>
    <row r="48" spans="2:10" ht="12.75" customHeight="1" x14ac:dyDescent="0.2">
      <c r="B48" s="204"/>
      <c r="C48" s="256" t="s">
        <v>229</v>
      </c>
      <c r="D48" s="209">
        <f t="shared" ref="D48:F48" si="1">SUM(D37:D47)</f>
        <v>143415.87000000023</v>
      </c>
      <c r="E48" s="209">
        <f t="shared" si="1"/>
        <v>-143415.87000000017</v>
      </c>
      <c r="F48" s="209">
        <f t="shared" si="1"/>
        <v>0</v>
      </c>
      <c r="G48" s="209"/>
      <c r="H48" s="209">
        <f t="shared" ref="H48" si="2">SUM(H37:H47)</f>
        <v>0</v>
      </c>
      <c r="I48" s="376"/>
      <c r="J48" s="209">
        <f t="shared" ref="J48" si="3">SUM(J37:J47)</f>
        <v>0</v>
      </c>
    </row>
    <row r="50" spans="2:10" ht="12.75" customHeight="1" x14ac:dyDescent="0.2">
      <c r="B50" s="667" t="s">
        <v>243</v>
      </c>
      <c r="C50" s="668"/>
      <c r="D50" s="671" t="s">
        <v>419</v>
      </c>
      <c r="E50" s="672"/>
      <c r="F50" s="672"/>
      <c r="G50" s="672"/>
      <c r="H50" s="672"/>
      <c r="I50" s="672"/>
      <c r="J50" s="673"/>
    </row>
    <row r="51" spans="2:10" x14ac:dyDescent="0.2">
      <c r="B51" s="235"/>
      <c r="C51" s="235"/>
      <c r="D51" s="410"/>
      <c r="E51" s="410"/>
      <c r="F51" s="410"/>
      <c r="G51" s="410"/>
      <c r="H51" s="410"/>
      <c r="I51" s="410"/>
      <c r="J51" s="410"/>
    </row>
    <row r="52" spans="2:10" ht="48.75" customHeight="1" x14ac:dyDescent="0.2">
      <c r="B52" s="667" t="s">
        <v>244</v>
      </c>
      <c r="C52" s="668"/>
      <c r="D52" s="671" t="s">
        <v>420</v>
      </c>
      <c r="E52" s="672"/>
      <c r="F52" s="672"/>
      <c r="G52" s="672"/>
      <c r="H52" s="672"/>
      <c r="I52" s="672"/>
      <c r="J52" s="673"/>
    </row>
    <row r="53" spans="2:10" x14ac:dyDescent="0.2">
      <c r="B53" s="235"/>
      <c r="C53" s="235"/>
      <c r="D53" s="235"/>
      <c r="E53" s="235"/>
      <c r="F53" s="235"/>
      <c r="G53" s="235"/>
      <c r="H53" s="235"/>
    </row>
    <row r="54" spans="2:10" ht="15.75" x14ac:dyDescent="0.25">
      <c r="B54" s="257" t="s">
        <v>418</v>
      </c>
      <c r="C54" s="235"/>
      <c r="D54" s="235"/>
      <c r="E54" s="235"/>
      <c r="F54" s="235"/>
      <c r="G54" s="235"/>
      <c r="H54" s="235"/>
    </row>
    <row r="56" spans="2:10" ht="38.25" x14ac:dyDescent="0.2">
      <c r="B56" s="193" t="s">
        <v>59</v>
      </c>
      <c r="C56" s="250" t="s">
        <v>237</v>
      </c>
      <c r="D56" s="195" t="s">
        <v>217</v>
      </c>
      <c r="E56" s="195" t="s">
        <v>54</v>
      </c>
      <c r="F56" s="199" t="s">
        <v>65</v>
      </c>
      <c r="G56" s="197" t="s">
        <v>73</v>
      </c>
      <c r="H56" s="198" t="s">
        <v>74</v>
      </c>
      <c r="I56" s="199" t="s">
        <v>66</v>
      </c>
      <c r="J56" s="200" t="s">
        <v>67</v>
      </c>
    </row>
    <row r="57" spans="2:10" x14ac:dyDescent="0.2">
      <c r="B57" s="258"/>
      <c r="C57" s="259"/>
      <c r="D57" s="244"/>
      <c r="E57" s="244"/>
      <c r="F57" s="245"/>
      <c r="G57" s="245"/>
      <c r="H57" s="78" t="s">
        <v>106</v>
      </c>
      <c r="I57" s="245"/>
      <c r="J57" s="251"/>
    </row>
    <row r="58" spans="2:10" x14ac:dyDescent="0.2">
      <c r="B58" s="29"/>
      <c r="C58" s="29"/>
      <c r="D58" s="29" t="s">
        <v>57</v>
      </c>
      <c r="E58" s="29" t="s">
        <v>57</v>
      </c>
      <c r="F58" s="29" t="s">
        <v>57</v>
      </c>
      <c r="G58" s="29" t="s">
        <v>57</v>
      </c>
      <c r="H58" s="29" t="s">
        <v>57</v>
      </c>
      <c r="I58" s="29" t="s">
        <v>57</v>
      </c>
      <c r="J58" s="29" t="s">
        <v>57</v>
      </c>
    </row>
    <row r="59" spans="2:10" x14ac:dyDescent="0.2">
      <c r="B59" s="204"/>
      <c r="C59" s="253"/>
      <c r="D59" s="253"/>
      <c r="E59" s="253"/>
      <c r="F59" s="253"/>
      <c r="G59" s="253"/>
      <c r="H59" s="253"/>
      <c r="I59" s="377"/>
      <c r="J59" s="253"/>
    </row>
    <row r="60" spans="2:10" x14ac:dyDescent="0.2">
      <c r="B60" s="204"/>
      <c r="C60" s="253"/>
      <c r="D60" s="253"/>
      <c r="E60" s="253"/>
      <c r="F60" s="253"/>
      <c r="G60" s="253"/>
      <c r="H60" s="253"/>
      <c r="I60" s="377"/>
      <c r="J60" s="253"/>
    </row>
    <row r="61" spans="2:10" x14ac:dyDescent="0.2">
      <c r="B61" s="204"/>
      <c r="C61" s="253"/>
      <c r="D61" s="253"/>
      <c r="E61" s="253"/>
      <c r="F61" s="253"/>
      <c r="G61" s="253"/>
      <c r="H61" s="253"/>
      <c r="I61" s="377"/>
      <c r="J61" s="253"/>
    </row>
    <row r="63" spans="2:10" ht="18" customHeight="1" x14ac:dyDescent="0.25">
      <c r="B63" s="87" t="s">
        <v>421</v>
      </c>
    </row>
    <row r="64" spans="2:10" x14ac:dyDescent="0.2">
      <c r="B64" s="188"/>
      <c r="C64" s="189"/>
      <c r="D64" s="190"/>
      <c r="E64" s="190"/>
      <c r="F64" s="191"/>
      <c r="G64" s="191"/>
      <c r="H64" s="192"/>
    </row>
    <row r="65" spans="2:10" ht="40.15" customHeight="1" x14ac:dyDescent="0.2">
      <c r="B65" s="193" t="s">
        <v>59</v>
      </c>
      <c r="C65" s="411" t="s">
        <v>424</v>
      </c>
      <c r="D65" s="195" t="s">
        <v>217</v>
      </c>
      <c r="E65" s="195" t="s">
        <v>54</v>
      </c>
      <c r="F65" s="199" t="s">
        <v>65</v>
      </c>
      <c r="G65" s="197" t="s">
        <v>73</v>
      </c>
      <c r="H65" s="198" t="s">
        <v>74</v>
      </c>
      <c r="I65" s="199" t="s">
        <v>66</v>
      </c>
      <c r="J65" s="200" t="s">
        <v>67</v>
      </c>
    </row>
    <row r="66" spans="2:10" ht="15" customHeight="1" x14ac:dyDescent="0.2">
      <c r="B66" s="193"/>
      <c r="C66" s="195"/>
      <c r="D66" s="244"/>
      <c r="E66" s="244"/>
      <c r="F66" s="245"/>
      <c r="G66" s="245"/>
      <c r="H66" s="78" t="s">
        <v>106</v>
      </c>
      <c r="I66" s="245"/>
      <c r="J66" s="251"/>
    </row>
    <row r="67" spans="2:10" x14ac:dyDescent="0.2">
      <c r="B67" s="201"/>
      <c r="C67" s="211"/>
      <c r="D67" s="29" t="s">
        <v>57</v>
      </c>
      <c r="E67" s="29" t="s">
        <v>57</v>
      </c>
      <c r="F67" s="29" t="s">
        <v>57</v>
      </c>
      <c r="G67" s="29" t="s">
        <v>57</v>
      </c>
      <c r="H67" s="29" t="s">
        <v>57</v>
      </c>
      <c r="I67" s="29" t="s">
        <v>57</v>
      </c>
      <c r="J67" s="29" t="s">
        <v>57</v>
      </c>
    </row>
    <row r="68" spans="2:10" ht="12.75" customHeight="1" x14ac:dyDescent="0.2">
      <c r="B68" s="204"/>
      <c r="C68" s="252" t="s">
        <v>226</v>
      </c>
      <c r="D68" s="253">
        <v>32108.11</v>
      </c>
      <c r="E68" s="253">
        <v>0</v>
      </c>
      <c r="F68" s="253">
        <v>32108.11</v>
      </c>
      <c r="G68" s="253"/>
      <c r="H68" s="254"/>
      <c r="I68" s="335"/>
      <c r="J68" s="253"/>
    </row>
    <row r="69" spans="2:10" ht="12.75" customHeight="1" x14ac:dyDescent="0.2">
      <c r="B69" s="204"/>
      <c r="C69" s="255" t="s">
        <v>238</v>
      </c>
      <c r="D69" s="253">
        <v>0</v>
      </c>
      <c r="E69" s="253">
        <v>0</v>
      </c>
      <c r="F69" s="253">
        <v>0</v>
      </c>
      <c r="G69" s="253"/>
      <c r="H69" s="254"/>
      <c r="I69" s="335"/>
      <c r="J69" s="253"/>
    </row>
    <row r="70" spans="2:10" ht="12.75" customHeight="1" x14ac:dyDescent="0.2">
      <c r="B70" s="204"/>
      <c r="C70" s="252" t="s">
        <v>239</v>
      </c>
      <c r="D70" s="253">
        <v>0</v>
      </c>
      <c r="E70" s="253">
        <v>0</v>
      </c>
      <c r="F70" s="253">
        <v>0</v>
      </c>
      <c r="G70" s="253"/>
      <c r="H70" s="254"/>
      <c r="I70" s="335"/>
      <c r="J70" s="253"/>
    </row>
    <row r="71" spans="2:10" ht="12.75" customHeight="1" x14ac:dyDescent="0.2">
      <c r="B71" s="204"/>
      <c r="C71" s="252" t="s">
        <v>240</v>
      </c>
      <c r="D71" s="253">
        <v>7423.3800000000047</v>
      </c>
      <c r="E71" s="253">
        <v>0</v>
      </c>
      <c r="F71" s="253">
        <v>7423.3800000000047</v>
      </c>
      <c r="G71" s="253"/>
      <c r="H71" s="254"/>
      <c r="I71" s="335"/>
      <c r="J71" s="253"/>
    </row>
    <row r="72" spans="2:10" ht="12.75" customHeight="1" x14ac:dyDescent="0.2">
      <c r="B72" s="204"/>
      <c r="C72" s="252" t="s">
        <v>241</v>
      </c>
      <c r="D72" s="253">
        <v>0</v>
      </c>
      <c r="E72" s="253">
        <v>0</v>
      </c>
      <c r="F72" s="253">
        <v>0</v>
      </c>
      <c r="G72" s="253"/>
      <c r="H72" s="254"/>
      <c r="I72" s="335"/>
      <c r="J72" s="253"/>
    </row>
    <row r="73" spans="2:10" ht="12.75" customHeight="1" x14ac:dyDescent="0.2">
      <c r="B73" s="204"/>
      <c r="C73" s="252" t="s">
        <v>422</v>
      </c>
      <c r="D73" s="253">
        <v>0</v>
      </c>
      <c r="E73" s="253">
        <v>0</v>
      </c>
      <c r="F73" s="253">
        <v>0</v>
      </c>
      <c r="G73" s="253"/>
      <c r="H73" s="254"/>
      <c r="I73" s="335"/>
      <c r="J73" s="253"/>
    </row>
    <row r="74" spans="2:10" ht="12.75" customHeight="1" x14ac:dyDescent="0.2">
      <c r="B74" s="204"/>
      <c r="C74" s="252"/>
      <c r="D74" s="253"/>
      <c r="E74" s="253"/>
      <c r="F74" s="253"/>
      <c r="G74" s="253"/>
      <c r="H74" s="254"/>
      <c r="I74" s="335"/>
      <c r="J74" s="253"/>
    </row>
    <row r="75" spans="2:10" ht="12.75" customHeight="1" x14ac:dyDescent="0.2">
      <c r="B75" s="204"/>
      <c r="C75" s="256" t="s">
        <v>229</v>
      </c>
      <c r="D75" s="209">
        <f t="shared" ref="D75:F75" si="4">SUM(D64:D74)</f>
        <v>39531.490000000005</v>
      </c>
      <c r="E75" s="209">
        <f t="shared" si="4"/>
        <v>0</v>
      </c>
      <c r="F75" s="209">
        <f t="shared" si="4"/>
        <v>39531.490000000005</v>
      </c>
      <c r="G75" s="209"/>
      <c r="H75" s="209">
        <f t="shared" ref="H75" si="5">SUM(H64:H74)</f>
        <v>0</v>
      </c>
      <c r="I75" s="376"/>
      <c r="J75" s="209">
        <f t="shared" ref="J75" si="6">SUM(J64:J74)</f>
        <v>0</v>
      </c>
    </row>
    <row r="77" spans="2:10" ht="12.75" customHeight="1" x14ac:dyDescent="0.2">
      <c r="B77" s="667" t="s">
        <v>243</v>
      </c>
      <c r="C77" s="668"/>
      <c r="D77" s="671" t="s">
        <v>428</v>
      </c>
      <c r="E77" s="672"/>
      <c r="F77" s="672"/>
      <c r="G77" s="672"/>
      <c r="H77" s="672"/>
      <c r="I77" s="672"/>
      <c r="J77" s="673"/>
    </row>
    <row r="78" spans="2:10" x14ac:dyDescent="0.2">
      <c r="B78" s="235"/>
      <c r="C78" s="235"/>
      <c r="D78" s="410"/>
      <c r="E78" s="410"/>
      <c r="F78" s="410"/>
      <c r="G78" s="410"/>
      <c r="H78" s="410"/>
      <c r="I78" s="410"/>
      <c r="J78" s="410"/>
    </row>
    <row r="79" spans="2:10" ht="48.75" customHeight="1" x14ac:dyDescent="0.2">
      <c r="B79" s="667" t="s">
        <v>244</v>
      </c>
      <c r="C79" s="668"/>
      <c r="D79" s="671" t="s">
        <v>429</v>
      </c>
      <c r="E79" s="672"/>
      <c r="F79" s="672"/>
      <c r="G79" s="672"/>
      <c r="H79" s="672"/>
      <c r="I79" s="672"/>
      <c r="J79" s="673"/>
    </row>
    <row r="80" spans="2:10" x14ac:dyDescent="0.2">
      <c r="B80" s="235"/>
      <c r="C80" s="235"/>
      <c r="D80" s="235"/>
      <c r="E80" s="235"/>
      <c r="F80" s="235"/>
      <c r="G80" s="235"/>
      <c r="H80" s="235"/>
    </row>
    <row r="81" spans="2:10" ht="15.75" x14ac:dyDescent="0.25">
      <c r="B81" s="257" t="s">
        <v>423</v>
      </c>
      <c r="C81" s="235"/>
      <c r="D81" s="235"/>
      <c r="E81" s="235"/>
      <c r="F81" s="235"/>
      <c r="G81" s="235"/>
      <c r="H81" s="235"/>
    </row>
    <row r="83" spans="2:10" ht="38.25" x14ac:dyDescent="0.2">
      <c r="B83" s="193" t="s">
        <v>59</v>
      </c>
      <c r="C83" s="250" t="s">
        <v>237</v>
      </c>
      <c r="D83" s="195" t="s">
        <v>217</v>
      </c>
      <c r="E83" s="195" t="s">
        <v>54</v>
      </c>
      <c r="F83" s="199" t="s">
        <v>65</v>
      </c>
      <c r="G83" s="197" t="s">
        <v>73</v>
      </c>
      <c r="H83" s="198" t="s">
        <v>74</v>
      </c>
      <c r="I83" s="199" t="s">
        <v>66</v>
      </c>
      <c r="J83" s="200" t="s">
        <v>67</v>
      </c>
    </row>
    <row r="84" spans="2:10" x14ac:dyDescent="0.2">
      <c r="B84" s="258"/>
      <c r="C84" s="259"/>
      <c r="D84" s="244"/>
      <c r="E84" s="244"/>
      <c r="F84" s="245"/>
      <c r="G84" s="245"/>
      <c r="H84" s="78" t="s">
        <v>106</v>
      </c>
      <c r="I84" s="245"/>
      <c r="J84" s="251"/>
    </row>
    <row r="85" spans="2:10" x14ac:dyDescent="0.2">
      <c r="B85" s="29"/>
      <c r="C85" s="29"/>
      <c r="D85" s="29" t="s">
        <v>57</v>
      </c>
      <c r="E85" s="29" t="s">
        <v>57</v>
      </c>
      <c r="F85" s="29" t="s">
        <v>57</v>
      </c>
      <c r="G85" s="29" t="s">
        <v>57</v>
      </c>
      <c r="H85" s="29" t="s">
        <v>57</v>
      </c>
      <c r="I85" s="29" t="s">
        <v>57</v>
      </c>
      <c r="J85" s="29" t="s">
        <v>57</v>
      </c>
    </row>
    <row r="86" spans="2:10" x14ac:dyDescent="0.2">
      <c r="B86" s="204"/>
      <c r="C86" s="253"/>
      <c r="D86" s="253"/>
      <c r="E86" s="253"/>
      <c r="F86" s="253"/>
      <c r="G86" s="253"/>
      <c r="H86" s="253"/>
      <c r="I86" s="377"/>
      <c r="J86" s="253"/>
    </row>
    <row r="87" spans="2:10" x14ac:dyDescent="0.2">
      <c r="B87" s="204"/>
      <c r="C87" s="253"/>
      <c r="D87" s="253"/>
      <c r="E87" s="253"/>
      <c r="F87" s="253"/>
      <c r="G87" s="253"/>
      <c r="H87" s="253"/>
      <c r="I87" s="377"/>
      <c r="J87" s="253"/>
    </row>
    <row r="88" spans="2:10" x14ac:dyDescent="0.2">
      <c r="B88" s="204"/>
      <c r="C88" s="253"/>
      <c r="D88" s="253"/>
      <c r="E88" s="253"/>
      <c r="F88" s="253"/>
      <c r="G88" s="253"/>
      <c r="H88" s="253"/>
      <c r="I88" s="377"/>
      <c r="J88" s="253"/>
    </row>
    <row r="90" spans="2:10" ht="18" customHeight="1" x14ac:dyDescent="0.25">
      <c r="B90" s="87" t="s">
        <v>425</v>
      </c>
    </row>
    <row r="91" spans="2:10" x14ac:dyDescent="0.2">
      <c r="B91" s="188"/>
      <c r="C91" s="189"/>
      <c r="D91" s="190"/>
      <c r="E91" s="190"/>
      <c r="F91" s="191"/>
      <c r="G91" s="191"/>
      <c r="H91" s="192"/>
    </row>
    <row r="92" spans="2:10" ht="40.15" customHeight="1" x14ac:dyDescent="0.2">
      <c r="B92" s="193" t="s">
        <v>59</v>
      </c>
      <c r="C92" s="411" t="s">
        <v>430</v>
      </c>
      <c r="D92" s="195" t="s">
        <v>217</v>
      </c>
      <c r="E92" s="195" t="s">
        <v>54</v>
      </c>
      <c r="F92" s="199" t="s">
        <v>65</v>
      </c>
      <c r="G92" s="197" t="s">
        <v>73</v>
      </c>
      <c r="H92" s="198" t="s">
        <v>74</v>
      </c>
      <c r="I92" s="199" t="s">
        <v>66</v>
      </c>
      <c r="J92" s="200" t="s">
        <v>67</v>
      </c>
    </row>
    <row r="93" spans="2:10" ht="15" customHeight="1" x14ac:dyDescent="0.2">
      <c r="B93" s="193"/>
      <c r="C93" s="195"/>
      <c r="D93" s="244"/>
      <c r="E93" s="244"/>
      <c r="F93" s="245"/>
      <c r="G93" s="245"/>
      <c r="H93" s="78" t="s">
        <v>106</v>
      </c>
      <c r="I93" s="245"/>
      <c r="J93" s="251"/>
    </row>
    <row r="94" spans="2:10" x14ac:dyDescent="0.2">
      <c r="B94" s="201"/>
      <c r="C94" s="211"/>
      <c r="D94" s="29" t="s">
        <v>57</v>
      </c>
      <c r="E94" s="29" t="s">
        <v>57</v>
      </c>
      <c r="F94" s="29" t="s">
        <v>57</v>
      </c>
      <c r="G94" s="29" t="s">
        <v>57</v>
      </c>
      <c r="H94" s="29" t="s">
        <v>57</v>
      </c>
      <c r="I94" s="29" t="s">
        <v>57</v>
      </c>
      <c r="J94" s="29" t="s">
        <v>57</v>
      </c>
    </row>
    <row r="95" spans="2:10" ht="12.75" customHeight="1" x14ac:dyDescent="0.2">
      <c r="B95" s="204"/>
      <c r="C95" s="252" t="s">
        <v>226</v>
      </c>
      <c r="D95" s="412">
        <v>862670.37</v>
      </c>
      <c r="E95" s="413">
        <v>-862670.37</v>
      </c>
      <c r="F95" s="412">
        <v>0</v>
      </c>
      <c r="G95" s="253"/>
      <c r="H95" s="254"/>
      <c r="I95" s="335"/>
      <c r="J95" s="253"/>
    </row>
    <row r="96" spans="2:10" ht="12.75" customHeight="1" x14ac:dyDescent="0.2">
      <c r="B96" s="204"/>
      <c r="C96" s="255" t="s">
        <v>238</v>
      </c>
      <c r="D96" s="412">
        <v>0</v>
      </c>
      <c r="E96" s="413">
        <v>0</v>
      </c>
      <c r="F96" s="412">
        <v>0</v>
      </c>
      <c r="G96" s="253"/>
      <c r="H96" s="254"/>
      <c r="I96" s="335"/>
      <c r="J96" s="253"/>
    </row>
    <row r="97" spans="2:10" ht="12.75" customHeight="1" x14ac:dyDescent="0.2">
      <c r="B97" s="204"/>
      <c r="C97" s="252" t="s">
        <v>239</v>
      </c>
      <c r="D97" s="412">
        <v>0</v>
      </c>
      <c r="E97" s="412">
        <v>0</v>
      </c>
      <c r="F97" s="412">
        <v>0</v>
      </c>
      <c r="G97" s="253"/>
      <c r="H97" s="254"/>
      <c r="I97" s="335"/>
      <c r="J97" s="253"/>
    </row>
    <row r="98" spans="2:10" ht="12.75" customHeight="1" x14ac:dyDescent="0.2">
      <c r="B98" s="204"/>
      <c r="C98" s="252" t="s">
        <v>240</v>
      </c>
      <c r="D98" s="412">
        <v>86267.03</v>
      </c>
      <c r="E98" s="413">
        <v>-86267.03</v>
      </c>
      <c r="F98" s="412">
        <v>0</v>
      </c>
      <c r="G98" s="253"/>
      <c r="H98" s="254"/>
      <c r="I98" s="335"/>
      <c r="J98" s="253"/>
    </row>
    <row r="99" spans="2:10" ht="12.75" customHeight="1" x14ac:dyDescent="0.2">
      <c r="B99" s="204"/>
      <c r="C99" s="252" t="s">
        <v>241</v>
      </c>
      <c r="D99" s="412">
        <v>0</v>
      </c>
      <c r="E99" s="412">
        <v>0</v>
      </c>
      <c r="F99" s="412">
        <v>0</v>
      </c>
      <c r="G99" s="253"/>
      <c r="H99" s="254"/>
      <c r="I99" s="335"/>
      <c r="J99" s="253"/>
    </row>
    <row r="100" spans="2:10" ht="12.75" customHeight="1" x14ac:dyDescent="0.2">
      <c r="B100" s="204"/>
      <c r="C100" s="252" t="s">
        <v>426</v>
      </c>
      <c r="D100" s="412">
        <v>0</v>
      </c>
      <c r="E100" s="412">
        <v>0</v>
      </c>
      <c r="F100" s="412">
        <v>0</v>
      </c>
      <c r="G100" s="253"/>
      <c r="H100" s="254"/>
      <c r="I100" s="335"/>
      <c r="J100" s="253"/>
    </row>
    <row r="101" spans="2:10" ht="12.75" customHeight="1" x14ac:dyDescent="0.2">
      <c r="B101" s="204"/>
      <c r="C101" s="252"/>
      <c r="D101" s="253"/>
      <c r="E101" s="253"/>
      <c r="F101" s="253"/>
      <c r="G101" s="253"/>
      <c r="H101" s="254"/>
      <c r="I101" s="335"/>
      <c r="J101" s="253"/>
    </row>
    <row r="102" spans="2:10" ht="12.75" customHeight="1" x14ac:dyDescent="0.2">
      <c r="B102" s="204"/>
      <c r="C102" s="256" t="s">
        <v>229</v>
      </c>
      <c r="D102" s="209">
        <f t="shared" ref="D102:F102" si="7">SUM(D91:D101)</f>
        <v>948937.4</v>
      </c>
      <c r="E102" s="209">
        <f t="shared" si="7"/>
        <v>-948937.4</v>
      </c>
      <c r="F102" s="209">
        <f t="shared" si="7"/>
        <v>0</v>
      </c>
      <c r="G102" s="209"/>
      <c r="H102" s="209">
        <f t="shared" ref="H102" si="8">SUM(H91:H101)</f>
        <v>0</v>
      </c>
      <c r="I102" s="376"/>
      <c r="J102" s="209">
        <f t="shared" ref="J102" si="9">SUM(J91:J101)</f>
        <v>0</v>
      </c>
    </row>
    <row r="104" spans="2:10" ht="12.75" customHeight="1" x14ac:dyDescent="0.2">
      <c r="B104" s="667" t="s">
        <v>243</v>
      </c>
      <c r="C104" s="668"/>
      <c r="D104" s="671" t="s">
        <v>431</v>
      </c>
      <c r="E104" s="672"/>
      <c r="F104" s="672"/>
      <c r="G104" s="672"/>
      <c r="H104" s="672"/>
      <c r="I104" s="672"/>
      <c r="J104" s="673"/>
    </row>
    <row r="105" spans="2:10" x14ac:dyDescent="0.2">
      <c r="B105" s="235"/>
      <c r="C105" s="235"/>
      <c r="D105" s="410"/>
      <c r="E105" s="410"/>
      <c r="F105" s="410"/>
      <c r="G105" s="410"/>
      <c r="H105" s="410"/>
      <c r="I105" s="410"/>
      <c r="J105" s="410"/>
    </row>
    <row r="106" spans="2:10" ht="48.75" customHeight="1" x14ac:dyDescent="0.2">
      <c r="B106" s="667" t="s">
        <v>244</v>
      </c>
      <c r="C106" s="668"/>
      <c r="D106" s="671" t="s">
        <v>431</v>
      </c>
      <c r="E106" s="672"/>
      <c r="F106" s="672"/>
      <c r="G106" s="672"/>
      <c r="H106" s="672"/>
      <c r="I106" s="672"/>
      <c r="J106" s="673"/>
    </row>
    <row r="107" spans="2:10" x14ac:dyDescent="0.2">
      <c r="B107" s="235"/>
      <c r="C107" s="235"/>
      <c r="D107" s="235"/>
      <c r="E107" s="235"/>
      <c r="F107" s="235"/>
      <c r="G107" s="235"/>
      <c r="H107" s="235"/>
    </row>
    <row r="108" spans="2:10" ht="15.75" x14ac:dyDescent="0.25">
      <c r="B108" s="257" t="s">
        <v>427</v>
      </c>
      <c r="C108" s="235"/>
      <c r="D108" s="235"/>
      <c r="E108" s="235"/>
      <c r="F108" s="235"/>
      <c r="G108" s="235"/>
      <c r="H108" s="235"/>
    </row>
    <row r="110" spans="2:10" ht="38.25" x14ac:dyDescent="0.2">
      <c r="B110" s="193" t="s">
        <v>59</v>
      </c>
      <c r="C110" s="250" t="s">
        <v>237</v>
      </c>
      <c r="D110" s="195" t="s">
        <v>217</v>
      </c>
      <c r="E110" s="195" t="s">
        <v>54</v>
      </c>
      <c r="F110" s="199" t="s">
        <v>65</v>
      </c>
      <c r="G110" s="197" t="s">
        <v>73</v>
      </c>
      <c r="H110" s="198" t="s">
        <v>74</v>
      </c>
      <c r="I110" s="199" t="s">
        <v>66</v>
      </c>
      <c r="J110" s="200" t="s">
        <v>67</v>
      </c>
    </row>
    <row r="111" spans="2:10" x14ac:dyDescent="0.2">
      <c r="B111" s="258"/>
      <c r="C111" s="259"/>
      <c r="D111" s="244"/>
      <c r="E111" s="244"/>
      <c r="F111" s="245"/>
      <c r="G111" s="245"/>
      <c r="H111" s="78" t="s">
        <v>106</v>
      </c>
      <c r="I111" s="245"/>
      <c r="J111" s="251"/>
    </row>
    <row r="112" spans="2:10" x14ac:dyDescent="0.2">
      <c r="B112" s="29"/>
      <c r="C112" s="29"/>
      <c r="D112" s="29" t="s">
        <v>57</v>
      </c>
      <c r="E112" s="29" t="s">
        <v>57</v>
      </c>
      <c r="F112" s="29" t="s">
        <v>57</v>
      </c>
      <c r="G112" s="29" t="s">
        <v>57</v>
      </c>
      <c r="H112" s="29" t="s">
        <v>57</v>
      </c>
      <c r="I112" s="29" t="s">
        <v>57</v>
      </c>
      <c r="J112" s="29" t="s">
        <v>57</v>
      </c>
    </row>
    <row r="113" spans="2:10" x14ac:dyDescent="0.2">
      <c r="B113" s="204"/>
      <c r="C113" s="253"/>
      <c r="D113" s="253"/>
      <c r="E113" s="253"/>
      <c r="F113" s="253"/>
      <c r="G113" s="253"/>
      <c r="H113" s="253"/>
      <c r="I113" s="377"/>
      <c r="J113" s="253"/>
    </row>
    <row r="114" spans="2:10" x14ac:dyDescent="0.2">
      <c r="B114" s="204"/>
      <c r="C114" s="253"/>
      <c r="D114" s="253"/>
      <c r="E114" s="253"/>
      <c r="F114" s="253"/>
      <c r="G114" s="253"/>
      <c r="H114" s="253"/>
      <c r="I114" s="377"/>
      <c r="J114" s="253"/>
    </row>
    <row r="115" spans="2:10" x14ac:dyDescent="0.2">
      <c r="B115" s="204"/>
      <c r="C115" s="253"/>
      <c r="D115" s="253"/>
      <c r="E115" s="253"/>
      <c r="F115" s="253"/>
      <c r="G115" s="253"/>
      <c r="H115" s="253"/>
      <c r="I115" s="377"/>
      <c r="J115" s="253"/>
    </row>
    <row r="117" spans="2:10" ht="18" customHeight="1" x14ac:dyDescent="0.25">
      <c r="B117" s="87" t="s">
        <v>432</v>
      </c>
    </row>
    <row r="118" spans="2:10" x14ac:dyDescent="0.2">
      <c r="B118" s="188"/>
      <c r="C118" s="189"/>
      <c r="D118" s="190"/>
      <c r="E118" s="190"/>
      <c r="F118" s="191"/>
      <c r="G118" s="191"/>
      <c r="H118" s="192"/>
    </row>
    <row r="119" spans="2:10" ht="40.15" customHeight="1" x14ac:dyDescent="0.2">
      <c r="B119" s="193" t="s">
        <v>59</v>
      </c>
      <c r="C119" s="411" t="s">
        <v>435</v>
      </c>
      <c r="D119" s="195" t="s">
        <v>217</v>
      </c>
      <c r="E119" s="195" t="s">
        <v>54</v>
      </c>
      <c r="F119" s="199" t="s">
        <v>65</v>
      </c>
      <c r="G119" s="197" t="s">
        <v>73</v>
      </c>
      <c r="H119" s="198" t="s">
        <v>74</v>
      </c>
      <c r="I119" s="199" t="s">
        <v>66</v>
      </c>
      <c r="J119" s="200" t="s">
        <v>67</v>
      </c>
    </row>
    <row r="120" spans="2:10" ht="15" customHeight="1" x14ac:dyDescent="0.2">
      <c r="B120" s="193"/>
      <c r="C120" s="195"/>
      <c r="D120" s="244"/>
      <c r="E120" s="244"/>
      <c r="F120" s="245"/>
      <c r="G120" s="245"/>
      <c r="H120" s="78" t="s">
        <v>106</v>
      </c>
      <c r="I120" s="245"/>
      <c r="J120" s="251"/>
    </row>
    <row r="121" spans="2:10" x14ac:dyDescent="0.2">
      <c r="B121" s="201"/>
      <c r="C121" s="211"/>
      <c r="D121" s="29" t="s">
        <v>57</v>
      </c>
      <c r="E121" s="29" t="s">
        <v>57</v>
      </c>
      <c r="F121" s="29" t="s">
        <v>57</v>
      </c>
      <c r="G121" s="29" t="s">
        <v>57</v>
      </c>
      <c r="H121" s="29" t="s">
        <v>57</v>
      </c>
      <c r="I121" s="29" t="s">
        <v>57</v>
      </c>
      <c r="J121" s="29" t="s">
        <v>57</v>
      </c>
    </row>
    <row r="122" spans="2:10" ht="12.75" customHeight="1" x14ac:dyDescent="0.2">
      <c r="B122" s="204"/>
      <c r="C122" s="252" t="s">
        <v>226</v>
      </c>
      <c r="D122" s="253">
        <v>0</v>
      </c>
      <c r="E122" s="253">
        <v>0</v>
      </c>
      <c r="F122" s="253">
        <v>0</v>
      </c>
      <c r="G122" s="253"/>
      <c r="H122" s="254"/>
      <c r="I122" s="335"/>
      <c r="J122" s="253"/>
    </row>
    <row r="123" spans="2:10" ht="12.75" customHeight="1" x14ac:dyDescent="0.2">
      <c r="B123" s="204"/>
      <c r="C123" s="255" t="s">
        <v>238</v>
      </c>
      <c r="D123" s="253">
        <v>0</v>
      </c>
      <c r="E123" s="253">
        <v>0</v>
      </c>
      <c r="F123" s="253">
        <v>0</v>
      </c>
      <c r="G123" s="253"/>
      <c r="H123" s="254"/>
      <c r="I123" s="335"/>
      <c r="J123" s="253"/>
    </row>
    <row r="124" spans="2:10" ht="12.75" customHeight="1" x14ac:dyDescent="0.2">
      <c r="B124" s="204"/>
      <c r="C124" s="252" t="s">
        <v>239</v>
      </c>
      <c r="D124" s="253">
        <v>0</v>
      </c>
      <c r="E124" s="253">
        <v>0</v>
      </c>
      <c r="F124" s="253">
        <v>0</v>
      </c>
      <c r="G124" s="253"/>
      <c r="H124" s="254"/>
      <c r="I124" s="335"/>
      <c r="J124" s="253"/>
    </row>
    <row r="125" spans="2:10" ht="12.75" customHeight="1" x14ac:dyDescent="0.2">
      <c r="B125" s="204"/>
      <c r="C125" s="252" t="s">
        <v>240</v>
      </c>
      <c r="D125" s="253">
        <v>4954478.709999999</v>
      </c>
      <c r="E125" s="253">
        <v>0</v>
      </c>
      <c r="F125" s="253">
        <v>4954478.709999999</v>
      </c>
      <c r="G125" s="253"/>
      <c r="H125" s="254"/>
      <c r="I125" s="335"/>
      <c r="J125" s="253"/>
    </row>
    <row r="126" spans="2:10" ht="12.75" customHeight="1" x14ac:dyDescent="0.2">
      <c r="B126" s="204"/>
      <c r="C126" s="252" t="s">
        <v>241</v>
      </c>
      <c r="D126" s="253">
        <v>0</v>
      </c>
      <c r="E126" s="253">
        <v>0</v>
      </c>
      <c r="F126" s="253">
        <v>0</v>
      </c>
      <c r="G126" s="253"/>
      <c r="H126" s="254"/>
      <c r="I126" s="335"/>
      <c r="J126" s="253"/>
    </row>
    <row r="127" spans="2:10" ht="12.75" customHeight="1" x14ac:dyDescent="0.2">
      <c r="B127" s="204"/>
      <c r="C127" s="252" t="s">
        <v>433</v>
      </c>
      <c r="D127" s="253">
        <v>0</v>
      </c>
      <c r="E127" s="253">
        <v>0</v>
      </c>
      <c r="F127" s="253">
        <v>0</v>
      </c>
      <c r="G127" s="253"/>
      <c r="H127" s="254"/>
      <c r="I127" s="335"/>
      <c r="J127" s="253"/>
    </row>
    <row r="128" spans="2:10" ht="12.75" customHeight="1" x14ac:dyDescent="0.2">
      <c r="B128" s="204"/>
      <c r="C128" s="252"/>
      <c r="D128" s="253"/>
      <c r="E128" s="253"/>
      <c r="F128" s="253"/>
      <c r="G128" s="253"/>
      <c r="H128" s="254"/>
      <c r="I128" s="335"/>
      <c r="J128" s="253"/>
    </row>
    <row r="129" spans="2:10" ht="12.75" customHeight="1" x14ac:dyDescent="0.2">
      <c r="B129" s="204"/>
      <c r="C129" s="256" t="s">
        <v>229</v>
      </c>
      <c r="D129" s="209">
        <f t="shared" ref="D129:F129" si="10">SUM(D118:D128)</f>
        <v>4954478.709999999</v>
      </c>
      <c r="E129" s="209">
        <f t="shared" si="10"/>
        <v>0</v>
      </c>
      <c r="F129" s="209">
        <f t="shared" si="10"/>
        <v>4954478.709999999</v>
      </c>
      <c r="G129" s="209"/>
      <c r="H129" s="209">
        <f t="shared" ref="H129" si="11">SUM(H118:H128)</f>
        <v>0</v>
      </c>
      <c r="I129" s="376"/>
      <c r="J129" s="209">
        <f t="shared" ref="J129" si="12">SUM(J118:J128)</f>
        <v>0</v>
      </c>
    </row>
    <row r="131" spans="2:10" ht="12.75" customHeight="1" x14ac:dyDescent="0.2">
      <c r="B131" s="667" t="s">
        <v>243</v>
      </c>
      <c r="C131" s="668"/>
      <c r="D131" s="671" t="s">
        <v>431</v>
      </c>
      <c r="E131" s="672"/>
      <c r="F131" s="672"/>
      <c r="G131" s="672"/>
      <c r="H131" s="672"/>
      <c r="I131" s="672"/>
      <c r="J131" s="673"/>
    </row>
    <row r="132" spans="2:10" x14ac:dyDescent="0.2">
      <c r="B132" s="235"/>
      <c r="C132" s="235"/>
      <c r="D132" s="410"/>
      <c r="E132" s="410"/>
      <c r="F132" s="410"/>
      <c r="G132" s="410"/>
      <c r="H132" s="410"/>
      <c r="I132" s="410"/>
      <c r="J132" s="410"/>
    </row>
    <row r="133" spans="2:10" ht="48.75" customHeight="1" x14ac:dyDescent="0.2">
      <c r="B133" s="667" t="s">
        <v>244</v>
      </c>
      <c r="C133" s="668"/>
      <c r="D133" s="671" t="s">
        <v>431</v>
      </c>
      <c r="E133" s="672"/>
      <c r="F133" s="672"/>
      <c r="G133" s="672"/>
      <c r="H133" s="672"/>
      <c r="I133" s="672"/>
      <c r="J133" s="673"/>
    </row>
    <row r="134" spans="2:10" x14ac:dyDescent="0.2">
      <c r="B134" s="235"/>
      <c r="C134" s="235"/>
      <c r="D134" s="235"/>
      <c r="E134" s="235"/>
      <c r="F134" s="235"/>
      <c r="G134" s="235"/>
      <c r="H134" s="235"/>
    </row>
    <row r="135" spans="2:10" ht="15.75" x14ac:dyDescent="0.25">
      <c r="B135" s="257" t="s">
        <v>434</v>
      </c>
      <c r="C135" s="235"/>
      <c r="D135" s="235"/>
      <c r="E135" s="235"/>
      <c r="F135" s="235"/>
      <c r="G135" s="235"/>
      <c r="H135" s="235"/>
    </row>
    <row r="137" spans="2:10" ht="38.25" x14ac:dyDescent="0.2">
      <c r="B137" s="193" t="s">
        <v>59</v>
      </c>
      <c r="C137" s="250" t="s">
        <v>237</v>
      </c>
      <c r="D137" s="195" t="s">
        <v>217</v>
      </c>
      <c r="E137" s="195" t="s">
        <v>54</v>
      </c>
      <c r="F137" s="199" t="s">
        <v>65</v>
      </c>
      <c r="G137" s="197" t="s">
        <v>73</v>
      </c>
      <c r="H137" s="198" t="s">
        <v>74</v>
      </c>
      <c r="I137" s="199" t="s">
        <v>66</v>
      </c>
      <c r="J137" s="200" t="s">
        <v>67</v>
      </c>
    </row>
    <row r="138" spans="2:10" x14ac:dyDescent="0.2">
      <c r="B138" s="258"/>
      <c r="C138" s="259"/>
      <c r="D138" s="244"/>
      <c r="E138" s="244"/>
      <c r="F138" s="245"/>
      <c r="G138" s="245"/>
      <c r="H138" s="78" t="s">
        <v>106</v>
      </c>
      <c r="I138" s="245"/>
      <c r="J138" s="251"/>
    </row>
    <row r="139" spans="2:10" x14ac:dyDescent="0.2">
      <c r="B139" s="29"/>
      <c r="C139" s="29"/>
      <c r="D139" s="29" t="s">
        <v>57</v>
      </c>
      <c r="E139" s="29" t="s">
        <v>57</v>
      </c>
      <c r="F139" s="29" t="s">
        <v>57</v>
      </c>
      <c r="G139" s="29" t="s">
        <v>57</v>
      </c>
      <c r="H139" s="29" t="s">
        <v>57</v>
      </c>
      <c r="I139" s="29" t="s">
        <v>57</v>
      </c>
      <c r="J139" s="29" t="s">
        <v>57</v>
      </c>
    </row>
    <row r="140" spans="2:10" x14ac:dyDescent="0.2">
      <c r="B140" s="204"/>
      <c r="C140" s="253"/>
      <c r="D140" s="253"/>
      <c r="E140" s="253"/>
      <c r="F140" s="253"/>
      <c r="G140" s="253"/>
      <c r="H140" s="253"/>
      <c r="I140" s="377"/>
      <c r="J140" s="253"/>
    </row>
    <row r="141" spans="2:10" x14ac:dyDescent="0.2">
      <c r="B141" s="204"/>
      <c r="C141" s="253"/>
      <c r="D141" s="253"/>
      <c r="E141" s="253"/>
      <c r="F141" s="253"/>
      <c r="G141" s="253"/>
      <c r="H141" s="253"/>
      <c r="I141" s="377"/>
      <c r="J141" s="253"/>
    </row>
    <row r="142" spans="2:10" x14ac:dyDescent="0.2">
      <c r="B142" s="204"/>
      <c r="C142" s="253"/>
      <c r="D142" s="253"/>
      <c r="E142" s="253"/>
      <c r="F142" s="253"/>
      <c r="G142" s="253"/>
      <c r="H142" s="253"/>
      <c r="I142" s="377"/>
      <c r="J142" s="253"/>
    </row>
    <row r="143" spans="2:10" ht="18" customHeight="1" x14ac:dyDescent="0.25">
      <c r="B143" s="87" t="s">
        <v>436</v>
      </c>
    </row>
    <row r="144" spans="2:10" x14ac:dyDescent="0.2">
      <c r="B144" s="188"/>
      <c r="C144" s="189"/>
      <c r="D144" s="190"/>
      <c r="E144" s="190"/>
      <c r="F144" s="191"/>
      <c r="G144" s="191"/>
      <c r="H144" s="192"/>
    </row>
    <row r="145" spans="2:10" ht="40.15" customHeight="1" x14ac:dyDescent="0.2">
      <c r="B145" s="193" t="s">
        <v>59</v>
      </c>
      <c r="C145" s="411" t="s">
        <v>439</v>
      </c>
      <c r="D145" s="195" t="s">
        <v>217</v>
      </c>
      <c r="E145" s="195" t="s">
        <v>54</v>
      </c>
      <c r="F145" s="199" t="s">
        <v>65</v>
      </c>
      <c r="G145" s="197" t="s">
        <v>73</v>
      </c>
      <c r="H145" s="198" t="s">
        <v>74</v>
      </c>
      <c r="I145" s="199" t="s">
        <v>66</v>
      </c>
      <c r="J145" s="200" t="s">
        <v>67</v>
      </c>
    </row>
    <row r="146" spans="2:10" ht="15" customHeight="1" x14ac:dyDescent="0.2">
      <c r="B146" s="193"/>
      <c r="C146" s="195"/>
      <c r="D146" s="244"/>
      <c r="E146" s="244"/>
      <c r="F146" s="245"/>
      <c r="G146" s="245"/>
      <c r="H146" s="78" t="s">
        <v>106</v>
      </c>
      <c r="I146" s="245"/>
      <c r="J146" s="251"/>
    </row>
    <row r="147" spans="2:10" x14ac:dyDescent="0.2">
      <c r="B147" s="201"/>
      <c r="C147" s="211"/>
      <c r="D147" s="29" t="s">
        <v>57</v>
      </c>
      <c r="E147" s="29" t="s">
        <v>57</v>
      </c>
      <c r="F147" s="29" t="s">
        <v>57</v>
      </c>
      <c r="G147" s="29" t="s">
        <v>57</v>
      </c>
      <c r="H147" s="29" t="s">
        <v>57</v>
      </c>
      <c r="I147" s="29" t="s">
        <v>57</v>
      </c>
      <c r="J147" s="29" t="s">
        <v>57</v>
      </c>
    </row>
    <row r="148" spans="2:10" ht="12.75" customHeight="1" x14ac:dyDescent="0.2">
      <c r="B148" s="204"/>
      <c r="C148" s="252" t="s">
        <v>226</v>
      </c>
      <c r="D148" s="253">
        <v>0</v>
      </c>
      <c r="E148" s="253">
        <v>0</v>
      </c>
      <c r="F148" s="253">
        <v>0</v>
      </c>
      <c r="G148" s="253"/>
      <c r="H148" s="254"/>
      <c r="I148" s="335"/>
      <c r="J148" s="253"/>
    </row>
    <row r="149" spans="2:10" ht="12.75" customHeight="1" x14ac:dyDescent="0.2">
      <c r="B149" s="204"/>
      <c r="C149" s="255" t="s">
        <v>238</v>
      </c>
      <c r="D149" s="253">
        <v>0</v>
      </c>
      <c r="E149" s="253">
        <v>0</v>
      </c>
      <c r="F149" s="253">
        <v>0</v>
      </c>
      <c r="G149" s="253"/>
      <c r="H149" s="254"/>
      <c r="I149" s="335"/>
      <c r="J149" s="253"/>
    </row>
    <row r="150" spans="2:10" ht="12.75" customHeight="1" x14ac:dyDescent="0.2">
      <c r="B150" s="204"/>
      <c r="C150" s="252" t="s">
        <v>239</v>
      </c>
      <c r="D150" s="253">
        <v>0</v>
      </c>
      <c r="E150" s="253">
        <v>0</v>
      </c>
      <c r="F150" s="253">
        <v>0</v>
      </c>
      <c r="G150" s="253"/>
      <c r="H150" s="254"/>
      <c r="I150" s="335"/>
      <c r="J150" s="253"/>
    </row>
    <row r="151" spans="2:10" ht="12.75" customHeight="1" x14ac:dyDescent="0.2">
      <c r="B151" s="204"/>
      <c r="C151" s="252" t="s">
        <v>240</v>
      </c>
      <c r="D151" s="253">
        <v>0</v>
      </c>
      <c r="E151" s="253">
        <v>0</v>
      </c>
      <c r="F151" s="253">
        <v>0</v>
      </c>
      <c r="G151" s="253"/>
      <c r="H151" s="254"/>
      <c r="I151" s="335"/>
      <c r="J151" s="253"/>
    </row>
    <row r="152" spans="2:10" ht="12.75" customHeight="1" x14ac:dyDescent="0.2">
      <c r="B152" s="204"/>
      <c r="C152" s="252" t="s">
        <v>241</v>
      </c>
      <c r="D152" s="253">
        <v>1960000</v>
      </c>
      <c r="E152" s="253">
        <v>0</v>
      </c>
      <c r="F152" s="253">
        <v>1960000</v>
      </c>
      <c r="G152" s="253"/>
      <c r="H152" s="254"/>
      <c r="I152" s="335"/>
      <c r="J152" s="253"/>
    </row>
    <row r="153" spans="2:10" ht="12.75" customHeight="1" x14ac:dyDescent="0.2">
      <c r="B153" s="204"/>
      <c r="C153" s="252" t="s">
        <v>437</v>
      </c>
      <c r="D153" s="253">
        <v>0</v>
      </c>
      <c r="E153" s="253">
        <v>0</v>
      </c>
      <c r="F153" s="253">
        <v>0</v>
      </c>
      <c r="G153" s="253"/>
      <c r="H153" s="254"/>
      <c r="I153" s="335"/>
      <c r="J153" s="253"/>
    </row>
    <row r="154" spans="2:10" ht="12.75" customHeight="1" x14ac:dyDescent="0.2">
      <c r="B154" s="204"/>
      <c r="C154" s="252"/>
      <c r="D154" s="253"/>
      <c r="E154" s="253"/>
      <c r="F154" s="253"/>
      <c r="G154" s="253"/>
      <c r="H154" s="254"/>
      <c r="I154" s="335"/>
      <c r="J154" s="253"/>
    </row>
    <row r="155" spans="2:10" ht="12.75" customHeight="1" x14ac:dyDescent="0.2">
      <c r="B155" s="204"/>
      <c r="C155" s="256" t="s">
        <v>229</v>
      </c>
      <c r="D155" s="209">
        <f t="shared" ref="D155:F155" si="13">SUM(D144:D154)</f>
        <v>1960000</v>
      </c>
      <c r="E155" s="209">
        <f t="shared" si="13"/>
        <v>0</v>
      </c>
      <c r="F155" s="209">
        <f t="shared" si="13"/>
        <v>1960000</v>
      </c>
      <c r="G155" s="209"/>
      <c r="H155" s="209">
        <f t="shared" ref="H155" si="14">SUM(H144:H154)</f>
        <v>0</v>
      </c>
      <c r="I155" s="376"/>
      <c r="J155" s="209">
        <f t="shared" ref="J155" si="15">SUM(J144:J154)</f>
        <v>0</v>
      </c>
    </row>
    <row r="157" spans="2:10" ht="12.75" customHeight="1" x14ac:dyDescent="0.2">
      <c r="B157" s="667" t="s">
        <v>243</v>
      </c>
      <c r="C157" s="668"/>
      <c r="D157" s="671" t="s">
        <v>431</v>
      </c>
      <c r="E157" s="672"/>
      <c r="F157" s="672"/>
      <c r="G157" s="672"/>
      <c r="H157" s="672"/>
      <c r="I157" s="672"/>
      <c r="J157" s="673"/>
    </row>
    <row r="158" spans="2:10" x14ac:dyDescent="0.2">
      <c r="B158" s="235"/>
      <c r="C158" s="235"/>
      <c r="D158" s="410"/>
      <c r="E158" s="410"/>
      <c r="F158" s="410"/>
      <c r="G158" s="410"/>
      <c r="H158" s="410"/>
      <c r="I158" s="410"/>
      <c r="J158" s="410"/>
    </row>
    <row r="159" spans="2:10" ht="48.75" customHeight="1" x14ac:dyDescent="0.2">
      <c r="B159" s="667" t="s">
        <v>244</v>
      </c>
      <c r="C159" s="668"/>
      <c r="D159" s="671" t="s">
        <v>431</v>
      </c>
      <c r="E159" s="672"/>
      <c r="F159" s="672"/>
      <c r="G159" s="672"/>
      <c r="H159" s="672"/>
      <c r="I159" s="672"/>
      <c r="J159" s="673"/>
    </row>
    <row r="160" spans="2:10" x14ac:dyDescent="0.2">
      <c r="B160" s="235"/>
      <c r="C160" s="235"/>
      <c r="D160" s="235"/>
      <c r="E160" s="235"/>
      <c r="F160" s="235"/>
      <c r="G160" s="235"/>
      <c r="H160" s="235"/>
    </row>
    <row r="161" spans="2:10" ht="15.75" x14ac:dyDescent="0.25">
      <c r="B161" s="257" t="s">
        <v>438</v>
      </c>
      <c r="C161" s="235"/>
      <c r="D161" s="235"/>
      <c r="E161" s="235"/>
      <c r="F161" s="235"/>
      <c r="G161" s="235"/>
      <c r="H161" s="235"/>
    </row>
    <row r="163" spans="2:10" ht="38.25" x14ac:dyDescent="0.2">
      <c r="B163" s="193" t="s">
        <v>59</v>
      </c>
      <c r="C163" s="250" t="s">
        <v>237</v>
      </c>
      <c r="D163" s="195" t="s">
        <v>217</v>
      </c>
      <c r="E163" s="195" t="s">
        <v>54</v>
      </c>
      <c r="F163" s="199" t="s">
        <v>65</v>
      </c>
      <c r="G163" s="197" t="s">
        <v>73</v>
      </c>
      <c r="H163" s="198" t="s">
        <v>74</v>
      </c>
      <c r="I163" s="199" t="s">
        <v>66</v>
      </c>
      <c r="J163" s="200" t="s">
        <v>67</v>
      </c>
    </row>
    <row r="164" spans="2:10" x14ac:dyDescent="0.2">
      <c r="B164" s="258"/>
      <c r="C164" s="259"/>
      <c r="D164" s="244"/>
      <c r="E164" s="244"/>
      <c r="F164" s="245"/>
      <c r="G164" s="245"/>
      <c r="H164" s="78" t="s">
        <v>106</v>
      </c>
      <c r="I164" s="245"/>
      <c r="J164" s="251"/>
    </row>
    <row r="165" spans="2:10" x14ac:dyDescent="0.2">
      <c r="B165" s="29"/>
      <c r="C165" s="29"/>
      <c r="D165" s="29" t="s">
        <v>57</v>
      </c>
      <c r="E165" s="29" t="s">
        <v>57</v>
      </c>
      <c r="F165" s="29" t="s">
        <v>57</v>
      </c>
      <c r="G165" s="29" t="s">
        <v>57</v>
      </c>
      <c r="H165" s="29" t="s">
        <v>57</v>
      </c>
      <c r="I165" s="29" t="s">
        <v>57</v>
      </c>
      <c r="J165" s="29" t="s">
        <v>57</v>
      </c>
    </row>
    <row r="166" spans="2:10" x14ac:dyDescent="0.2">
      <c r="B166" s="204"/>
      <c r="C166" s="253"/>
      <c r="D166" s="253"/>
      <c r="E166" s="253"/>
      <c r="F166" s="253"/>
      <c r="G166" s="253"/>
      <c r="H166" s="253"/>
      <c r="I166" s="377"/>
      <c r="J166" s="253"/>
    </row>
    <row r="167" spans="2:10" x14ac:dyDescent="0.2">
      <c r="B167" s="204"/>
      <c r="C167" s="253"/>
      <c r="D167" s="253"/>
      <c r="E167" s="253"/>
      <c r="F167" s="253"/>
      <c r="G167" s="253"/>
      <c r="H167" s="253"/>
      <c r="I167" s="377"/>
      <c r="J167" s="253"/>
    </row>
    <row r="168" spans="2:10" x14ac:dyDescent="0.2">
      <c r="B168" s="204"/>
      <c r="C168" s="253"/>
      <c r="D168" s="253"/>
      <c r="E168" s="253"/>
      <c r="F168" s="253"/>
      <c r="G168" s="253"/>
      <c r="H168" s="253"/>
      <c r="I168" s="377"/>
      <c r="J168" s="253"/>
    </row>
  </sheetData>
  <mergeCells count="27">
    <mergeCell ref="B159:C159"/>
    <mergeCell ref="D159:J159"/>
    <mergeCell ref="B131:C131"/>
    <mergeCell ref="D131:J131"/>
    <mergeCell ref="B133:C133"/>
    <mergeCell ref="D133:J133"/>
    <mergeCell ref="B157:C157"/>
    <mergeCell ref="D157:J157"/>
    <mergeCell ref="B79:C79"/>
    <mergeCell ref="D79:J79"/>
    <mergeCell ref="B104:C104"/>
    <mergeCell ref="D104:J104"/>
    <mergeCell ref="B106:C106"/>
    <mergeCell ref="D106:J106"/>
    <mergeCell ref="B50:C50"/>
    <mergeCell ref="D50:J50"/>
    <mergeCell ref="B52:C52"/>
    <mergeCell ref="D52:J52"/>
    <mergeCell ref="B77:C77"/>
    <mergeCell ref="D77:J77"/>
    <mergeCell ref="B2:C2"/>
    <mergeCell ref="B23:C23"/>
    <mergeCell ref="B25:C25"/>
    <mergeCell ref="B5:E5"/>
    <mergeCell ref="B7:E7"/>
    <mergeCell ref="D23:J23"/>
    <mergeCell ref="D25:J25"/>
  </mergeCells>
  <pageMargins left="0.35433070866141736" right="0.35433070866141736" top="0.59055118110236227" bottom="0.59055118110236227" header="0.51181102362204722" footer="0.11811023622047245"/>
  <pageSetup paperSize="9" scale="77" fitToHeight="100" orientation="landscape" r:id="rId1"/>
  <headerFooter scaleWithDoc="0" alignWithMargins="0">
    <oddFooter>&amp;L&amp;8&amp;D&amp;C&amp;8&amp; Template: &amp;A
&amp;F&amp;R&amp;8&amp;P of &amp;N</oddFooter>
  </headerFooter>
  <rowBreaks count="4" manualBreakCount="4">
    <brk id="62" max="16383" man="1"/>
    <brk id="89" max="16383" man="1"/>
    <brk id="116" max="16383" man="1"/>
    <brk id="142" max="16383" man="1"/>
  </rowBreaks>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N40"/>
  <sheetViews>
    <sheetView zoomScaleNormal="100" zoomScaleSheetLayoutView="85" workbookViewId="0">
      <selection activeCell="C35" sqref="C35"/>
    </sheetView>
  </sheetViews>
  <sheetFormatPr defaultRowHeight="12.75" x14ac:dyDescent="0.2"/>
  <cols>
    <col min="1" max="1" width="12.140625" style="48" customWidth="1"/>
    <col min="2" max="2" width="21" style="48" customWidth="1"/>
    <col min="3" max="3" width="42.28515625" style="48" customWidth="1"/>
    <col min="4" max="12" width="15.7109375" style="48" customWidth="1"/>
    <col min="13" max="13" width="88.5703125" style="48" customWidth="1"/>
    <col min="14" max="14" width="11.28515625" style="48" bestFit="1" customWidth="1"/>
    <col min="15" max="15" width="25.140625" style="48" customWidth="1"/>
    <col min="16" max="16384" width="9.140625" style="48"/>
  </cols>
  <sheetData>
    <row r="1" spans="2:14" ht="20.25" x14ac:dyDescent="0.3">
      <c r="B1" s="26" t="str">
        <f>Cover!C22</f>
        <v>ActewAGL</v>
      </c>
      <c r="C1" s="27"/>
      <c r="D1" s="27"/>
      <c r="E1" s="27"/>
      <c r="F1" s="27"/>
      <c r="G1" s="27"/>
      <c r="H1" s="27"/>
      <c r="I1" s="27"/>
      <c r="J1" s="27"/>
    </row>
    <row r="2" spans="2:14" ht="20.25" x14ac:dyDescent="0.3">
      <c r="B2" s="674" t="s">
        <v>60</v>
      </c>
      <c r="C2" s="674"/>
      <c r="D2" s="49"/>
    </row>
    <row r="3" spans="2:14" ht="20.25" x14ac:dyDescent="0.3">
      <c r="B3" s="26" t="str">
        <f>Cover!C26</f>
        <v>2012-13</v>
      </c>
    </row>
    <row r="4" spans="2:14" ht="20.25" x14ac:dyDescent="0.3">
      <c r="B4" s="26"/>
    </row>
    <row r="5" spans="2:14" ht="59.25" customHeight="1" x14ac:dyDescent="0.2">
      <c r="B5" s="563" t="s">
        <v>246</v>
      </c>
      <c r="C5" s="678"/>
      <c r="D5" s="591"/>
    </row>
    <row r="6" spans="2:14" ht="20.25" x14ac:dyDescent="0.3">
      <c r="B6" s="26"/>
    </row>
    <row r="7" spans="2:14" ht="15.75" x14ac:dyDescent="0.25">
      <c r="B7" s="54" t="s">
        <v>0</v>
      </c>
      <c r="C7" s="50"/>
      <c r="D7" s="50"/>
      <c r="E7" s="51"/>
      <c r="F7" s="51"/>
      <c r="G7" s="52"/>
      <c r="H7" s="52"/>
      <c r="I7" s="52"/>
    </row>
    <row r="8" spans="2:14" ht="15.75" x14ac:dyDescent="0.25">
      <c r="B8" s="54"/>
      <c r="C8" s="50"/>
      <c r="D8" s="50"/>
      <c r="E8" s="51"/>
      <c r="F8" s="51"/>
      <c r="G8" s="52"/>
      <c r="H8" s="52"/>
      <c r="I8" s="52"/>
    </row>
    <row r="9" spans="2:14" ht="40.5" customHeight="1" x14ac:dyDescent="0.2">
      <c r="B9" s="55" t="s">
        <v>62</v>
      </c>
      <c r="C9" s="55" t="s">
        <v>61</v>
      </c>
      <c r="D9" s="56" t="s">
        <v>63</v>
      </c>
      <c r="E9" s="56" t="s">
        <v>64</v>
      </c>
      <c r="F9" s="56" t="s">
        <v>65</v>
      </c>
      <c r="G9" s="675" t="s">
        <v>73</v>
      </c>
      <c r="H9" s="676"/>
      <c r="I9" s="677"/>
      <c r="J9" s="53" t="s">
        <v>74</v>
      </c>
      <c r="K9" s="56" t="s">
        <v>66</v>
      </c>
      <c r="L9" s="55" t="s">
        <v>67</v>
      </c>
      <c r="M9" s="56" t="s">
        <v>68</v>
      </c>
    </row>
    <row r="10" spans="2:14" ht="16.5" customHeight="1" x14ac:dyDescent="0.2">
      <c r="B10" s="55"/>
      <c r="C10" s="55"/>
      <c r="D10" s="56"/>
      <c r="E10" s="56"/>
      <c r="F10" s="56"/>
      <c r="G10" s="53" t="s">
        <v>15</v>
      </c>
      <c r="H10" s="56" t="s">
        <v>16</v>
      </c>
      <c r="I10" s="56" t="s">
        <v>90</v>
      </c>
      <c r="J10" s="78" t="s">
        <v>106</v>
      </c>
      <c r="K10" s="56"/>
      <c r="L10" s="55"/>
      <c r="M10" s="56"/>
    </row>
    <row r="11" spans="2:14" x14ac:dyDescent="0.2">
      <c r="B11" s="57"/>
      <c r="C11" s="57"/>
      <c r="D11" s="29" t="s">
        <v>57</v>
      </c>
      <c r="E11" s="29" t="s">
        <v>57</v>
      </c>
      <c r="F11" s="29" t="s">
        <v>57</v>
      </c>
      <c r="G11" s="29" t="s">
        <v>57</v>
      </c>
      <c r="H11" s="29" t="s">
        <v>57</v>
      </c>
      <c r="I11" s="28"/>
      <c r="J11" s="29" t="s">
        <v>57</v>
      </c>
      <c r="K11" s="29" t="s">
        <v>57</v>
      </c>
      <c r="L11" s="29" t="s">
        <v>57</v>
      </c>
      <c r="M11" s="58"/>
    </row>
    <row r="12" spans="2:14" x14ac:dyDescent="0.2">
      <c r="B12" s="60"/>
      <c r="C12" s="59" t="s">
        <v>473</v>
      </c>
      <c r="D12" s="493">
        <f>SUM(D24)</f>
        <v>2969069.879999998</v>
      </c>
      <c r="E12" s="493">
        <f>D12-F12</f>
        <v>584511.51890350413</v>
      </c>
      <c r="F12" s="493">
        <f>H12+J12+L12</f>
        <v>2384558.3610964939</v>
      </c>
      <c r="G12" s="493">
        <v>0</v>
      </c>
      <c r="H12" s="493">
        <f>N12-J12-L12</f>
        <v>2338787.8384159557</v>
      </c>
      <c r="I12" s="494" t="e">
        <f>(H12-G12)/G12</f>
        <v>#DIV/0!</v>
      </c>
      <c r="J12" s="493">
        <f>$N12/$N$22*J$22</f>
        <v>7281.1067920221603</v>
      </c>
      <c r="K12" s="495"/>
      <c r="L12" s="493">
        <f>$N12/$N$22*L$22</f>
        <v>38489.415888516334</v>
      </c>
      <c r="M12" s="491" t="s">
        <v>467</v>
      </c>
      <c r="N12" s="492">
        <f>SUM(G24)</f>
        <v>2384558.3610964939</v>
      </c>
    </row>
    <row r="13" spans="2:14" x14ac:dyDescent="0.2">
      <c r="B13" s="60"/>
      <c r="C13" s="59" t="s">
        <v>474</v>
      </c>
      <c r="D13" s="493">
        <f>SUM(D25:D27)</f>
        <v>102856.92999999947</v>
      </c>
      <c r="E13" s="493">
        <f t="shared" ref="E13:E20" si="0">D13-F13</f>
        <v>460043.05539199314</v>
      </c>
      <c r="F13" s="493">
        <f t="shared" ref="F13:F20" si="1">H13+J13+L13</f>
        <v>-357186.12539199367</v>
      </c>
      <c r="G13" s="493">
        <v>0</v>
      </c>
      <c r="H13" s="493">
        <f t="shared" ref="H13:H20" si="2">N13-J13-L13</f>
        <v>-350330.09874984832</v>
      </c>
      <c r="I13" s="494" t="e">
        <f t="shared" ref="I13:I20" si="3">(H13-G13)/G13</f>
        <v>#DIV/0!</v>
      </c>
      <c r="J13" s="493">
        <f t="shared" ref="J13:L20" si="4">$N13/$N$22*J$22</f>
        <v>-1090.6465390143931</v>
      </c>
      <c r="K13" s="495"/>
      <c r="L13" s="493">
        <f t="shared" si="4"/>
        <v>-5765.3801031309158</v>
      </c>
      <c r="M13" s="491" t="s">
        <v>468</v>
      </c>
      <c r="N13" s="492">
        <f>SUM(G25:G27)</f>
        <v>-357186.12539199367</v>
      </c>
    </row>
    <row r="14" spans="2:14" ht="25.5" x14ac:dyDescent="0.2">
      <c r="B14" s="60"/>
      <c r="C14" s="59" t="s">
        <v>475</v>
      </c>
      <c r="D14" s="493">
        <f>SUM(D28)</f>
        <v>1593291.2600000002</v>
      </c>
      <c r="E14" s="493">
        <f>D14-F14</f>
        <v>513517.08748907014</v>
      </c>
      <c r="F14" s="493">
        <f>H14+J14+L14</f>
        <v>1079774.1725109301</v>
      </c>
      <c r="G14" s="493">
        <v>0</v>
      </c>
      <c r="H14" s="493">
        <f>N14-J14-L14</f>
        <v>1059048.3940778763</v>
      </c>
      <c r="I14" s="494" t="e">
        <f t="shared" si="3"/>
        <v>#DIV/0!</v>
      </c>
      <c r="J14" s="493">
        <f t="shared" si="4"/>
        <v>3297.0260613392043</v>
      </c>
      <c r="K14" s="495"/>
      <c r="L14" s="493">
        <f t="shared" si="4"/>
        <v>17428.752371714338</v>
      </c>
      <c r="M14" s="491" t="s">
        <v>469</v>
      </c>
      <c r="N14" s="492">
        <f>SUM(G28)</f>
        <v>1079774.1725109301</v>
      </c>
    </row>
    <row r="15" spans="2:14" ht="25.5" x14ac:dyDescent="0.2">
      <c r="B15" s="60"/>
      <c r="C15" s="59" t="s">
        <v>476</v>
      </c>
      <c r="D15" s="493">
        <f>SUM(D29)</f>
        <v>7839752.6000000043</v>
      </c>
      <c r="E15" s="493">
        <f t="shared" si="0"/>
        <v>1643405.8874217039</v>
      </c>
      <c r="F15" s="493">
        <f t="shared" si="1"/>
        <v>6196346.7125783004</v>
      </c>
      <c r="G15" s="493">
        <v>0</v>
      </c>
      <c r="H15" s="493">
        <f>N15-J15-L15</f>
        <v>6077410.6310079871</v>
      </c>
      <c r="I15" s="494" t="e">
        <f t="shared" si="3"/>
        <v>#DIV/0!</v>
      </c>
      <c r="J15" s="493">
        <f t="shared" si="4"/>
        <v>18920.175270498388</v>
      </c>
      <c r="K15" s="495"/>
      <c r="L15" s="493">
        <f t="shared" si="4"/>
        <v>100015.90629981495</v>
      </c>
      <c r="M15" s="491" t="s">
        <v>469</v>
      </c>
      <c r="N15" s="492">
        <f>SUM(G29)</f>
        <v>6196346.7125783004</v>
      </c>
    </row>
    <row r="16" spans="2:14" x14ac:dyDescent="0.2">
      <c r="B16" s="60"/>
      <c r="C16" s="59" t="s">
        <v>477</v>
      </c>
      <c r="D16" s="493">
        <f>SUM(D30)</f>
        <v>2213721.0200000019</v>
      </c>
      <c r="E16" s="493">
        <f t="shared" si="0"/>
        <v>905966.8905989714</v>
      </c>
      <c r="F16" s="493">
        <f t="shared" si="1"/>
        <v>1307754.1294010305</v>
      </c>
      <c r="G16" s="493">
        <v>0</v>
      </c>
      <c r="H16" s="493">
        <f t="shared" si="2"/>
        <v>1282652.3784785687</v>
      </c>
      <c r="I16" s="494" t="e">
        <f t="shared" si="3"/>
        <v>#DIV/0!</v>
      </c>
      <c r="J16" s="493">
        <f t="shared" si="4"/>
        <v>3993.1492678998247</v>
      </c>
      <c r="K16" s="495"/>
      <c r="L16" s="493">
        <f t="shared" si="4"/>
        <v>21108.601654561902</v>
      </c>
      <c r="M16" s="491" t="s">
        <v>470</v>
      </c>
      <c r="N16" s="492">
        <f>SUM(G30)</f>
        <v>1307754.1294010305</v>
      </c>
    </row>
    <row r="17" spans="2:14" ht="25.5" x14ac:dyDescent="0.2">
      <c r="B17" s="60"/>
      <c r="C17" s="59" t="s">
        <v>478</v>
      </c>
      <c r="D17" s="493">
        <f>SUM(D31:D32)</f>
        <v>2972134.1999999997</v>
      </c>
      <c r="E17" s="493">
        <f t="shared" si="0"/>
        <v>618160.53765730653</v>
      </c>
      <c r="F17" s="493">
        <f t="shared" si="1"/>
        <v>2353973.6623426932</v>
      </c>
      <c r="G17" s="493">
        <v>0</v>
      </c>
      <c r="H17" s="493">
        <f t="shared" si="2"/>
        <v>2308790.1991658462</v>
      </c>
      <c r="I17" s="494" t="e">
        <f t="shared" si="3"/>
        <v>#DIV/0!</v>
      </c>
      <c r="J17" s="493">
        <f t="shared" si="4"/>
        <v>7187.718237788642</v>
      </c>
      <c r="K17" s="495"/>
      <c r="L17" s="493">
        <f t="shared" si="4"/>
        <v>37995.744939058546</v>
      </c>
      <c r="M17" s="491" t="s">
        <v>469</v>
      </c>
      <c r="N17" s="492">
        <f>SUM(G31:G32)</f>
        <v>2353973.6623426932</v>
      </c>
    </row>
    <row r="18" spans="2:14" ht="25.5" x14ac:dyDescent="0.2">
      <c r="B18" s="60"/>
      <c r="C18" s="59" t="s">
        <v>479</v>
      </c>
      <c r="D18" s="493">
        <f>SUM(D33)</f>
        <v>866394.93999999971</v>
      </c>
      <c r="E18" s="493">
        <f t="shared" si="0"/>
        <v>286255.58020132582</v>
      </c>
      <c r="F18" s="493">
        <f t="shared" si="1"/>
        <v>580139.35979867389</v>
      </c>
      <c r="G18" s="493">
        <v>0</v>
      </c>
      <c r="H18" s="493">
        <f t="shared" si="2"/>
        <v>569003.84633892856</v>
      </c>
      <c r="I18" s="494" t="e">
        <f t="shared" si="3"/>
        <v>#DIV/0!</v>
      </c>
      <c r="J18" s="493">
        <f t="shared" si="4"/>
        <v>1771.4209481571088</v>
      </c>
      <c r="K18" s="495"/>
      <c r="L18" s="493">
        <f t="shared" si="4"/>
        <v>9364.0925115882292</v>
      </c>
      <c r="M18" s="491" t="s">
        <v>469</v>
      </c>
      <c r="N18" s="492">
        <f>SUM(G33)</f>
        <v>580139.35979867389</v>
      </c>
    </row>
    <row r="19" spans="2:14" x14ac:dyDescent="0.2">
      <c r="B19" s="60"/>
      <c r="C19" s="59" t="s">
        <v>480</v>
      </c>
      <c r="D19" s="493">
        <f>SUM(D34)</f>
        <v>708829.51</v>
      </c>
      <c r="E19" s="493">
        <f t="shared" si="0"/>
        <v>92553.645071933977</v>
      </c>
      <c r="F19" s="493">
        <f t="shared" si="1"/>
        <v>616275.86492806603</v>
      </c>
      <c r="G19" s="493">
        <v>0</v>
      </c>
      <c r="H19" s="493">
        <f t="shared" si="2"/>
        <v>604446.72754424124</v>
      </c>
      <c r="I19" s="494" t="e">
        <f t="shared" si="3"/>
        <v>#DIV/0!</v>
      </c>
      <c r="J19" s="493">
        <f t="shared" si="4"/>
        <v>1881.7616121686087</v>
      </c>
      <c r="K19" s="495"/>
      <c r="L19" s="493">
        <f t="shared" si="4"/>
        <v>9947.3757716561904</v>
      </c>
      <c r="M19" s="491" t="s">
        <v>471</v>
      </c>
      <c r="N19" s="492">
        <f>SUM(G34)</f>
        <v>616275.86492806603</v>
      </c>
    </row>
    <row r="20" spans="2:14" x14ac:dyDescent="0.2">
      <c r="B20" s="60"/>
      <c r="C20" s="59" t="s">
        <v>481</v>
      </c>
      <c r="D20" s="493">
        <f>SUM(D35)</f>
        <v>2295312</v>
      </c>
      <c r="E20" s="493">
        <f t="shared" si="0"/>
        <v>0</v>
      </c>
      <c r="F20" s="493">
        <f t="shared" si="1"/>
        <v>2295312</v>
      </c>
      <c r="G20" s="493">
        <v>0</v>
      </c>
      <c r="H20" s="493">
        <f t="shared" si="2"/>
        <v>2251254.5209846389</v>
      </c>
      <c r="I20" s="494" t="e">
        <f t="shared" si="3"/>
        <v>#DIV/0!</v>
      </c>
      <c r="J20" s="493">
        <f t="shared" si="4"/>
        <v>7008.5983491404604</v>
      </c>
      <c r="K20" s="495"/>
      <c r="L20" s="493">
        <f t="shared" si="4"/>
        <v>37048.880666220444</v>
      </c>
      <c r="M20" s="491" t="s">
        <v>472</v>
      </c>
      <c r="N20" s="492">
        <f>SUM(G35)</f>
        <v>2295312</v>
      </c>
    </row>
    <row r="21" spans="2:14" x14ac:dyDescent="0.2">
      <c r="B21" s="60"/>
      <c r="C21" s="59"/>
      <c r="D21" s="493"/>
      <c r="E21" s="493"/>
      <c r="F21" s="493"/>
      <c r="G21" s="493"/>
      <c r="H21" s="493"/>
      <c r="I21" s="494" t="e">
        <f>(H21-G21)/G21</f>
        <v>#DIV/0!</v>
      </c>
      <c r="J21" s="493"/>
      <c r="K21" s="495"/>
      <c r="L21" s="496"/>
      <c r="M21" s="61"/>
    </row>
    <row r="22" spans="2:14" x14ac:dyDescent="0.2">
      <c r="B22" s="125"/>
      <c r="C22" s="62" t="s">
        <v>69</v>
      </c>
      <c r="D22" s="379">
        <f>SUM(D12:D21)</f>
        <v>21561362.340000007</v>
      </c>
      <c r="E22" s="379">
        <f t="shared" ref="E22:K22" si="5">SUM(E12:E21)</f>
        <v>5104414.2027358087</v>
      </c>
      <c r="F22" s="379">
        <f t="shared" si="5"/>
        <v>16456948.137264194</v>
      </c>
      <c r="G22" s="379">
        <f t="shared" si="5"/>
        <v>0</v>
      </c>
      <c r="H22" s="379">
        <f t="shared" si="5"/>
        <v>16141064.437264193</v>
      </c>
      <c r="I22" s="379" t="e">
        <f t="shared" si="5"/>
        <v>#DIV/0!</v>
      </c>
      <c r="J22" s="379">
        <f>'[6]Alternate P&amp;L'!$BA$67</f>
        <v>50250.310000000005</v>
      </c>
      <c r="K22" s="379">
        <f t="shared" si="5"/>
        <v>0</v>
      </c>
      <c r="L22" s="379">
        <f>[6]Unregulated!$BA$80</f>
        <v>265633.39</v>
      </c>
      <c r="M22" s="63"/>
      <c r="N22" s="492">
        <f>SUM(N12:N21)</f>
        <v>16456948.137264194</v>
      </c>
    </row>
    <row r="23" spans="2:14" ht="63.75" x14ac:dyDescent="0.2">
      <c r="C23" s="497"/>
      <c r="D23" s="504" t="s">
        <v>494</v>
      </c>
      <c r="E23" s="504" t="s">
        <v>495</v>
      </c>
      <c r="F23" s="504" t="s">
        <v>507</v>
      </c>
      <c r="G23" s="504"/>
    </row>
    <row r="24" spans="2:14" x14ac:dyDescent="0.2">
      <c r="C24" s="497" t="s">
        <v>484</v>
      </c>
      <c r="D24" s="498">
        <v>2969069.879999998</v>
      </c>
      <c r="E24" s="499">
        <v>2641673.1487928284</v>
      </c>
      <c r="F24" s="499">
        <f>E24/$E$40*$E$38</f>
        <v>-257114.78769633439</v>
      </c>
      <c r="G24" s="499">
        <f>SUM(E24:F24)</f>
        <v>2384558.3610964939</v>
      </c>
    </row>
    <row r="25" spans="2:14" x14ac:dyDescent="0.2">
      <c r="C25" s="497" t="s">
        <v>482</v>
      </c>
      <c r="D25" s="498">
        <v>-1493984.33</v>
      </c>
      <c r="E25" s="499">
        <v>-1495569.2700436309</v>
      </c>
      <c r="F25" s="499">
        <f t="shared" ref="F25:F34" si="6">E25/$E$40*$E$38</f>
        <v>145564.17607081743</v>
      </c>
      <c r="G25" s="499">
        <f t="shared" ref="G25:G35" si="7">SUM(E25:F25)</f>
        <v>-1350005.0939728133</v>
      </c>
    </row>
    <row r="26" spans="2:14" x14ac:dyDescent="0.2">
      <c r="C26" s="497" t="s">
        <v>483</v>
      </c>
      <c r="D26" s="498">
        <v>140593.35999999999</v>
      </c>
      <c r="E26" s="499"/>
      <c r="F26" s="499">
        <f t="shared" si="6"/>
        <v>0</v>
      </c>
      <c r="G26" s="499">
        <f t="shared" si="7"/>
        <v>0</v>
      </c>
    </row>
    <row r="27" spans="2:14" x14ac:dyDescent="0.2">
      <c r="C27" s="497" t="s">
        <v>485</v>
      </c>
      <c r="D27" s="498">
        <v>1456247.8999999997</v>
      </c>
      <c r="E27" s="520">
        <v>1099869.5832741715</v>
      </c>
      <c r="F27" s="520">
        <f t="shared" si="6"/>
        <v>-107050.61469335176</v>
      </c>
      <c r="G27" s="499">
        <f t="shared" si="7"/>
        <v>992818.96858081967</v>
      </c>
    </row>
    <row r="28" spans="2:14" x14ac:dyDescent="0.2">
      <c r="C28" s="497" t="s">
        <v>486</v>
      </c>
      <c r="D28" s="498">
        <v>1593291.2600000002</v>
      </c>
      <c r="E28" s="499">
        <v>1196200.7241334587</v>
      </c>
      <c r="F28" s="499">
        <f t="shared" si="6"/>
        <v>-116426.55162252851</v>
      </c>
      <c r="G28" s="499">
        <f t="shared" si="7"/>
        <v>1079774.1725109301</v>
      </c>
    </row>
    <row r="29" spans="2:14" x14ac:dyDescent="0.2">
      <c r="C29" s="497" t="s">
        <v>487</v>
      </c>
      <c r="D29" s="498">
        <v>7839752.6000000043</v>
      </c>
      <c r="E29" s="499">
        <v>6864467.2314507589</v>
      </c>
      <c r="F29" s="499">
        <f t="shared" si="6"/>
        <v>-668120.5188724586</v>
      </c>
      <c r="G29" s="499">
        <f t="shared" si="7"/>
        <v>6196346.7125783004</v>
      </c>
    </row>
    <row r="30" spans="2:14" x14ac:dyDescent="0.2">
      <c r="C30" s="497" t="s">
        <v>488</v>
      </c>
      <c r="D30" s="498">
        <v>2213721.0200000019</v>
      </c>
      <c r="E30" s="499">
        <v>1448762.5990722596</v>
      </c>
      <c r="F30" s="499">
        <f t="shared" si="6"/>
        <v>-141008.46967122902</v>
      </c>
      <c r="G30" s="499">
        <f t="shared" si="7"/>
        <v>1307754.1294010305</v>
      </c>
    </row>
    <row r="31" spans="2:14" x14ac:dyDescent="0.2">
      <c r="C31" s="497" t="s">
        <v>489</v>
      </c>
      <c r="D31" s="500">
        <v>2720611.9799999995</v>
      </c>
      <c r="E31" s="499">
        <v>2356268.4171639588</v>
      </c>
      <c r="F31" s="499">
        <f t="shared" si="6"/>
        <v>-229336.26520432223</v>
      </c>
      <c r="G31" s="499">
        <f t="shared" si="7"/>
        <v>2126932.1519596367</v>
      </c>
    </row>
    <row r="32" spans="2:14" x14ac:dyDescent="0.2">
      <c r="C32" s="497" t="s">
        <v>490</v>
      </c>
      <c r="D32" s="500">
        <v>251522.22000000015</v>
      </c>
      <c r="E32" s="499">
        <v>251522.24052276745</v>
      </c>
      <c r="F32" s="499">
        <f t="shared" si="6"/>
        <v>-24480.73013971094</v>
      </c>
      <c r="G32" s="499">
        <f t="shared" si="7"/>
        <v>227041.51038305651</v>
      </c>
    </row>
    <row r="33" spans="3:7" x14ac:dyDescent="0.2">
      <c r="C33" s="497" t="s">
        <v>491</v>
      </c>
      <c r="D33" s="498">
        <v>866394.93999999971</v>
      </c>
      <c r="E33" s="499">
        <v>642692.83333174943</v>
      </c>
      <c r="F33" s="499">
        <f t="shared" si="6"/>
        <v>-62553.473533075485</v>
      </c>
      <c r="G33" s="499">
        <f t="shared" si="7"/>
        <v>580139.35979867389</v>
      </c>
    </row>
    <row r="34" spans="3:7" x14ac:dyDescent="0.2">
      <c r="C34" s="497" t="s">
        <v>492</v>
      </c>
      <c r="D34" s="498">
        <v>708829.51</v>
      </c>
      <c r="E34" s="499">
        <v>682725.7538292933</v>
      </c>
      <c r="F34" s="499">
        <f t="shared" si="6"/>
        <v>-66449.888901227241</v>
      </c>
      <c r="G34" s="499">
        <f t="shared" si="7"/>
        <v>616275.86492806603</v>
      </c>
    </row>
    <row r="35" spans="3:7" x14ac:dyDescent="0.2">
      <c r="C35" s="497" t="s">
        <v>493</v>
      </c>
      <c r="D35" s="498">
        <v>2295312</v>
      </c>
      <c r="E35" s="499">
        <v>2295312</v>
      </c>
      <c r="F35" s="499"/>
      <c r="G35" s="499">
        <f t="shared" si="7"/>
        <v>2295312</v>
      </c>
    </row>
    <row r="36" spans="3:7" x14ac:dyDescent="0.2">
      <c r="C36" s="501"/>
      <c r="D36" s="502">
        <f>SUM(D24:D35)</f>
        <v>21561362.340000004</v>
      </c>
      <c r="E36" s="503">
        <f>SUM(E24:E35)</f>
        <v>17983925.261527613</v>
      </c>
      <c r="F36" s="503">
        <f>SUM(F24:F35)</f>
        <v>-1526977.1242634207</v>
      </c>
      <c r="G36" s="503">
        <f>SUM(G24:G35)</f>
        <v>16456948.137264194</v>
      </c>
    </row>
    <row r="37" spans="3:7" x14ac:dyDescent="0.2">
      <c r="C37" s="501" t="s">
        <v>508</v>
      </c>
      <c r="D37" s="501"/>
      <c r="E37" s="502">
        <f>E36-D36</f>
        <v>-3577437.0784723908</v>
      </c>
      <c r="F37" s="502"/>
      <c r="G37" s="502"/>
    </row>
    <row r="38" spans="3:7" x14ac:dyDescent="0.2">
      <c r="C38" s="501" t="s">
        <v>507</v>
      </c>
      <c r="D38" s="501"/>
      <c r="E38" s="502">
        <f>-'[6]Corp Dep-CAM Adj'!$G$6</f>
        <v>-1526977.1242634207</v>
      </c>
      <c r="F38" s="502"/>
      <c r="G38" s="502"/>
    </row>
    <row r="39" spans="3:7" x14ac:dyDescent="0.2">
      <c r="C39" s="501"/>
      <c r="D39" s="501"/>
      <c r="E39" s="502">
        <f>SUM(E37:E38)</f>
        <v>-5104414.2027358115</v>
      </c>
      <c r="F39" s="502"/>
      <c r="G39" s="502"/>
    </row>
    <row r="40" spans="3:7" x14ac:dyDescent="0.2">
      <c r="E40" s="521">
        <f>SUM(E24:E34)</f>
        <v>15688613.261527615</v>
      </c>
      <c r="F40" s="492"/>
      <c r="G40" s="492"/>
    </row>
  </sheetData>
  <mergeCells count="3">
    <mergeCell ref="B2:C2"/>
    <mergeCell ref="G9:I9"/>
    <mergeCell ref="B5:D5"/>
  </mergeCells>
  <phoneticPr fontId="35" type="noConversion"/>
  <pageMargins left="0.35433070866141736" right="0.35433070866141736" top="0.59055118110236227" bottom="0.59055118110236227" header="0.51181102362204722" footer="0.11811023622047245"/>
  <pageSetup paperSize="9" scale="48" fitToHeight="100" orientation="landscape" r:id="rId1"/>
  <headerFooter scaleWithDoc="0" alignWithMargins="0">
    <oddFooter>&amp;L&amp;8&amp;D&amp;C&amp;8&amp; Template: &amp;A
&amp;F&amp;R&amp;8&amp;P of &amp;N</oddFooter>
  </headerFooter>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5"/>
  <sheetViews>
    <sheetView zoomScaleNormal="100" zoomScaleSheetLayoutView="100" workbookViewId="0">
      <selection activeCell="C35" sqref="C35"/>
    </sheetView>
  </sheetViews>
  <sheetFormatPr defaultRowHeight="12.75" x14ac:dyDescent="0.2"/>
  <cols>
    <col min="1" max="1" width="12" style="48" customWidth="1"/>
    <col min="2" max="2" width="16.42578125" style="48" bestFit="1" customWidth="1"/>
    <col min="3" max="3" width="41.28515625" style="48" customWidth="1"/>
    <col min="4" max="4" width="15.7109375" style="48" customWidth="1"/>
    <col min="5" max="5" width="8.5703125" style="48" customWidth="1"/>
    <col min="6" max="8" width="19.85546875" style="48" customWidth="1"/>
    <col min="9" max="9" width="18.28515625" style="48" customWidth="1"/>
    <col min="10" max="16384" width="9.140625" style="48"/>
  </cols>
  <sheetData>
    <row r="1" spans="2:8" ht="20.25" x14ac:dyDescent="0.3">
      <c r="B1" s="26" t="str">
        <f>Cover!C22</f>
        <v>ActewAGL</v>
      </c>
      <c r="C1" s="27"/>
      <c r="D1" s="27"/>
      <c r="E1" s="27"/>
      <c r="F1" s="27"/>
      <c r="G1" s="27"/>
      <c r="H1" s="27"/>
    </row>
    <row r="2" spans="2:8" ht="20.25" x14ac:dyDescent="0.3">
      <c r="B2" s="679" t="s">
        <v>285</v>
      </c>
      <c r="C2" s="679"/>
    </row>
    <row r="3" spans="2:8" ht="20.25" x14ac:dyDescent="0.3">
      <c r="B3" s="26" t="str">
        <f>Cover!C26</f>
        <v>2012-13</v>
      </c>
    </row>
    <row r="4" spans="2:8" ht="20.25" x14ac:dyDescent="0.3">
      <c r="B4" s="26"/>
    </row>
    <row r="5" spans="2:8" ht="66" customHeight="1" x14ac:dyDescent="0.2">
      <c r="B5" s="680" t="s">
        <v>367</v>
      </c>
      <c r="C5" s="681"/>
    </row>
    <row r="6" spans="2:8" ht="20.25" x14ac:dyDescent="0.3">
      <c r="B6" s="279"/>
    </row>
    <row r="7" spans="2:8" ht="15.75" x14ac:dyDescent="0.25">
      <c r="B7" s="87" t="s">
        <v>284</v>
      </c>
    </row>
    <row r="8" spans="2:8" ht="15.75" x14ac:dyDescent="0.25">
      <c r="B8" s="278"/>
    </row>
    <row r="9" spans="2:8" hidden="1" x14ac:dyDescent="0.2">
      <c r="B9" s="277"/>
      <c r="C9" s="276"/>
      <c r="D9" s="275"/>
      <c r="E9" s="274"/>
      <c r="F9" s="273"/>
      <c r="G9" s="272"/>
      <c r="H9" s="272"/>
    </row>
    <row r="10" spans="2:8" ht="51" customHeight="1" x14ac:dyDescent="0.2">
      <c r="B10" s="271" t="s">
        <v>51</v>
      </c>
      <c r="C10" s="55" t="s">
        <v>52</v>
      </c>
      <c r="D10" s="270" t="s">
        <v>283</v>
      </c>
    </row>
    <row r="11" spans="2:8" ht="14.25" customHeight="1" x14ac:dyDescent="0.2">
      <c r="B11" s="268"/>
      <c r="C11" s="269" t="s">
        <v>282</v>
      </c>
      <c r="D11" s="488">
        <v>0</v>
      </c>
    </row>
    <row r="12" spans="2:8" ht="13.5" customHeight="1" x14ac:dyDescent="0.2">
      <c r="B12" s="268"/>
      <c r="C12" s="269" t="s">
        <v>281</v>
      </c>
      <c r="D12" s="488">
        <v>0</v>
      </c>
    </row>
    <row r="13" spans="2:8" ht="14.25" customHeight="1" x14ac:dyDescent="0.2">
      <c r="B13" s="268"/>
      <c r="C13" s="269" t="s">
        <v>58</v>
      </c>
      <c r="D13" s="488">
        <v>0</v>
      </c>
    </row>
    <row r="14" spans="2:8" ht="13.5" customHeight="1" x14ac:dyDescent="0.2">
      <c r="B14" s="268"/>
      <c r="C14" s="267" t="s">
        <v>70</v>
      </c>
      <c r="D14" s="266">
        <f>SUM(D11:D13)</f>
        <v>0</v>
      </c>
    </row>
    <row r="15" spans="2:8" x14ac:dyDescent="0.2">
      <c r="C15" s="48" t="s">
        <v>536</v>
      </c>
    </row>
  </sheetData>
  <mergeCells count="2">
    <mergeCell ref="B2:C2"/>
    <mergeCell ref="B5:C5"/>
  </mergeCells>
  <pageMargins left="0.35433070866141736" right="0.35433070866141736" top="0.59055118110236227" bottom="0.59055118110236227" header="0.51181102362204722" footer="0.11811023622047245"/>
  <pageSetup paperSize="9" fitToHeight="100" orientation="portrait" r:id="rId1"/>
  <headerFooter scaleWithDoc="0" alignWithMargins="0">
    <oddFooter>&amp;L&amp;8&amp;D&amp;C&amp;8&amp; Template: &amp;A
&amp;F&amp;R&amp;8&amp;P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6"/>
  <sheetViews>
    <sheetView zoomScaleNormal="100" zoomScaleSheetLayoutView="100" workbookViewId="0">
      <selection activeCell="C35" sqref="C35"/>
    </sheetView>
  </sheetViews>
  <sheetFormatPr defaultRowHeight="12.75" x14ac:dyDescent="0.2"/>
  <cols>
    <col min="1" max="1" width="12" style="48" customWidth="1"/>
    <col min="2" max="2" width="16.42578125" style="48" bestFit="1" customWidth="1"/>
    <col min="3" max="3" width="48.5703125" style="48" customWidth="1"/>
    <col min="4" max="9" width="15.7109375" style="48" customWidth="1"/>
    <col min="10" max="10" width="10.28515625" style="48" customWidth="1"/>
    <col min="11" max="13" width="19.85546875" style="48" customWidth="1"/>
    <col min="14" max="14" width="18.28515625" style="48" customWidth="1"/>
    <col min="15" max="16384" width="9.140625" style="48"/>
  </cols>
  <sheetData>
    <row r="1" spans="2:13" ht="20.25" x14ac:dyDescent="0.3">
      <c r="B1" s="26" t="str">
        <f>Cover!C22</f>
        <v>ActewAGL</v>
      </c>
      <c r="C1" s="27"/>
      <c r="D1" s="27"/>
      <c r="E1" s="27"/>
      <c r="F1" s="27"/>
      <c r="G1" s="27"/>
      <c r="H1" s="27"/>
      <c r="I1" s="27"/>
      <c r="J1" s="27"/>
      <c r="K1" s="27"/>
      <c r="L1" s="27"/>
      <c r="M1" s="27"/>
    </row>
    <row r="2" spans="2:13" ht="20.25" customHeight="1" x14ac:dyDescent="0.3">
      <c r="B2" s="682" t="s">
        <v>298</v>
      </c>
      <c r="C2" s="682"/>
      <c r="D2" s="682"/>
    </row>
    <row r="3" spans="2:13" ht="20.25" x14ac:dyDescent="0.3">
      <c r="B3" s="26" t="str">
        <f>Cover!C26</f>
        <v>2012-13</v>
      </c>
    </row>
    <row r="4" spans="2:13" ht="20.25" x14ac:dyDescent="0.3">
      <c r="B4" s="26"/>
    </row>
    <row r="5" spans="2:13" ht="57" customHeight="1" x14ac:dyDescent="0.2">
      <c r="B5" s="683" t="s">
        <v>368</v>
      </c>
      <c r="C5" s="684"/>
      <c r="D5" s="685"/>
    </row>
    <row r="6" spans="2:13" ht="20.25" x14ac:dyDescent="0.3">
      <c r="B6" s="279"/>
    </row>
    <row r="7" spans="2:13" ht="15.75" x14ac:dyDescent="0.25">
      <c r="B7" s="87" t="s">
        <v>297</v>
      </c>
    </row>
    <row r="8" spans="2:13" ht="15.75" x14ac:dyDescent="0.25">
      <c r="B8" s="278"/>
    </row>
    <row r="9" spans="2:13" ht="51" customHeight="1" x14ac:dyDescent="0.2">
      <c r="B9" s="271" t="s">
        <v>51</v>
      </c>
      <c r="C9" s="55" t="s">
        <v>52</v>
      </c>
      <c r="D9" s="270" t="s">
        <v>296</v>
      </c>
      <c r="E9" s="56" t="s">
        <v>295</v>
      </c>
      <c r="F9" s="56" t="s">
        <v>294</v>
      </c>
      <c r="G9" s="56" t="s">
        <v>293</v>
      </c>
      <c r="H9" s="56" t="s">
        <v>292</v>
      </c>
      <c r="I9" s="56" t="s">
        <v>291</v>
      </c>
    </row>
    <row r="10" spans="2:13" ht="12.75" customHeight="1" x14ac:dyDescent="0.2">
      <c r="B10" s="268"/>
      <c r="C10" s="281" t="s">
        <v>106</v>
      </c>
      <c r="D10" s="29" t="s">
        <v>57</v>
      </c>
      <c r="E10" s="29" t="s">
        <v>57</v>
      </c>
      <c r="F10" s="29" t="s">
        <v>57</v>
      </c>
      <c r="G10" s="29" t="s">
        <v>57</v>
      </c>
      <c r="H10" s="29" t="s">
        <v>57</v>
      </c>
      <c r="I10" s="29" t="s">
        <v>57</v>
      </c>
    </row>
    <row r="11" spans="2:13" ht="12.75" customHeight="1" x14ac:dyDescent="0.2">
      <c r="B11" s="268"/>
      <c r="C11" s="282" t="s">
        <v>106</v>
      </c>
      <c r="D11" s="433">
        <f>SUM('[6]Alternate P&amp;L'!$AU$67:$AY$67)</f>
        <v>1793325.4999999995</v>
      </c>
      <c r="E11" s="433">
        <f>SUM('[6]Alternate P&amp;L'!$AZ$67:$BA$67)</f>
        <v>167500.51999999999</v>
      </c>
      <c r="F11" s="433">
        <f>'[9]Corporate overhead Detail'!$D$17-'[9]Corporate overhead Detail'!$E$17+'[9]Corporate overhead Detail'!$D$29-'[9]Corporate overhead Detail'!$E$29</f>
        <v>3974218.2600000002</v>
      </c>
      <c r="G11" s="433">
        <f>'[9]Corporate overhead Detail'!$E$17+'[9]Corporate overhead Detail'!$E$29</f>
        <v>244836.41999999998</v>
      </c>
      <c r="H11" s="416">
        <f>SUM(D11:G11)</f>
        <v>6179880.6999999993</v>
      </c>
      <c r="I11" s="434">
        <f>'1. Income'!H19</f>
        <v>8478109.129999999</v>
      </c>
    </row>
    <row r="12" spans="2:13" ht="13.5" customHeight="1" x14ac:dyDescent="0.2">
      <c r="B12" s="268"/>
      <c r="C12" s="267" t="s">
        <v>290</v>
      </c>
      <c r="D12" s="416">
        <f t="shared" ref="D12:I12" si="0">SUM(D11:D11)</f>
        <v>1793325.4999999995</v>
      </c>
      <c r="E12" s="416">
        <f t="shared" si="0"/>
        <v>167500.51999999999</v>
      </c>
      <c r="F12" s="416">
        <f t="shared" si="0"/>
        <v>3974218.2600000002</v>
      </c>
      <c r="G12" s="416">
        <f t="shared" si="0"/>
        <v>244836.41999999998</v>
      </c>
      <c r="H12" s="416">
        <f t="shared" si="0"/>
        <v>6179880.6999999993</v>
      </c>
      <c r="I12" s="416">
        <f t="shared" si="0"/>
        <v>8478109.129999999</v>
      </c>
    </row>
    <row r="13" spans="2:13" x14ac:dyDescent="0.2">
      <c r="B13" s="268"/>
      <c r="C13" s="281" t="s">
        <v>289</v>
      </c>
      <c r="D13" s="435"/>
      <c r="E13" s="435"/>
      <c r="F13" s="435"/>
      <c r="G13" s="435"/>
      <c r="H13" s="435"/>
      <c r="I13" s="435"/>
    </row>
    <row r="14" spans="2:13" ht="13.5" customHeight="1" x14ac:dyDescent="0.2">
      <c r="B14" s="268"/>
      <c r="C14" s="280" t="s">
        <v>288</v>
      </c>
      <c r="D14" s="433">
        <f>SUM([6]Unregulated!$AU$80:$AY$80)</f>
        <v>7962956.2300000004</v>
      </c>
      <c r="E14" s="433">
        <f>SUM([6]Unregulated!$AZ$80:$BA$80)</f>
        <v>1488329.3199999998</v>
      </c>
      <c r="F14" s="433">
        <v>0</v>
      </c>
      <c r="G14" s="433">
        <v>0</v>
      </c>
      <c r="H14" s="416">
        <f>SUM(D14:G14)</f>
        <v>9451285.5500000007</v>
      </c>
      <c r="I14" s="433">
        <f>'1. Income'!J19</f>
        <v>10853977.319999998</v>
      </c>
    </row>
    <row r="15" spans="2:13" ht="13.5" customHeight="1" x14ac:dyDescent="0.2">
      <c r="B15" s="268"/>
      <c r="C15" s="267" t="s">
        <v>287</v>
      </c>
      <c r="D15" s="416">
        <f t="shared" ref="D15:I15" si="1">SUM(D14:D14)</f>
        <v>7962956.2300000004</v>
      </c>
      <c r="E15" s="416">
        <f t="shared" si="1"/>
        <v>1488329.3199999998</v>
      </c>
      <c r="F15" s="416">
        <f t="shared" si="1"/>
        <v>0</v>
      </c>
      <c r="G15" s="416">
        <f t="shared" si="1"/>
        <v>0</v>
      </c>
      <c r="H15" s="416">
        <f t="shared" si="1"/>
        <v>9451285.5500000007</v>
      </c>
      <c r="I15" s="416">
        <f t="shared" si="1"/>
        <v>10853977.319999998</v>
      </c>
    </row>
    <row r="16" spans="2:13" ht="13.5" customHeight="1" x14ac:dyDescent="0.2">
      <c r="B16" s="268"/>
      <c r="C16" s="267" t="s">
        <v>286</v>
      </c>
      <c r="D16" s="416">
        <f>SUM(D12,D15)</f>
        <v>9756281.7300000004</v>
      </c>
      <c r="E16" s="416">
        <f t="shared" ref="E16:I16" si="2">SUM(E12,E15)</f>
        <v>1655829.8399999999</v>
      </c>
      <c r="F16" s="416">
        <f t="shared" si="2"/>
        <v>3974218.2600000002</v>
      </c>
      <c r="G16" s="416">
        <f t="shared" si="2"/>
        <v>244836.41999999998</v>
      </c>
      <c r="H16" s="416">
        <f t="shared" si="2"/>
        <v>15631166.25</v>
      </c>
      <c r="I16" s="416">
        <f t="shared" si="2"/>
        <v>19332086.449999996</v>
      </c>
    </row>
  </sheetData>
  <mergeCells count="2">
    <mergeCell ref="B2:D2"/>
    <mergeCell ref="B5:D5"/>
  </mergeCells>
  <pageMargins left="0.35433070866141736" right="0.35433070866141736" top="0.59055118110236227" bottom="0.59055118110236227" header="0.51181102362204722" footer="0.11811023622047245"/>
  <pageSetup paperSize="9" scale="89" fitToHeight="100" orientation="landscape" r:id="rId1"/>
  <headerFooter scaleWithDoc="0" alignWithMargins="0">
    <oddFooter>&amp;L&amp;8&amp;D&amp;C&amp;8&amp; Template: &amp;A
&amp;F&amp;R&amp;8&amp;P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view="pageBreakPreview" zoomScaleNormal="100" zoomScaleSheetLayoutView="100" workbookViewId="0">
      <selection activeCell="C35" sqref="C35"/>
    </sheetView>
  </sheetViews>
  <sheetFormatPr defaultRowHeight="23.25" x14ac:dyDescent="0.35"/>
  <cols>
    <col min="1" max="1" width="6.140625" style="14" customWidth="1"/>
    <col min="2" max="2" width="5.7109375" style="14" customWidth="1"/>
    <col min="3" max="5" width="50.7109375" style="14" customWidth="1"/>
    <col min="6" max="6" width="5.7109375" style="14" customWidth="1"/>
    <col min="7" max="7" width="3.7109375" style="14" customWidth="1"/>
    <col min="8" max="13" width="10.7109375" style="14" customWidth="1"/>
    <col min="14" max="14" width="4" style="14" customWidth="1"/>
    <col min="15" max="256" width="9.140625" style="14"/>
    <col min="257" max="257" width="6.140625" style="14" customWidth="1"/>
    <col min="258" max="258" width="5.7109375" style="14" customWidth="1"/>
    <col min="259" max="261" width="50.7109375" style="14" customWidth="1"/>
    <col min="262" max="262" width="5.7109375" style="14" customWidth="1"/>
    <col min="263" max="263" width="3.7109375" style="14" customWidth="1"/>
    <col min="264" max="269" width="10.7109375" style="14" customWidth="1"/>
    <col min="270" max="270" width="4" style="14" customWidth="1"/>
    <col min="271" max="512" width="9.140625" style="14"/>
    <col min="513" max="513" width="6.140625" style="14" customWidth="1"/>
    <col min="514" max="514" width="5.7109375" style="14" customWidth="1"/>
    <col min="515" max="517" width="50.7109375" style="14" customWidth="1"/>
    <col min="518" max="518" width="5.7109375" style="14" customWidth="1"/>
    <col min="519" max="519" width="3.7109375" style="14" customWidth="1"/>
    <col min="520" max="525" width="10.7109375" style="14" customWidth="1"/>
    <col min="526" max="526" width="4" style="14" customWidth="1"/>
    <col min="527" max="768" width="9.140625" style="14"/>
    <col min="769" max="769" width="6.140625" style="14" customWidth="1"/>
    <col min="770" max="770" width="5.7109375" style="14" customWidth="1"/>
    <col min="771" max="773" width="50.7109375" style="14" customWidth="1"/>
    <col min="774" max="774" width="5.7109375" style="14" customWidth="1"/>
    <col min="775" max="775" width="3.7109375" style="14" customWidth="1"/>
    <col min="776" max="781" width="10.7109375" style="14" customWidth="1"/>
    <col min="782" max="782" width="4" style="14" customWidth="1"/>
    <col min="783" max="1024" width="9.140625" style="14"/>
    <col min="1025" max="1025" width="6.140625" style="14" customWidth="1"/>
    <col min="1026" max="1026" width="5.7109375" style="14" customWidth="1"/>
    <col min="1027" max="1029" width="50.7109375" style="14" customWidth="1"/>
    <col min="1030" max="1030" width="5.7109375" style="14" customWidth="1"/>
    <col min="1031" max="1031" width="3.7109375" style="14" customWidth="1"/>
    <col min="1032" max="1037" width="10.7109375" style="14" customWidth="1"/>
    <col min="1038" max="1038" width="4" style="14" customWidth="1"/>
    <col min="1039" max="1280" width="9.140625" style="14"/>
    <col min="1281" max="1281" width="6.140625" style="14" customWidth="1"/>
    <col min="1282" max="1282" width="5.7109375" style="14" customWidth="1"/>
    <col min="1283" max="1285" width="50.7109375" style="14" customWidth="1"/>
    <col min="1286" max="1286" width="5.7109375" style="14" customWidth="1"/>
    <col min="1287" max="1287" width="3.7109375" style="14" customWidth="1"/>
    <col min="1288" max="1293" width="10.7109375" style="14" customWidth="1"/>
    <col min="1294" max="1294" width="4" style="14" customWidth="1"/>
    <col min="1295" max="1536" width="9.140625" style="14"/>
    <col min="1537" max="1537" width="6.140625" style="14" customWidth="1"/>
    <col min="1538" max="1538" width="5.7109375" style="14" customWidth="1"/>
    <col min="1539" max="1541" width="50.7109375" style="14" customWidth="1"/>
    <col min="1542" max="1542" width="5.7109375" style="14" customWidth="1"/>
    <col min="1543" max="1543" width="3.7109375" style="14" customWidth="1"/>
    <col min="1544" max="1549" width="10.7109375" style="14" customWidth="1"/>
    <col min="1550" max="1550" width="4" style="14" customWidth="1"/>
    <col min="1551" max="1792" width="9.140625" style="14"/>
    <col min="1793" max="1793" width="6.140625" style="14" customWidth="1"/>
    <col min="1794" max="1794" width="5.7109375" style="14" customWidth="1"/>
    <col min="1795" max="1797" width="50.7109375" style="14" customWidth="1"/>
    <col min="1798" max="1798" width="5.7109375" style="14" customWidth="1"/>
    <col min="1799" max="1799" width="3.7109375" style="14" customWidth="1"/>
    <col min="1800" max="1805" width="10.7109375" style="14" customWidth="1"/>
    <col min="1806" max="1806" width="4" style="14" customWidth="1"/>
    <col min="1807" max="2048" width="9.140625" style="14"/>
    <col min="2049" max="2049" width="6.140625" style="14" customWidth="1"/>
    <col min="2050" max="2050" width="5.7109375" style="14" customWidth="1"/>
    <col min="2051" max="2053" width="50.7109375" style="14" customWidth="1"/>
    <col min="2054" max="2054" width="5.7109375" style="14" customWidth="1"/>
    <col min="2055" max="2055" width="3.7109375" style="14" customWidth="1"/>
    <col min="2056" max="2061" width="10.7109375" style="14" customWidth="1"/>
    <col min="2062" max="2062" width="4" style="14" customWidth="1"/>
    <col min="2063" max="2304" width="9.140625" style="14"/>
    <col min="2305" max="2305" width="6.140625" style="14" customWidth="1"/>
    <col min="2306" max="2306" width="5.7109375" style="14" customWidth="1"/>
    <col min="2307" max="2309" width="50.7109375" style="14" customWidth="1"/>
    <col min="2310" max="2310" width="5.7109375" style="14" customWidth="1"/>
    <col min="2311" max="2311" width="3.7109375" style="14" customWidth="1"/>
    <col min="2312" max="2317" width="10.7109375" style="14" customWidth="1"/>
    <col min="2318" max="2318" width="4" style="14" customWidth="1"/>
    <col min="2319" max="2560" width="9.140625" style="14"/>
    <col min="2561" max="2561" width="6.140625" style="14" customWidth="1"/>
    <col min="2562" max="2562" width="5.7109375" style="14" customWidth="1"/>
    <col min="2563" max="2565" width="50.7109375" style="14" customWidth="1"/>
    <col min="2566" max="2566" width="5.7109375" style="14" customWidth="1"/>
    <col min="2567" max="2567" width="3.7109375" style="14" customWidth="1"/>
    <col min="2568" max="2573" width="10.7109375" style="14" customWidth="1"/>
    <col min="2574" max="2574" width="4" style="14" customWidth="1"/>
    <col min="2575" max="2816" width="9.140625" style="14"/>
    <col min="2817" max="2817" width="6.140625" style="14" customWidth="1"/>
    <col min="2818" max="2818" width="5.7109375" style="14" customWidth="1"/>
    <col min="2819" max="2821" width="50.7109375" style="14" customWidth="1"/>
    <col min="2822" max="2822" width="5.7109375" style="14" customWidth="1"/>
    <col min="2823" max="2823" width="3.7109375" style="14" customWidth="1"/>
    <col min="2824" max="2829" width="10.7109375" style="14" customWidth="1"/>
    <col min="2830" max="2830" width="4" style="14" customWidth="1"/>
    <col min="2831" max="3072" width="9.140625" style="14"/>
    <col min="3073" max="3073" width="6.140625" style="14" customWidth="1"/>
    <col min="3074" max="3074" width="5.7109375" style="14" customWidth="1"/>
    <col min="3075" max="3077" width="50.7109375" style="14" customWidth="1"/>
    <col min="3078" max="3078" width="5.7109375" style="14" customWidth="1"/>
    <col min="3079" max="3079" width="3.7109375" style="14" customWidth="1"/>
    <col min="3080" max="3085" width="10.7109375" style="14" customWidth="1"/>
    <col min="3086" max="3086" width="4" style="14" customWidth="1"/>
    <col min="3087" max="3328" width="9.140625" style="14"/>
    <col min="3329" max="3329" width="6.140625" style="14" customWidth="1"/>
    <col min="3330" max="3330" width="5.7109375" style="14" customWidth="1"/>
    <col min="3331" max="3333" width="50.7109375" style="14" customWidth="1"/>
    <col min="3334" max="3334" width="5.7109375" style="14" customWidth="1"/>
    <col min="3335" max="3335" width="3.7109375" style="14" customWidth="1"/>
    <col min="3336" max="3341" width="10.7109375" style="14" customWidth="1"/>
    <col min="3342" max="3342" width="4" style="14" customWidth="1"/>
    <col min="3343" max="3584" width="9.140625" style="14"/>
    <col min="3585" max="3585" width="6.140625" style="14" customWidth="1"/>
    <col min="3586" max="3586" width="5.7109375" style="14" customWidth="1"/>
    <col min="3587" max="3589" width="50.7109375" style="14" customWidth="1"/>
    <col min="3590" max="3590" width="5.7109375" style="14" customWidth="1"/>
    <col min="3591" max="3591" width="3.7109375" style="14" customWidth="1"/>
    <col min="3592" max="3597" width="10.7109375" style="14" customWidth="1"/>
    <col min="3598" max="3598" width="4" style="14" customWidth="1"/>
    <col min="3599" max="3840" width="9.140625" style="14"/>
    <col min="3841" max="3841" width="6.140625" style="14" customWidth="1"/>
    <col min="3842" max="3842" width="5.7109375" style="14" customWidth="1"/>
    <col min="3843" max="3845" width="50.7109375" style="14" customWidth="1"/>
    <col min="3846" max="3846" width="5.7109375" style="14" customWidth="1"/>
    <col min="3847" max="3847" width="3.7109375" style="14" customWidth="1"/>
    <col min="3848" max="3853" width="10.7109375" style="14" customWidth="1"/>
    <col min="3854" max="3854" width="4" style="14" customWidth="1"/>
    <col min="3855" max="4096" width="9.140625" style="14"/>
    <col min="4097" max="4097" width="6.140625" style="14" customWidth="1"/>
    <col min="4098" max="4098" width="5.7109375" style="14" customWidth="1"/>
    <col min="4099" max="4101" width="50.7109375" style="14" customWidth="1"/>
    <col min="4102" max="4102" width="5.7109375" style="14" customWidth="1"/>
    <col min="4103" max="4103" width="3.7109375" style="14" customWidth="1"/>
    <col min="4104" max="4109" width="10.7109375" style="14" customWidth="1"/>
    <col min="4110" max="4110" width="4" style="14" customWidth="1"/>
    <col min="4111" max="4352" width="9.140625" style="14"/>
    <col min="4353" max="4353" width="6.140625" style="14" customWidth="1"/>
    <col min="4354" max="4354" width="5.7109375" style="14" customWidth="1"/>
    <col min="4355" max="4357" width="50.7109375" style="14" customWidth="1"/>
    <col min="4358" max="4358" width="5.7109375" style="14" customWidth="1"/>
    <col min="4359" max="4359" width="3.7109375" style="14" customWidth="1"/>
    <col min="4360" max="4365" width="10.7109375" style="14" customWidth="1"/>
    <col min="4366" max="4366" width="4" style="14" customWidth="1"/>
    <col min="4367" max="4608" width="9.140625" style="14"/>
    <col min="4609" max="4609" width="6.140625" style="14" customWidth="1"/>
    <col min="4610" max="4610" width="5.7109375" style="14" customWidth="1"/>
    <col min="4611" max="4613" width="50.7109375" style="14" customWidth="1"/>
    <col min="4614" max="4614" width="5.7109375" style="14" customWidth="1"/>
    <col min="4615" max="4615" width="3.7109375" style="14" customWidth="1"/>
    <col min="4616" max="4621" width="10.7109375" style="14" customWidth="1"/>
    <col min="4622" max="4622" width="4" style="14" customWidth="1"/>
    <col min="4623" max="4864" width="9.140625" style="14"/>
    <col min="4865" max="4865" width="6.140625" style="14" customWidth="1"/>
    <col min="4866" max="4866" width="5.7109375" style="14" customWidth="1"/>
    <col min="4867" max="4869" width="50.7109375" style="14" customWidth="1"/>
    <col min="4870" max="4870" width="5.7109375" style="14" customWidth="1"/>
    <col min="4871" max="4871" width="3.7109375" style="14" customWidth="1"/>
    <col min="4872" max="4877" width="10.7109375" style="14" customWidth="1"/>
    <col min="4878" max="4878" width="4" style="14" customWidth="1"/>
    <col min="4879" max="5120" width="9.140625" style="14"/>
    <col min="5121" max="5121" width="6.140625" style="14" customWidth="1"/>
    <col min="5122" max="5122" width="5.7109375" style="14" customWidth="1"/>
    <col min="5123" max="5125" width="50.7109375" style="14" customWidth="1"/>
    <col min="5126" max="5126" width="5.7109375" style="14" customWidth="1"/>
    <col min="5127" max="5127" width="3.7109375" style="14" customWidth="1"/>
    <col min="5128" max="5133" width="10.7109375" style="14" customWidth="1"/>
    <col min="5134" max="5134" width="4" style="14" customWidth="1"/>
    <col min="5135" max="5376" width="9.140625" style="14"/>
    <col min="5377" max="5377" width="6.140625" style="14" customWidth="1"/>
    <col min="5378" max="5378" width="5.7109375" style="14" customWidth="1"/>
    <col min="5379" max="5381" width="50.7109375" style="14" customWidth="1"/>
    <col min="5382" max="5382" width="5.7109375" style="14" customWidth="1"/>
    <col min="5383" max="5383" width="3.7109375" style="14" customWidth="1"/>
    <col min="5384" max="5389" width="10.7109375" style="14" customWidth="1"/>
    <col min="5390" max="5390" width="4" style="14" customWidth="1"/>
    <col min="5391" max="5632" width="9.140625" style="14"/>
    <col min="5633" max="5633" width="6.140625" style="14" customWidth="1"/>
    <col min="5634" max="5634" width="5.7109375" style="14" customWidth="1"/>
    <col min="5635" max="5637" width="50.7109375" style="14" customWidth="1"/>
    <col min="5638" max="5638" width="5.7109375" style="14" customWidth="1"/>
    <col min="5639" max="5639" width="3.7109375" style="14" customWidth="1"/>
    <col min="5640" max="5645" width="10.7109375" style="14" customWidth="1"/>
    <col min="5646" max="5646" width="4" style="14" customWidth="1"/>
    <col min="5647" max="5888" width="9.140625" style="14"/>
    <col min="5889" max="5889" width="6.140625" style="14" customWidth="1"/>
    <col min="5890" max="5890" width="5.7109375" style="14" customWidth="1"/>
    <col min="5891" max="5893" width="50.7109375" style="14" customWidth="1"/>
    <col min="5894" max="5894" width="5.7109375" style="14" customWidth="1"/>
    <col min="5895" max="5895" width="3.7109375" style="14" customWidth="1"/>
    <col min="5896" max="5901" width="10.7109375" style="14" customWidth="1"/>
    <col min="5902" max="5902" width="4" style="14" customWidth="1"/>
    <col min="5903" max="6144" width="9.140625" style="14"/>
    <col min="6145" max="6145" width="6.140625" style="14" customWidth="1"/>
    <col min="6146" max="6146" width="5.7109375" style="14" customWidth="1"/>
    <col min="6147" max="6149" width="50.7109375" style="14" customWidth="1"/>
    <col min="6150" max="6150" width="5.7109375" style="14" customWidth="1"/>
    <col min="6151" max="6151" width="3.7109375" style="14" customWidth="1"/>
    <col min="6152" max="6157" width="10.7109375" style="14" customWidth="1"/>
    <col min="6158" max="6158" width="4" style="14" customWidth="1"/>
    <col min="6159" max="6400" width="9.140625" style="14"/>
    <col min="6401" max="6401" width="6.140625" style="14" customWidth="1"/>
    <col min="6402" max="6402" width="5.7109375" style="14" customWidth="1"/>
    <col min="6403" max="6405" width="50.7109375" style="14" customWidth="1"/>
    <col min="6406" max="6406" width="5.7109375" style="14" customWidth="1"/>
    <col min="6407" max="6407" width="3.7109375" style="14" customWidth="1"/>
    <col min="6408" max="6413" width="10.7109375" style="14" customWidth="1"/>
    <col min="6414" max="6414" width="4" style="14" customWidth="1"/>
    <col min="6415" max="6656" width="9.140625" style="14"/>
    <col min="6657" max="6657" width="6.140625" style="14" customWidth="1"/>
    <col min="6658" max="6658" width="5.7109375" style="14" customWidth="1"/>
    <col min="6659" max="6661" width="50.7109375" style="14" customWidth="1"/>
    <col min="6662" max="6662" width="5.7109375" style="14" customWidth="1"/>
    <col min="6663" max="6663" width="3.7109375" style="14" customWidth="1"/>
    <col min="6664" max="6669" width="10.7109375" style="14" customWidth="1"/>
    <col min="6670" max="6670" width="4" style="14" customWidth="1"/>
    <col min="6671" max="6912" width="9.140625" style="14"/>
    <col min="6913" max="6913" width="6.140625" style="14" customWidth="1"/>
    <col min="6914" max="6914" width="5.7109375" style="14" customWidth="1"/>
    <col min="6915" max="6917" width="50.7109375" style="14" customWidth="1"/>
    <col min="6918" max="6918" width="5.7109375" style="14" customWidth="1"/>
    <col min="6919" max="6919" width="3.7109375" style="14" customWidth="1"/>
    <col min="6920" max="6925" width="10.7109375" style="14" customWidth="1"/>
    <col min="6926" max="6926" width="4" style="14" customWidth="1"/>
    <col min="6927" max="7168" width="9.140625" style="14"/>
    <col min="7169" max="7169" width="6.140625" style="14" customWidth="1"/>
    <col min="7170" max="7170" width="5.7109375" style="14" customWidth="1"/>
    <col min="7171" max="7173" width="50.7109375" style="14" customWidth="1"/>
    <col min="7174" max="7174" width="5.7109375" style="14" customWidth="1"/>
    <col min="7175" max="7175" width="3.7109375" style="14" customWidth="1"/>
    <col min="7176" max="7181" width="10.7109375" style="14" customWidth="1"/>
    <col min="7182" max="7182" width="4" style="14" customWidth="1"/>
    <col min="7183" max="7424" width="9.140625" style="14"/>
    <col min="7425" max="7425" width="6.140625" style="14" customWidth="1"/>
    <col min="7426" max="7426" width="5.7109375" style="14" customWidth="1"/>
    <col min="7427" max="7429" width="50.7109375" style="14" customWidth="1"/>
    <col min="7430" max="7430" width="5.7109375" style="14" customWidth="1"/>
    <col min="7431" max="7431" width="3.7109375" style="14" customWidth="1"/>
    <col min="7432" max="7437" width="10.7109375" style="14" customWidth="1"/>
    <col min="7438" max="7438" width="4" style="14" customWidth="1"/>
    <col min="7439" max="7680" width="9.140625" style="14"/>
    <col min="7681" max="7681" width="6.140625" style="14" customWidth="1"/>
    <col min="7682" max="7682" width="5.7109375" style="14" customWidth="1"/>
    <col min="7683" max="7685" width="50.7109375" style="14" customWidth="1"/>
    <col min="7686" max="7686" width="5.7109375" style="14" customWidth="1"/>
    <col min="7687" max="7687" width="3.7109375" style="14" customWidth="1"/>
    <col min="7688" max="7693" width="10.7109375" style="14" customWidth="1"/>
    <col min="7694" max="7694" width="4" style="14" customWidth="1"/>
    <col min="7695" max="7936" width="9.140625" style="14"/>
    <col min="7937" max="7937" width="6.140625" style="14" customWidth="1"/>
    <col min="7938" max="7938" width="5.7109375" style="14" customWidth="1"/>
    <col min="7939" max="7941" width="50.7109375" style="14" customWidth="1"/>
    <col min="7942" max="7942" width="5.7109375" style="14" customWidth="1"/>
    <col min="7943" max="7943" width="3.7109375" style="14" customWidth="1"/>
    <col min="7944" max="7949" width="10.7109375" style="14" customWidth="1"/>
    <col min="7950" max="7950" width="4" style="14" customWidth="1"/>
    <col min="7951" max="8192" width="9.140625" style="14"/>
    <col min="8193" max="8193" width="6.140625" style="14" customWidth="1"/>
    <col min="8194" max="8194" width="5.7109375" style="14" customWidth="1"/>
    <col min="8195" max="8197" width="50.7109375" style="14" customWidth="1"/>
    <col min="8198" max="8198" width="5.7109375" style="14" customWidth="1"/>
    <col min="8199" max="8199" width="3.7109375" style="14" customWidth="1"/>
    <col min="8200" max="8205" width="10.7109375" style="14" customWidth="1"/>
    <col min="8206" max="8206" width="4" style="14" customWidth="1"/>
    <col min="8207" max="8448" width="9.140625" style="14"/>
    <col min="8449" max="8449" width="6.140625" style="14" customWidth="1"/>
    <col min="8450" max="8450" width="5.7109375" style="14" customWidth="1"/>
    <col min="8451" max="8453" width="50.7109375" style="14" customWidth="1"/>
    <col min="8454" max="8454" width="5.7109375" style="14" customWidth="1"/>
    <col min="8455" max="8455" width="3.7109375" style="14" customWidth="1"/>
    <col min="8456" max="8461" width="10.7109375" style="14" customWidth="1"/>
    <col min="8462" max="8462" width="4" style="14" customWidth="1"/>
    <col min="8463" max="8704" width="9.140625" style="14"/>
    <col min="8705" max="8705" width="6.140625" style="14" customWidth="1"/>
    <col min="8706" max="8706" width="5.7109375" style="14" customWidth="1"/>
    <col min="8707" max="8709" width="50.7109375" style="14" customWidth="1"/>
    <col min="8710" max="8710" width="5.7109375" style="14" customWidth="1"/>
    <col min="8711" max="8711" width="3.7109375" style="14" customWidth="1"/>
    <col min="8712" max="8717" width="10.7109375" style="14" customWidth="1"/>
    <col min="8718" max="8718" width="4" style="14" customWidth="1"/>
    <col min="8719" max="8960" width="9.140625" style="14"/>
    <col min="8961" max="8961" width="6.140625" style="14" customWidth="1"/>
    <col min="8962" max="8962" width="5.7109375" style="14" customWidth="1"/>
    <col min="8963" max="8965" width="50.7109375" style="14" customWidth="1"/>
    <col min="8966" max="8966" width="5.7109375" style="14" customWidth="1"/>
    <col min="8967" max="8967" width="3.7109375" style="14" customWidth="1"/>
    <col min="8968" max="8973" width="10.7109375" style="14" customWidth="1"/>
    <col min="8974" max="8974" width="4" style="14" customWidth="1"/>
    <col min="8975" max="9216" width="9.140625" style="14"/>
    <col min="9217" max="9217" width="6.140625" style="14" customWidth="1"/>
    <col min="9218" max="9218" width="5.7109375" style="14" customWidth="1"/>
    <col min="9219" max="9221" width="50.7109375" style="14" customWidth="1"/>
    <col min="9222" max="9222" width="5.7109375" style="14" customWidth="1"/>
    <col min="9223" max="9223" width="3.7109375" style="14" customWidth="1"/>
    <col min="9224" max="9229" width="10.7109375" style="14" customWidth="1"/>
    <col min="9230" max="9230" width="4" style="14" customWidth="1"/>
    <col min="9231" max="9472" width="9.140625" style="14"/>
    <col min="9473" max="9473" width="6.140625" style="14" customWidth="1"/>
    <col min="9474" max="9474" width="5.7109375" style="14" customWidth="1"/>
    <col min="9475" max="9477" width="50.7109375" style="14" customWidth="1"/>
    <col min="9478" max="9478" width="5.7109375" style="14" customWidth="1"/>
    <col min="9479" max="9479" width="3.7109375" style="14" customWidth="1"/>
    <col min="9480" max="9485" width="10.7109375" style="14" customWidth="1"/>
    <col min="9486" max="9486" width="4" style="14" customWidth="1"/>
    <col min="9487" max="9728" width="9.140625" style="14"/>
    <col min="9729" max="9729" width="6.140625" style="14" customWidth="1"/>
    <col min="9730" max="9730" width="5.7109375" style="14" customWidth="1"/>
    <col min="9731" max="9733" width="50.7109375" style="14" customWidth="1"/>
    <col min="9734" max="9734" width="5.7109375" style="14" customWidth="1"/>
    <col min="9735" max="9735" width="3.7109375" style="14" customWidth="1"/>
    <col min="9736" max="9741" width="10.7109375" style="14" customWidth="1"/>
    <col min="9742" max="9742" width="4" style="14" customWidth="1"/>
    <col min="9743" max="9984" width="9.140625" style="14"/>
    <col min="9985" max="9985" width="6.140625" style="14" customWidth="1"/>
    <col min="9986" max="9986" width="5.7109375" style="14" customWidth="1"/>
    <col min="9987" max="9989" width="50.7109375" style="14" customWidth="1"/>
    <col min="9990" max="9990" width="5.7109375" style="14" customWidth="1"/>
    <col min="9991" max="9991" width="3.7109375" style="14" customWidth="1"/>
    <col min="9992" max="9997" width="10.7109375" style="14" customWidth="1"/>
    <col min="9998" max="9998" width="4" style="14" customWidth="1"/>
    <col min="9999" max="10240" width="9.140625" style="14"/>
    <col min="10241" max="10241" width="6.140625" style="14" customWidth="1"/>
    <col min="10242" max="10242" width="5.7109375" style="14" customWidth="1"/>
    <col min="10243" max="10245" width="50.7109375" style="14" customWidth="1"/>
    <col min="10246" max="10246" width="5.7109375" style="14" customWidth="1"/>
    <col min="10247" max="10247" width="3.7109375" style="14" customWidth="1"/>
    <col min="10248" max="10253" width="10.7109375" style="14" customWidth="1"/>
    <col min="10254" max="10254" width="4" style="14" customWidth="1"/>
    <col min="10255" max="10496" width="9.140625" style="14"/>
    <col min="10497" max="10497" width="6.140625" style="14" customWidth="1"/>
    <col min="10498" max="10498" width="5.7109375" style="14" customWidth="1"/>
    <col min="10499" max="10501" width="50.7109375" style="14" customWidth="1"/>
    <col min="10502" max="10502" width="5.7109375" style="14" customWidth="1"/>
    <col min="10503" max="10503" width="3.7109375" style="14" customWidth="1"/>
    <col min="10504" max="10509" width="10.7109375" style="14" customWidth="1"/>
    <col min="10510" max="10510" width="4" style="14" customWidth="1"/>
    <col min="10511" max="10752" width="9.140625" style="14"/>
    <col min="10753" max="10753" width="6.140625" style="14" customWidth="1"/>
    <col min="10754" max="10754" width="5.7109375" style="14" customWidth="1"/>
    <col min="10755" max="10757" width="50.7109375" style="14" customWidth="1"/>
    <col min="10758" max="10758" width="5.7109375" style="14" customWidth="1"/>
    <col min="10759" max="10759" width="3.7109375" style="14" customWidth="1"/>
    <col min="10760" max="10765" width="10.7109375" style="14" customWidth="1"/>
    <col min="10766" max="10766" width="4" style="14" customWidth="1"/>
    <col min="10767" max="11008" width="9.140625" style="14"/>
    <col min="11009" max="11009" width="6.140625" style="14" customWidth="1"/>
    <col min="11010" max="11010" width="5.7109375" style="14" customWidth="1"/>
    <col min="11011" max="11013" width="50.7109375" style="14" customWidth="1"/>
    <col min="11014" max="11014" width="5.7109375" style="14" customWidth="1"/>
    <col min="11015" max="11015" width="3.7109375" style="14" customWidth="1"/>
    <col min="11016" max="11021" width="10.7109375" style="14" customWidth="1"/>
    <col min="11022" max="11022" width="4" style="14" customWidth="1"/>
    <col min="11023" max="11264" width="9.140625" style="14"/>
    <col min="11265" max="11265" width="6.140625" style="14" customWidth="1"/>
    <col min="11266" max="11266" width="5.7109375" style="14" customWidth="1"/>
    <col min="11267" max="11269" width="50.7109375" style="14" customWidth="1"/>
    <col min="11270" max="11270" width="5.7109375" style="14" customWidth="1"/>
    <col min="11271" max="11271" width="3.7109375" style="14" customWidth="1"/>
    <col min="11272" max="11277" width="10.7109375" style="14" customWidth="1"/>
    <col min="11278" max="11278" width="4" style="14" customWidth="1"/>
    <col min="11279" max="11520" width="9.140625" style="14"/>
    <col min="11521" max="11521" width="6.140625" style="14" customWidth="1"/>
    <col min="11522" max="11522" width="5.7109375" style="14" customWidth="1"/>
    <col min="11523" max="11525" width="50.7109375" style="14" customWidth="1"/>
    <col min="11526" max="11526" width="5.7109375" style="14" customWidth="1"/>
    <col min="11527" max="11527" width="3.7109375" style="14" customWidth="1"/>
    <col min="11528" max="11533" width="10.7109375" style="14" customWidth="1"/>
    <col min="11534" max="11534" width="4" style="14" customWidth="1"/>
    <col min="11535" max="11776" width="9.140625" style="14"/>
    <col min="11777" max="11777" width="6.140625" style="14" customWidth="1"/>
    <col min="11778" max="11778" width="5.7109375" style="14" customWidth="1"/>
    <col min="11779" max="11781" width="50.7109375" style="14" customWidth="1"/>
    <col min="11782" max="11782" width="5.7109375" style="14" customWidth="1"/>
    <col min="11783" max="11783" width="3.7109375" style="14" customWidth="1"/>
    <col min="11784" max="11789" width="10.7109375" style="14" customWidth="1"/>
    <col min="11790" max="11790" width="4" style="14" customWidth="1"/>
    <col min="11791" max="12032" width="9.140625" style="14"/>
    <col min="12033" max="12033" width="6.140625" style="14" customWidth="1"/>
    <col min="12034" max="12034" width="5.7109375" style="14" customWidth="1"/>
    <col min="12035" max="12037" width="50.7109375" style="14" customWidth="1"/>
    <col min="12038" max="12038" width="5.7109375" style="14" customWidth="1"/>
    <col min="12039" max="12039" width="3.7109375" style="14" customWidth="1"/>
    <col min="12040" max="12045" width="10.7109375" style="14" customWidth="1"/>
    <col min="12046" max="12046" width="4" style="14" customWidth="1"/>
    <col min="12047" max="12288" width="9.140625" style="14"/>
    <col min="12289" max="12289" width="6.140625" style="14" customWidth="1"/>
    <col min="12290" max="12290" width="5.7109375" style="14" customWidth="1"/>
    <col min="12291" max="12293" width="50.7109375" style="14" customWidth="1"/>
    <col min="12294" max="12294" width="5.7109375" style="14" customWidth="1"/>
    <col min="12295" max="12295" width="3.7109375" style="14" customWidth="1"/>
    <col min="12296" max="12301" width="10.7109375" style="14" customWidth="1"/>
    <col min="12302" max="12302" width="4" style="14" customWidth="1"/>
    <col min="12303" max="12544" width="9.140625" style="14"/>
    <col min="12545" max="12545" width="6.140625" style="14" customWidth="1"/>
    <col min="12546" max="12546" width="5.7109375" style="14" customWidth="1"/>
    <col min="12547" max="12549" width="50.7109375" style="14" customWidth="1"/>
    <col min="12550" max="12550" width="5.7109375" style="14" customWidth="1"/>
    <col min="12551" max="12551" width="3.7109375" style="14" customWidth="1"/>
    <col min="12552" max="12557" width="10.7109375" style="14" customWidth="1"/>
    <col min="12558" max="12558" width="4" style="14" customWidth="1"/>
    <col min="12559" max="12800" width="9.140625" style="14"/>
    <col min="12801" max="12801" width="6.140625" style="14" customWidth="1"/>
    <col min="12802" max="12802" width="5.7109375" style="14" customWidth="1"/>
    <col min="12803" max="12805" width="50.7109375" style="14" customWidth="1"/>
    <col min="12806" max="12806" width="5.7109375" style="14" customWidth="1"/>
    <col min="12807" max="12807" width="3.7109375" style="14" customWidth="1"/>
    <col min="12808" max="12813" width="10.7109375" style="14" customWidth="1"/>
    <col min="12814" max="12814" width="4" style="14" customWidth="1"/>
    <col min="12815" max="13056" width="9.140625" style="14"/>
    <col min="13057" max="13057" width="6.140625" style="14" customWidth="1"/>
    <col min="13058" max="13058" width="5.7109375" style="14" customWidth="1"/>
    <col min="13059" max="13061" width="50.7109375" style="14" customWidth="1"/>
    <col min="13062" max="13062" width="5.7109375" style="14" customWidth="1"/>
    <col min="13063" max="13063" width="3.7109375" style="14" customWidth="1"/>
    <col min="13064" max="13069" width="10.7109375" style="14" customWidth="1"/>
    <col min="13070" max="13070" width="4" style="14" customWidth="1"/>
    <col min="13071" max="13312" width="9.140625" style="14"/>
    <col min="13313" max="13313" width="6.140625" style="14" customWidth="1"/>
    <col min="13314" max="13314" width="5.7109375" style="14" customWidth="1"/>
    <col min="13315" max="13317" width="50.7109375" style="14" customWidth="1"/>
    <col min="13318" max="13318" width="5.7109375" style="14" customWidth="1"/>
    <col min="13319" max="13319" width="3.7109375" style="14" customWidth="1"/>
    <col min="13320" max="13325" width="10.7109375" style="14" customWidth="1"/>
    <col min="13326" max="13326" width="4" style="14" customWidth="1"/>
    <col min="13327" max="13568" width="9.140625" style="14"/>
    <col min="13569" max="13569" width="6.140625" style="14" customWidth="1"/>
    <col min="13570" max="13570" width="5.7109375" style="14" customWidth="1"/>
    <col min="13571" max="13573" width="50.7109375" style="14" customWidth="1"/>
    <col min="13574" max="13574" width="5.7109375" style="14" customWidth="1"/>
    <col min="13575" max="13575" width="3.7109375" style="14" customWidth="1"/>
    <col min="13576" max="13581" width="10.7109375" style="14" customWidth="1"/>
    <col min="13582" max="13582" width="4" style="14" customWidth="1"/>
    <col min="13583" max="13824" width="9.140625" style="14"/>
    <col min="13825" max="13825" width="6.140625" style="14" customWidth="1"/>
    <col min="13826" max="13826" width="5.7109375" style="14" customWidth="1"/>
    <col min="13827" max="13829" width="50.7109375" style="14" customWidth="1"/>
    <col min="13830" max="13830" width="5.7109375" style="14" customWidth="1"/>
    <col min="13831" max="13831" width="3.7109375" style="14" customWidth="1"/>
    <col min="13832" max="13837" width="10.7109375" style="14" customWidth="1"/>
    <col min="13838" max="13838" width="4" style="14" customWidth="1"/>
    <col min="13839" max="14080" width="9.140625" style="14"/>
    <col min="14081" max="14081" width="6.140625" style="14" customWidth="1"/>
    <col min="14082" max="14082" width="5.7109375" style="14" customWidth="1"/>
    <col min="14083" max="14085" width="50.7109375" style="14" customWidth="1"/>
    <col min="14086" max="14086" width="5.7109375" style="14" customWidth="1"/>
    <col min="14087" max="14087" width="3.7109375" style="14" customWidth="1"/>
    <col min="14088" max="14093" width="10.7109375" style="14" customWidth="1"/>
    <col min="14094" max="14094" width="4" style="14" customWidth="1"/>
    <col min="14095" max="14336" width="9.140625" style="14"/>
    <col min="14337" max="14337" width="6.140625" style="14" customWidth="1"/>
    <col min="14338" max="14338" width="5.7109375" style="14" customWidth="1"/>
    <col min="14339" max="14341" width="50.7109375" style="14" customWidth="1"/>
    <col min="14342" max="14342" width="5.7109375" style="14" customWidth="1"/>
    <col min="14343" max="14343" width="3.7109375" style="14" customWidth="1"/>
    <col min="14344" max="14349" width="10.7109375" style="14" customWidth="1"/>
    <col min="14350" max="14350" width="4" style="14" customWidth="1"/>
    <col min="14351" max="14592" width="9.140625" style="14"/>
    <col min="14593" max="14593" width="6.140625" style="14" customWidth="1"/>
    <col min="14594" max="14594" width="5.7109375" style="14" customWidth="1"/>
    <col min="14595" max="14597" width="50.7109375" style="14" customWidth="1"/>
    <col min="14598" max="14598" width="5.7109375" style="14" customWidth="1"/>
    <col min="14599" max="14599" width="3.7109375" style="14" customWidth="1"/>
    <col min="14600" max="14605" width="10.7109375" style="14" customWidth="1"/>
    <col min="14606" max="14606" width="4" style="14" customWidth="1"/>
    <col min="14607" max="14848" width="9.140625" style="14"/>
    <col min="14849" max="14849" width="6.140625" style="14" customWidth="1"/>
    <col min="14850" max="14850" width="5.7109375" style="14" customWidth="1"/>
    <col min="14851" max="14853" width="50.7109375" style="14" customWidth="1"/>
    <col min="14854" max="14854" width="5.7109375" style="14" customWidth="1"/>
    <col min="14855" max="14855" width="3.7109375" style="14" customWidth="1"/>
    <col min="14856" max="14861" width="10.7109375" style="14" customWidth="1"/>
    <col min="14862" max="14862" width="4" style="14" customWidth="1"/>
    <col min="14863" max="15104" width="9.140625" style="14"/>
    <col min="15105" max="15105" width="6.140625" style="14" customWidth="1"/>
    <col min="15106" max="15106" width="5.7109375" style="14" customWidth="1"/>
    <col min="15107" max="15109" width="50.7109375" style="14" customWidth="1"/>
    <col min="15110" max="15110" width="5.7109375" style="14" customWidth="1"/>
    <col min="15111" max="15111" width="3.7109375" style="14" customWidth="1"/>
    <col min="15112" max="15117" width="10.7109375" style="14" customWidth="1"/>
    <col min="15118" max="15118" width="4" style="14" customWidth="1"/>
    <col min="15119" max="15360" width="9.140625" style="14"/>
    <col min="15361" max="15361" width="6.140625" style="14" customWidth="1"/>
    <col min="15362" max="15362" width="5.7109375" style="14" customWidth="1"/>
    <col min="15363" max="15365" width="50.7109375" style="14" customWidth="1"/>
    <col min="15366" max="15366" width="5.7109375" style="14" customWidth="1"/>
    <col min="15367" max="15367" width="3.7109375" style="14" customWidth="1"/>
    <col min="15368" max="15373" width="10.7109375" style="14" customWidth="1"/>
    <col min="15374" max="15374" width="4" style="14" customWidth="1"/>
    <col min="15375" max="15616" width="9.140625" style="14"/>
    <col min="15617" max="15617" width="6.140625" style="14" customWidth="1"/>
    <col min="15618" max="15618" width="5.7109375" style="14" customWidth="1"/>
    <col min="15619" max="15621" width="50.7109375" style="14" customWidth="1"/>
    <col min="15622" max="15622" width="5.7109375" style="14" customWidth="1"/>
    <col min="15623" max="15623" width="3.7109375" style="14" customWidth="1"/>
    <col min="15624" max="15629" width="10.7109375" style="14" customWidth="1"/>
    <col min="15630" max="15630" width="4" style="14" customWidth="1"/>
    <col min="15631" max="15872" width="9.140625" style="14"/>
    <col min="15873" max="15873" width="6.140625" style="14" customWidth="1"/>
    <col min="15874" max="15874" width="5.7109375" style="14" customWidth="1"/>
    <col min="15875" max="15877" width="50.7109375" style="14" customWidth="1"/>
    <col min="15878" max="15878" width="5.7109375" style="14" customWidth="1"/>
    <col min="15879" max="15879" width="3.7109375" style="14" customWidth="1"/>
    <col min="15880" max="15885" width="10.7109375" style="14" customWidth="1"/>
    <col min="15886" max="15886" width="4" style="14" customWidth="1"/>
    <col min="15887" max="16128" width="9.140625" style="14"/>
    <col min="16129" max="16129" width="6.140625" style="14" customWidth="1"/>
    <col min="16130" max="16130" width="5.7109375" style="14" customWidth="1"/>
    <col min="16131" max="16133" width="50.7109375" style="14" customWidth="1"/>
    <col min="16134" max="16134" width="5.7109375" style="14" customWidth="1"/>
    <col min="16135" max="16135" width="3.7109375" style="14" customWidth="1"/>
    <col min="16136" max="16141" width="10.7109375" style="14" customWidth="1"/>
    <col min="16142" max="16142" width="4" style="14" customWidth="1"/>
    <col min="16143" max="16384" width="9.140625" style="14"/>
  </cols>
  <sheetData>
    <row r="1" spans="1:15" ht="23.25" customHeight="1" thickBot="1" x14ac:dyDescent="0.4">
      <c r="A1" s="14" t="s">
        <v>48</v>
      </c>
    </row>
    <row r="2" spans="1:15" ht="60" customHeight="1" thickTop="1" x14ac:dyDescent="0.35">
      <c r="B2" s="344"/>
      <c r="C2" s="345"/>
      <c r="D2" s="345"/>
      <c r="E2" s="345"/>
      <c r="F2" s="346"/>
      <c r="G2" s="15"/>
      <c r="H2" s="15"/>
      <c r="I2" s="15"/>
      <c r="J2" s="15"/>
      <c r="K2" s="15"/>
      <c r="L2" s="15"/>
      <c r="M2" s="15"/>
      <c r="N2" s="15"/>
      <c r="O2" s="16"/>
    </row>
    <row r="3" spans="1:15" ht="51.6" customHeight="1" x14ac:dyDescent="0.35">
      <c r="B3" s="347"/>
      <c r="C3" s="551" t="s">
        <v>365</v>
      </c>
      <c r="D3" s="552"/>
      <c r="E3" s="552"/>
      <c r="F3" s="348"/>
      <c r="G3" s="17"/>
      <c r="H3" s="17"/>
      <c r="I3" s="17"/>
      <c r="J3" s="17"/>
      <c r="K3" s="17"/>
      <c r="L3" s="17"/>
      <c r="M3" s="17"/>
      <c r="N3" s="18"/>
      <c r="O3" s="16"/>
    </row>
    <row r="4" spans="1:15" ht="21" customHeight="1" x14ac:dyDescent="0.35">
      <c r="B4" s="347"/>
      <c r="C4" s="553" t="s">
        <v>49</v>
      </c>
      <c r="D4" s="552"/>
      <c r="E4" s="552"/>
      <c r="F4" s="349"/>
      <c r="G4" s="19"/>
      <c r="H4" s="19"/>
      <c r="I4" s="19"/>
      <c r="J4" s="19"/>
      <c r="K4" s="19"/>
      <c r="L4" s="19"/>
      <c r="M4" s="19"/>
      <c r="N4" s="20"/>
      <c r="O4" s="16"/>
    </row>
    <row r="5" spans="1:15" ht="15" customHeight="1" thickBot="1" x14ac:dyDescent="0.4">
      <c r="B5" s="347"/>
      <c r="C5" s="21"/>
      <c r="D5" s="21"/>
      <c r="E5" s="21"/>
      <c r="F5" s="350"/>
      <c r="G5" s="22"/>
      <c r="H5" s="22"/>
      <c r="I5" s="22"/>
      <c r="J5" s="22"/>
      <c r="K5" s="22"/>
      <c r="L5" s="22"/>
      <c r="M5" s="22"/>
      <c r="N5" s="15"/>
      <c r="O5" s="16"/>
    </row>
    <row r="6" spans="1:15" s="23" customFormat="1" ht="15" customHeight="1" x14ac:dyDescent="0.2">
      <c r="B6" s="351"/>
      <c r="C6" s="352"/>
      <c r="D6" s="352"/>
      <c r="E6" s="352"/>
      <c r="F6" s="353"/>
      <c r="G6" s="24"/>
      <c r="H6" s="22"/>
      <c r="I6" s="22"/>
      <c r="J6" s="22"/>
      <c r="K6" s="22"/>
      <c r="L6" s="22"/>
      <c r="M6" s="22"/>
      <c r="N6" s="19"/>
      <c r="O6" s="25"/>
    </row>
    <row r="7" spans="1:15" s="23" customFormat="1" ht="30" customHeight="1" x14ac:dyDescent="0.2">
      <c r="B7" s="354"/>
      <c r="C7" s="369" t="s">
        <v>50</v>
      </c>
      <c r="D7" s="369" t="s">
        <v>380</v>
      </c>
      <c r="E7" s="369" t="s">
        <v>381</v>
      </c>
      <c r="F7" s="355"/>
      <c r="G7" s="24"/>
      <c r="H7" s="22"/>
      <c r="I7" s="22"/>
      <c r="J7" s="22"/>
      <c r="K7" s="22"/>
      <c r="L7" s="22"/>
      <c r="M7" s="22"/>
      <c r="N7" s="19"/>
      <c r="O7" s="25"/>
    </row>
    <row r="8" spans="1:15" s="23" customFormat="1" ht="30" customHeight="1" x14ac:dyDescent="0.2">
      <c r="B8" s="354"/>
      <c r="C8" s="369" t="s">
        <v>361</v>
      </c>
      <c r="D8" s="369" t="s">
        <v>382</v>
      </c>
      <c r="E8" s="369" t="s">
        <v>383</v>
      </c>
      <c r="F8" s="355"/>
      <c r="G8" s="24"/>
      <c r="H8" s="22"/>
      <c r="I8" s="22"/>
      <c r="J8" s="22"/>
      <c r="K8" s="22"/>
      <c r="L8" s="22"/>
      <c r="M8" s="22"/>
      <c r="N8" s="19"/>
      <c r="O8" s="25"/>
    </row>
    <row r="9" spans="1:15" s="23" customFormat="1" ht="30" customHeight="1" x14ac:dyDescent="0.2">
      <c r="B9" s="354"/>
      <c r="C9" s="369" t="s">
        <v>362</v>
      </c>
      <c r="D9" s="369" t="s">
        <v>384</v>
      </c>
      <c r="E9" s="369" t="s">
        <v>385</v>
      </c>
      <c r="F9" s="355"/>
      <c r="G9" s="24"/>
      <c r="H9" s="22"/>
      <c r="I9" s="22"/>
      <c r="J9" s="22"/>
      <c r="K9" s="22"/>
      <c r="L9" s="22"/>
      <c r="M9" s="22"/>
      <c r="N9" s="19"/>
      <c r="O9" s="25"/>
    </row>
    <row r="10" spans="1:15" s="23" customFormat="1" ht="30" customHeight="1" x14ac:dyDescent="0.2">
      <c r="B10" s="354"/>
      <c r="C10" s="369" t="s">
        <v>363</v>
      </c>
      <c r="D10" s="369" t="s">
        <v>386</v>
      </c>
      <c r="E10" s="369" t="s">
        <v>387</v>
      </c>
      <c r="F10" s="355"/>
      <c r="G10" s="24"/>
      <c r="H10" s="22"/>
      <c r="I10" s="22"/>
      <c r="J10" s="22"/>
      <c r="K10" s="22"/>
      <c r="L10" s="22"/>
      <c r="M10" s="22"/>
      <c r="N10" s="19"/>
      <c r="O10" s="25"/>
    </row>
    <row r="11" spans="1:15" s="23" customFormat="1" ht="30" customHeight="1" x14ac:dyDescent="0.2">
      <c r="B11" s="354"/>
      <c r="C11" s="369" t="s">
        <v>364</v>
      </c>
      <c r="D11" s="369" t="s">
        <v>388</v>
      </c>
      <c r="E11" s="369" t="s">
        <v>389</v>
      </c>
      <c r="F11" s="355"/>
      <c r="G11" s="24"/>
      <c r="H11" s="22"/>
      <c r="I11" s="22"/>
      <c r="J11" s="22"/>
      <c r="K11" s="22"/>
      <c r="L11" s="22"/>
      <c r="M11" s="22"/>
      <c r="N11" s="19"/>
      <c r="O11" s="25"/>
    </row>
    <row r="12" spans="1:15" s="23" customFormat="1" ht="30" customHeight="1" x14ac:dyDescent="0.2">
      <c r="B12" s="354"/>
      <c r="C12" s="369" t="s">
        <v>390</v>
      </c>
      <c r="D12" s="369" t="s">
        <v>391</v>
      </c>
      <c r="E12" s="369" t="s">
        <v>392</v>
      </c>
      <c r="F12" s="355"/>
      <c r="G12" s="24"/>
      <c r="H12" s="22"/>
      <c r="I12" s="22"/>
      <c r="J12" s="22"/>
      <c r="K12" s="22"/>
      <c r="L12" s="22"/>
      <c r="M12" s="22"/>
      <c r="N12" s="19"/>
      <c r="O12" s="25"/>
    </row>
    <row r="13" spans="1:15" s="23" customFormat="1" ht="30" customHeight="1" x14ac:dyDescent="0.2">
      <c r="B13" s="354"/>
      <c r="C13" s="369" t="s">
        <v>393</v>
      </c>
      <c r="D13" s="369" t="s">
        <v>394</v>
      </c>
      <c r="E13" s="369" t="s">
        <v>395</v>
      </c>
      <c r="F13" s="355"/>
      <c r="G13" s="24"/>
      <c r="H13" s="22"/>
      <c r="I13" s="22"/>
      <c r="J13" s="22"/>
      <c r="K13" s="22"/>
      <c r="L13" s="22"/>
      <c r="M13" s="22"/>
      <c r="N13" s="19"/>
      <c r="O13" s="25"/>
    </row>
    <row r="14" spans="1:15" s="23" customFormat="1" ht="30" customHeight="1" x14ac:dyDescent="0.2">
      <c r="B14" s="354"/>
      <c r="C14" s="369" t="s">
        <v>396</v>
      </c>
      <c r="D14" s="369" t="s">
        <v>397</v>
      </c>
      <c r="E14" s="343"/>
      <c r="F14" s="355"/>
      <c r="G14" s="24"/>
      <c r="H14" s="22"/>
      <c r="I14" s="22"/>
      <c r="J14" s="22"/>
      <c r="K14" s="22"/>
      <c r="L14" s="22"/>
      <c r="M14" s="22"/>
      <c r="N14" s="19"/>
      <c r="O14" s="25"/>
    </row>
    <row r="15" spans="1:15" s="23" customFormat="1" ht="15" customHeight="1" thickBot="1" x14ac:dyDescent="0.25">
      <c r="A15" s="22"/>
      <c r="B15" s="356"/>
      <c r="C15" s="357"/>
      <c r="D15" s="357"/>
      <c r="E15" s="357"/>
      <c r="F15" s="358"/>
      <c r="G15" s="24"/>
      <c r="H15" s="22"/>
      <c r="I15" s="22"/>
      <c r="J15" s="22"/>
      <c r="K15" s="22"/>
      <c r="L15" s="22"/>
      <c r="M15" s="22"/>
      <c r="N15" s="19"/>
      <c r="O15" s="25"/>
    </row>
    <row r="16" spans="1:15" ht="24" thickTop="1" x14ac:dyDescent="0.35">
      <c r="A16" s="16"/>
      <c r="B16" s="15"/>
    </row>
    <row r="17" spans="1:2" x14ac:dyDescent="0.35">
      <c r="A17" s="16"/>
      <c r="B17" s="16"/>
    </row>
    <row r="18" spans="1:2" x14ac:dyDescent="0.35">
      <c r="A18" s="16"/>
      <c r="B18" s="16"/>
    </row>
  </sheetData>
  <mergeCells count="2">
    <mergeCell ref="C3:E3"/>
    <mergeCell ref="C4:E4"/>
  </mergeCells>
  <hyperlinks>
    <hyperlink ref="C7" location="Cover!A1" display="Cover sheet"/>
    <hyperlink ref="C8" location="'1. Income'!A1" display="1. Income statement"/>
    <hyperlink ref="C9" location="'2. Balance'!A1" display="2. Balance sheet"/>
    <hyperlink ref="C10" location="'3. Cashflows'!A1" display="3. Cashflows statement"/>
    <hyperlink ref="C11" location="'4. Equity'!A1" display="4. Changes in equity"/>
    <hyperlink ref="C12" location="'5. Capex'!A1" display="5. Capex"/>
    <hyperlink ref="C13" location="'6. Capex overheads'!A1" display="6. Capex overheads"/>
    <hyperlink ref="C14" location="'7. Capex for tax dep''n'!A1" display="7. Capex for tax depreciation"/>
    <hyperlink ref="D7" location="'8. Maintenance'!A1" display="8. Maintenance"/>
    <hyperlink ref="D8" location="'9. Maintenance overheads'!A1" display="9. Maintenance overheads"/>
    <hyperlink ref="D9" location="'10. Operating costs'!A1" display="10. Operating costs"/>
    <hyperlink ref="D10" location="'11. Operating overheads'!A1" display="11. Operating overheads"/>
    <hyperlink ref="D11" location="'12. Cost categories'!A1" display="12. Cost categories"/>
    <hyperlink ref="D12" location="'13. Opex step change'!A1" display="13. Opex step change"/>
    <hyperlink ref="D14" location="'15. Overheads allocation'!A1" display="15. Overheads allocation"/>
    <hyperlink ref="E7" location="'16. Avoided cost payments'!A1" display="16. Avoided cost payments"/>
    <hyperlink ref="E8" location="'17. Altern Ctl &amp; other'!A1" display="17. Alternative control &amp; other"/>
    <hyperlink ref="E9" location="'18. EBSS'!A1" display="18. EBSS"/>
    <hyperlink ref="E10" location="'19. Juris Scheme'!A1" display="19. Jurisdictional scheme"/>
    <hyperlink ref="E11" location="'20. DMIS -DMIA'!A1" display="20. DMIS _ DMIA"/>
    <hyperlink ref="E12" location="'21. Self insurance'!A1" display="21. Self insurance"/>
    <hyperlink ref="E13" location="'22. CHAP'!A1" display="22. Change in accounting policy"/>
    <hyperlink ref="D13" location="'14. Provisions'!A1" display="14. Provisions"/>
  </hyperlinks>
  <pageMargins left="0.35433070866141736" right="0.35433070866141736" top="0.59055118110236227" bottom="0.59055118110236227" header="0.51181102362204722" footer="0.11811023622047245"/>
  <pageSetup paperSize="9" scale="82" fitToHeight="100" orientation="landscape" r:id="rId1"/>
  <headerFooter scaleWithDoc="0" alignWithMargins="0">
    <oddFooter>&amp;L&amp;8&amp;D&amp;C&amp;8&amp; Template: &amp;A
&amp;F&amp;R&amp;8&amp;P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7"/>
  <sheetViews>
    <sheetView topLeftCell="A10" zoomScaleNormal="100" zoomScaleSheetLayoutView="100" workbookViewId="0">
      <selection activeCell="C35" sqref="C35"/>
    </sheetView>
  </sheetViews>
  <sheetFormatPr defaultRowHeight="15" x14ac:dyDescent="0.2"/>
  <cols>
    <col min="1" max="1" width="11.85546875" style="283" customWidth="1"/>
    <col min="2" max="2" width="46.28515625" style="283" customWidth="1"/>
    <col min="3" max="11" width="15.7109375" style="283" customWidth="1"/>
    <col min="12" max="16384" width="9.140625" style="283"/>
  </cols>
  <sheetData>
    <row r="1" spans="2:6" ht="23.25" customHeight="1" x14ac:dyDescent="0.3">
      <c r="B1" s="26" t="str">
        <f>Cover!C22</f>
        <v>ActewAGL</v>
      </c>
    </row>
    <row r="2" spans="2:6" ht="17.25" customHeight="1" x14ac:dyDescent="0.3">
      <c r="B2" s="303" t="s">
        <v>316</v>
      </c>
    </row>
    <row r="3" spans="2:6" ht="17.25" customHeight="1" x14ac:dyDescent="0.3">
      <c r="B3" s="26" t="str">
        <f>Cover!C26</f>
        <v>2012-13</v>
      </c>
    </row>
    <row r="4" spans="2:6" ht="17.25" customHeight="1" x14ac:dyDescent="0.3">
      <c r="B4" s="26"/>
    </row>
    <row r="5" spans="2:6" ht="30" customHeight="1" x14ac:dyDescent="0.2">
      <c r="B5" s="563" t="s">
        <v>369</v>
      </c>
      <c r="C5" s="686"/>
    </row>
    <row r="6" spans="2:6" ht="13.5" customHeight="1" x14ac:dyDescent="0.2">
      <c r="B6" s="302"/>
      <c r="C6" s="302"/>
      <c r="D6" s="302"/>
      <c r="E6" s="302"/>
    </row>
    <row r="7" spans="2:6" ht="15.75" x14ac:dyDescent="0.25">
      <c r="B7" s="301" t="s">
        <v>315</v>
      </c>
      <c r="C7" s="301"/>
      <c r="D7" s="292"/>
      <c r="E7" s="292"/>
      <c r="F7" s="292"/>
    </row>
    <row r="8" spans="2:6" ht="15.75" x14ac:dyDescent="0.25">
      <c r="B8" s="301"/>
      <c r="C8" s="301"/>
      <c r="D8" s="292"/>
      <c r="E8" s="292"/>
      <c r="F8" s="292"/>
    </row>
    <row r="9" spans="2:6" ht="27.75" customHeight="1" x14ac:dyDescent="0.2">
      <c r="B9" s="687" t="s">
        <v>370</v>
      </c>
      <c r="C9" s="688"/>
    </row>
    <row r="10" spans="2:6" ht="15.75" x14ac:dyDescent="0.25">
      <c r="B10" s="301"/>
      <c r="C10" s="301"/>
      <c r="D10" s="292"/>
      <c r="E10" s="292"/>
      <c r="F10" s="292"/>
    </row>
    <row r="11" spans="2:6" x14ac:dyDescent="0.2">
      <c r="B11" s="300"/>
      <c r="C11" s="289" t="s">
        <v>57</v>
      </c>
    </row>
    <row r="12" spans="2:6" x14ac:dyDescent="0.2">
      <c r="B12" s="299" t="s">
        <v>314</v>
      </c>
      <c r="C12" s="486">
        <f>'8. Maintenance'!H34+'10. Operating costs'!H33</f>
        <v>75844834.415048152</v>
      </c>
    </row>
    <row r="13" spans="2:6" x14ac:dyDescent="0.2">
      <c r="B13" s="296" t="s">
        <v>313</v>
      </c>
      <c r="C13" s="487">
        <f>'[6]Comparison Nominal Dollars'!Z88</f>
        <v>0</v>
      </c>
    </row>
    <row r="14" spans="2:6" x14ac:dyDescent="0.2">
      <c r="B14" s="296" t="s">
        <v>312</v>
      </c>
      <c r="C14" s="487">
        <f>'[6]Comparison Nominal Dollars'!Z89</f>
        <v>1755594.4662576688</v>
      </c>
    </row>
    <row r="15" spans="2:6" x14ac:dyDescent="0.2">
      <c r="B15" s="296" t="s">
        <v>311</v>
      </c>
      <c r="C15" s="487">
        <f>'[6]Comparison Nominal Dollars'!Z90</f>
        <v>1117218.9300000002</v>
      </c>
    </row>
    <row r="16" spans="2:6" x14ac:dyDescent="0.2">
      <c r="B16" s="296" t="s">
        <v>310</v>
      </c>
      <c r="C16" s="487">
        <f>'[6]Comparison Nominal Dollars'!Z91</f>
        <v>2376302.3899999997</v>
      </c>
    </row>
    <row r="17" spans="2:11" x14ac:dyDescent="0.2">
      <c r="B17" s="296" t="s">
        <v>309</v>
      </c>
      <c r="C17" s="487">
        <f>'[6]Comparison Nominal Dollars'!Z94</f>
        <v>67051.37</v>
      </c>
    </row>
    <row r="18" spans="2:11" x14ac:dyDescent="0.2">
      <c r="B18" s="296" t="s">
        <v>308</v>
      </c>
      <c r="C18" s="487">
        <f>'[6]Comparison Nominal Dollars'!Z92</f>
        <v>5484165.080000001</v>
      </c>
    </row>
    <row r="19" spans="2:11" x14ac:dyDescent="0.2">
      <c r="B19" s="296" t="s">
        <v>307</v>
      </c>
      <c r="C19" s="487">
        <f>'[6]Comparison Nominal Dollars'!Z93</f>
        <v>14057123.57</v>
      </c>
    </row>
    <row r="20" spans="2:11" x14ac:dyDescent="0.2">
      <c r="B20" s="296" t="s">
        <v>306</v>
      </c>
      <c r="C20" s="487">
        <v>1893454.2760398374</v>
      </c>
    </row>
    <row r="21" spans="2:11" x14ac:dyDescent="0.2">
      <c r="B21" s="296" t="s">
        <v>305</v>
      </c>
      <c r="C21" s="486">
        <f>C34</f>
        <v>0</v>
      </c>
    </row>
    <row r="22" spans="2:11" x14ac:dyDescent="0.2">
      <c r="B22" s="296" t="s">
        <v>304</v>
      </c>
      <c r="C22" s="295">
        <f>SUM(C13:C21)</f>
        <v>26750910.082297508</v>
      </c>
    </row>
    <row r="23" spans="2:11" x14ac:dyDescent="0.2">
      <c r="B23" s="294" t="s">
        <v>303</v>
      </c>
      <c r="C23" s="293">
        <f>C12-C22</f>
        <v>49093924.332750648</v>
      </c>
    </row>
    <row r="25" spans="2:11" ht="15.75" x14ac:dyDescent="0.25">
      <c r="B25" s="292" t="s">
        <v>302</v>
      </c>
    </row>
    <row r="26" spans="2:11" ht="15.75" x14ac:dyDescent="0.25">
      <c r="B26" s="292"/>
    </row>
    <row r="27" spans="2:11" x14ac:dyDescent="0.2">
      <c r="B27" s="383" t="s">
        <v>301</v>
      </c>
      <c r="C27" s="291"/>
      <c r="D27" s="291"/>
      <c r="E27" s="291"/>
      <c r="F27" s="291"/>
      <c r="G27" s="291"/>
      <c r="H27" s="291"/>
      <c r="I27" s="291"/>
      <c r="J27" s="291"/>
      <c r="K27" s="290"/>
    </row>
    <row r="29" spans="2:11" ht="63.75" x14ac:dyDescent="0.2">
      <c r="B29" s="289" t="s">
        <v>300</v>
      </c>
      <c r="C29" s="288" t="s">
        <v>299</v>
      </c>
      <c r="D29" s="690" t="s">
        <v>52</v>
      </c>
      <c r="E29" s="690"/>
      <c r="F29" s="690"/>
      <c r="G29" s="690"/>
      <c r="H29" s="690"/>
      <c r="I29" s="690"/>
      <c r="J29" s="690"/>
      <c r="K29" s="690"/>
    </row>
    <row r="30" spans="2:11" x14ac:dyDescent="0.2">
      <c r="B30" s="287" t="s">
        <v>462</v>
      </c>
      <c r="C30" s="287"/>
      <c r="D30" s="689"/>
      <c r="E30" s="689"/>
      <c r="F30" s="689"/>
      <c r="G30" s="689"/>
      <c r="H30" s="689"/>
      <c r="I30" s="689"/>
      <c r="J30" s="689"/>
      <c r="K30" s="689"/>
    </row>
    <row r="31" spans="2:11" x14ac:dyDescent="0.2">
      <c r="B31" s="287"/>
      <c r="C31" s="287"/>
      <c r="D31" s="689"/>
      <c r="E31" s="689"/>
      <c r="F31" s="689"/>
      <c r="G31" s="689"/>
      <c r="H31" s="689"/>
      <c r="I31" s="689"/>
      <c r="J31" s="689"/>
      <c r="K31" s="689"/>
    </row>
    <row r="32" spans="2:11" x14ac:dyDescent="0.2">
      <c r="B32" s="287"/>
      <c r="C32" s="287"/>
      <c r="D32" s="689"/>
      <c r="E32" s="689"/>
      <c r="F32" s="689"/>
      <c r="G32" s="689"/>
      <c r="H32" s="689"/>
      <c r="I32" s="689"/>
      <c r="J32" s="689"/>
      <c r="K32" s="689"/>
    </row>
    <row r="33" spans="2:18" x14ac:dyDescent="0.2">
      <c r="B33" s="287"/>
      <c r="C33" s="287"/>
      <c r="D33" s="689"/>
      <c r="E33" s="689"/>
      <c r="F33" s="689"/>
      <c r="G33" s="689"/>
      <c r="H33" s="689"/>
      <c r="I33" s="689"/>
      <c r="J33" s="689"/>
      <c r="K33" s="689"/>
    </row>
    <row r="34" spans="2:18" x14ac:dyDescent="0.2">
      <c r="B34" s="286" t="s">
        <v>69</v>
      </c>
      <c r="C34" s="285">
        <f>SUM(C30:C33)</f>
        <v>0</v>
      </c>
    </row>
    <row r="37" spans="2:18" x14ac:dyDescent="0.2">
      <c r="B37" s="284"/>
      <c r="C37" s="284"/>
      <c r="D37" s="284"/>
      <c r="E37" s="284"/>
      <c r="F37" s="284"/>
      <c r="G37" s="284"/>
      <c r="H37" s="284"/>
      <c r="I37" s="284"/>
      <c r="J37" s="284"/>
      <c r="K37" s="284"/>
      <c r="L37" s="284"/>
      <c r="M37" s="284"/>
      <c r="N37" s="284"/>
      <c r="O37" s="284"/>
      <c r="P37" s="284"/>
      <c r="Q37" s="284"/>
      <c r="R37" s="284"/>
    </row>
  </sheetData>
  <mergeCells count="7">
    <mergeCell ref="B5:C5"/>
    <mergeCell ref="B9:C9"/>
    <mergeCell ref="D33:K33"/>
    <mergeCell ref="D29:K29"/>
    <mergeCell ref="D30:K30"/>
    <mergeCell ref="D31:K31"/>
    <mergeCell ref="D32:K32"/>
  </mergeCells>
  <pageMargins left="0.35433070866141736" right="0.35433070866141736" top="0.59055118110236227" bottom="0.59055118110236227" header="0.51181102362204722" footer="0.11811023622047245"/>
  <pageSetup paperSize="9" scale="76" fitToHeight="100" orientation="landscape" r:id="rId1"/>
  <headerFooter scaleWithDoc="0" alignWithMargins="0">
    <oddFooter>&amp;L&amp;8&amp;D&amp;C&amp;8&amp; Template: &amp;A
&amp;F&amp;R&amp;8&amp;P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6"/>
  <sheetViews>
    <sheetView zoomScaleNormal="100" zoomScaleSheetLayoutView="100" workbookViewId="0">
      <selection activeCell="C35" sqref="C35"/>
    </sheetView>
  </sheetViews>
  <sheetFormatPr defaultRowHeight="15" x14ac:dyDescent="0.2"/>
  <cols>
    <col min="1" max="1" width="14" style="304" customWidth="1"/>
    <col min="2" max="2" width="60.7109375" style="304" customWidth="1"/>
    <col min="3" max="3" width="15.7109375" style="304" customWidth="1"/>
    <col min="4" max="6" width="30.7109375" style="304" customWidth="1"/>
    <col min="7" max="16384" width="9.140625" style="304"/>
  </cols>
  <sheetData>
    <row r="1" spans="2:4" ht="22.5" customHeight="1" x14ac:dyDescent="0.3">
      <c r="B1" s="26" t="str">
        <f>Cover!C22</f>
        <v>ActewAGL</v>
      </c>
    </row>
    <row r="2" spans="2:4" ht="20.25" x14ac:dyDescent="0.3">
      <c r="B2" s="312" t="s">
        <v>376</v>
      </c>
      <c r="C2" s="309"/>
      <c r="D2" s="309"/>
    </row>
    <row r="3" spans="2:4" ht="18" customHeight="1" x14ac:dyDescent="0.3">
      <c r="B3" s="26" t="str">
        <f>Cover!C26</f>
        <v>2012-13</v>
      </c>
      <c r="C3" s="309"/>
      <c r="D3" s="309"/>
    </row>
    <row r="4" spans="2:4" ht="15.75" customHeight="1" x14ac:dyDescent="0.4">
      <c r="B4" s="311"/>
      <c r="C4" s="309"/>
      <c r="D4" s="309"/>
    </row>
    <row r="5" spans="2:4" ht="29.25" customHeight="1" x14ac:dyDescent="0.25">
      <c r="B5" s="692" t="s">
        <v>400</v>
      </c>
      <c r="C5" s="693"/>
      <c r="D5" s="309"/>
    </row>
    <row r="6" spans="2:4" ht="15.75" customHeight="1" x14ac:dyDescent="0.4">
      <c r="B6" s="311"/>
      <c r="C6" s="309"/>
      <c r="D6" s="309"/>
    </row>
    <row r="7" spans="2:4" ht="28.5" customHeight="1" x14ac:dyDescent="0.25">
      <c r="B7" s="691" t="s">
        <v>318</v>
      </c>
      <c r="C7" s="561"/>
      <c r="D7" s="309"/>
    </row>
    <row r="8" spans="2:4" ht="15.75" x14ac:dyDescent="0.25">
      <c r="B8" s="366"/>
      <c r="C8" s="367"/>
      <c r="D8" s="309"/>
    </row>
    <row r="9" spans="2:4" ht="18" x14ac:dyDescent="0.25">
      <c r="B9" s="368" t="s">
        <v>375</v>
      </c>
      <c r="C9" s="367"/>
      <c r="D9" s="309"/>
    </row>
    <row r="10" spans="2:4" ht="15.75" customHeight="1" x14ac:dyDescent="0.4">
      <c r="B10" s="311"/>
      <c r="C10" s="309"/>
      <c r="D10" s="309"/>
    </row>
    <row r="11" spans="2:4" s="309" customFormat="1" ht="51.75" customHeight="1" x14ac:dyDescent="0.25">
      <c r="B11" s="310" t="s">
        <v>317</v>
      </c>
      <c r="C11" s="400" t="s">
        <v>401</v>
      </c>
    </row>
    <row r="12" spans="2:4" x14ac:dyDescent="0.2">
      <c r="B12" s="308" t="s">
        <v>465</v>
      </c>
      <c r="C12" s="490">
        <f>[11]Sheet4!$B$37</f>
        <v>1600</v>
      </c>
    </row>
    <row r="13" spans="2:4" x14ac:dyDescent="0.2">
      <c r="B13" s="308"/>
      <c r="C13" s="307"/>
    </row>
    <row r="14" spans="2:4" x14ac:dyDescent="0.2">
      <c r="B14" s="308"/>
      <c r="C14" s="307"/>
    </row>
    <row r="15" spans="2:4" x14ac:dyDescent="0.2">
      <c r="B15" s="308"/>
      <c r="C15" s="307"/>
    </row>
    <row r="16" spans="2:4" x14ac:dyDescent="0.2">
      <c r="B16" s="306" t="s">
        <v>377</v>
      </c>
      <c r="C16" s="305">
        <f>SUM(C12:C15)</f>
        <v>1600</v>
      </c>
    </row>
  </sheetData>
  <mergeCells count="2">
    <mergeCell ref="B7:C7"/>
    <mergeCell ref="B5:C5"/>
  </mergeCells>
  <pageMargins left="0.35433070866141736" right="0.35433070866141736" top="0.59055118110236227" bottom="0.59055118110236227" header="0.51181102362204722" footer="0.11811023622047245"/>
  <pageSetup paperSize="9" fitToHeight="100" orientation="landscape" r:id="rId1"/>
  <headerFooter scaleWithDoc="0" alignWithMargins="0">
    <oddFooter>&amp;L&amp;8&amp;D&amp;C&amp;8&amp; Template: &amp;A
&amp;F&amp;R&amp;8&amp;P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2"/>
  <sheetViews>
    <sheetView topLeftCell="A6" zoomScaleNormal="100" zoomScaleSheetLayoutView="100" workbookViewId="0">
      <selection activeCell="D6" sqref="D6"/>
    </sheetView>
  </sheetViews>
  <sheetFormatPr defaultColWidth="8.85546875" defaultRowHeight="12.75" x14ac:dyDescent="0.2"/>
  <cols>
    <col min="1" max="1" width="13.5703125" style="313" customWidth="1"/>
    <col min="2" max="2" width="43.7109375" style="313" customWidth="1"/>
    <col min="3" max="5" width="15.7109375" style="313" customWidth="1"/>
    <col min="6" max="6" width="24" style="313" customWidth="1"/>
    <col min="7" max="7" width="11.7109375" style="313" customWidth="1"/>
    <col min="8" max="8" width="19.7109375" style="313" customWidth="1"/>
    <col min="9" max="13" width="2.140625" style="313" customWidth="1"/>
    <col min="14" max="16384" width="8.85546875" style="313"/>
  </cols>
  <sheetData>
    <row r="1" spans="2:10" ht="20.25" x14ac:dyDescent="0.3">
      <c r="B1" s="26" t="str">
        <f>Cover!C22</f>
        <v>ActewAGL</v>
      </c>
      <c r="E1" s="327"/>
    </row>
    <row r="2" spans="2:10" ht="20.25" x14ac:dyDescent="0.3">
      <c r="B2" s="303" t="s">
        <v>330</v>
      </c>
      <c r="E2" s="327"/>
    </row>
    <row r="3" spans="2:10" ht="20.25" x14ac:dyDescent="0.3">
      <c r="B3" s="26" t="str">
        <f>Cover!C26</f>
        <v>2012-13</v>
      </c>
      <c r="E3" s="327"/>
    </row>
    <row r="4" spans="2:10" ht="20.25" x14ac:dyDescent="0.3">
      <c r="B4" s="329"/>
      <c r="E4" s="327"/>
    </row>
    <row r="5" spans="2:10" ht="18" x14ac:dyDescent="0.2">
      <c r="B5" s="328" t="s">
        <v>329</v>
      </c>
      <c r="E5" s="327"/>
    </row>
    <row r="6" spans="2:10" ht="18" x14ac:dyDescent="0.2">
      <c r="B6" s="328"/>
      <c r="E6" s="327"/>
    </row>
    <row r="7" spans="2:10" ht="73.5" customHeight="1" x14ac:dyDescent="0.2">
      <c r="B7" s="694" t="s">
        <v>371</v>
      </c>
      <c r="C7" s="695"/>
      <c r="D7" s="696"/>
      <c r="E7" s="327"/>
    </row>
    <row r="8" spans="2:10" ht="18" x14ac:dyDescent="0.2">
      <c r="B8" s="328"/>
      <c r="E8" s="327"/>
    </row>
    <row r="9" spans="2:10" ht="15.75" x14ac:dyDescent="0.25">
      <c r="B9" s="292" t="s">
        <v>328</v>
      </c>
      <c r="H9" s="326"/>
    </row>
    <row r="10" spans="2:10" ht="15.75" x14ac:dyDescent="0.25">
      <c r="B10" s="292"/>
      <c r="C10" s="326"/>
      <c r="D10" s="326"/>
      <c r="E10" s="326"/>
      <c r="F10" s="326"/>
      <c r="G10" s="326"/>
      <c r="H10" s="326"/>
    </row>
    <row r="11" spans="2:10" ht="17.25" customHeight="1" x14ac:dyDescent="0.2">
      <c r="B11" s="697" t="s">
        <v>86</v>
      </c>
      <c r="C11" s="700" t="s">
        <v>327</v>
      </c>
      <c r="D11" s="701"/>
      <c r="E11" s="702"/>
      <c r="F11" s="703"/>
      <c r="G11" s="704"/>
      <c r="H11" s="704"/>
      <c r="I11" s="325"/>
      <c r="J11" s="322"/>
    </row>
    <row r="12" spans="2:10" ht="16.5" customHeight="1" x14ac:dyDescent="0.2">
      <c r="B12" s="698"/>
      <c r="C12" s="700" t="str">
        <f>B3</f>
        <v>2012-13</v>
      </c>
      <c r="D12" s="705"/>
      <c r="E12" s="706"/>
      <c r="F12" s="703"/>
      <c r="G12" s="704"/>
      <c r="H12" s="704"/>
      <c r="I12" s="323"/>
      <c r="J12" s="322"/>
    </row>
    <row r="13" spans="2:10" ht="45.75" customHeight="1" x14ac:dyDescent="0.2">
      <c r="B13" s="699"/>
      <c r="C13" s="324" t="s">
        <v>326</v>
      </c>
      <c r="D13" s="324" t="s">
        <v>325</v>
      </c>
      <c r="E13" s="324" t="s">
        <v>324</v>
      </c>
      <c r="F13" s="703"/>
      <c r="G13" s="704"/>
      <c r="H13" s="704"/>
      <c r="I13" s="323"/>
      <c r="J13" s="322"/>
    </row>
    <row r="14" spans="2:10" ht="15" x14ac:dyDescent="0.2">
      <c r="B14" s="489" t="s">
        <v>466</v>
      </c>
      <c r="C14" s="487">
        <v>67051.37</v>
      </c>
      <c r="D14" s="298"/>
      <c r="E14" s="320">
        <f t="shared" ref="E14:E19" si="0">SUM(C14:D14)</f>
        <v>67051.37</v>
      </c>
      <c r="F14" s="707"/>
      <c r="G14" s="707"/>
      <c r="H14" s="707"/>
      <c r="I14" s="283"/>
      <c r="J14" s="283"/>
    </row>
    <row r="15" spans="2:10" ht="15" x14ac:dyDescent="0.2">
      <c r="B15" s="321" t="s">
        <v>323</v>
      </c>
      <c r="C15" s="298"/>
      <c r="D15" s="298"/>
      <c r="E15" s="320">
        <f t="shared" si="0"/>
        <v>0</v>
      </c>
      <c r="F15" s="707"/>
      <c r="G15" s="707"/>
      <c r="H15" s="707"/>
      <c r="I15" s="283"/>
      <c r="J15" s="283"/>
    </row>
    <row r="16" spans="2:10" ht="15" x14ac:dyDescent="0.2">
      <c r="B16" s="321" t="s">
        <v>322</v>
      </c>
      <c r="C16" s="298"/>
      <c r="D16" s="298"/>
      <c r="E16" s="320">
        <f t="shared" si="0"/>
        <v>0</v>
      </c>
      <c r="F16" s="707"/>
      <c r="G16" s="707"/>
      <c r="H16" s="707"/>
      <c r="I16" s="283"/>
      <c r="J16" s="283"/>
    </row>
    <row r="17" spans="2:10" ht="15" x14ac:dyDescent="0.2">
      <c r="B17" s="321" t="s">
        <v>321</v>
      </c>
      <c r="C17" s="298"/>
      <c r="D17" s="298"/>
      <c r="E17" s="320">
        <f t="shared" si="0"/>
        <v>0</v>
      </c>
      <c r="F17" s="707"/>
      <c r="G17" s="707"/>
      <c r="H17" s="707"/>
      <c r="I17" s="283"/>
      <c r="J17" s="283"/>
    </row>
    <row r="18" spans="2:10" ht="15" x14ac:dyDescent="0.2">
      <c r="B18" s="321" t="s">
        <v>320</v>
      </c>
      <c r="C18" s="298"/>
      <c r="D18" s="298"/>
      <c r="E18" s="320">
        <f t="shared" si="0"/>
        <v>0</v>
      </c>
      <c r="F18" s="707"/>
      <c r="G18" s="707"/>
      <c r="H18" s="707"/>
      <c r="I18" s="283"/>
      <c r="J18" s="283"/>
    </row>
    <row r="19" spans="2:10" ht="15" x14ac:dyDescent="0.2">
      <c r="B19" s="321" t="s">
        <v>319</v>
      </c>
      <c r="C19" s="298"/>
      <c r="D19" s="298"/>
      <c r="E19" s="320">
        <f t="shared" si="0"/>
        <v>0</v>
      </c>
      <c r="F19" s="707"/>
      <c r="G19" s="707"/>
      <c r="H19" s="707"/>
      <c r="I19" s="283"/>
      <c r="J19" s="283"/>
    </row>
    <row r="20" spans="2:10" ht="15" x14ac:dyDescent="0.2">
      <c r="B20" s="319" t="s">
        <v>69</v>
      </c>
      <c r="C20" s="297">
        <f>SUM(C14:C19)</f>
        <v>67051.37</v>
      </c>
      <c r="D20" s="297">
        <f>SUM(D14:D19)</f>
        <v>0</v>
      </c>
      <c r="E20" s="297">
        <f>SUM(E14:E19)</f>
        <v>67051.37</v>
      </c>
      <c r="F20" s="318"/>
      <c r="G20" s="318"/>
      <c r="H20" s="318"/>
      <c r="I20" s="283"/>
      <c r="J20" s="283"/>
    </row>
    <row r="21" spans="2:10" ht="15.75" x14ac:dyDescent="0.2">
      <c r="B21" s="317"/>
      <c r="C21" s="316"/>
      <c r="D21" s="316"/>
      <c r="E21" s="316"/>
      <c r="F21" s="283"/>
      <c r="G21" s="283"/>
      <c r="H21" s="283"/>
      <c r="I21" s="283"/>
    </row>
    <row r="22" spans="2:10" ht="15" x14ac:dyDescent="0.2">
      <c r="C22" s="315"/>
      <c r="E22" s="314"/>
    </row>
  </sheetData>
  <mergeCells count="11">
    <mergeCell ref="F14:H14"/>
    <mergeCell ref="F16:H16"/>
    <mergeCell ref="F17:H17"/>
    <mergeCell ref="F18:H18"/>
    <mergeCell ref="F19:H19"/>
    <mergeCell ref="F15:H15"/>
    <mergeCell ref="B7:D7"/>
    <mergeCell ref="B11:B13"/>
    <mergeCell ref="C11:E11"/>
    <mergeCell ref="F11:H13"/>
    <mergeCell ref="C12:E12"/>
  </mergeCells>
  <pageMargins left="0.35433070866141736" right="0.35433070866141736" top="0.59055118110236227" bottom="0.59055118110236227" header="0.51181102362204722" footer="0.11811023622047245"/>
  <pageSetup paperSize="9" fitToHeight="100" orientation="landscape" r:id="rId1"/>
  <headerFooter scaleWithDoc="0" alignWithMargins="0">
    <oddFooter>&amp;L&amp;8&amp;D&amp;C&amp;8&amp; Template: &amp;A
&amp;F&amp;R&amp;8&amp;P of &amp;N</oddFooter>
  </headerFooter>
  <colBreaks count="1" manualBreakCount="1">
    <brk id="7"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29"/>
  <sheetViews>
    <sheetView topLeftCell="A7" zoomScaleNormal="100" zoomScaleSheetLayoutView="100" workbookViewId="0">
      <selection activeCell="C35" sqref="C35"/>
    </sheetView>
  </sheetViews>
  <sheetFormatPr defaultRowHeight="12.75" x14ac:dyDescent="0.2"/>
  <cols>
    <col min="1" max="1" width="11" style="65" customWidth="1"/>
    <col min="2" max="2" width="27.28515625" style="65" customWidth="1"/>
    <col min="3" max="3" width="20.42578125" style="65" customWidth="1"/>
    <col min="4" max="20" width="15.7109375" style="65" customWidth="1"/>
    <col min="21" max="21" width="4.85546875" style="65" customWidth="1"/>
    <col min="22" max="16384" width="9.140625" style="65"/>
  </cols>
  <sheetData>
    <row r="1" spans="2:13" ht="20.25" x14ac:dyDescent="0.3">
      <c r="B1" s="26" t="str">
        <f>Cover!C22</f>
        <v>ActewAGL</v>
      </c>
    </row>
    <row r="2" spans="2:13" ht="20.25" x14ac:dyDescent="0.3">
      <c r="B2" s="64" t="s">
        <v>312</v>
      </c>
    </row>
    <row r="3" spans="2:13" ht="20.25" x14ac:dyDescent="0.3">
      <c r="B3" s="26" t="str">
        <f>Cover!C26</f>
        <v>2012-13</v>
      </c>
    </row>
    <row r="4" spans="2:13" ht="20.25" x14ac:dyDescent="0.3">
      <c r="B4" s="26"/>
    </row>
    <row r="5" spans="2:13" ht="91.5" customHeight="1" x14ac:dyDescent="0.2">
      <c r="B5" s="680" t="s">
        <v>372</v>
      </c>
      <c r="C5" s="713"/>
      <c r="D5" s="713"/>
      <c r="E5" s="713"/>
      <c r="F5" s="713"/>
      <c r="G5" s="714"/>
    </row>
    <row r="6" spans="2:13" ht="20.25" x14ac:dyDescent="0.3">
      <c r="B6" s="26"/>
    </row>
    <row r="7" spans="2:13" ht="15.75" x14ac:dyDescent="0.25">
      <c r="B7" s="87" t="s">
        <v>347</v>
      </c>
    </row>
    <row r="9" spans="2:13" s="399" customFormat="1" ht="74.25" customHeight="1" x14ac:dyDescent="0.2">
      <c r="B9" s="391" t="s">
        <v>346</v>
      </c>
      <c r="C9" s="391" t="s">
        <v>345</v>
      </c>
      <c r="D9" s="708" t="s">
        <v>344</v>
      </c>
      <c r="E9" s="711"/>
      <c r="F9" s="711"/>
      <c r="G9" s="712"/>
      <c r="H9" s="391" t="s">
        <v>343</v>
      </c>
      <c r="I9" s="391" t="s">
        <v>342</v>
      </c>
      <c r="J9" s="391" t="s">
        <v>341</v>
      </c>
      <c r="K9" s="391" t="s">
        <v>334</v>
      </c>
      <c r="L9" s="391" t="s">
        <v>340</v>
      </c>
      <c r="M9" s="391" t="s">
        <v>339</v>
      </c>
    </row>
    <row r="10" spans="2:13" s="399" customFormat="1" ht="12.75" customHeight="1" x14ac:dyDescent="0.2">
      <c r="B10" s="391"/>
      <c r="C10" s="391"/>
      <c r="D10" s="708"/>
      <c r="E10" s="709"/>
      <c r="F10" s="709"/>
      <c r="G10" s="710"/>
      <c r="H10" s="391" t="s">
        <v>57</v>
      </c>
      <c r="I10" s="391" t="s">
        <v>57</v>
      </c>
      <c r="J10" s="391" t="s">
        <v>57</v>
      </c>
      <c r="K10" s="391" t="s">
        <v>57</v>
      </c>
      <c r="L10" s="391" t="s">
        <v>57</v>
      </c>
      <c r="M10" s="396"/>
    </row>
    <row r="11" spans="2:13" ht="12.75" customHeight="1" x14ac:dyDescent="0.2">
      <c r="B11" s="371" t="s">
        <v>497</v>
      </c>
      <c r="C11" s="371" t="s">
        <v>498</v>
      </c>
      <c r="D11" s="392" t="s">
        <v>499</v>
      </c>
      <c r="E11" s="392"/>
      <c r="F11" s="392"/>
      <c r="G11" s="392"/>
      <c r="H11" s="508">
        <v>1755594.4662576688</v>
      </c>
      <c r="I11" s="392">
        <v>0</v>
      </c>
      <c r="J11" s="508">
        <f>H11+I11</f>
        <v>1755594.4662576688</v>
      </c>
      <c r="K11" s="392">
        <v>0</v>
      </c>
      <c r="L11" s="392">
        <v>0</v>
      </c>
      <c r="M11" s="392" t="s">
        <v>496</v>
      </c>
    </row>
    <row r="12" spans="2:13" ht="12.75" customHeight="1" x14ac:dyDescent="0.2">
      <c r="B12" s="331"/>
      <c r="C12" s="331"/>
      <c r="D12" s="392"/>
      <c r="E12" s="392"/>
      <c r="F12" s="392"/>
      <c r="G12" s="392"/>
      <c r="H12" s="392"/>
      <c r="I12" s="392"/>
      <c r="J12" s="392"/>
      <c r="K12" s="392"/>
      <c r="L12" s="392"/>
      <c r="M12" s="392"/>
    </row>
    <row r="13" spans="2:13" ht="12.75" customHeight="1" x14ac:dyDescent="0.2">
      <c r="B13" s="331"/>
      <c r="C13" s="331"/>
      <c r="D13" s="392"/>
      <c r="E13" s="392"/>
      <c r="F13" s="392"/>
      <c r="G13" s="392"/>
      <c r="H13" s="392"/>
      <c r="I13" s="392"/>
      <c r="J13" s="392"/>
      <c r="K13" s="392"/>
      <c r="L13" s="392"/>
      <c r="M13" s="392"/>
    </row>
    <row r="14" spans="2:13" ht="12.75" customHeight="1" x14ac:dyDescent="0.2">
      <c r="B14" s="331"/>
      <c r="C14" s="331"/>
      <c r="D14" s="392"/>
      <c r="E14" s="392"/>
      <c r="F14" s="392"/>
      <c r="G14" s="392"/>
      <c r="H14" s="392"/>
      <c r="I14" s="392"/>
      <c r="J14" s="392"/>
      <c r="K14" s="392"/>
      <c r="L14" s="392"/>
      <c r="M14" s="392"/>
    </row>
    <row r="15" spans="2:13" ht="12.75" customHeight="1" x14ac:dyDescent="0.2">
      <c r="B15" s="331"/>
      <c r="C15" s="331"/>
      <c r="D15" s="392"/>
      <c r="E15" s="392"/>
      <c r="F15" s="392"/>
      <c r="G15" s="392"/>
      <c r="H15" s="392"/>
      <c r="I15" s="392"/>
      <c r="J15" s="392"/>
      <c r="K15" s="392"/>
      <c r="L15" s="392"/>
      <c r="M15" s="392"/>
    </row>
    <row r="16" spans="2:13" ht="12.75" customHeight="1" x14ac:dyDescent="0.2">
      <c r="B16" s="331"/>
      <c r="C16" s="331"/>
      <c r="D16" s="392"/>
      <c r="E16" s="392"/>
      <c r="F16" s="392"/>
      <c r="G16" s="392"/>
      <c r="H16" s="392"/>
      <c r="I16" s="392"/>
      <c r="J16" s="392"/>
      <c r="K16" s="392"/>
      <c r="L16" s="392"/>
      <c r="M16" s="392"/>
    </row>
    <row r="17" spans="2:20" ht="12.75" customHeight="1" x14ac:dyDescent="0.2">
      <c r="B17" s="331"/>
      <c r="C17" s="331"/>
      <c r="D17" s="392"/>
      <c r="E17" s="392"/>
      <c r="F17" s="392"/>
      <c r="G17" s="392"/>
      <c r="H17" s="392"/>
      <c r="I17" s="392"/>
      <c r="J17" s="392"/>
      <c r="K17" s="392"/>
      <c r="L17" s="392"/>
      <c r="M17" s="392"/>
    </row>
    <row r="18" spans="2:20" ht="12.75" customHeight="1" x14ac:dyDescent="0.2">
      <c r="B18" s="331"/>
      <c r="C18" s="331"/>
      <c r="D18" s="392"/>
      <c r="E18" s="392"/>
      <c r="F18" s="392"/>
      <c r="G18" s="392"/>
      <c r="H18" s="392"/>
      <c r="I18" s="392"/>
      <c r="J18" s="392"/>
      <c r="K18" s="392"/>
      <c r="L18" s="392"/>
      <c r="M18" s="392"/>
    </row>
    <row r="19" spans="2:20" x14ac:dyDescent="0.2">
      <c r="B19" s="372"/>
      <c r="C19" s="372"/>
      <c r="D19" s="394" t="s">
        <v>338</v>
      </c>
      <c r="E19" s="394"/>
      <c r="F19" s="394"/>
      <c r="G19" s="394"/>
      <c r="H19" s="395">
        <f>SUM(H11:H18)</f>
        <v>1755594.4662576688</v>
      </c>
      <c r="I19" s="395">
        <f>SUM(I11:I18)</f>
        <v>0</v>
      </c>
      <c r="J19" s="395">
        <f>SUM(J11:J18)</f>
        <v>1755594.4662576688</v>
      </c>
      <c r="K19" s="395">
        <f>SUM(K11:K18)</f>
        <v>0</v>
      </c>
      <c r="L19" s="395">
        <f>SUM(L11:L18)</f>
        <v>0</v>
      </c>
      <c r="M19" s="393"/>
    </row>
    <row r="20" spans="2:20" x14ac:dyDescent="0.2">
      <c r="C20" s="390"/>
      <c r="D20" s="390"/>
      <c r="E20" s="390"/>
      <c r="F20" s="390"/>
      <c r="G20" s="390"/>
      <c r="H20" s="390"/>
      <c r="I20" s="390"/>
      <c r="J20" s="390"/>
      <c r="K20" s="390"/>
      <c r="L20" s="390"/>
      <c r="M20" s="390"/>
      <c r="N20" s="390"/>
      <c r="O20" s="390"/>
      <c r="P20" s="390"/>
      <c r="Q20" s="390"/>
      <c r="R20" s="390"/>
      <c r="S20" s="390"/>
      <c r="T20" s="390"/>
    </row>
    <row r="21" spans="2:20" ht="15.75" x14ac:dyDescent="0.25">
      <c r="B21" s="87" t="s">
        <v>337</v>
      </c>
      <c r="C21" s="390"/>
      <c r="D21" s="390"/>
      <c r="E21" s="390"/>
      <c r="F21" s="390"/>
      <c r="G21" s="390"/>
      <c r="H21" s="390"/>
      <c r="I21" s="390"/>
      <c r="J21" s="390"/>
      <c r="K21" s="390"/>
      <c r="L21" s="390"/>
      <c r="M21" s="390"/>
      <c r="N21" s="390"/>
      <c r="O21" s="390"/>
      <c r="P21" s="390"/>
      <c r="Q21" s="390"/>
      <c r="R21" s="390"/>
      <c r="S21" s="390"/>
      <c r="T21" s="390"/>
    </row>
    <row r="22" spans="2:20" x14ac:dyDescent="0.2">
      <c r="C22" s="390"/>
      <c r="D22" s="390"/>
      <c r="E22" s="390"/>
      <c r="F22" s="390"/>
      <c r="G22" s="390"/>
      <c r="H22" s="390"/>
      <c r="I22" s="390"/>
      <c r="J22" s="390"/>
      <c r="K22" s="390"/>
      <c r="L22" s="390"/>
      <c r="M22" s="390"/>
      <c r="N22" s="390"/>
      <c r="O22" s="390"/>
      <c r="P22" s="390"/>
      <c r="Q22" s="390"/>
      <c r="R22" s="390"/>
      <c r="S22" s="390"/>
      <c r="T22" s="390"/>
    </row>
    <row r="23" spans="2:20" ht="60" customHeight="1" x14ac:dyDescent="0.2">
      <c r="B23" s="391" t="s">
        <v>336</v>
      </c>
      <c r="C23" s="391" t="s">
        <v>335</v>
      </c>
      <c r="D23" s="391" t="s">
        <v>334</v>
      </c>
      <c r="E23" s="391" t="s">
        <v>333</v>
      </c>
      <c r="F23" s="390"/>
      <c r="G23" s="390"/>
      <c r="H23" s="390"/>
      <c r="I23" s="390"/>
      <c r="J23" s="390"/>
      <c r="K23" s="390"/>
    </row>
    <row r="24" spans="2:20" x14ac:dyDescent="0.2">
      <c r="B24" s="391"/>
      <c r="C24" s="391" t="s">
        <v>57</v>
      </c>
      <c r="D24" s="391" t="s">
        <v>57</v>
      </c>
      <c r="E24" s="391" t="s">
        <v>57</v>
      </c>
      <c r="F24" s="390"/>
      <c r="G24" s="390"/>
      <c r="H24" s="390"/>
      <c r="I24" s="390"/>
      <c r="J24" s="390"/>
      <c r="K24" s="390"/>
    </row>
    <row r="25" spans="2:20" ht="22.9" customHeight="1" x14ac:dyDescent="0.2">
      <c r="B25" s="330"/>
      <c r="C25" s="509"/>
      <c r="D25" s="509"/>
      <c r="E25" s="509"/>
      <c r="F25" s="390"/>
      <c r="G25" s="390"/>
      <c r="H25" s="390"/>
      <c r="I25" s="390"/>
      <c r="J25" s="390"/>
      <c r="K25" s="390"/>
    </row>
    <row r="27" spans="2:20" ht="15.75" x14ac:dyDescent="0.25">
      <c r="B27" s="87" t="s">
        <v>332</v>
      </c>
    </row>
    <row r="29" spans="2:20" x14ac:dyDescent="0.2">
      <c r="B29" s="715" t="s">
        <v>331</v>
      </c>
      <c r="C29" s="716"/>
      <c r="D29" s="519">
        <f>H19+C25</f>
        <v>1755594.4662576688</v>
      </c>
    </row>
  </sheetData>
  <mergeCells count="4">
    <mergeCell ref="D10:G10"/>
    <mergeCell ref="D9:G9"/>
    <mergeCell ref="B5:G5"/>
    <mergeCell ref="B29:C29"/>
  </mergeCells>
  <dataValidations count="1">
    <dataValidation type="list" allowBlank="1" showInputMessage="1" showErrorMessage="1" sqref="M11:M18">
      <formula1>"Yes, No"</formula1>
    </dataValidation>
  </dataValidations>
  <pageMargins left="0.35433070866141736" right="0.35433070866141736" top="0.59055118110236227" bottom="0.59055118110236227" header="0.51181102362204722" footer="0.11811023622047245"/>
  <pageSetup paperSize="9" scale="72" fitToHeight="100" orientation="landscape" r:id="rId1"/>
  <headerFooter scaleWithDoc="0" alignWithMargins="0">
    <oddFooter>&amp;L&amp;8&amp;D&amp;C&amp;8&amp; Template: &amp;A
&amp;F&amp;R&amp;8&amp;P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9"/>
  <sheetViews>
    <sheetView topLeftCell="A4" zoomScaleNormal="100" zoomScaleSheetLayoutView="100" workbookViewId="0">
      <selection activeCell="C35" sqref="C35"/>
    </sheetView>
  </sheetViews>
  <sheetFormatPr defaultRowHeight="12.75" x14ac:dyDescent="0.2"/>
  <cols>
    <col min="1" max="1" width="12" style="187" customWidth="1"/>
    <col min="2" max="2" width="16.42578125" style="187" bestFit="1" customWidth="1"/>
    <col min="3" max="3" width="41.28515625" style="187" customWidth="1"/>
    <col min="4" max="9" width="15.7109375" style="187" customWidth="1"/>
    <col min="10" max="10" width="6.7109375" style="187" customWidth="1"/>
    <col min="11" max="13" width="19.85546875" style="187" customWidth="1"/>
    <col min="14" max="14" width="18.28515625" style="187" customWidth="1"/>
    <col min="15" max="16384" width="9.140625" style="187"/>
  </cols>
  <sheetData>
    <row r="1" spans="2:13" ht="20.25" x14ac:dyDescent="0.3">
      <c r="B1" s="26" t="str">
        <f>Cover!C22</f>
        <v>ActewAGL</v>
      </c>
      <c r="C1" s="27"/>
      <c r="D1" s="27"/>
      <c r="E1" s="27"/>
      <c r="F1" s="27"/>
      <c r="G1" s="27"/>
      <c r="H1" s="27"/>
      <c r="I1" s="27"/>
      <c r="J1" s="27"/>
      <c r="K1" s="27"/>
      <c r="L1" s="27"/>
      <c r="M1" s="27"/>
    </row>
    <row r="2" spans="2:13" ht="20.25" x14ac:dyDescent="0.3">
      <c r="B2" s="436" t="s">
        <v>360</v>
      </c>
      <c r="C2" s="265"/>
    </row>
    <row r="3" spans="2:13" ht="20.25" x14ac:dyDescent="0.3">
      <c r="B3" s="26" t="str">
        <f>Cover!C26</f>
        <v>2012-13</v>
      </c>
    </row>
    <row r="4" spans="2:13" ht="20.25" x14ac:dyDescent="0.3">
      <c r="B4" s="26"/>
    </row>
    <row r="5" spans="2:13" ht="39" customHeight="1" x14ac:dyDescent="0.2">
      <c r="B5" s="680" t="s">
        <v>373</v>
      </c>
      <c r="C5" s="717"/>
      <c r="D5" s="717"/>
      <c r="E5" s="717"/>
      <c r="F5" s="717"/>
      <c r="G5" s="681"/>
    </row>
    <row r="6" spans="2:13" ht="12.75" customHeight="1" x14ac:dyDescent="0.2">
      <c r="B6" s="381"/>
      <c r="C6" s="382"/>
      <c r="D6" s="382"/>
      <c r="E6" s="382"/>
      <c r="F6" s="382"/>
      <c r="G6" s="382"/>
    </row>
    <row r="7" spans="2:13" ht="64.5" customHeight="1" x14ac:dyDescent="0.2">
      <c r="B7" s="563" t="s">
        <v>359</v>
      </c>
      <c r="C7" s="593"/>
      <c r="D7" s="593"/>
      <c r="E7" s="593"/>
      <c r="F7" s="593"/>
      <c r="G7" s="591"/>
    </row>
    <row r="8" spans="2:13" x14ac:dyDescent="0.2">
      <c r="B8" s="342"/>
      <c r="C8" s="342"/>
      <c r="D8" s="342"/>
      <c r="E8" s="342"/>
      <c r="F8" s="342"/>
      <c r="G8" s="342"/>
    </row>
    <row r="9" spans="2:13" ht="15.75" x14ac:dyDescent="0.25">
      <c r="B9" s="257" t="s">
        <v>358</v>
      </c>
    </row>
    <row r="10" spans="2:13" x14ac:dyDescent="0.2">
      <c r="B10" s="188"/>
      <c r="C10" s="189"/>
      <c r="D10" s="190"/>
      <c r="E10" s="190"/>
      <c r="F10" s="191"/>
      <c r="G10" s="191"/>
      <c r="H10" s="191"/>
      <c r="I10" s="191"/>
      <c r="J10" s="192"/>
      <c r="K10" s="341"/>
      <c r="L10" s="235"/>
      <c r="M10" s="235"/>
    </row>
    <row r="11" spans="2:13" ht="57" customHeight="1" x14ac:dyDescent="0.2">
      <c r="B11" s="193" t="s">
        <v>62</v>
      </c>
      <c r="C11" s="194" t="s">
        <v>357</v>
      </c>
      <c r="D11" s="195" t="s">
        <v>356</v>
      </c>
      <c r="E11" s="195" t="s">
        <v>355</v>
      </c>
      <c r="F11" s="199" t="s">
        <v>354</v>
      </c>
      <c r="G11" s="340"/>
      <c r="H11" s="340"/>
      <c r="I11" s="340"/>
    </row>
    <row r="12" spans="2:13" ht="13.5" customHeight="1" x14ac:dyDescent="0.2">
      <c r="B12" s="204"/>
      <c r="C12" s="338" t="s">
        <v>174</v>
      </c>
      <c r="D12" s="195" t="s">
        <v>353</v>
      </c>
      <c r="E12" s="195" t="s">
        <v>353</v>
      </c>
      <c r="F12" s="195" t="s">
        <v>353</v>
      </c>
      <c r="G12" s="339"/>
      <c r="H12" s="339"/>
      <c r="I12" s="339"/>
    </row>
    <row r="13" spans="2:13" ht="13.5" customHeight="1" x14ac:dyDescent="0.2">
      <c r="B13" s="204"/>
      <c r="C13" s="336" t="s">
        <v>348</v>
      </c>
      <c r="D13" s="253"/>
      <c r="E13" s="335">
        <f>F13-D13</f>
        <v>0</v>
      </c>
      <c r="F13" s="334"/>
      <c r="G13" s="333"/>
      <c r="H13" s="333"/>
      <c r="I13" s="333"/>
    </row>
    <row r="14" spans="2:13" ht="13.5" customHeight="1" x14ac:dyDescent="0.2">
      <c r="B14" s="204"/>
      <c r="C14" s="336" t="s">
        <v>348</v>
      </c>
      <c r="D14" s="253"/>
      <c r="E14" s="335">
        <f>F14-D14</f>
        <v>0</v>
      </c>
      <c r="F14" s="334"/>
      <c r="G14" s="333"/>
      <c r="H14" s="333"/>
      <c r="I14" s="333"/>
    </row>
    <row r="15" spans="2:13" ht="13.5" customHeight="1" x14ac:dyDescent="0.2">
      <c r="B15" s="204"/>
      <c r="C15" s="336" t="s">
        <v>348</v>
      </c>
      <c r="D15" s="253"/>
      <c r="E15" s="335">
        <f>F15-D15</f>
        <v>0</v>
      </c>
      <c r="F15" s="334"/>
      <c r="G15" s="333"/>
      <c r="H15" s="333"/>
      <c r="I15" s="333"/>
    </row>
    <row r="16" spans="2:13" ht="12.75" customHeight="1" x14ac:dyDescent="0.2">
      <c r="B16" s="204"/>
      <c r="C16" s="338" t="s">
        <v>151</v>
      </c>
      <c r="D16" s="337"/>
      <c r="E16" s="337"/>
      <c r="F16" s="337"/>
      <c r="G16" s="333"/>
      <c r="H16" s="333"/>
      <c r="I16" s="333"/>
    </row>
    <row r="17" spans="2:9" ht="12.75" customHeight="1" x14ac:dyDescent="0.2">
      <c r="B17" s="204"/>
      <c r="C17" s="336" t="s">
        <v>348</v>
      </c>
      <c r="D17" s="253"/>
      <c r="E17" s="335">
        <f>F17-D17</f>
        <v>0</v>
      </c>
      <c r="F17" s="334"/>
      <c r="G17" s="333"/>
      <c r="H17" s="333"/>
      <c r="I17" s="333"/>
    </row>
    <row r="18" spans="2:9" ht="12.75" customHeight="1" x14ac:dyDescent="0.2">
      <c r="B18" s="204"/>
      <c r="C18" s="336" t="s">
        <v>348</v>
      </c>
      <c r="D18" s="253"/>
      <c r="E18" s="335">
        <f>F18-D18</f>
        <v>0</v>
      </c>
      <c r="F18" s="334"/>
      <c r="G18" s="333"/>
      <c r="H18" s="333"/>
      <c r="I18" s="333"/>
    </row>
    <row r="19" spans="2:9" ht="13.5" customHeight="1" x14ac:dyDescent="0.2">
      <c r="B19" s="204"/>
      <c r="C19" s="336" t="s">
        <v>348</v>
      </c>
      <c r="D19" s="253"/>
      <c r="E19" s="335">
        <f>F19-D19</f>
        <v>0</v>
      </c>
      <c r="F19" s="334"/>
      <c r="G19" s="333"/>
      <c r="H19" s="333"/>
      <c r="I19" s="333"/>
    </row>
    <row r="20" spans="2:9" x14ac:dyDescent="0.2">
      <c r="G20" s="262"/>
      <c r="H20" s="262"/>
      <c r="I20" s="262"/>
    </row>
    <row r="21" spans="2:9" ht="15.75" x14ac:dyDescent="0.25">
      <c r="B21" s="257" t="s">
        <v>352</v>
      </c>
      <c r="G21" s="262"/>
      <c r="H21" s="262"/>
      <c r="I21" s="262"/>
    </row>
    <row r="22" spans="2:9" x14ac:dyDescent="0.2">
      <c r="G22" s="262"/>
      <c r="H22" s="262"/>
      <c r="I22" s="262"/>
    </row>
    <row r="23" spans="2:9" ht="51" x14ac:dyDescent="0.2">
      <c r="B23" s="193" t="s">
        <v>62</v>
      </c>
      <c r="C23" s="194" t="s">
        <v>351</v>
      </c>
      <c r="D23" s="718" t="s">
        <v>350</v>
      </c>
      <c r="E23" s="719"/>
      <c r="F23" s="719"/>
      <c r="G23" s="718" t="s">
        <v>349</v>
      </c>
      <c r="H23" s="719"/>
      <c r="I23" s="719"/>
    </row>
    <row r="24" spans="2:9" x14ac:dyDescent="0.2">
      <c r="B24" s="204"/>
      <c r="C24" s="332"/>
      <c r="D24" s="720"/>
      <c r="E24" s="720"/>
      <c r="F24" s="720"/>
      <c r="G24" s="721" t="s">
        <v>348</v>
      </c>
      <c r="H24" s="721"/>
      <c r="I24" s="721"/>
    </row>
    <row r="25" spans="2:9" x14ac:dyDescent="0.2">
      <c r="B25" s="204"/>
      <c r="C25" s="332"/>
      <c r="D25" s="720"/>
      <c r="E25" s="720"/>
      <c r="F25" s="720"/>
      <c r="G25" s="721" t="s">
        <v>348</v>
      </c>
      <c r="H25" s="721"/>
      <c r="I25" s="721"/>
    </row>
    <row r="26" spans="2:9" x14ac:dyDescent="0.2">
      <c r="B26" s="204"/>
      <c r="C26" s="332"/>
      <c r="D26" s="720"/>
      <c r="E26" s="720"/>
      <c r="F26" s="720"/>
      <c r="G26" s="721" t="s">
        <v>348</v>
      </c>
      <c r="H26" s="721"/>
      <c r="I26" s="721"/>
    </row>
    <row r="27" spans="2:9" x14ac:dyDescent="0.2">
      <c r="B27" s="204"/>
      <c r="C27" s="332"/>
      <c r="D27" s="720"/>
      <c r="E27" s="720"/>
      <c r="F27" s="720"/>
      <c r="G27" s="721" t="s">
        <v>348</v>
      </c>
      <c r="H27" s="721"/>
      <c r="I27" s="721"/>
    </row>
    <row r="29" spans="2:9" x14ac:dyDescent="0.2">
      <c r="C29" s="187" t="s">
        <v>537</v>
      </c>
    </row>
  </sheetData>
  <mergeCells count="12">
    <mergeCell ref="D25:F25"/>
    <mergeCell ref="D27:F27"/>
    <mergeCell ref="G24:I24"/>
    <mergeCell ref="G25:I25"/>
    <mergeCell ref="G26:I26"/>
    <mergeCell ref="G27:I27"/>
    <mergeCell ref="D26:F26"/>
    <mergeCell ref="B5:G5"/>
    <mergeCell ref="B7:G7"/>
    <mergeCell ref="G23:I23"/>
    <mergeCell ref="D23:F23"/>
    <mergeCell ref="D24:F24"/>
  </mergeCells>
  <pageMargins left="0.35433070866141736" right="0.35433070866141736" top="0.59055118110236227" bottom="0.59055118110236227" header="0.51181102362204722" footer="0.11811023622047245"/>
  <pageSetup paperSize="9" scale="94" fitToHeight="100" orientation="landscape" r:id="rId1"/>
  <headerFooter scaleWithDoc="0" alignWithMargins="0">
    <oddFooter>&amp;L&amp;8&amp;D&amp;C&amp;8&amp; Template: &amp;A
&amp;F&amp;R&amp;8&amp;P of &amp;N</oddFooter>
  </headerFooter>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showGridLines="0" zoomScaleNormal="100" zoomScaleSheetLayoutView="85" workbookViewId="0">
      <selection sqref="A1:XFD1048576"/>
    </sheetView>
  </sheetViews>
  <sheetFormatPr defaultRowHeight="12.75" x14ac:dyDescent="0.2"/>
  <cols>
    <col min="1" max="1" width="12" style="187" customWidth="1"/>
    <col min="2" max="2" width="16.42578125" style="187" customWidth="1"/>
    <col min="3" max="3" width="43.42578125" style="187" customWidth="1"/>
    <col min="4" max="10" width="15.7109375" style="187" customWidth="1"/>
    <col min="11" max="256" width="9.140625" style="187"/>
    <col min="257" max="257" width="12" style="187" customWidth="1"/>
    <col min="258" max="258" width="16.42578125" style="187" customWidth="1"/>
    <col min="259" max="259" width="43.42578125" style="187" customWidth="1"/>
    <col min="260" max="266" width="20.7109375" style="187" customWidth="1"/>
    <col min="267" max="512" width="9.140625" style="187"/>
    <col min="513" max="513" width="12" style="187" customWidth="1"/>
    <col min="514" max="514" width="16.42578125" style="187" customWidth="1"/>
    <col min="515" max="515" width="43.42578125" style="187" customWidth="1"/>
    <col min="516" max="522" width="20.7109375" style="187" customWidth="1"/>
    <col min="523" max="768" width="9.140625" style="187"/>
    <col min="769" max="769" width="12" style="187" customWidth="1"/>
    <col min="770" max="770" width="16.42578125" style="187" customWidth="1"/>
    <col min="771" max="771" width="43.42578125" style="187" customWidth="1"/>
    <col min="772" max="778" width="20.7109375" style="187" customWidth="1"/>
    <col min="779" max="1024" width="9.140625" style="187"/>
    <col min="1025" max="1025" width="12" style="187" customWidth="1"/>
    <col min="1026" max="1026" width="16.42578125" style="187" customWidth="1"/>
    <col min="1027" max="1027" width="43.42578125" style="187" customWidth="1"/>
    <col min="1028" max="1034" width="20.7109375" style="187" customWidth="1"/>
    <col min="1035" max="1280" width="9.140625" style="187"/>
    <col min="1281" max="1281" width="12" style="187" customWidth="1"/>
    <col min="1282" max="1282" width="16.42578125" style="187" customWidth="1"/>
    <col min="1283" max="1283" width="43.42578125" style="187" customWidth="1"/>
    <col min="1284" max="1290" width="20.7109375" style="187" customWidth="1"/>
    <col min="1291" max="1536" width="9.140625" style="187"/>
    <col min="1537" max="1537" width="12" style="187" customWidth="1"/>
    <col min="1538" max="1538" width="16.42578125" style="187" customWidth="1"/>
    <col min="1539" max="1539" width="43.42578125" style="187" customWidth="1"/>
    <col min="1540" max="1546" width="20.7109375" style="187" customWidth="1"/>
    <col min="1547" max="1792" width="9.140625" style="187"/>
    <col min="1793" max="1793" width="12" style="187" customWidth="1"/>
    <col min="1794" max="1794" width="16.42578125" style="187" customWidth="1"/>
    <col min="1795" max="1795" width="43.42578125" style="187" customWidth="1"/>
    <col min="1796" max="1802" width="20.7109375" style="187" customWidth="1"/>
    <col min="1803" max="2048" width="9.140625" style="187"/>
    <col min="2049" max="2049" width="12" style="187" customWidth="1"/>
    <col min="2050" max="2050" width="16.42578125" style="187" customWidth="1"/>
    <col min="2051" max="2051" width="43.42578125" style="187" customWidth="1"/>
    <col min="2052" max="2058" width="20.7109375" style="187" customWidth="1"/>
    <col min="2059" max="2304" width="9.140625" style="187"/>
    <col min="2305" max="2305" width="12" style="187" customWidth="1"/>
    <col min="2306" max="2306" width="16.42578125" style="187" customWidth="1"/>
    <col min="2307" max="2307" width="43.42578125" style="187" customWidth="1"/>
    <col min="2308" max="2314" width="20.7109375" style="187" customWidth="1"/>
    <col min="2315" max="2560" width="9.140625" style="187"/>
    <col min="2561" max="2561" width="12" style="187" customWidth="1"/>
    <col min="2562" max="2562" width="16.42578125" style="187" customWidth="1"/>
    <col min="2563" max="2563" width="43.42578125" style="187" customWidth="1"/>
    <col min="2564" max="2570" width="20.7109375" style="187" customWidth="1"/>
    <col min="2571" max="2816" width="9.140625" style="187"/>
    <col min="2817" max="2817" width="12" style="187" customWidth="1"/>
    <col min="2818" max="2818" width="16.42578125" style="187" customWidth="1"/>
    <col min="2819" max="2819" width="43.42578125" style="187" customWidth="1"/>
    <col min="2820" max="2826" width="20.7109375" style="187" customWidth="1"/>
    <col min="2827" max="3072" width="9.140625" style="187"/>
    <col min="3073" max="3073" width="12" style="187" customWidth="1"/>
    <col min="3074" max="3074" width="16.42578125" style="187" customWidth="1"/>
    <col min="3075" max="3075" width="43.42578125" style="187" customWidth="1"/>
    <col min="3076" max="3082" width="20.7109375" style="187" customWidth="1"/>
    <col min="3083" max="3328" width="9.140625" style="187"/>
    <col min="3329" max="3329" width="12" style="187" customWidth="1"/>
    <col min="3330" max="3330" width="16.42578125" style="187" customWidth="1"/>
    <col min="3331" max="3331" width="43.42578125" style="187" customWidth="1"/>
    <col min="3332" max="3338" width="20.7109375" style="187" customWidth="1"/>
    <col min="3339" max="3584" width="9.140625" style="187"/>
    <col min="3585" max="3585" width="12" style="187" customWidth="1"/>
    <col min="3586" max="3586" width="16.42578125" style="187" customWidth="1"/>
    <col min="3587" max="3587" width="43.42578125" style="187" customWidth="1"/>
    <col min="3588" max="3594" width="20.7109375" style="187" customWidth="1"/>
    <col min="3595" max="3840" width="9.140625" style="187"/>
    <col min="3841" max="3841" width="12" style="187" customWidth="1"/>
    <col min="3842" max="3842" width="16.42578125" style="187" customWidth="1"/>
    <col min="3843" max="3843" width="43.42578125" style="187" customWidth="1"/>
    <col min="3844" max="3850" width="20.7109375" style="187" customWidth="1"/>
    <col min="3851" max="4096" width="9.140625" style="187"/>
    <col min="4097" max="4097" width="12" style="187" customWidth="1"/>
    <col min="4098" max="4098" width="16.42578125" style="187" customWidth="1"/>
    <col min="4099" max="4099" width="43.42578125" style="187" customWidth="1"/>
    <col min="4100" max="4106" width="20.7109375" style="187" customWidth="1"/>
    <col min="4107" max="4352" width="9.140625" style="187"/>
    <col min="4353" max="4353" width="12" style="187" customWidth="1"/>
    <col min="4354" max="4354" width="16.42578125" style="187" customWidth="1"/>
    <col min="4355" max="4355" width="43.42578125" style="187" customWidth="1"/>
    <col min="4356" max="4362" width="20.7109375" style="187" customWidth="1"/>
    <col min="4363" max="4608" width="9.140625" style="187"/>
    <col min="4609" max="4609" width="12" style="187" customWidth="1"/>
    <col min="4610" max="4610" width="16.42578125" style="187" customWidth="1"/>
    <col min="4611" max="4611" width="43.42578125" style="187" customWidth="1"/>
    <col min="4612" max="4618" width="20.7109375" style="187" customWidth="1"/>
    <col min="4619" max="4864" width="9.140625" style="187"/>
    <col min="4865" max="4865" width="12" style="187" customWidth="1"/>
    <col min="4866" max="4866" width="16.42578125" style="187" customWidth="1"/>
    <col min="4867" max="4867" width="43.42578125" style="187" customWidth="1"/>
    <col min="4868" max="4874" width="20.7109375" style="187" customWidth="1"/>
    <col min="4875" max="5120" width="9.140625" style="187"/>
    <col min="5121" max="5121" width="12" style="187" customWidth="1"/>
    <col min="5122" max="5122" width="16.42578125" style="187" customWidth="1"/>
    <col min="5123" max="5123" width="43.42578125" style="187" customWidth="1"/>
    <col min="5124" max="5130" width="20.7109375" style="187" customWidth="1"/>
    <col min="5131" max="5376" width="9.140625" style="187"/>
    <col min="5377" max="5377" width="12" style="187" customWidth="1"/>
    <col min="5378" max="5378" width="16.42578125" style="187" customWidth="1"/>
    <col min="5379" max="5379" width="43.42578125" style="187" customWidth="1"/>
    <col min="5380" max="5386" width="20.7109375" style="187" customWidth="1"/>
    <col min="5387" max="5632" width="9.140625" style="187"/>
    <col min="5633" max="5633" width="12" style="187" customWidth="1"/>
    <col min="5634" max="5634" width="16.42578125" style="187" customWidth="1"/>
    <col min="5635" max="5635" width="43.42578125" style="187" customWidth="1"/>
    <col min="5636" max="5642" width="20.7109375" style="187" customWidth="1"/>
    <col min="5643" max="5888" width="9.140625" style="187"/>
    <col min="5889" max="5889" width="12" style="187" customWidth="1"/>
    <col min="5890" max="5890" width="16.42578125" style="187" customWidth="1"/>
    <col min="5891" max="5891" width="43.42578125" style="187" customWidth="1"/>
    <col min="5892" max="5898" width="20.7109375" style="187" customWidth="1"/>
    <col min="5899" max="6144" width="9.140625" style="187"/>
    <col min="6145" max="6145" width="12" style="187" customWidth="1"/>
    <col min="6146" max="6146" width="16.42578125" style="187" customWidth="1"/>
    <col min="6147" max="6147" width="43.42578125" style="187" customWidth="1"/>
    <col min="6148" max="6154" width="20.7109375" style="187" customWidth="1"/>
    <col min="6155" max="6400" width="9.140625" style="187"/>
    <col min="6401" max="6401" width="12" style="187" customWidth="1"/>
    <col min="6402" max="6402" width="16.42578125" style="187" customWidth="1"/>
    <col min="6403" max="6403" width="43.42578125" style="187" customWidth="1"/>
    <col min="6404" max="6410" width="20.7109375" style="187" customWidth="1"/>
    <col min="6411" max="6656" width="9.140625" style="187"/>
    <col min="6657" max="6657" width="12" style="187" customWidth="1"/>
    <col min="6658" max="6658" width="16.42578125" style="187" customWidth="1"/>
    <col min="6659" max="6659" width="43.42578125" style="187" customWidth="1"/>
    <col min="6660" max="6666" width="20.7109375" style="187" customWidth="1"/>
    <col min="6667" max="6912" width="9.140625" style="187"/>
    <col min="6913" max="6913" width="12" style="187" customWidth="1"/>
    <col min="6914" max="6914" width="16.42578125" style="187" customWidth="1"/>
    <col min="6915" max="6915" width="43.42578125" style="187" customWidth="1"/>
    <col min="6916" max="6922" width="20.7109375" style="187" customWidth="1"/>
    <col min="6923" max="7168" width="9.140625" style="187"/>
    <col min="7169" max="7169" width="12" style="187" customWidth="1"/>
    <col min="7170" max="7170" width="16.42578125" style="187" customWidth="1"/>
    <col min="7171" max="7171" width="43.42578125" style="187" customWidth="1"/>
    <col min="7172" max="7178" width="20.7109375" style="187" customWidth="1"/>
    <col min="7179" max="7424" width="9.140625" style="187"/>
    <col min="7425" max="7425" width="12" style="187" customWidth="1"/>
    <col min="7426" max="7426" width="16.42578125" style="187" customWidth="1"/>
    <col min="7427" max="7427" width="43.42578125" style="187" customWidth="1"/>
    <col min="7428" max="7434" width="20.7109375" style="187" customWidth="1"/>
    <col min="7435" max="7680" width="9.140625" style="187"/>
    <col min="7681" max="7681" width="12" style="187" customWidth="1"/>
    <col min="7682" max="7682" width="16.42578125" style="187" customWidth="1"/>
    <col min="7683" max="7683" width="43.42578125" style="187" customWidth="1"/>
    <col min="7684" max="7690" width="20.7109375" style="187" customWidth="1"/>
    <col min="7691" max="7936" width="9.140625" style="187"/>
    <col min="7937" max="7937" width="12" style="187" customWidth="1"/>
    <col min="7938" max="7938" width="16.42578125" style="187" customWidth="1"/>
    <col min="7939" max="7939" width="43.42578125" style="187" customWidth="1"/>
    <col min="7940" max="7946" width="20.7109375" style="187" customWidth="1"/>
    <col min="7947" max="8192" width="9.140625" style="187"/>
    <col min="8193" max="8193" width="12" style="187" customWidth="1"/>
    <col min="8194" max="8194" width="16.42578125" style="187" customWidth="1"/>
    <col min="8195" max="8195" width="43.42578125" style="187" customWidth="1"/>
    <col min="8196" max="8202" width="20.7109375" style="187" customWidth="1"/>
    <col min="8203" max="8448" width="9.140625" style="187"/>
    <col min="8449" max="8449" width="12" style="187" customWidth="1"/>
    <col min="8450" max="8450" width="16.42578125" style="187" customWidth="1"/>
    <col min="8451" max="8451" width="43.42578125" style="187" customWidth="1"/>
    <col min="8452" max="8458" width="20.7109375" style="187" customWidth="1"/>
    <col min="8459" max="8704" width="9.140625" style="187"/>
    <col min="8705" max="8705" width="12" style="187" customWidth="1"/>
    <col min="8706" max="8706" width="16.42578125" style="187" customWidth="1"/>
    <col min="8707" max="8707" width="43.42578125" style="187" customWidth="1"/>
    <col min="8708" max="8714" width="20.7109375" style="187" customWidth="1"/>
    <col min="8715" max="8960" width="9.140625" style="187"/>
    <col min="8961" max="8961" width="12" style="187" customWidth="1"/>
    <col min="8962" max="8962" width="16.42578125" style="187" customWidth="1"/>
    <col min="8963" max="8963" width="43.42578125" style="187" customWidth="1"/>
    <col min="8964" max="8970" width="20.7109375" style="187" customWidth="1"/>
    <col min="8971" max="9216" width="9.140625" style="187"/>
    <col min="9217" max="9217" width="12" style="187" customWidth="1"/>
    <col min="9218" max="9218" width="16.42578125" style="187" customWidth="1"/>
    <col min="9219" max="9219" width="43.42578125" style="187" customWidth="1"/>
    <col min="9220" max="9226" width="20.7109375" style="187" customWidth="1"/>
    <col min="9227" max="9472" width="9.140625" style="187"/>
    <col min="9473" max="9473" width="12" style="187" customWidth="1"/>
    <col min="9474" max="9474" width="16.42578125" style="187" customWidth="1"/>
    <col min="9475" max="9475" width="43.42578125" style="187" customWidth="1"/>
    <col min="9476" max="9482" width="20.7109375" style="187" customWidth="1"/>
    <col min="9483" max="9728" width="9.140625" style="187"/>
    <col min="9729" max="9729" width="12" style="187" customWidth="1"/>
    <col min="9730" max="9730" width="16.42578125" style="187" customWidth="1"/>
    <col min="9731" max="9731" width="43.42578125" style="187" customWidth="1"/>
    <col min="9732" max="9738" width="20.7109375" style="187" customWidth="1"/>
    <col min="9739" max="9984" width="9.140625" style="187"/>
    <col min="9985" max="9985" width="12" style="187" customWidth="1"/>
    <col min="9986" max="9986" width="16.42578125" style="187" customWidth="1"/>
    <col min="9987" max="9987" width="43.42578125" style="187" customWidth="1"/>
    <col min="9988" max="9994" width="20.7109375" style="187" customWidth="1"/>
    <col min="9995" max="10240" width="9.140625" style="187"/>
    <col min="10241" max="10241" width="12" style="187" customWidth="1"/>
    <col min="10242" max="10242" width="16.42578125" style="187" customWidth="1"/>
    <col min="10243" max="10243" width="43.42578125" style="187" customWidth="1"/>
    <col min="10244" max="10250" width="20.7109375" style="187" customWidth="1"/>
    <col min="10251" max="10496" width="9.140625" style="187"/>
    <col min="10497" max="10497" width="12" style="187" customWidth="1"/>
    <col min="10498" max="10498" width="16.42578125" style="187" customWidth="1"/>
    <col min="10499" max="10499" width="43.42578125" style="187" customWidth="1"/>
    <col min="10500" max="10506" width="20.7109375" style="187" customWidth="1"/>
    <col min="10507" max="10752" width="9.140625" style="187"/>
    <col min="10753" max="10753" width="12" style="187" customWidth="1"/>
    <col min="10754" max="10754" width="16.42578125" style="187" customWidth="1"/>
    <col min="10755" max="10755" width="43.42578125" style="187" customWidth="1"/>
    <col min="10756" max="10762" width="20.7109375" style="187" customWidth="1"/>
    <col min="10763" max="11008" width="9.140625" style="187"/>
    <col min="11009" max="11009" width="12" style="187" customWidth="1"/>
    <col min="11010" max="11010" width="16.42578125" style="187" customWidth="1"/>
    <col min="11011" max="11011" width="43.42578125" style="187" customWidth="1"/>
    <col min="11012" max="11018" width="20.7109375" style="187" customWidth="1"/>
    <col min="11019" max="11264" width="9.140625" style="187"/>
    <col min="11265" max="11265" width="12" style="187" customWidth="1"/>
    <col min="11266" max="11266" width="16.42578125" style="187" customWidth="1"/>
    <col min="11267" max="11267" width="43.42578125" style="187" customWidth="1"/>
    <col min="11268" max="11274" width="20.7109375" style="187" customWidth="1"/>
    <col min="11275" max="11520" width="9.140625" style="187"/>
    <col min="11521" max="11521" width="12" style="187" customWidth="1"/>
    <col min="11522" max="11522" width="16.42578125" style="187" customWidth="1"/>
    <col min="11523" max="11523" width="43.42578125" style="187" customWidth="1"/>
    <col min="11524" max="11530" width="20.7109375" style="187" customWidth="1"/>
    <col min="11531" max="11776" width="9.140625" style="187"/>
    <col min="11777" max="11777" width="12" style="187" customWidth="1"/>
    <col min="11778" max="11778" width="16.42578125" style="187" customWidth="1"/>
    <col min="11779" max="11779" width="43.42578125" style="187" customWidth="1"/>
    <col min="11780" max="11786" width="20.7109375" style="187" customWidth="1"/>
    <col min="11787" max="12032" width="9.140625" style="187"/>
    <col min="12033" max="12033" width="12" style="187" customWidth="1"/>
    <col min="12034" max="12034" width="16.42578125" style="187" customWidth="1"/>
    <col min="12035" max="12035" width="43.42578125" style="187" customWidth="1"/>
    <col min="12036" max="12042" width="20.7109375" style="187" customWidth="1"/>
    <col min="12043" max="12288" width="9.140625" style="187"/>
    <col min="12289" max="12289" width="12" style="187" customWidth="1"/>
    <col min="12290" max="12290" width="16.42578125" style="187" customWidth="1"/>
    <col min="12291" max="12291" width="43.42578125" style="187" customWidth="1"/>
    <col min="12292" max="12298" width="20.7109375" style="187" customWidth="1"/>
    <col min="12299" max="12544" width="9.140625" style="187"/>
    <col min="12545" max="12545" width="12" style="187" customWidth="1"/>
    <col min="12546" max="12546" width="16.42578125" style="187" customWidth="1"/>
    <col min="12547" max="12547" width="43.42578125" style="187" customWidth="1"/>
    <col min="12548" max="12554" width="20.7109375" style="187" customWidth="1"/>
    <col min="12555" max="12800" width="9.140625" style="187"/>
    <col min="12801" max="12801" width="12" style="187" customWidth="1"/>
    <col min="12802" max="12802" width="16.42578125" style="187" customWidth="1"/>
    <col min="12803" max="12803" width="43.42578125" style="187" customWidth="1"/>
    <col min="12804" max="12810" width="20.7109375" style="187" customWidth="1"/>
    <col min="12811" max="13056" width="9.140625" style="187"/>
    <col min="13057" max="13057" width="12" style="187" customWidth="1"/>
    <col min="13058" max="13058" width="16.42578125" style="187" customWidth="1"/>
    <col min="13059" max="13059" width="43.42578125" style="187" customWidth="1"/>
    <col min="13060" max="13066" width="20.7109375" style="187" customWidth="1"/>
    <col min="13067" max="13312" width="9.140625" style="187"/>
    <col min="13313" max="13313" width="12" style="187" customWidth="1"/>
    <col min="13314" max="13314" width="16.42578125" style="187" customWidth="1"/>
    <col min="13315" max="13315" width="43.42578125" style="187" customWidth="1"/>
    <col min="13316" max="13322" width="20.7109375" style="187" customWidth="1"/>
    <col min="13323" max="13568" width="9.140625" style="187"/>
    <col min="13569" max="13569" width="12" style="187" customWidth="1"/>
    <col min="13570" max="13570" width="16.42578125" style="187" customWidth="1"/>
    <col min="13571" max="13571" width="43.42578125" style="187" customWidth="1"/>
    <col min="13572" max="13578" width="20.7109375" style="187" customWidth="1"/>
    <col min="13579" max="13824" width="9.140625" style="187"/>
    <col min="13825" max="13825" width="12" style="187" customWidth="1"/>
    <col min="13826" max="13826" width="16.42578125" style="187" customWidth="1"/>
    <col min="13827" max="13827" width="43.42578125" style="187" customWidth="1"/>
    <col min="13828" max="13834" width="20.7109375" style="187" customWidth="1"/>
    <col min="13835" max="14080" width="9.140625" style="187"/>
    <col min="14081" max="14081" width="12" style="187" customWidth="1"/>
    <col min="14082" max="14082" width="16.42578125" style="187" customWidth="1"/>
    <col min="14083" max="14083" width="43.42578125" style="187" customWidth="1"/>
    <col min="14084" max="14090" width="20.7109375" style="187" customWidth="1"/>
    <col min="14091" max="14336" width="9.140625" style="187"/>
    <col min="14337" max="14337" width="12" style="187" customWidth="1"/>
    <col min="14338" max="14338" width="16.42578125" style="187" customWidth="1"/>
    <col min="14339" max="14339" width="43.42578125" style="187" customWidth="1"/>
    <col min="14340" max="14346" width="20.7109375" style="187" customWidth="1"/>
    <col min="14347" max="14592" width="9.140625" style="187"/>
    <col min="14593" max="14593" width="12" style="187" customWidth="1"/>
    <col min="14594" max="14594" width="16.42578125" style="187" customWidth="1"/>
    <col min="14595" max="14595" width="43.42578125" style="187" customWidth="1"/>
    <col min="14596" max="14602" width="20.7109375" style="187" customWidth="1"/>
    <col min="14603" max="14848" width="9.140625" style="187"/>
    <col min="14849" max="14849" width="12" style="187" customWidth="1"/>
    <col min="14850" max="14850" width="16.42578125" style="187" customWidth="1"/>
    <col min="14851" max="14851" width="43.42578125" style="187" customWidth="1"/>
    <col min="14852" max="14858" width="20.7109375" style="187" customWidth="1"/>
    <col min="14859" max="15104" width="9.140625" style="187"/>
    <col min="15105" max="15105" width="12" style="187" customWidth="1"/>
    <col min="15106" max="15106" width="16.42578125" style="187" customWidth="1"/>
    <col min="15107" max="15107" width="43.42578125" style="187" customWidth="1"/>
    <col min="15108" max="15114" width="20.7109375" style="187" customWidth="1"/>
    <col min="15115" max="15360" width="9.140625" style="187"/>
    <col min="15361" max="15361" width="12" style="187" customWidth="1"/>
    <col min="15362" max="15362" width="16.42578125" style="187" customWidth="1"/>
    <col min="15363" max="15363" width="43.42578125" style="187" customWidth="1"/>
    <col min="15364" max="15370" width="20.7109375" style="187" customWidth="1"/>
    <col min="15371" max="15616" width="9.140625" style="187"/>
    <col min="15617" max="15617" width="12" style="187" customWidth="1"/>
    <col min="15618" max="15618" width="16.42578125" style="187" customWidth="1"/>
    <col min="15619" max="15619" width="43.42578125" style="187" customWidth="1"/>
    <col min="15620" max="15626" width="20.7109375" style="187" customWidth="1"/>
    <col min="15627" max="15872" width="9.140625" style="187"/>
    <col min="15873" max="15873" width="12" style="187" customWidth="1"/>
    <col min="15874" max="15874" width="16.42578125" style="187" customWidth="1"/>
    <col min="15875" max="15875" width="43.42578125" style="187" customWidth="1"/>
    <col min="15876" max="15882" width="20.7109375" style="187" customWidth="1"/>
    <col min="15883" max="16128" width="9.140625" style="187"/>
    <col min="16129" max="16129" width="12" style="187" customWidth="1"/>
    <col min="16130" max="16130" width="16.42578125" style="187" customWidth="1"/>
    <col min="16131" max="16131" width="43.42578125" style="187" customWidth="1"/>
    <col min="16132" max="16138" width="20.7109375" style="187" customWidth="1"/>
    <col min="16139" max="16384" width="9.140625" style="187"/>
  </cols>
  <sheetData>
    <row r="1" spans="2:10" ht="20.25" x14ac:dyDescent="0.3">
      <c r="B1" s="26" t="str">
        <f>[4]Cover!C22</f>
        <v>ActewAGL</v>
      </c>
      <c r="C1" s="27"/>
      <c r="D1" s="27"/>
      <c r="E1" s="27"/>
      <c r="F1" s="27"/>
      <c r="G1" s="27"/>
      <c r="H1" s="27"/>
      <c r="I1" s="27"/>
    </row>
    <row r="2" spans="2:10" ht="20.25" x14ac:dyDescent="0.3">
      <c r="B2" s="554" t="s">
        <v>151</v>
      </c>
      <c r="C2" s="554"/>
    </row>
    <row r="3" spans="2:10" ht="20.25" x14ac:dyDescent="0.3">
      <c r="B3" s="26" t="str">
        <f>Cover!C26</f>
        <v>2012-13</v>
      </c>
    </row>
    <row r="4" spans="2:10" ht="12.75" customHeight="1" x14ac:dyDescent="0.3">
      <c r="B4" s="26"/>
    </row>
    <row r="5" spans="2:10" ht="63" customHeight="1" x14ac:dyDescent="0.2">
      <c r="B5" s="556" t="s">
        <v>259</v>
      </c>
      <c r="C5" s="557"/>
    </row>
    <row r="6" spans="2:10" ht="12.75" customHeight="1" x14ac:dyDescent="0.3">
      <c r="B6" s="26"/>
    </row>
    <row r="7" spans="2:10" ht="15.75" x14ac:dyDescent="0.2">
      <c r="B7" s="555" t="s">
        <v>152</v>
      </c>
      <c r="C7" s="555"/>
      <c r="D7" s="555"/>
    </row>
    <row r="8" spans="2:10" x14ac:dyDescent="0.2">
      <c r="B8" s="188"/>
      <c r="C8" s="189"/>
      <c r="D8" s="190"/>
      <c r="E8" s="190"/>
      <c r="F8" s="191"/>
      <c r="G8" s="191"/>
      <c r="H8" s="191"/>
      <c r="I8" s="192"/>
    </row>
    <row r="9" spans="2:10" ht="51" customHeight="1" x14ac:dyDescent="0.2">
      <c r="B9" s="193" t="s">
        <v>51</v>
      </c>
      <c r="C9" s="194" t="s">
        <v>52</v>
      </c>
      <c r="D9" s="195" t="s">
        <v>53</v>
      </c>
      <c r="E9" s="195" t="s">
        <v>54</v>
      </c>
      <c r="F9" s="196" t="s">
        <v>153</v>
      </c>
      <c r="G9" s="197" t="s">
        <v>73</v>
      </c>
      <c r="H9" s="198" t="s">
        <v>74</v>
      </c>
      <c r="I9" s="199" t="s">
        <v>66</v>
      </c>
      <c r="J9" s="200" t="s">
        <v>67</v>
      </c>
    </row>
    <row r="10" spans="2:10" ht="30" customHeight="1" x14ac:dyDescent="0.2">
      <c r="B10" s="201"/>
      <c r="C10" s="202"/>
      <c r="D10" s="28"/>
      <c r="E10" s="28"/>
      <c r="F10" s="28"/>
      <c r="G10" s="198"/>
      <c r="H10" s="198" t="s">
        <v>106</v>
      </c>
      <c r="I10" s="28"/>
      <c r="J10" s="28"/>
    </row>
    <row r="11" spans="2:10" x14ac:dyDescent="0.2">
      <c r="B11" s="201"/>
      <c r="C11" s="203"/>
      <c r="D11" s="28" t="s">
        <v>57</v>
      </c>
      <c r="E11" s="28" t="s">
        <v>57</v>
      </c>
      <c r="F11" s="28" t="s">
        <v>57</v>
      </c>
      <c r="G11" s="28" t="s">
        <v>57</v>
      </c>
      <c r="H11" s="28" t="s">
        <v>57</v>
      </c>
      <c r="I11" s="28" t="s">
        <v>57</v>
      </c>
      <c r="J11" s="28" t="s">
        <v>57</v>
      </c>
    </row>
    <row r="12" spans="2:10" x14ac:dyDescent="0.2">
      <c r="B12" s="204"/>
      <c r="C12" s="205" t="s">
        <v>154</v>
      </c>
      <c r="D12" s="459">
        <f>SUM([5]FS1213!$N$16:$N$18)</f>
        <v>293966197.30999994</v>
      </c>
      <c r="E12" s="459">
        <f>D12-F12</f>
        <v>73531411.389999956</v>
      </c>
      <c r="F12" s="459">
        <f>SUM(G12:J12)</f>
        <v>220434785.91999999</v>
      </c>
      <c r="G12" s="459">
        <f>SUM([5]FS1213!$E$16:$E$18)</f>
        <v>211740212.11999997</v>
      </c>
      <c r="H12" s="459">
        <f>SUM([5]FS1213!$F$16:$G$18)</f>
        <v>8375213.7799999993</v>
      </c>
      <c r="I12" s="460"/>
      <c r="J12" s="459">
        <f>SUM([5]FS1213!$H$16:$H$18)</f>
        <v>319360.02</v>
      </c>
    </row>
    <row r="13" spans="2:10" x14ac:dyDescent="0.2">
      <c r="B13" s="204"/>
      <c r="C13" s="206" t="s">
        <v>155</v>
      </c>
      <c r="D13" s="459">
        <v>0</v>
      </c>
      <c r="E13" s="459">
        <f t="shared" ref="E13:E18" si="0">D13-F13</f>
        <v>0</v>
      </c>
      <c r="F13" s="459">
        <f t="shared" ref="F13:F18" si="1">SUM(G13:J13)</f>
        <v>0</v>
      </c>
      <c r="G13" s="459">
        <f t="shared" ref="G13:G14" si="2">SUM(H13:K13)</f>
        <v>0</v>
      </c>
      <c r="H13" s="459">
        <f t="shared" ref="H13:H14" si="3">SUM(I13:L13)</f>
        <v>0</v>
      </c>
      <c r="I13" s="460"/>
      <c r="J13" s="459">
        <f t="shared" ref="J13:J14" si="4">SUM(K13:N13)</f>
        <v>0</v>
      </c>
    </row>
    <row r="14" spans="2:10" x14ac:dyDescent="0.2">
      <c r="B14" s="204"/>
      <c r="C14" s="207" t="s">
        <v>156</v>
      </c>
      <c r="D14" s="459">
        <v>0</v>
      </c>
      <c r="E14" s="459">
        <f t="shared" si="0"/>
        <v>0</v>
      </c>
      <c r="F14" s="459">
        <f t="shared" si="1"/>
        <v>0</v>
      </c>
      <c r="G14" s="459">
        <f t="shared" si="2"/>
        <v>0</v>
      </c>
      <c r="H14" s="459">
        <f t="shared" si="3"/>
        <v>0</v>
      </c>
      <c r="I14" s="460"/>
      <c r="J14" s="459">
        <f t="shared" si="4"/>
        <v>0</v>
      </c>
    </row>
    <row r="15" spans="2:10" x14ac:dyDescent="0.2">
      <c r="B15" s="204"/>
      <c r="C15" s="205" t="s">
        <v>157</v>
      </c>
      <c r="D15" s="459">
        <f>SUM([5]FS1213!$N$35)</f>
        <v>27356881.930000003</v>
      </c>
      <c r="E15" s="459">
        <f t="shared" si="0"/>
        <v>27354339.720000003</v>
      </c>
      <c r="F15" s="459">
        <f t="shared" si="1"/>
        <v>2542.2099999999996</v>
      </c>
      <c r="G15" s="459">
        <f>SUM([5]FS1213!$E$35:$F$35)</f>
        <v>2542.2099999999996</v>
      </c>
      <c r="H15" s="459">
        <f>SUM([5]FS1213!$G$35)</f>
        <v>0</v>
      </c>
      <c r="I15" s="460"/>
      <c r="J15" s="459">
        <f>SUM([5]FS1213!$H$35)</f>
        <v>0</v>
      </c>
    </row>
    <row r="16" spans="2:10" x14ac:dyDescent="0.2">
      <c r="B16" s="204"/>
      <c r="C16" s="205" t="s">
        <v>158</v>
      </c>
      <c r="D16" s="459">
        <f>SUM([5]FS1213!$N$31:$N$32)</f>
        <v>15686896.080000002</v>
      </c>
      <c r="E16" s="459">
        <f t="shared" si="0"/>
        <v>1367072.5900000017</v>
      </c>
      <c r="F16" s="459">
        <f t="shared" si="1"/>
        <v>14319823.49</v>
      </c>
      <c r="G16" s="459">
        <f>SUM([5]FS1213!$E$31:$F$32)</f>
        <v>14216928.140000001</v>
      </c>
      <c r="H16" s="459">
        <f>SUM([5]FS1213!$F$30:$G$30)</f>
        <v>102895.34999999963</v>
      </c>
      <c r="I16" s="460"/>
      <c r="J16" s="459">
        <f>SUM([5]FS1213!$H$30:$H$32)</f>
        <v>0</v>
      </c>
    </row>
    <row r="17" spans="2:10" x14ac:dyDescent="0.2">
      <c r="B17" s="204"/>
      <c r="C17" s="205" t="s">
        <v>159</v>
      </c>
      <c r="D17" s="459">
        <f>SUM([5]FS1213!$N$64)</f>
        <v>1821366.4700000002</v>
      </c>
      <c r="E17" s="459">
        <f t="shared" si="0"/>
        <v>1820375.3900000001</v>
      </c>
      <c r="F17" s="459">
        <f t="shared" si="1"/>
        <v>991.08</v>
      </c>
      <c r="G17" s="459">
        <f>SUM([5]FS1213!$E$64:$F$64)</f>
        <v>991.08</v>
      </c>
      <c r="H17" s="459">
        <f>SUM([5]FS1213!$G$64)</f>
        <v>0</v>
      </c>
      <c r="I17" s="460"/>
      <c r="J17" s="459">
        <f>SUM([5]FS1213!$H$64)</f>
        <v>0</v>
      </c>
    </row>
    <row r="18" spans="2:10" x14ac:dyDescent="0.2">
      <c r="B18" s="204"/>
      <c r="C18" s="205" t="s">
        <v>160</v>
      </c>
      <c r="D18" s="459">
        <f>SUM([5]FS1213!$N$28,[5]FS1213!$N$29,[5]FS1213!$N$30,[5]FS1213!$N$33)</f>
        <v>54457112.579999991</v>
      </c>
      <c r="E18" s="459">
        <f t="shared" si="0"/>
        <v>42784505.279999994</v>
      </c>
      <c r="F18" s="459">
        <f t="shared" si="1"/>
        <v>11672607.299999999</v>
      </c>
      <c r="G18" s="459">
        <f>SUM([5]FS1213!$E$28:$F$29)+SUM([5]FS1213!$E$33:$F$34)+SUM([5]FS1213!$E$81)</f>
        <v>1137990</v>
      </c>
      <c r="H18" s="459">
        <f>SUM([5]FS1213!$G$28:$G$29)+SUM([5]FS1213!$G$33:$G$34)</f>
        <v>0</v>
      </c>
      <c r="I18" s="460"/>
      <c r="J18" s="459">
        <f>SUM([5]FS1213!$H$28:$H$29)+SUM([5]FS1213!$H$33:$H$34)</f>
        <v>10534617.299999999</v>
      </c>
    </row>
    <row r="19" spans="2:10" x14ac:dyDescent="0.2">
      <c r="B19" s="201"/>
      <c r="C19" s="208" t="s">
        <v>161</v>
      </c>
      <c r="D19" s="461">
        <f t="shared" ref="D19:J19" si="5">SUM(D12:D18)</f>
        <v>393288454.36999995</v>
      </c>
      <c r="E19" s="461">
        <f t="shared" si="5"/>
        <v>146857704.36999995</v>
      </c>
      <c r="F19" s="461">
        <f t="shared" si="5"/>
        <v>246430750.00000003</v>
      </c>
      <c r="G19" s="461">
        <f t="shared" si="5"/>
        <v>227098663.54999998</v>
      </c>
      <c r="H19" s="461">
        <f t="shared" si="5"/>
        <v>8478109.129999999</v>
      </c>
      <c r="I19" s="462">
        <f t="shared" si="5"/>
        <v>0</v>
      </c>
      <c r="J19" s="461">
        <f t="shared" si="5"/>
        <v>10853977.319999998</v>
      </c>
    </row>
    <row r="20" spans="2:10" x14ac:dyDescent="0.2">
      <c r="B20" s="204"/>
      <c r="C20" s="206" t="s">
        <v>162</v>
      </c>
      <c r="D20" s="459">
        <f>SUM([5]FS1213!$N$20)</f>
        <v>42897613.339999996</v>
      </c>
      <c r="E20" s="459">
        <f t="shared" ref="E20:E28" si="6">D20-F20</f>
        <v>0</v>
      </c>
      <c r="F20" s="459">
        <f t="shared" ref="F20:F28" si="7">SUM(G20:J20)</f>
        <v>42897613.339999996</v>
      </c>
      <c r="G20" s="459">
        <f>SUM([5]FS1213!$E$20:$F$20)</f>
        <v>42897613.339999996</v>
      </c>
      <c r="H20" s="459">
        <f>SUM([5]FS1213!$G$20)</f>
        <v>0</v>
      </c>
      <c r="I20" s="460"/>
      <c r="J20" s="459">
        <f>SUM([5]FS1213!$H$20)</f>
        <v>0</v>
      </c>
    </row>
    <row r="21" spans="2:10" x14ac:dyDescent="0.2">
      <c r="B21" s="204"/>
      <c r="C21" s="207" t="s">
        <v>163</v>
      </c>
      <c r="D21" s="459">
        <f>SUM([5]FS1213!$N$21:$N$24)</f>
        <v>26409606.32</v>
      </c>
      <c r="E21" s="459">
        <f t="shared" si="6"/>
        <v>6868317.6699999981</v>
      </c>
      <c r="F21" s="459">
        <f t="shared" si="7"/>
        <v>19541288.650000002</v>
      </c>
      <c r="G21" s="459">
        <f>SUM([5]FS1213!$E$21:$F$24)</f>
        <v>19541288.650000002</v>
      </c>
      <c r="H21" s="459">
        <f>SUM([5]FS1213!$G$21:$G$24)</f>
        <v>0</v>
      </c>
      <c r="I21" s="460"/>
      <c r="J21" s="459">
        <f>SUM([5]FS1213!$H$21:$H$24)</f>
        <v>0</v>
      </c>
    </row>
    <row r="22" spans="2:10" x14ac:dyDescent="0.2">
      <c r="B22" s="204"/>
      <c r="C22" s="207" t="s">
        <v>164</v>
      </c>
      <c r="D22" s="459">
        <f>'8. Maintenance'!D34</f>
        <v>24793393.869999997</v>
      </c>
      <c r="E22" s="459">
        <f>'8. Maintenance'!E34</f>
        <v>254635.8330311391</v>
      </c>
      <c r="F22" s="459">
        <f t="shared" si="7"/>
        <v>24538758.036968865</v>
      </c>
      <c r="G22" s="459">
        <f>'[6]Comparison Nominal Dollars'!$Z$41</f>
        <v>23979513.026968863</v>
      </c>
      <c r="H22" s="459">
        <f>'[6]Comparison Nominal Dollars'!$Z$63</f>
        <v>559245.01</v>
      </c>
      <c r="I22" s="460"/>
      <c r="J22" s="459">
        <v>0</v>
      </c>
    </row>
    <row r="23" spans="2:10" x14ac:dyDescent="0.2">
      <c r="B23" s="204"/>
      <c r="C23" s="205" t="s">
        <v>165</v>
      </c>
      <c r="D23" s="459">
        <f>SUM([5]FS1213!$N$53)-D22</f>
        <v>127948408.87999997</v>
      </c>
      <c r="E23" s="459">
        <f t="shared" si="6"/>
        <v>65232763.141920693</v>
      </c>
      <c r="F23" s="459">
        <f t="shared" si="7"/>
        <v>62715645.738079272</v>
      </c>
      <c r="G23" s="459">
        <f>(SUM([5]FS1213!$E$53:$F$53)+SUM([5]FS1213!$E$81))-G22</f>
        <v>51862779.178079277</v>
      </c>
      <c r="H23" s="459">
        <f>SUM([5]FS1213!$G$53)-H22</f>
        <v>1401581.0099999995</v>
      </c>
      <c r="I23" s="460"/>
      <c r="J23" s="459">
        <f>SUM([5]FS1213!$H$39:$H$51)</f>
        <v>9451285.5499999989</v>
      </c>
    </row>
    <row r="24" spans="2:10" x14ac:dyDescent="0.2">
      <c r="B24" s="204"/>
      <c r="C24" s="210" t="s">
        <v>166</v>
      </c>
      <c r="D24" s="459">
        <f>SUM([5]FS1213!$N$55)</f>
        <v>37596552.109999985</v>
      </c>
      <c r="E24" s="459">
        <f t="shared" si="6"/>
        <v>5965747.3250481375</v>
      </c>
      <c r="F24" s="459">
        <f t="shared" si="7"/>
        <v>31630804.784951847</v>
      </c>
      <c r="G24" s="459">
        <f>SUM([5]FS1213!$E$55:$F$55)</f>
        <v>31630804.784951847</v>
      </c>
      <c r="H24" s="459">
        <f>SUM([5]FS1213!$G$55)</f>
        <v>0</v>
      </c>
      <c r="I24" s="460"/>
      <c r="J24" s="459">
        <f>SUM([5]FS1213!$H$55)</f>
        <v>0</v>
      </c>
    </row>
    <row r="25" spans="2:10" x14ac:dyDescent="0.2">
      <c r="B25" s="204"/>
      <c r="C25" s="205" t="s">
        <v>167</v>
      </c>
      <c r="D25" s="459">
        <f>SUM([5]FS1213!$N$65)</f>
        <v>297957.69</v>
      </c>
      <c r="E25" s="459">
        <f t="shared" si="6"/>
        <v>102638.43000000002</v>
      </c>
      <c r="F25" s="459">
        <f t="shared" si="7"/>
        <v>195319.25999999998</v>
      </c>
      <c r="G25" s="459">
        <f>SUM([5]FS1213!$E$65:$F$65)</f>
        <v>195319.25999999998</v>
      </c>
      <c r="H25" s="459">
        <f>SUM([5]FS1213!$G$65)</f>
        <v>0</v>
      </c>
      <c r="I25" s="460"/>
      <c r="J25" s="459">
        <f>SUM([5]FS1213!$H$65)</f>
        <v>0</v>
      </c>
    </row>
    <row r="26" spans="2:10" x14ac:dyDescent="0.2">
      <c r="B26" s="204"/>
      <c r="C26" s="205" t="s">
        <v>168</v>
      </c>
      <c r="D26" s="459">
        <f>SUM([5]FS1213!$N$58)</f>
        <v>883781.79999999993</v>
      </c>
      <c r="E26" s="459">
        <f t="shared" si="6"/>
        <v>24722.489999999991</v>
      </c>
      <c r="F26" s="459">
        <f t="shared" si="7"/>
        <v>859059.30999999994</v>
      </c>
      <c r="G26" s="459">
        <f>SUM([5]FS1213!$E$58:$F$58)</f>
        <v>859059.30999999994</v>
      </c>
      <c r="H26" s="459">
        <f>SUM([5]FS1213!$G$58)</f>
        <v>0</v>
      </c>
      <c r="I26" s="460"/>
      <c r="J26" s="459">
        <f>SUM([5]FS1213!$H$58)</f>
        <v>0</v>
      </c>
    </row>
    <row r="27" spans="2:10" x14ac:dyDescent="0.2">
      <c r="B27" s="204"/>
      <c r="C27" s="205" t="s">
        <v>169</v>
      </c>
      <c r="D27" s="459">
        <v>0</v>
      </c>
      <c r="E27" s="459">
        <f t="shared" si="6"/>
        <v>0</v>
      </c>
      <c r="F27" s="459">
        <f t="shared" si="7"/>
        <v>0</v>
      </c>
      <c r="G27" s="459">
        <v>0</v>
      </c>
      <c r="H27" s="459">
        <v>0</v>
      </c>
      <c r="I27" s="460"/>
      <c r="J27" s="459">
        <v>0</v>
      </c>
    </row>
    <row r="28" spans="2:10" x14ac:dyDescent="0.2">
      <c r="B28" s="204"/>
      <c r="C28" s="210" t="s">
        <v>170</v>
      </c>
      <c r="D28" s="459">
        <f>SUM([5]FS1213!$N$57)</f>
        <v>-9829629.959999999</v>
      </c>
      <c r="E28" s="459">
        <f t="shared" si="6"/>
        <v>0</v>
      </c>
      <c r="F28" s="459">
        <f t="shared" si="7"/>
        <v>-9829629.9600000009</v>
      </c>
      <c r="G28" s="459">
        <f>SUM([5]FS1213!$E$57:$F$57)</f>
        <v>-10597501.66</v>
      </c>
      <c r="H28" s="459">
        <f>SUM([5]FS1213!$G$57)</f>
        <v>259613.41</v>
      </c>
      <c r="I28" s="460"/>
      <c r="J28" s="459">
        <f>SUM([5]FS1213!$H$57:$H$57)</f>
        <v>508258.29</v>
      </c>
    </row>
    <row r="29" spans="2:10" x14ac:dyDescent="0.2">
      <c r="B29" s="204"/>
      <c r="C29" s="208" t="s">
        <v>171</v>
      </c>
      <c r="D29" s="463">
        <f t="shared" ref="D29:J29" si="8">D19-SUM(D20:D28)</f>
        <v>142290770.31999999</v>
      </c>
      <c r="E29" s="463">
        <f t="shared" si="8"/>
        <v>68408879.479999974</v>
      </c>
      <c r="F29" s="463">
        <f t="shared" si="8"/>
        <v>73881890.840000063</v>
      </c>
      <c r="G29" s="463">
        <f t="shared" si="8"/>
        <v>66729787.659999996</v>
      </c>
      <c r="H29" s="463">
        <f t="shared" si="8"/>
        <v>6257669.6999999993</v>
      </c>
      <c r="I29" s="464">
        <f t="shared" si="8"/>
        <v>0</v>
      </c>
      <c r="J29" s="463">
        <f t="shared" si="8"/>
        <v>894433.48000000045</v>
      </c>
    </row>
    <row r="30" spans="2:10" x14ac:dyDescent="0.2">
      <c r="B30" s="204"/>
      <c r="C30" s="211" t="s">
        <v>172</v>
      </c>
      <c r="D30" s="459">
        <v>0</v>
      </c>
      <c r="E30" s="459">
        <f>D30-F30</f>
        <v>0</v>
      </c>
      <c r="F30" s="459">
        <f>SUM(G30:J30)</f>
        <v>0</v>
      </c>
      <c r="G30" s="459"/>
      <c r="H30" s="459"/>
      <c r="I30" s="460"/>
      <c r="J30" s="465"/>
    </row>
    <row r="31" spans="2:10" x14ac:dyDescent="0.2">
      <c r="B31" s="204"/>
      <c r="C31" s="208" t="s">
        <v>173</v>
      </c>
      <c r="D31" s="209">
        <f t="shared" ref="D31:J31" si="9">D29-D30</f>
        <v>142290770.31999999</v>
      </c>
      <c r="E31" s="209">
        <f t="shared" si="9"/>
        <v>68408879.479999974</v>
      </c>
      <c r="F31" s="209">
        <f t="shared" si="9"/>
        <v>73881890.840000063</v>
      </c>
      <c r="G31" s="209">
        <f t="shared" si="9"/>
        <v>66729787.659999996</v>
      </c>
      <c r="H31" s="209">
        <f t="shared" si="9"/>
        <v>6257669.6999999993</v>
      </c>
      <c r="I31" s="373">
        <f t="shared" si="9"/>
        <v>0</v>
      </c>
      <c r="J31" s="209">
        <f t="shared" si="9"/>
        <v>894433.48000000045</v>
      </c>
    </row>
  </sheetData>
  <mergeCells count="3">
    <mergeCell ref="B2:C2"/>
    <mergeCell ref="B7:D7"/>
    <mergeCell ref="B5:C5"/>
  </mergeCells>
  <pageMargins left="0.35433070866141736" right="0.35433070866141736" top="0.59055118110236227" bottom="0.59055118110236227" header="0.51181102362204722" footer="0.11811023622047245"/>
  <pageSetup paperSize="9" scale="84" fitToHeight="100" orientation="landscape" r:id="rId1"/>
  <headerFooter scaleWithDoc="0" alignWithMargins="0">
    <oddFooter>&amp;L&amp;8&amp;D&amp;C&amp;8&amp; Template: &amp;A
&amp;F&amp;R&amp;8&amp;P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9"/>
  <sheetViews>
    <sheetView topLeftCell="A19" zoomScaleNormal="100" zoomScaleSheetLayoutView="85" workbookViewId="0">
      <selection activeCell="A19" sqref="A1:XFD1048576"/>
    </sheetView>
  </sheetViews>
  <sheetFormatPr defaultRowHeight="12.75" x14ac:dyDescent="0.2"/>
  <cols>
    <col min="1" max="1" width="12" style="187" customWidth="1"/>
    <col min="2" max="2" width="13.7109375" style="187" customWidth="1"/>
    <col min="3" max="3" width="35.7109375" style="187" customWidth="1"/>
    <col min="4" max="10" width="15.7109375" style="187" customWidth="1"/>
    <col min="11" max="256" width="9.140625" style="187"/>
    <col min="257" max="257" width="12" style="187" customWidth="1"/>
    <col min="258" max="258" width="13.7109375" style="187" customWidth="1"/>
    <col min="259" max="259" width="35.7109375" style="187" customWidth="1"/>
    <col min="260" max="266" width="20.7109375" style="187" customWidth="1"/>
    <col min="267" max="512" width="9.140625" style="187"/>
    <col min="513" max="513" width="12" style="187" customWidth="1"/>
    <col min="514" max="514" width="13.7109375" style="187" customWidth="1"/>
    <col min="515" max="515" width="35.7109375" style="187" customWidth="1"/>
    <col min="516" max="522" width="20.7109375" style="187" customWidth="1"/>
    <col min="523" max="768" width="9.140625" style="187"/>
    <col min="769" max="769" width="12" style="187" customWidth="1"/>
    <col min="770" max="770" width="13.7109375" style="187" customWidth="1"/>
    <col min="771" max="771" width="35.7109375" style="187" customWidth="1"/>
    <col min="772" max="778" width="20.7109375" style="187" customWidth="1"/>
    <col min="779" max="1024" width="9.140625" style="187"/>
    <col min="1025" max="1025" width="12" style="187" customWidth="1"/>
    <col min="1026" max="1026" width="13.7109375" style="187" customWidth="1"/>
    <col min="1027" max="1027" width="35.7109375" style="187" customWidth="1"/>
    <col min="1028" max="1034" width="20.7109375" style="187" customWidth="1"/>
    <col min="1035" max="1280" width="9.140625" style="187"/>
    <col min="1281" max="1281" width="12" style="187" customWidth="1"/>
    <col min="1282" max="1282" width="13.7109375" style="187" customWidth="1"/>
    <col min="1283" max="1283" width="35.7109375" style="187" customWidth="1"/>
    <col min="1284" max="1290" width="20.7109375" style="187" customWidth="1"/>
    <col min="1291" max="1536" width="9.140625" style="187"/>
    <col min="1537" max="1537" width="12" style="187" customWidth="1"/>
    <col min="1538" max="1538" width="13.7109375" style="187" customWidth="1"/>
    <col min="1539" max="1539" width="35.7109375" style="187" customWidth="1"/>
    <col min="1540" max="1546" width="20.7109375" style="187" customWidth="1"/>
    <col min="1547" max="1792" width="9.140625" style="187"/>
    <col min="1793" max="1793" width="12" style="187" customWidth="1"/>
    <col min="1794" max="1794" width="13.7109375" style="187" customWidth="1"/>
    <col min="1795" max="1795" width="35.7109375" style="187" customWidth="1"/>
    <col min="1796" max="1802" width="20.7109375" style="187" customWidth="1"/>
    <col min="1803" max="2048" width="9.140625" style="187"/>
    <col min="2049" max="2049" width="12" style="187" customWidth="1"/>
    <col min="2050" max="2050" width="13.7109375" style="187" customWidth="1"/>
    <col min="2051" max="2051" width="35.7109375" style="187" customWidth="1"/>
    <col min="2052" max="2058" width="20.7109375" style="187" customWidth="1"/>
    <col min="2059" max="2304" width="9.140625" style="187"/>
    <col min="2305" max="2305" width="12" style="187" customWidth="1"/>
    <col min="2306" max="2306" width="13.7109375" style="187" customWidth="1"/>
    <col min="2307" max="2307" width="35.7109375" style="187" customWidth="1"/>
    <col min="2308" max="2314" width="20.7109375" style="187" customWidth="1"/>
    <col min="2315" max="2560" width="9.140625" style="187"/>
    <col min="2561" max="2561" width="12" style="187" customWidth="1"/>
    <col min="2562" max="2562" width="13.7109375" style="187" customWidth="1"/>
    <col min="2563" max="2563" width="35.7109375" style="187" customWidth="1"/>
    <col min="2564" max="2570" width="20.7109375" style="187" customWidth="1"/>
    <col min="2571" max="2816" width="9.140625" style="187"/>
    <col min="2817" max="2817" width="12" style="187" customWidth="1"/>
    <col min="2818" max="2818" width="13.7109375" style="187" customWidth="1"/>
    <col min="2819" max="2819" width="35.7109375" style="187" customWidth="1"/>
    <col min="2820" max="2826" width="20.7109375" style="187" customWidth="1"/>
    <col min="2827" max="3072" width="9.140625" style="187"/>
    <col min="3073" max="3073" width="12" style="187" customWidth="1"/>
    <col min="3074" max="3074" width="13.7109375" style="187" customWidth="1"/>
    <col min="3075" max="3075" width="35.7109375" style="187" customWidth="1"/>
    <col min="3076" max="3082" width="20.7109375" style="187" customWidth="1"/>
    <col min="3083" max="3328" width="9.140625" style="187"/>
    <col min="3329" max="3329" width="12" style="187" customWidth="1"/>
    <col min="3330" max="3330" width="13.7109375" style="187" customWidth="1"/>
    <col min="3331" max="3331" width="35.7109375" style="187" customWidth="1"/>
    <col min="3332" max="3338" width="20.7109375" style="187" customWidth="1"/>
    <col min="3339" max="3584" width="9.140625" style="187"/>
    <col min="3585" max="3585" width="12" style="187" customWidth="1"/>
    <col min="3586" max="3586" width="13.7109375" style="187" customWidth="1"/>
    <col min="3587" max="3587" width="35.7109375" style="187" customWidth="1"/>
    <col min="3588" max="3594" width="20.7109375" style="187" customWidth="1"/>
    <col min="3595" max="3840" width="9.140625" style="187"/>
    <col min="3841" max="3841" width="12" style="187" customWidth="1"/>
    <col min="3842" max="3842" width="13.7109375" style="187" customWidth="1"/>
    <col min="3843" max="3843" width="35.7109375" style="187" customWidth="1"/>
    <col min="3844" max="3850" width="20.7109375" style="187" customWidth="1"/>
    <col min="3851" max="4096" width="9.140625" style="187"/>
    <col min="4097" max="4097" width="12" style="187" customWidth="1"/>
    <col min="4098" max="4098" width="13.7109375" style="187" customWidth="1"/>
    <col min="4099" max="4099" width="35.7109375" style="187" customWidth="1"/>
    <col min="4100" max="4106" width="20.7109375" style="187" customWidth="1"/>
    <col min="4107" max="4352" width="9.140625" style="187"/>
    <col min="4353" max="4353" width="12" style="187" customWidth="1"/>
    <col min="4354" max="4354" width="13.7109375" style="187" customWidth="1"/>
    <col min="4355" max="4355" width="35.7109375" style="187" customWidth="1"/>
    <col min="4356" max="4362" width="20.7109375" style="187" customWidth="1"/>
    <col min="4363" max="4608" width="9.140625" style="187"/>
    <col min="4609" max="4609" width="12" style="187" customWidth="1"/>
    <col min="4610" max="4610" width="13.7109375" style="187" customWidth="1"/>
    <col min="4611" max="4611" width="35.7109375" style="187" customWidth="1"/>
    <col min="4612" max="4618" width="20.7109375" style="187" customWidth="1"/>
    <col min="4619" max="4864" width="9.140625" style="187"/>
    <col min="4865" max="4865" width="12" style="187" customWidth="1"/>
    <col min="4866" max="4866" width="13.7109375" style="187" customWidth="1"/>
    <col min="4867" max="4867" width="35.7109375" style="187" customWidth="1"/>
    <col min="4868" max="4874" width="20.7109375" style="187" customWidth="1"/>
    <col min="4875" max="5120" width="9.140625" style="187"/>
    <col min="5121" max="5121" width="12" style="187" customWidth="1"/>
    <col min="5122" max="5122" width="13.7109375" style="187" customWidth="1"/>
    <col min="5123" max="5123" width="35.7109375" style="187" customWidth="1"/>
    <col min="5124" max="5130" width="20.7109375" style="187" customWidth="1"/>
    <col min="5131" max="5376" width="9.140625" style="187"/>
    <col min="5377" max="5377" width="12" style="187" customWidth="1"/>
    <col min="5378" max="5378" width="13.7109375" style="187" customWidth="1"/>
    <col min="5379" max="5379" width="35.7109375" style="187" customWidth="1"/>
    <col min="5380" max="5386" width="20.7109375" style="187" customWidth="1"/>
    <col min="5387" max="5632" width="9.140625" style="187"/>
    <col min="5633" max="5633" width="12" style="187" customWidth="1"/>
    <col min="5634" max="5634" width="13.7109375" style="187" customWidth="1"/>
    <col min="5635" max="5635" width="35.7109375" style="187" customWidth="1"/>
    <col min="5636" max="5642" width="20.7109375" style="187" customWidth="1"/>
    <col min="5643" max="5888" width="9.140625" style="187"/>
    <col min="5889" max="5889" width="12" style="187" customWidth="1"/>
    <col min="5890" max="5890" width="13.7109375" style="187" customWidth="1"/>
    <col min="5891" max="5891" width="35.7109375" style="187" customWidth="1"/>
    <col min="5892" max="5898" width="20.7109375" style="187" customWidth="1"/>
    <col min="5899" max="6144" width="9.140625" style="187"/>
    <col min="6145" max="6145" width="12" style="187" customWidth="1"/>
    <col min="6146" max="6146" width="13.7109375" style="187" customWidth="1"/>
    <col min="6147" max="6147" width="35.7109375" style="187" customWidth="1"/>
    <col min="6148" max="6154" width="20.7109375" style="187" customWidth="1"/>
    <col min="6155" max="6400" width="9.140625" style="187"/>
    <col min="6401" max="6401" width="12" style="187" customWidth="1"/>
    <col min="6402" max="6402" width="13.7109375" style="187" customWidth="1"/>
    <col min="6403" max="6403" width="35.7109375" style="187" customWidth="1"/>
    <col min="6404" max="6410" width="20.7109375" style="187" customWidth="1"/>
    <col min="6411" max="6656" width="9.140625" style="187"/>
    <col min="6657" max="6657" width="12" style="187" customWidth="1"/>
    <col min="6658" max="6658" width="13.7109375" style="187" customWidth="1"/>
    <col min="6659" max="6659" width="35.7109375" style="187" customWidth="1"/>
    <col min="6660" max="6666" width="20.7109375" style="187" customWidth="1"/>
    <col min="6667" max="6912" width="9.140625" style="187"/>
    <col min="6913" max="6913" width="12" style="187" customWidth="1"/>
    <col min="6914" max="6914" width="13.7109375" style="187" customWidth="1"/>
    <col min="6915" max="6915" width="35.7109375" style="187" customWidth="1"/>
    <col min="6916" max="6922" width="20.7109375" style="187" customWidth="1"/>
    <col min="6923" max="7168" width="9.140625" style="187"/>
    <col min="7169" max="7169" width="12" style="187" customWidth="1"/>
    <col min="7170" max="7170" width="13.7109375" style="187" customWidth="1"/>
    <col min="7171" max="7171" width="35.7109375" style="187" customWidth="1"/>
    <col min="7172" max="7178" width="20.7109375" style="187" customWidth="1"/>
    <col min="7179" max="7424" width="9.140625" style="187"/>
    <col min="7425" max="7425" width="12" style="187" customWidth="1"/>
    <col min="7426" max="7426" width="13.7109375" style="187" customWidth="1"/>
    <col min="7427" max="7427" width="35.7109375" style="187" customWidth="1"/>
    <col min="7428" max="7434" width="20.7109375" style="187" customWidth="1"/>
    <col min="7435" max="7680" width="9.140625" style="187"/>
    <col min="7681" max="7681" width="12" style="187" customWidth="1"/>
    <col min="7682" max="7682" width="13.7109375" style="187" customWidth="1"/>
    <col min="7683" max="7683" width="35.7109375" style="187" customWidth="1"/>
    <col min="7684" max="7690" width="20.7109375" style="187" customWidth="1"/>
    <col min="7691" max="7936" width="9.140625" style="187"/>
    <col min="7937" max="7937" width="12" style="187" customWidth="1"/>
    <col min="7938" max="7938" width="13.7109375" style="187" customWidth="1"/>
    <col min="7939" max="7939" width="35.7109375" style="187" customWidth="1"/>
    <col min="7940" max="7946" width="20.7109375" style="187" customWidth="1"/>
    <col min="7947" max="8192" width="9.140625" style="187"/>
    <col min="8193" max="8193" width="12" style="187" customWidth="1"/>
    <col min="8194" max="8194" width="13.7109375" style="187" customWidth="1"/>
    <col min="8195" max="8195" width="35.7109375" style="187" customWidth="1"/>
    <col min="8196" max="8202" width="20.7109375" style="187" customWidth="1"/>
    <col min="8203" max="8448" width="9.140625" style="187"/>
    <col min="8449" max="8449" width="12" style="187" customWidth="1"/>
    <col min="8450" max="8450" width="13.7109375" style="187" customWidth="1"/>
    <col min="8451" max="8451" width="35.7109375" style="187" customWidth="1"/>
    <col min="8452" max="8458" width="20.7109375" style="187" customWidth="1"/>
    <col min="8459" max="8704" width="9.140625" style="187"/>
    <col min="8705" max="8705" width="12" style="187" customWidth="1"/>
    <col min="8706" max="8706" width="13.7109375" style="187" customWidth="1"/>
    <col min="8707" max="8707" width="35.7109375" style="187" customWidth="1"/>
    <col min="8708" max="8714" width="20.7109375" style="187" customWidth="1"/>
    <col min="8715" max="8960" width="9.140625" style="187"/>
    <col min="8961" max="8961" width="12" style="187" customWidth="1"/>
    <col min="8962" max="8962" width="13.7109375" style="187" customWidth="1"/>
    <col min="8963" max="8963" width="35.7109375" style="187" customWidth="1"/>
    <col min="8964" max="8970" width="20.7109375" style="187" customWidth="1"/>
    <col min="8971" max="9216" width="9.140625" style="187"/>
    <col min="9217" max="9217" width="12" style="187" customWidth="1"/>
    <col min="9218" max="9218" width="13.7109375" style="187" customWidth="1"/>
    <col min="9219" max="9219" width="35.7109375" style="187" customWidth="1"/>
    <col min="9220" max="9226" width="20.7109375" style="187" customWidth="1"/>
    <col min="9227" max="9472" width="9.140625" style="187"/>
    <col min="9473" max="9473" width="12" style="187" customWidth="1"/>
    <col min="9474" max="9474" width="13.7109375" style="187" customWidth="1"/>
    <col min="9475" max="9475" width="35.7109375" style="187" customWidth="1"/>
    <col min="9476" max="9482" width="20.7109375" style="187" customWidth="1"/>
    <col min="9483" max="9728" width="9.140625" style="187"/>
    <col min="9729" max="9729" width="12" style="187" customWidth="1"/>
    <col min="9730" max="9730" width="13.7109375" style="187" customWidth="1"/>
    <col min="9731" max="9731" width="35.7109375" style="187" customWidth="1"/>
    <col min="9732" max="9738" width="20.7109375" style="187" customWidth="1"/>
    <col min="9739" max="9984" width="9.140625" style="187"/>
    <col min="9985" max="9985" width="12" style="187" customWidth="1"/>
    <col min="9986" max="9986" width="13.7109375" style="187" customWidth="1"/>
    <col min="9987" max="9987" width="35.7109375" style="187" customWidth="1"/>
    <col min="9988" max="9994" width="20.7109375" style="187" customWidth="1"/>
    <col min="9995" max="10240" width="9.140625" style="187"/>
    <col min="10241" max="10241" width="12" style="187" customWidth="1"/>
    <col min="10242" max="10242" width="13.7109375" style="187" customWidth="1"/>
    <col min="10243" max="10243" width="35.7109375" style="187" customWidth="1"/>
    <col min="10244" max="10250" width="20.7109375" style="187" customWidth="1"/>
    <col min="10251" max="10496" width="9.140625" style="187"/>
    <col min="10497" max="10497" width="12" style="187" customWidth="1"/>
    <col min="10498" max="10498" width="13.7109375" style="187" customWidth="1"/>
    <col min="10499" max="10499" width="35.7109375" style="187" customWidth="1"/>
    <col min="10500" max="10506" width="20.7109375" style="187" customWidth="1"/>
    <col min="10507" max="10752" width="9.140625" style="187"/>
    <col min="10753" max="10753" width="12" style="187" customWidth="1"/>
    <col min="10754" max="10754" width="13.7109375" style="187" customWidth="1"/>
    <col min="10755" max="10755" width="35.7109375" style="187" customWidth="1"/>
    <col min="10756" max="10762" width="20.7109375" style="187" customWidth="1"/>
    <col min="10763" max="11008" width="9.140625" style="187"/>
    <col min="11009" max="11009" width="12" style="187" customWidth="1"/>
    <col min="11010" max="11010" width="13.7109375" style="187" customWidth="1"/>
    <col min="11011" max="11011" width="35.7109375" style="187" customWidth="1"/>
    <col min="11012" max="11018" width="20.7109375" style="187" customWidth="1"/>
    <col min="11019" max="11264" width="9.140625" style="187"/>
    <col min="11265" max="11265" width="12" style="187" customWidth="1"/>
    <col min="11266" max="11266" width="13.7109375" style="187" customWidth="1"/>
    <col min="11267" max="11267" width="35.7109375" style="187" customWidth="1"/>
    <col min="11268" max="11274" width="20.7109375" style="187" customWidth="1"/>
    <col min="11275" max="11520" width="9.140625" style="187"/>
    <col min="11521" max="11521" width="12" style="187" customWidth="1"/>
    <col min="11522" max="11522" width="13.7109375" style="187" customWidth="1"/>
    <col min="11523" max="11523" width="35.7109375" style="187" customWidth="1"/>
    <col min="11524" max="11530" width="20.7109375" style="187" customWidth="1"/>
    <col min="11531" max="11776" width="9.140625" style="187"/>
    <col min="11777" max="11777" width="12" style="187" customWidth="1"/>
    <col min="11778" max="11778" width="13.7109375" style="187" customWidth="1"/>
    <col min="11779" max="11779" width="35.7109375" style="187" customWidth="1"/>
    <col min="11780" max="11786" width="20.7109375" style="187" customWidth="1"/>
    <col min="11787" max="12032" width="9.140625" style="187"/>
    <col min="12033" max="12033" width="12" style="187" customWidth="1"/>
    <col min="12034" max="12034" width="13.7109375" style="187" customWidth="1"/>
    <col min="12035" max="12035" width="35.7109375" style="187" customWidth="1"/>
    <col min="12036" max="12042" width="20.7109375" style="187" customWidth="1"/>
    <col min="12043" max="12288" width="9.140625" style="187"/>
    <col min="12289" max="12289" width="12" style="187" customWidth="1"/>
    <col min="12290" max="12290" width="13.7109375" style="187" customWidth="1"/>
    <col min="12291" max="12291" width="35.7109375" style="187" customWidth="1"/>
    <col min="12292" max="12298" width="20.7109375" style="187" customWidth="1"/>
    <col min="12299" max="12544" width="9.140625" style="187"/>
    <col min="12545" max="12545" width="12" style="187" customWidth="1"/>
    <col min="12546" max="12546" width="13.7109375" style="187" customWidth="1"/>
    <col min="12547" max="12547" width="35.7109375" style="187" customWidth="1"/>
    <col min="12548" max="12554" width="20.7109375" style="187" customWidth="1"/>
    <col min="12555" max="12800" width="9.140625" style="187"/>
    <col min="12801" max="12801" width="12" style="187" customWidth="1"/>
    <col min="12802" max="12802" width="13.7109375" style="187" customWidth="1"/>
    <col min="12803" max="12803" width="35.7109375" style="187" customWidth="1"/>
    <col min="12804" max="12810" width="20.7109375" style="187" customWidth="1"/>
    <col min="12811" max="13056" width="9.140625" style="187"/>
    <col min="13057" max="13057" width="12" style="187" customWidth="1"/>
    <col min="13058" max="13058" width="13.7109375" style="187" customWidth="1"/>
    <col min="13059" max="13059" width="35.7109375" style="187" customWidth="1"/>
    <col min="13060" max="13066" width="20.7109375" style="187" customWidth="1"/>
    <col min="13067" max="13312" width="9.140625" style="187"/>
    <col min="13313" max="13313" width="12" style="187" customWidth="1"/>
    <col min="13314" max="13314" width="13.7109375" style="187" customWidth="1"/>
    <col min="13315" max="13315" width="35.7109375" style="187" customWidth="1"/>
    <col min="13316" max="13322" width="20.7109375" style="187" customWidth="1"/>
    <col min="13323" max="13568" width="9.140625" style="187"/>
    <col min="13569" max="13569" width="12" style="187" customWidth="1"/>
    <col min="13570" max="13570" width="13.7109375" style="187" customWidth="1"/>
    <col min="13571" max="13571" width="35.7109375" style="187" customWidth="1"/>
    <col min="13572" max="13578" width="20.7109375" style="187" customWidth="1"/>
    <col min="13579" max="13824" width="9.140625" style="187"/>
    <col min="13825" max="13825" width="12" style="187" customWidth="1"/>
    <col min="13826" max="13826" width="13.7109375" style="187" customWidth="1"/>
    <col min="13827" max="13827" width="35.7109375" style="187" customWidth="1"/>
    <col min="13828" max="13834" width="20.7109375" style="187" customWidth="1"/>
    <col min="13835" max="14080" width="9.140625" style="187"/>
    <col min="14081" max="14081" width="12" style="187" customWidth="1"/>
    <col min="14082" max="14082" width="13.7109375" style="187" customWidth="1"/>
    <col min="14083" max="14083" width="35.7109375" style="187" customWidth="1"/>
    <col min="14084" max="14090" width="20.7109375" style="187" customWidth="1"/>
    <col min="14091" max="14336" width="9.140625" style="187"/>
    <col min="14337" max="14337" width="12" style="187" customWidth="1"/>
    <col min="14338" max="14338" width="13.7109375" style="187" customWidth="1"/>
    <col min="14339" max="14339" width="35.7109375" style="187" customWidth="1"/>
    <col min="14340" max="14346" width="20.7109375" style="187" customWidth="1"/>
    <col min="14347" max="14592" width="9.140625" style="187"/>
    <col min="14593" max="14593" width="12" style="187" customWidth="1"/>
    <col min="14594" max="14594" width="13.7109375" style="187" customWidth="1"/>
    <col min="14595" max="14595" width="35.7109375" style="187" customWidth="1"/>
    <col min="14596" max="14602" width="20.7109375" style="187" customWidth="1"/>
    <col min="14603" max="14848" width="9.140625" style="187"/>
    <col min="14849" max="14849" width="12" style="187" customWidth="1"/>
    <col min="14850" max="14850" width="13.7109375" style="187" customWidth="1"/>
    <col min="14851" max="14851" width="35.7109375" style="187" customWidth="1"/>
    <col min="14852" max="14858" width="20.7109375" style="187" customWidth="1"/>
    <col min="14859" max="15104" width="9.140625" style="187"/>
    <col min="15105" max="15105" width="12" style="187" customWidth="1"/>
    <col min="15106" max="15106" width="13.7109375" style="187" customWidth="1"/>
    <col min="15107" max="15107" width="35.7109375" style="187" customWidth="1"/>
    <col min="15108" max="15114" width="20.7109375" style="187" customWidth="1"/>
    <col min="15115" max="15360" width="9.140625" style="187"/>
    <col min="15361" max="15361" width="12" style="187" customWidth="1"/>
    <col min="15362" max="15362" width="13.7109375" style="187" customWidth="1"/>
    <col min="15363" max="15363" width="35.7109375" style="187" customWidth="1"/>
    <col min="15364" max="15370" width="20.7109375" style="187" customWidth="1"/>
    <col min="15371" max="15616" width="9.140625" style="187"/>
    <col min="15617" max="15617" width="12" style="187" customWidth="1"/>
    <col min="15618" max="15618" width="13.7109375" style="187" customWidth="1"/>
    <col min="15619" max="15619" width="35.7109375" style="187" customWidth="1"/>
    <col min="15620" max="15626" width="20.7109375" style="187" customWidth="1"/>
    <col min="15627" max="15872" width="9.140625" style="187"/>
    <col min="15873" max="15873" width="12" style="187" customWidth="1"/>
    <col min="15874" max="15874" width="13.7109375" style="187" customWidth="1"/>
    <col min="15875" max="15875" width="35.7109375" style="187" customWidth="1"/>
    <col min="15876" max="15882" width="20.7109375" style="187" customWidth="1"/>
    <col min="15883" max="16128" width="9.140625" style="187"/>
    <col min="16129" max="16129" width="12" style="187" customWidth="1"/>
    <col min="16130" max="16130" width="13.7109375" style="187" customWidth="1"/>
    <col min="16131" max="16131" width="35.7109375" style="187" customWidth="1"/>
    <col min="16132" max="16138" width="20.7109375" style="187" customWidth="1"/>
    <col min="16139" max="16384" width="9.140625" style="187"/>
  </cols>
  <sheetData>
    <row r="1" spans="2:10" ht="20.25" x14ac:dyDescent="0.3">
      <c r="B1" s="26" t="str">
        <f>[4]Cover!C22</f>
        <v>ActewAGL</v>
      </c>
      <c r="C1" s="27"/>
    </row>
    <row r="2" spans="2:10" ht="20.25" x14ac:dyDescent="0.3">
      <c r="B2" s="558" t="s">
        <v>174</v>
      </c>
      <c r="C2" s="558"/>
    </row>
    <row r="3" spans="2:10" ht="20.25" x14ac:dyDescent="0.3">
      <c r="B3" s="26" t="str">
        <f>Cover!C26</f>
        <v>2012-13</v>
      </c>
    </row>
    <row r="4" spans="2:10" ht="20.25" x14ac:dyDescent="0.3">
      <c r="B4" s="26"/>
    </row>
    <row r="5" spans="2:10" ht="52.5" customHeight="1" x14ac:dyDescent="0.2">
      <c r="B5" s="559" t="s">
        <v>258</v>
      </c>
      <c r="C5" s="560"/>
      <c r="D5" s="561"/>
    </row>
    <row r="6" spans="2:10" ht="20.25" x14ac:dyDescent="0.3">
      <c r="B6" s="26"/>
    </row>
    <row r="7" spans="2:10" ht="15.75" x14ac:dyDescent="0.2">
      <c r="B7" s="555" t="s">
        <v>175</v>
      </c>
      <c r="C7" s="555"/>
      <c r="D7" s="555"/>
      <c r="E7" s="555"/>
    </row>
    <row r="9" spans="2:10" ht="65.45" customHeight="1" x14ac:dyDescent="0.2">
      <c r="B9" s="193" t="s">
        <v>51</v>
      </c>
      <c r="C9" s="212" t="s">
        <v>52</v>
      </c>
      <c r="D9" s="212" t="s">
        <v>53</v>
      </c>
      <c r="E9" s="213" t="s">
        <v>54</v>
      </c>
      <c r="F9" s="214" t="s">
        <v>65</v>
      </c>
      <c r="G9" s="197" t="s">
        <v>73</v>
      </c>
      <c r="H9" s="215" t="s">
        <v>74</v>
      </c>
      <c r="I9" s="199" t="s">
        <v>66</v>
      </c>
      <c r="J9" s="199" t="s">
        <v>67</v>
      </c>
    </row>
    <row r="10" spans="2:10" x14ac:dyDescent="0.2">
      <c r="B10" s="216"/>
      <c r="C10" s="217"/>
      <c r="D10" s="218"/>
      <c r="E10" s="218"/>
      <c r="F10" s="218"/>
      <c r="G10" s="198"/>
      <c r="H10" s="219" t="s">
        <v>106</v>
      </c>
      <c r="I10" s="218"/>
      <c r="J10" s="218"/>
    </row>
    <row r="11" spans="2:10" x14ac:dyDescent="0.2">
      <c r="B11" s="216"/>
      <c r="C11" s="220" t="s">
        <v>176</v>
      </c>
      <c r="D11" s="29" t="s">
        <v>57</v>
      </c>
      <c r="E11" s="29" t="s">
        <v>57</v>
      </c>
      <c r="F11" s="29" t="s">
        <v>57</v>
      </c>
      <c r="G11" s="28" t="s">
        <v>57</v>
      </c>
      <c r="H11" s="29" t="s">
        <v>57</v>
      </c>
      <c r="I11" s="29" t="s">
        <v>57</v>
      </c>
      <c r="J11" s="29" t="s">
        <v>57</v>
      </c>
    </row>
    <row r="12" spans="2:10" x14ac:dyDescent="0.2">
      <c r="B12" s="221"/>
      <c r="C12" s="222" t="s">
        <v>177</v>
      </c>
      <c r="D12" s="466">
        <f>SUM([5]BS1213!$M$16)</f>
        <v>6870685.5200000405</v>
      </c>
      <c r="E12" s="466">
        <f>D12-F12</f>
        <v>11004784.500000119</v>
      </c>
      <c r="F12" s="466">
        <f>SUM(G12:J12)</f>
        <v>-4134098.9800000787</v>
      </c>
      <c r="G12" s="466">
        <f>SUM([5]BS1213!$E$16)</f>
        <v>-4134098.9800000787</v>
      </c>
      <c r="H12" s="466">
        <v>0</v>
      </c>
      <c r="I12" s="467"/>
      <c r="J12" s="466">
        <v>0</v>
      </c>
    </row>
    <row r="13" spans="2:10" x14ac:dyDescent="0.2">
      <c r="B13" s="221"/>
      <c r="C13" s="222" t="s">
        <v>178</v>
      </c>
      <c r="D13" s="466">
        <f>SUM([5]BS1213!$M$17)</f>
        <v>66047838.07</v>
      </c>
      <c r="E13" s="466">
        <f t="shared" ref="E13:E21" si="0">D13-F13</f>
        <v>21577809.520000003</v>
      </c>
      <c r="F13" s="466">
        <f t="shared" ref="F13:F21" si="1">SUM(G13:J13)</f>
        <v>44470028.549999997</v>
      </c>
      <c r="G13" s="466">
        <f>SUM([5]BS1213!$E$17)</f>
        <v>44470028.549999997</v>
      </c>
      <c r="H13" s="466">
        <v>0</v>
      </c>
      <c r="I13" s="467"/>
      <c r="J13" s="466">
        <v>0</v>
      </c>
    </row>
    <row r="14" spans="2:10" x14ac:dyDescent="0.2">
      <c r="B14" s="221"/>
      <c r="C14" s="222" t="s">
        <v>179</v>
      </c>
      <c r="D14" s="468">
        <v>0</v>
      </c>
      <c r="E14" s="466">
        <f t="shared" si="0"/>
        <v>0</v>
      </c>
      <c r="F14" s="466">
        <f t="shared" si="1"/>
        <v>0</v>
      </c>
      <c r="G14" s="468">
        <v>0</v>
      </c>
      <c r="H14" s="466">
        <v>0</v>
      </c>
      <c r="I14" s="467"/>
      <c r="J14" s="466">
        <v>0</v>
      </c>
    </row>
    <row r="15" spans="2:10" x14ac:dyDescent="0.2">
      <c r="B15" s="221"/>
      <c r="C15" s="223" t="s">
        <v>180</v>
      </c>
      <c r="D15" s="466">
        <v>0</v>
      </c>
      <c r="E15" s="466">
        <f t="shared" si="0"/>
        <v>0</v>
      </c>
      <c r="F15" s="466">
        <f t="shared" si="1"/>
        <v>0</v>
      </c>
      <c r="G15" s="466">
        <v>0</v>
      </c>
      <c r="H15" s="466">
        <v>0</v>
      </c>
      <c r="I15" s="467"/>
      <c r="J15" s="466">
        <v>0</v>
      </c>
    </row>
    <row r="16" spans="2:10" x14ac:dyDescent="0.2">
      <c r="B16" s="221"/>
      <c r="C16" s="222" t="s">
        <v>181</v>
      </c>
      <c r="D16" s="466">
        <v>0</v>
      </c>
      <c r="E16" s="466">
        <f t="shared" si="0"/>
        <v>0</v>
      </c>
      <c r="F16" s="466">
        <f t="shared" si="1"/>
        <v>0</v>
      </c>
      <c r="G16" s="466">
        <v>0</v>
      </c>
      <c r="H16" s="466">
        <v>0</v>
      </c>
      <c r="I16" s="467"/>
      <c r="J16" s="466">
        <v>0</v>
      </c>
    </row>
    <row r="17" spans="2:10" x14ac:dyDescent="0.2">
      <c r="B17" s="221"/>
      <c r="C17" s="222" t="s">
        <v>182</v>
      </c>
      <c r="D17" s="466">
        <f>SUM([5]BS1213!$M$19)</f>
        <v>2270036.5099999998</v>
      </c>
      <c r="E17" s="466">
        <f t="shared" si="0"/>
        <v>2181282.8299999996</v>
      </c>
      <c r="F17" s="466">
        <f t="shared" si="1"/>
        <v>88753.68</v>
      </c>
      <c r="G17" s="466">
        <f>SUM([5]BS1213!$E$19)</f>
        <v>88753.68</v>
      </c>
      <c r="H17" s="466">
        <v>0</v>
      </c>
      <c r="I17" s="467"/>
      <c r="J17" s="466">
        <v>0</v>
      </c>
    </row>
    <row r="18" spans="2:10" x14ac:dyDescent="0.2">
      <c r="B18" s="221"/>
      <c r="C18" s="223" t="s">
        <v>183</v>
      </c>
      <c r="D18" s="466">
        <f>SUM([5]BS1213!$M$20)</f>
        <v>6654760.6700000018</v>
      </c>
      <c r="E18" s="466">
        <f t="shared" si="0"/>
        <v>5002191.1500000022</v>
      </c>
      <c r="F18" s="466">
        <f t="shared" si="1"/>
        <v>1652569.52</v>
      </c>
      <c r="G18" s="466">
        <f>SUM([5]BS1213!$E$20)</f>
        <v>1652569.52</v>
      </c>
      <c r="H18" s="466">
        <v>0</v>
      </c>
      <c r="I18" s="467"/>
      <c r="J18" s="466">
        <v>0</v>
      </c>
    </row>
    <row r="19" spans="2:10" x14ac:dyDescent="0.2">
      <c r="B19" s="221"/>
      <c r="C19" s="223" t="s">
        <v>184</v>
      </c>
      <c r="D19" s="466">
        <f>SUM([5]BS1213!$M$18)</f>
        <v>37500000</v>
      </c>
      <c r="E19" s="466">
        <f t="shared" si="0"/>
        <v>37500000</v>
      </c>
      <c r="F19" s="466">
        <f t="shared" si="1"/>
        <v>0</v>
      </c>
      <c r="G19" s="466">
        <f>SUM([5]BS1213!$E$18)</f>
        <v>0</v>
      </c>
      <c r="H19" s="466">
        <v>0</v>
      </c>
      <c r="I19" s="467"/>
      <c r="J19" s="466">
        <v>0</v>
      </c>
    </row>
    <row r="20" spans="2:10" x14ac:dyDescent="0.2">
      <c r="B20" s="221"/>
      <c r="C20" s="223" t="s">
        <v>185</v>
      </c>
      <c r="D20" s="466">
        <f>SUM([5]BS1213!$M$21)</f>
        <v>10022421.16</v>
      </c>
      <c r="E20" s="466">
        <f t="shared" si="0"/>
        <v>-7.0000000298023224E-2</v>
      </c>
      <c r="F20" s="466">
        <f t="shared" si="1"/>
        <v>10022421.23</v>
      </c>
      <c r="G20" s="466">
        <f>SUM([5]BS1213!$E$21)</f>
        <v>10022421.23</v>
      </c>
      <c r="H20" s="466">
        <v>0</v>
      </c>
      <c r="I20" s="467"/>
      <c r="J20" s="466">
        <v>0</v>
      </c>
    </row>
    <row r="21" spans="2:10" x14ac:dyDescent="0.2">
      <c r="B21" s="221"/>
      <c r="C21" s="222" t="s">
        <v>58</v>
      </c>
      <c r="D21" s="466">
        <f>SUM([5]BS1213!$M$22)</f>
        <v>429607.81999999983</v>
      </c>
      <c r="E21" s="466">
        <f t="shared" si="0"/>
        <v>429607.81999999983</v>
      </c>
      <c r="F21" s="466">
        <f t="shared" si="1"/>
        <v>0</v>
      </c>
      <c r="G21" s="466">
        <f>SUM([5]BS1213!$E$22)</f>
        <v>0</v>
      </c>
      <c r="H21" s="466">
        <v>0</v>
      </c>
      <c r="I21" s="467"/>
      <c r="J21" s="466">
        <v>0</v>
      </c>
    </row>
    <row r="22" spans="2:10" x14ac:dyDescent="0.2">
      <c r="B22" s="201"/>
      <c r="C22" s="224" t="s">
        <v>186</v>
      </c>
      <c r="D22" s="469">
        <f>SUM(D12:D21)</f>
        <v>129795349.75000003</v>
      </c>
      <c r="E22" s="469">
        <f t="shared" ref="E22:J22" si="2">SUM(E12:E21)</f>
        <v>77695675.750000119</v>
      </c>
      <c r="F22" s="469">
        <f t="shared" si="2"/>
        <v>52099673.999999925</v>
      </c>
      <c r="G22" s="469">
        <f t="shared" si="2"/>
        <v>52099673.999999925</v>
      </c>
      <c r="H22" s="469">
        <f t="shared" si="2"/>
        <v>0</v>
      </c>
      <c r="I22" s="470">
        <f t="shared" si="2"/>
        <v>0</v>
      </c>
      <c r="J22" s="469">
        <f t="shared" si="2"/>
        <v>0</v>
      </c>
    </row>
    <row r="23" spans="2:10" x14ac:dyDescent="0.2">
      <c r="B23" s="225"/>
      <c r="C23" s="226" t="s">
        <v>187</v>
      </c>
      <c r="D23" s="471"/>
      <c r="E23" s="472"/>
      <c r="F23" s="471"/>
      <c r="G23" s="473"/>
      <c r="H23" s="474"/>
      <c r="I23" s="471"/>
      <c r="J23" s="471"/>
    </row>
    <row r="24" spans="2:10" x14ac:dyDescent="0.2">
      <c r="B24" s="221"/>
      <c r="C24" s="222" t="s">
        <v>188</v>
      </c>
      <c r="D24" s="468">
        <f>SUM([5]BS1213!$M$27)</f>
        <v>1874110.8499999999</v>
      </c>
      <c r="E24" s="466">
        <f t="shared" ref="E24:E30" si="3">D24-F24</f>
        <v>1874110.8499999999</v>
      </c>
      <c r="F24" s="466">
        <f t="shared" ref="F24:F30" si="4">SUM(G24:J24)</f>
        <v>0</v>
      </c>
      <c r="G24" s="468">
        <f>SUM([5]BS1213!$E$27)</f>
        <v>0</v>
      </c>
      <c r="H24" s="466">
        <v>0</v>
      </c>
      <c r="I24" s="475"/>
      <c r="J24" s="466">
        <v>0</v>
      </c>
    </row>
    <row r="25" spans="2:10" x14ac:dyDescent="0.2">
      <c r="B25" s="221"/>
      <c r="C25" s="222" t="s">
        <v>189</v>
      </c>
      <c r="D25" s="466">
        <v>0</v>
      </c>
      <c r="E25" s="466">
        <f t="shared" si="3"/>
        <v>0</v>
      </c>
      <c r="F25" s="466">
        <f t="shared" si="4"/>
        <v>0</v>
      </c>
      <c r="G25" s="466">
        <v>0</v>
      </c>
      <c r="H25" s="466">
        <v>0</v>
      </c>
      <c r="I25" s="475"/>
      <c r="J25" s="466">
        <v>0</v>
      </c>
    </row>
    <row r="26" spans="2:10" x14ac:dyDescent="0.2">
      <c r="B26" s="221"/>
      <c r="C26" s="222" t="s">
        <v>180</v>
      </c>
      <c r="D26" s="466">
        <v>0</v>
      </c>
      <c r="E26" s="466">
        <f t="shared" si="3"/>
        <v>0</v>
      </c>
      <c r="F26" s="466">
        <f t="shared" si="4"/>
        <v>0</v>
      </c>
      <c r="G26" s="466">
        <v>0</v>
      </c>
      <c r="H26" s="466">
        <v>0</v>
      </c>
      <c r="I26" s="475"/>
      <c r="J26" s="466">
        <v>0</v>
      </c>
    </row>
    <row r="27" spans="2:10" x14ac:dyDescent="0.2">
      <c r="B27" s="221"/>
      <c r="C27" s="222" t="s">
        <v>190</v>
      </c>
      <c r="D27" s="468">
        <f>SUM([5]BS1213!$M$26)</f>
        <v>0</v>
      </c>
      <c r="E27" s="466">
        <f t="shared" si="3"/>
        <v>0</v>
      </c>
      <c r="F27" s="466">
        <f t="shared" si="4"/>
        <v>0</v>
      </c>
      <c r="G27" s="468">
        <f>SUM([5]BS1213!$E$26)</f>
        <v>0</v>
      </c>
      <c r="H27" s="466">
        <v>0</v>
      </c>
      <c r="I27" s="475"/>
      <c r="J27" s="466">
        <v>0</v>
      </c>
    </row>
    <row r="28" spans="2:10" x14ac:dyDescent="0.2">
      <c r="B28" s="221"/>
      <c r="C28" s="222" t="s">
        <v>184</v>
      </c>
      <c r="D28" s="468">
        <f>SUM([5]BS1213!$M$28)</f>
        <v>0</v>
      </c>
      <c r="E28" s="466">
        <f t="shared" si="3"/>
        <v>0</v>
      </c>
      <c r="F28" s="466">
        <f t="shared" si="4"/>
        <v>0</v>
      </c>
      <c r="G28" s="468">
        <f>SUM([5]BS1213!$E$28)</f>
        <v>0</v>
      </c>
      <c r="H28" s="466">
        <v>0</v>
      </c>
      <c r="I28" s="475"/>
      <c r="J28" s="466">
        <v>0</v>
      </c>
    </row>
    <row r="29" spans="2:10" x14ac:dyDescent="0.2">
      <c r="B29" s="221"/>
      <c r="C29" s="223" t="s">
        <v>191</v>
      </c>
      <c r="D29" s="468">
        <f>SUM([5]BS1213!$M$25)</f>
        <v>1029838596.5699999</v>
      </c>
      <c r="E29" s="466">
        <f t="shared" si="3"/>
        <v>283032226.59000003</v>
      </c>
      <c r="F29" s="466">
        <f t="shared" si="4"/>
        <v>746806369.9799999</v>
      </c>
      <c r="G29" s="468">
        <f>SUM([5]BS1213!$E$25)</f>
        <v>746806369.9799999</v>
      </c>
      <c r="H29" s="466">
        <v>0</v>
      </c>
      <c r="I29" s="475"/>
      <c r="J29" s="466">
        <v>0</v>
      </c>
    </row>
    <row r="30" spans="2:10" x14ac:dyDescent="0.2">
      <c r="B30" s="221"/>
      <c r="C30" s="222" t="s">
        <v>58</v>
      </c>
      <c r="D30" s="468">
        <f>SUM([5]BS1213!$M$29)</f>
        <v>0</v>
      </c>
      <c r="E30" s="466">
        <f t="shared" si="3"/>
        <v>0</v>
      </c>
      <c r="F30" s="466">
        <f t="shared" si="4"/>
        <v>0</v>
      </c>
      <c r="G30" s="468">
        <f>SUM([5]BS1213!$E$29)</f>
        <v>0</v>
      </c>
      <c r="H30" s="466">
        <v>0</v>
      </c>
      <c r="I30" s="467"/>
      <c r="J30" s="466">
        <v>0</v>
      </c>
    </row>
    <row r="31" spans="2:10" x14ac:dyDescent="0.2">
      <c r="B31" s="201"/>
      <c r="C31" s="224" t="s">
        <v>192</v>
      </c>
      <c r="D31" s="469">
        <f>SUM(D24:D30)</f>
        <v>1031712707.42</v>
      </c>
      <c r="E31" s="469">
        <f t="shared" ref="E31:J31" si="5">SUM(E24:E30)</f>
        <v>284906337.44000006</v>
      </c>
      <c r="F31" s="469">
        <f t="shared" si="5"/>
        <v>746806369.9799999</v>
      </c>
      <c r="G31" s="469">
        <f t="shared" si="5"/>
        <v>746806369.9799999</v>
      </c>
      <c r="H31" s="469">
        <f t="shared" si="5"/>
        <v>0</v>
      </c>
      <c r="I31" s="470">
        <f t="shared" si="5"/>
        <v>0</v>
      </c>
      <c r="J31" s="469">
        <f t="shared" si="5"/>
        <v>0</v>
      </c>
    </row>
    <row r="32" spans="2:10" x14ac:dyDescent="0.2">
      <c r="B32" s="201"/>
      <c r="C32" s="224" t="s">
        <v>193</v>
      </c>
      <c r="D32" s="476">
        <f t="shared" ref="D32:J32" si="6">D22+D31</f>
        <v>1161508057.1700001</v>
      </c>
      <c r="E32" s="476">
        <f t="shared" si="6"/>
        <v>362602013.19000018</v>
      </c>
      <c r="F32" s="476">
        <f t="shared" si="6"/>
        <v>798906043.97999978</v>
      </c>
      <c r="G32" s="476">
        <f t="shared" si="6"/>
        <v>798906043.97999978</v>
      </c>
      <c r="H32" s="476">
        <f t="shared" si="6"/>
        <v>0</v>
      </c>
      <c r="I32" s="477">
        <f t="shared" si="6"/>
        <v>0</v>
      </c>
      <c r="J32" s="476">
        <f t="shared" si="6"/>
        <v>0</v>
      </c>
    </row>
    <row r="33" spans="2:10" x14ac:dyDescent="0.2">
      <c r="B33" s="225"/>
      <c r="C33" s="226" t="s">
        <v>194</v>
      </c>
      <c r="D33" s="471"/>
      <c r="E33" s="472"/>
      <c r="F33" s="471"/>
      <c r="G33" s="473"/>
      <c r="H33" s="474"/>
      <c r="I33" s="471"/>
      <c r="J33" s="471"/>
    </row>
    <row r="34" spans="2:10" x14ac:dyDescent="0.2">
      <c r="B34" s="221"/>
      <c r="C34" s="222" t="s">
        <v>195</v>
      </c>
      <c r="D34" s="466">
        <f>SUM([5]BS1213!$M$35)</f>
        <v>57542971.00999999</v>
      </c>
      <c r="E34" s="466">
        <f t="shared" ref="E34:E40" si="7">D34-F34</f>
        <v>27184813.039999995</v>
      </c>
      <c r="F34" s="466">
        <f t="shared" ref="F34:F40" si="8">SUM(G34:J34)</f>
        <v>30358157.969999995</v>
      </c>
      <c r="G34" s="466">
        <f>SUM([5]BS1213!$E$35)</f>
        <v>30358157.969999995</v>
      </c>
      <c r="H34" s="466">
        <v>0</v>
      </c>
      <c r="I34" s="475"/>
      <c r="J34" s="466">
        <v>0</v>
      </c>
    </row>
    <row r="35" spans="2:10" x14ac:dyDescent="0.2">
      <c r="B35" s="221"/>
      <c r="C35" s="222" t="s">
        <v>196</v>
      </c>
      <c r="D35" s="466">
        <f>SUM([5]BS1213!$M$36)</f>
        <v>0</v>
      </c>
      <c r="E35" s="466">
        <f t="shared" si="7"/>
        <v>0</v>
      </c>
      <c r="F35" s="466">
        <f t="shared" si="8"/>
        <v>0</v>
      </c>
      <c r="G35" s="466">
        <f>SUM([5]BS1213!$E$36)</f>
        <v>0</v>
      </c>
      <c r="H35" s="466">
        <v>0</v>
      </c>
      <c r="I35" s="475"/>
      <c r="J35" s="466">
        <v>0</v>
      </c>
    </row>
    <row r="36" spans="2:10" x14ac:dyDescent="0.2">
      <c r="B36" s="221"/>
      <c r="C36" s="222" t="s">
        <v>197</v>
      </c>
      <c r="D36" s="466">
        <f>SUM([5]BS1213!$M$37)</f>
        <v>5429625.8100000005</v>
      </c>
      <c r="E36" s="466">
        <f t="shared" si="7"/>
        <v>83324.570000000298</v>
      </c>
      <c r="F36" s="466">
        <f t="shared" si="8"/>
        <v>5346301.24</v>
      </c>
      <c r="G36" s="466">
        <f>SUM([5]BS1213!$E$37)</f>
        <v>5346301.24</v>
      </c>
      <c r="H36" s="466">
        <v>0</v>
      </c>
      <c r="I36" s="475"/>
      <c r="J36" s="466">
        <v>0</v>
      </c>
    </row>
    <row r="37" spans="2:10" x14ac:dyDescent="0.2">
      <c r="B37" s="221"/>
      <c r="C37" s="222" t="s">
        <v>198</v>
      </c>
      <c r="D37" s="466">
        <f>[5]BS1213!$M$38</f>
        <v>0</v>
      </c>
      <c r="E37" s="466">
        <f t="shared" si="7"/>
        <v>0</v>
      </c>
      <c r="F37" s="466">
        <f t="shared" si="8"/>
        <v>0</v>
      </c>
      <c r="G37" s="466">
        <f>[5]BS1213!$E$38</f>
        <v>0</v>
      </c>
      <c r="H37" s="466">
        <v>0</v>
      </c>
      <c r="I37" s="467"/>
      <c r="J37" s="466">
        <v>0</v>
      </c>
    </row>
    <row r="38" spans="2:10" x14ac:dyDescent="0.2">
      <c r="B38" s="221"/>
      <c r="C38" s="222" t="s">
        <v>199</v>
      </c>
      <c r="D38" s="466">
        <v>0</v>
      </c>
      <c r="E38" s="466">
        <f t="shared" si="7"/>
        <v>0</v>
      </c>
      <c r="F38" s="466">
        <f t="shared" si="8"/>
        <v>0</v>
      </c>
      <c r="G38" s="466">
        <v>0</v>
      </c>
      <c r="H38" s="466">
        <v>0</v>
      </c>
      <c r="I38" s="467"/>
      <c r="J38" s="466">
        <v>0</v>
      </c>
    </row>
    <row r="39" spans="2:10" x14ac:dyDescent="0.2">
      <c r="B39" s="221"/>
      <c r="C39" s="222" t="s">
        <v>200</v>
      </c>
      <c r="D39" s="466">
        <f>SUM([5]BS1213!$M$39)</f>
        <v>19029987.530000001</v>
      </c>
      <c r="E39" s="466">
        <f t="shared" si="7"/>
        <v>2920481.3300000019</v>
      </c>
      <c r="F39" s="466">
        <f t="shared" si="8"/>
        <v>16109506.199999999</v>
      </c>
      <c r="G39" s="466">
        <f>SUM([5]BS1213!$E$39)</f>
        <v>16109506.199999999</v>
      </c>
      <c r="H39" s="466">
        <v>0</v>
      </c>
      <c r="I39" s="467"/>
      <c r="J39" s="466">
        <v>0</v>
      </c>
    </row>
    <row r="40" spans="2:10" x14ac:dyDescent="0.2">
      <c r="B40" s="221"/>
      <c r="C40" s="222" t="s">
        <v>58</v>
      </c>
      <c r="D40" s="466">
        <f>SUM([5]BS1213!$M$40)</f>
        <v>0</v>
      </c>
      <c r="E40" s="466">
        <f t="shared" si="7"/>
        <v>0</v>
      </c>
      <c r="F40" s="466">
        <f t="shared" si="8"/>
        <v>0</v>
      </c>
      <c r="G40" s="466">
        <f>SUM([5]BS1213!$E$40)</f>
        <v>0</v>
      </c>
      <c r="H40" s="466">
        <v>0</v>
      </c>
      <c r="I40" s="467"/>
      <c r="J40" s="466">
        <v>0</v>
      </c>
    </row>
    <row r="41" spans="2:10" x14ac:dyDescent="0.2">
      <c r="B41" s="227"/>
      <c r="C41" s="224" t="s">
        <v>201</v>
      </c>
      <c r="D41" s="469">
        <f>SUM(D34:D40)</f>
        <v>82002584.349999994</v>
      </c>
      <c r="E41" s="469">
        <f t="shared" ref="E41:J41" si="9">SUM(E34:E40)</f>
        <v>30188618.939999998</v>
      </c>
      <c r="F41" s="469">
        <f t="shared" si="9"/>
        <v>51813965.409999996</v>
      </c>
      <c r="G41" s="469">
        <f t="shared" si="9"/>
        <v>51813965.409999996</v>
      </c>
      <c r="H41" s="469">
        <f t="shared" si="9"/>
        <v>0</v>
      </c>
      <c r="I41" s="470">
        <f t="shared" si="9"/>
        <v>0</v>
      </c>
      <c r="J41" s="469">
        <f t="shared" si="9"/>
        <v>0</v>
      </c>
    </row>
    <row r="42" spans="2:10" x14ac:dyDescent="0.2">
      <c r="B42" s="228"/>
      <c r="C42" s="226" t="s">
        <v>202</v>
      </c>
      <c r="D42" s="471"/>
      <c r="E42" s="472"/>
      <c r="F42" s="471"/>
      <c r="G42" s="473"/>
      <c r="H42" s="474"/>
      <c r="I42" s="471"/>
      <c r="J42" s="471"/>
    </row>
    <row r="43" spans="2:10" x14ac:dyDescent="0.2">
      <c r="B43" s="229"/>
      <c r="C43" s="222" t="s">
        <v>200</v>
      </c>
      <c r="D43" s="466">
        <f>SUM([5]BS1213!$M$46)</f>
        <v>4546719.5199999996</v>
      </c>
      <c r="E43" s="466">
        <f t="shared" ref="E43:E48" si="10">D43-F43</f>
        <v>1852983.8299999996</v>
      </c>
      <c r="F43" s="466">
        <f t="shared" ref="F43:F48" si="11">SUM(G43:J43)</f>
        <v>2693735.69</v>
      </c>
      <c r="G43" s="466">
        <f>SUM([5]BS1213!$E$46)</f>
        <v>2693735.69</v>
      </c>
      <c r="H43" s="466">
        <v>0</v>
      </c>
      <c r="I43" s="467"/>
      <c r="J43" s="466">
        <v>0</v>
      </c>
    </row>
    <row r="44" spans="2:10" x14ac:dyDescent="0.2">
      <c r="B44" s="229"/>
      <c r="C44" s="222" t="s">
        <v>196</v>
      </c>
      <c r="D44" s="466">
        <f>SUM([5]BS1213!$M$43)</f>
        <v>0</v>
      </c>
      <c r="E44" s="466">
        <f t="shared" si="10"/>
        <v>0</v>
      </c>
      <c r="F44" s="466">
        <f t="shared" si="11"/>
        <v>0</v>
      </c>
      <c r="G44" s="466">
        <f>SUM([5]BS1213!$E$43)</f>
        <v>0</v>
      </c>
      <c r="H44" s="466">
        <v>0</v>
      </c>
      <c r="I44" s="467"/>
      <c r="J44" s="466">
        <v>0</v>
      </c>
    </row>
    <row r="45" spans="2:10" x14ac:dyDescent="0.2">
      <c r="B45" s="229"/>
      <c r="C45" s="222" t="s">
        <v>203</v>
      </c>
      <c r="D45" s="466">
        <v>0</v>
      </c>
      <c r="E45" s="466">
        <f t="shared" si="10"/>
        <v>0</v>
      </c>
      <c r="F45" s="466">
        <f t="shared" si="11"/>
        <v>0</v>
      </c>
      <c r="G45" s="466">
        <v>0</v>
      </c>
      <c r="H45" s="466">
        <v>0</v>
      </c>
      <c r="I45" s="467"/>
      <c r="J45" s="466">
        <v>0</v>
      </c>
    </row>
    <row r="46" spans="2:10" x14ac:dyDescent="0.2">
      <c r="B46" s="229"/>
      <c r="C46" s="222" t="s">
        <v>204</v>
      </c>
      <c r="D46" s="466">
        <f>SUM([5]BS1213!$M$45)</f>
        <v>0</v>
      </c>
      <c r="E46" s="466">
        <f t="shared" si="10"/>
        <v>0</v>
      </c>
      <c r="F46" s="466">
        <f t="shared" si="11"/>
        <v>0</v>
      </c>
      <c r="G46" s="466">
        <f>SUM([5]BS1213!$E$45)</f>
        <v>0</v>
      </c>
      <c r="H46" s="466">
        <v>0</v>
      </c>
      <c r="I46" s="467"/>
      <c r="J46" s="466">
        <v>0</v>
      </c>
    </row>
    <row r="47" spans="2:10" x14ac:dyDescent="0.2">
      <c r="B47" s="229"/>
      <c r="C47" s="222" t="s">
        <v>205</v>
      </c>
      <c r="D47" s="466">
        <f>SUM([5]BS1213!$M$44)</f>
        <v>0</v>
      </c>
      <c r="E47" s="466">
        <f t="shared" si="10"/>
        <v>0</v>
      </c>
      <c r="F47" s="466">
        <f t="shared" si="11"/>
        <v>0</v>
      </c>
      <c r="G47" s="466">
        <f>SUM([5]BS1213!$E$44)</f>
        <v>0</v>
      </c>
      <c r="H47" s="466">
        <v>0</v>
      </c>
      <c r="I47" s="467"/>
      <c r="J47" s="466">
        <v>0</v>
      </c>
    </row>
    <row r="48" spans="2:10" x14ac:dyDescent="0.2">
      <c r="B48" s="229"/>
      <c r="C48" s="222" t="s">
        <v>58</v>
      </c>
      <c r="D48" s="466">
        <f>SUM([5]BS1213!$M$47)</f>
        <v>7901279.6799999997</v>
      </c>
      <c r="E48" s="466">
        <f t="shared" si="10"/>
        <v>3769660.0999999996</v>
      </c>
      <c r="F48" s="466">
        <f t="shared" si="11"/>
        <v>4131619.58</v>
      </c>
      <c r="G48" s="466">
        <f>SUM([5]BS1213!$E$47)</f>
        <v>4131619.58</v>
      </c>
      <c r="H48" s="466">
        <v>0</v>
      </c>
      <c r="I48" s="467"/>
      <c r="J48" s="466">
        <v>0</v>
      </c>
    </row>
    <row r="49" spans="2:10" x14ac:dyDescent="0.2">
      <c r="B49" s="230"/>
      <c r="C49" s="224" t="s">
        <v>206</v>
      </c>
      <c r="D49" s="469">
        <f>SUM(D43:D48)</f>
        <v>12447999.199999999</v>
      </c>
      <c r="E49" s="469">
        <f t="shared" ref="E49:J49" si="12">SUM(E43:E48)</f>
        <v>5622643.9299999997</v>
      </c>
      <c r="F49" s="469">
        <f t="shared" si="12"/>
        <v>6825355.2699999996</v>
      </c>
      <c r="G49" s="469">
        <f t="shared" si="12"/>
        <v>6825355.2699999996</v>
      </c>
      <c r="H49" s="469">
        <f>SUM(H43:H48)</f>
        <v>0</v>
      </c>
      <c r="I49" s="470">
        <f>SUM(I43:I48)</f>
        <v>0</v>
      </c>
      <c r="J49" s="469">
        <f t="shared" si="12"/>
        <v>0</v>
      </c>
    </row>
    <row r="50" spans="2:10" x14ac:dyDescent="0.2">
      <c r="B50" s="230"/>
      <c r="C50" s="224" t="s">
        <v>207</v>
      </c>
      <c r="D50" s="476">
        <f>D49+D41</f>
        <v>94450583.549999997</v>
      </c>
      <c r="E50" s="476">
        <f t="shared" ref="E50:J50" si="13">E49+E41</f>
        <v>35811262.869999997</v>
      </c>
      <c r="F50" s="476">
        <f t="shared" si="13"/>
        <v>58639320.679999992</v>
      </c>
      <c r="G50" s="476">
        <f>G49+G41</f>
        <v>58639320.679999992</v>
      </c>
      <c r="H50" s="476">
        <f>H49+H41</f>
        <v>0</v>
      </c>
      <c r="I50" s="477">
        <f>I49+I41</f>
        <v>0</v>
      </c>
      <c r="J50" s="476">
        <f t="shared" si="13"/>
        <v>0</v>
      </c>
    </row>
    <row r="51" spans="2:10" x14ac:dyDescent="0.2">
      <c r="B51" s="230"/>
      <c r="C51" s="231" t="s">
        <v>208</v>
      </c>
      <c r="D51" s="476">
        <f t="shared" ref="D51:J51" si="14">D32-D50</f>
        <v>1067057473.6200001</v>
      </c>
      <c r="E51" s="476">
        <f t="shared" si="14"/>
        <v>326790750.32000017</v>
      </c>
      <c r="F51" s="476">
        <f t="shared" si="14"/>
        <v>740266723.29999983</v>
      </c>
      <c r="G51" s="476">
        <f t="shared" si="14"/>
        <v>740266723.29999983</v>
      </c>
      <c r="H51" s="476">
        <f t="shared" si="14"/>
        <v>0</v>
      </c>
      <c r="I51" s="477">
        <f t="shared" si="14"/>
        <v>0</v>
      </c>
      <c r="J51" s="476">
        <f t="shared" si="14"/>
        <v>0</v>
      </c>
    </row>
    <row r="52" spans="2:10" x14ac:dyDescent="0.2">
      <c r="B52" s="228"/>
      <c r="C52" s="226" t="s">
        <v>209</v>
      </c>
      <c r="D52" s="471"/>
      <c r="E52" s="472"/>
      <c r="F52" s="471"/>
      <c r="G52" s="478"/>
      <c r="H52" s="474"/>
      <c r="I52" s="471"/>
      <c r="J52" s="471"/>
    </row>
    <row r="53" spans="2:10" x14ac:dyDescent="0.2">
      <c r="B53" s="229"/>
      <c r="C53" s="222" t="s">
        <v>210</v>
      </c>
      <c r="D53" s="466">
        <f>SUM([5]BS1213!$M$55)</f>
        <v>708020465.66999996</v>
      </c>
      <c r="E53" s="466">
        <f t="shared" ref="E53:E56" si="15">D53-F53</f>
        <v>218926599.39999998</v>
      </c>
      <c r="F53" s="466">
        <f t="shared" ref="F53:F56" si="16">SUM(G53:J53)</f>
        <v>489093866.26999998</v>
      </c>
      <c r="G53" s="466">
        <f>SUM([5]BS1213!$E$55)</f>
        <v>489093866.26999998</v>
      </c>
      <c r="H53" s="466">
        <v>0</v>
      </c>
      <c r="I53" s="467"/>
      <c r="J53" s="466">
        <v>0</v>
      </c>
    </row>
    <row r="54" spans="2:10" x14ac:dyDescent="0.2">
      <c r="B54" s="229"/>
      <c r="C54" s="222" t="s">
        <v>211</v>
      </c>
      <c r="D54" s="466">
        <f>SUM([5]BS1213!$M$56)</f>
        <v>0</v>
      </c>
      <c r="E54" s="466">
        <f t="shared" si="15"/>
        <v>0</v>
      </c>
      <c r="F54" s="466">
        <f t="shared" si="16"/>
        <v>0</v>
      </c>
      <c r="G54" s="466">
        <f>SUM([5]BS1213!$E$56)</f>
        <v>0</v>
      </c>
      <c r="H54" s="466">
        <v>0</v>
      </c>
      <c r="I54" s="467"/>
      <c r="J54" s="466">
        <v>0</v>
      </c>
    </row>
    <row r="55" spans="2:10" x14ac:dyDescent="0.2">
      <c r="B55" s="229"/>
      <c r="C55" s="222" t="s">
        <v>212</v>
      </c>
      <c r="D55" s="466">
        <f>SUM([5]BS1213!$M$57)</f>
        <v>359037007.95000005</v>
      </c>
      <c r="E55" s="466">
        <f t="shared" si="15"/>
        <v>107864150.92000002</v>
      </c>
      <c r="F55" s="466">
        <f t="shared" si="16"/>
        <v>251172857.03000003</v>
      </c>
      <c r="G55" s="466">
        <f>SUM([5]BS1213!$E$57)</f>
        <v>251172857.03000003</v>
      </c>
      <c r="H55" s="466">
        <v>0</v>
      </c>
      <c r="I55" s="467"/>
      <c r="J55" s="466">
        <v>0</v>
      </c>
    </row>
    <row r="56" spans="2:10" x14ac:dyDescent="0.2">
      <c r="B56" s="229"/>
      <c r="C56" s="222" t="s">
        <v>213</v>
      </c>
      <c r="D56" s="466">
        <f>SUM([5]BS1213!$M$58)</f>
        <v>0</v>
      </c>
      <c r="E56" s="466">
        <f t="shared" si="15"/>
        <v>0</v>
      </c>
      <c r="F56" s="466">
        <f t="shared" si="16"/>
        <v>0</v>
      </c>
      <c r="G56" s="466">
        <f>SUM([5]BS1213!$E$58)</f>
        <v>0</v>
      </c>
      <c r="H56" s="466">
        <v>0</v>
      </c>
      <c r="I56" s="467"/>
      <c r="J56" s="466">
        <v>0</v>
      </c>
    </row>
    <row r="57" spans="2:10" x14ac:dyDescent="0.2">
      <c r="B57" s="230"/>
      <c r="C57" s="224" t="s">
        <v>214</v>
      </c>
      <c r="D57" s="476">
        <f>SUM(D53:D56)</f>
        <v>1067057473.62</v>
      </c>
      <c r="E57" s="476">
        <f t="shared" ref="E57:J57" si="17">SUM(E53:E56)</f>
        <v>326790750.31999999</v>
      </c>
      <c r="F57" s="476">
        <f t="shared" si="17"/>
        <v>740266723.29999995</v>
      </c>
      <c r="G57" s="476">
        <f t="shared" si="17"/>
        <v>740266723.29999995</v>
      </c>
      <c r="H57" s="476">
        <f t="shared" si="17"/>
        <v>0</v>
      </c>
      <c r="I57" s="477">
        <f t="shared" si="17"/>
        <v>0</v>
      </c>
      <c r="J57" s="476">
        <f t="shared" si="17"/>
        <v>0</v>
      </c>
    </row>
    <row r="58" spans="2:10" x14ac:dyDescent="0.2">
      <c r="B58" s="232"/>
      <c r="C58" s="189"/>
      <c r="D58" s="233"/>
      <c r="E58" s="234"/>
      <c r="F58" s="235"/>
      <c r="G58" s="235"/>
      <c r="H58" s="235"/>
    </row>
    <row r="59" spans="2:10" x14ac:dyDescent="0.2">
      <c r="C59" s="187" t="s">
        <v>530</v>
      </c>
    </row>
  </sheetData>
  <mergeCells count="3">
    <mergeCell ref="B2:C2"/>
    <mergeCell ref="B7:E7"/>
    <mergeCell ref="B5:D5"/>
  </mergeCells>
  <pageMargins left="0.35433070866141736" right="0.35433070866141736" top="0.59055118110236227" bottom="0.59055118110236227" header="0.51181102362204722" footer="0.11811023622047245"/>
  <pageSetup paperSize="9" scale="80" orientation="landscape" r:id="rId1"/>
  <headerFooter scaleWithDoc="0" alignWithMargins="0">
    <oddFooter>&amp;L&amp;8&amp;D&amp;C&amp;8&amp; Template: &amp;A
&amp;F&amp;R&amp;8&amp;P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09"/>
  <sheetViews>
    <sheetView zoomScaleNormal="100" zoomScaleSheetLayoutView="100" workbookViewId="0">
      <selection sqref="A1:XFD1048576"/>
    </sheetView>
  </sheetViews>
  <sheetFormatPr defaultRowHeight="12.75" x14ac:dyDescent="0.2"/>
  <cols>
    <col min="1" max="1" width="11.7109375" style="187" customWidth="1"/>
    <col min="2" max="2" width="19.85546875" style="187" customWidth="1"/>
    <col min="3" max="3" width="60.85546875" style="187" customWidth="1"/>
    <col min="4" max="10" width="15.7109375" style="187" customWidth="1"/>
    <col min="11" max="256" width="9.140625" style="187"/>
    <col min="257" max="257" width="11.7109375" style="187" customWidth="1"/>
    <col min="258" max="258" width="19.85546875" style="187" customWidth="1"/>
    <col min="259" max="259" width="60.85546875" style="187" customWidth="1"/>
    <col min="260" max="266" width="20.7109375" style="187" customWidth="1"/>
    <col min="267" max="512" width="9.140625" style="187"/>
    <col min="513" max="513" width="11.7109375" style="187" customWidth="1"/>
    <col min="514" max="514" width="19.85546875" style="187" customWidth="1"/>
    <col min="515" max="515" width="60.85546875" style="187" customWidth="1"/>
    <col min="516" max="522" width="20.7109375" style="187" customWidth="1"/>
    <col min="523" max="768" width="9.140625" style="187"/>
    <col min="769" max="769" width="11.7109375" style="187" customWidth="1"/>
    <col min="770" max="770" width="19.85546875" style="187" customWidth="1"/>
    <col min="771" max="771" width="60.85546875" style="187" customWidth="1"/>
    <col min="772" max="778" width="20.7109375" style="187" customWidth="1"/>
    <col min="779" max="1024" width="9.140625" style="187"/>
    <col min="1025" max="1025" width="11.7109375" style="187" customWidth="1"/>
    <col min="1026" max="1026" width="19.85546875" style="187" customWidth="1"/>
    <col min="1027" max="1027" width="60.85546875" style="187" customWidth="1"/>
    <col min="1028" max="1034" width="20.7109375" style="187" customWidth="1"/>
    <col min="1035" max="1280" width="9.140625" style="187"/>
    <col min="1281" max="1281" width="11.7109375" style="187" customWidth="1"/>
    <col min="1282" max="1282" width="19.85546875" style="187" customWidth="1"/>
    <col min="1283" max="1283" width="60.85546875" style="187" customWidth="1"/>
    <col min="1284" max="1290" width="20.7109375" style="187" customWidth="1"/>
    <col min="1291" max="1536" width="9.140625" style="187"/>
    <col min="1537" max="1537" width="11.7109375" style="187" customWidth="1"/>
    <col min="1538" max="1538" width="19.85546875" style="187" customWidth="1"/>
    <col min="1539" max="1539" width="60.85546875" style="187" customWidth="1"/>
    <col min="1540" max="1546" width="20.7109375" style="187" customWidth="1"/>
    <col min="1547" max="1792" width="9.140625" style="187"/>
    <col min="1793" max="1793" width="11.7109375" style="187" customWidth="1"/>
    <col min="1794" max="1794" width="19.85546875" style="187" customWidth="1"/>
    <col min="1795" max="1795" width="60.85546875" style="187" customWidth="1"/>
    <col min="1796" max="1802" width="20.7109375" style="187" customWidth="1"/>
    <col min="1803" max="2048" width="9.140625" style="187"/>
    <col min="2049" max="2049" width="11.7109375" style="187" customWidth="1"/>
    <col min="2050" max="2050" width="19.85546875" style="187" customWidth="1"/>
    <col min="2051" max="2051" width="60.85546875" style="187" customWidth="1"/>
    <col min="2052" max="2058" width="20.7109375" style="187" customWidth="1"/>
    <col min="2059" max="2304" width="9.140625" style="187"/>
    <col min="2305" max="2305" width="11.7109375" style="187" customWidth="1"/>
    <col min="2306" max="2306" width="19.85546875" style="187" customWidth="1"/>
    <col min="2307" max="2307" width="60.85546875" style="187" customWidth="1"/>
    <col min="2308" max="2314" width="20.7109375" style="187" customWidth="1"/>
    <col min="2315" max="2560" width="9.140625" style="187"/>
    <col min="2561" max="2561" width="11.7109375" style="187" customWidth="1"/>
    <col min="2562" max="2562" width="19.85546875" style="187" customWidth="1"/>
    <col min="2563" max="2563" width="60.85546875" style="187" customWidth="1"/>
    <col min="2564" max="2570" width="20.7109375" style="187" customWidth="1"/>
    <col min="2571" max="2816" width="9.140625" style="187"/>
    <col min="2817" max="2817" width="11.7109375" style="187" customWidth="1"/>
    <col min="2818" max="2818" width="19.85546875" style="187" customWidth="1"/>
    <col min="2819" max="2819" width="60.85546875" style="187" customWidth="1"/>
    <col min="2820" max="2826" width="20.7109375" style="187" customWidth="1"/>
    <col min="2827" max="3072" width="9.140625" style="187"/>
    <col min="3073" max="3073" width="11.7109375" style="187" customWidth="1"/>
    <col min="3074" max="3074" width="19.85546875" style="187" customWidth="1"/>
    <col min="3075" max="3075" width="60.85546875" style="187" customWidth="1"/>
    <col min="3076" max="3082" width="20.7109375" style="187" customWidth="1"/>
    <col min="3083" max="3328" width="9.140625" style="187"/>
    <col min="3329" max="3329" width="11.7109375" style="187" customWidth="1"/>
    <col min="3330" max="3330" width="19.85546875" style="187" customWidth="1"/>
    <col min="3331" max="3331" width="60.85546875" style="187" customWidth="1"/>
    <col min="3332" max="3338" width="20.7109375" style="187" customWidth="1"/>
    <col min="3339" max="3584" width="9.140625" style="187"/>
    <col min="3585" max="3585" width="11.7109375" style="187" customWidth="1"/>
    <col min="3586" max="3586" width="19.85546875" style="187" customWidth="1"/>
    <col min="3587" max="3587" width="60.85546875" style="187" customWidth="1"/>
    <col min="3588" max="3594" width="20.7109375" style="187" customWidth="1"/>
    <col min="3595" max="3840" width="9.140625" style="187"/>
    <col min="3841" max="3841" width="11.7109375" style="187" customWidth="1"/>
    <col min="3842" max="3842" width="19.85546875" style="187" customWidth="1"/>
    <col min="3843" max="3843" width="60.85546875" style="187" customWidth="1"/>
    <col min="3844" max="3850" width="20.7109375" style="187" customWidth="1"/>
    <col min="3851" max="4096" width="9.140625" style="187"/>
    <col min="4097" max="4097" width="11.7109375" style="187" customWidth="1"/>
    <col min="4098" max="4098" width="19.85546875" style="187" customWidth="1"/>
    <col min="4099" max="4099" width="60.85546875" style="187" customWidth="1"/>
    <col min="4100" max="4106" width="20.7109375" style="187" customWidth="1"/>
    <col min="4107" max="4352" width="9.140625" style="187"/>
    <col min="4353" max="4353" width="11.7109375" style="187" customWidth="1"/>
    <col min="4354" max="4354" width="19.85546875" style="187" customWidth="1"/>
    <col min="4355" max="4355" width="60.85546875" style="187" customWidth="1"/>
    <col min="4356" max="4362" width="20.7109375" style="187" customWidth="1"/>
    <col min="4363" max="4608" width="9.140625" style="187"/>
    <col min="4609" max="4609" width="11.7109375" style="187" customWidth="1"/>
    <col min="4610" max="4610" width="19.85546875" style="187" customWidth="1"/>
    <col min="4611" max="4611" width="60.85546875" style="187" customWidth="1"/>
    <col min="4612" max="4618" width="20.7109375" style="187" customWidth="1"/>
    <col min="4619" max="4864" width="9.140625" style="187"/>
    <col min="4865" max="4865" width="11.7109375" style="187" customWidth="1"/>
    <col min="4866" max="4866" width="19.85546875" style="187" customWidth="1"/>
    <col min="4867" max="4867" width="60.85546875" style="187" customWidth="1"/>
    <col min="4868" max="4874" width="20.7109375" style="187" customWidth="1"/>
    <col min="4875" max="5120" width="9.140625" style="187"/>
    <col min="5121" max="5121" width="11.7109375" style="187" customWidth="1"/>
    <col min="5122" max="5122" width="19.85546875" style="187" customWidth="1"/>
    <col min="5123" max="5123" width="60.85546875" style="187" customWidth="1"/>
    <col min="5124" max="5130" width="20.7109375" style="187" customWidth="1"/>
    <col min="5131" max="5376" width="9.140625" style="187"/>
    <col min="5377" max="5377" width="11.7109375" style="187" customWidth="1"/>
    <col min="5378" max="5378" width="19.85546875" style="187" customWidth="1"/>
    <col min="5379" max="5379" width="60.85546875" style="187" customWidth="1"/>
    <col min="5380" max="5386" width="20.7109375" style="187" customWidth="1"/>
    <col min="5387" max="5632" width="9.140625" style="187"/>
    <col min="5633" max="5633" width="11.7109375" style="187" customWidth="1"/>
    <col min="5634" max="5634" width="19.85546875" style="187" customWidth="1"/>
    <col min="5635" max="5635" width="60.85546875" style="187" customWidth="1"/>
    <col min="5636" max="5642" width="20.7109375" style="187" customWidth="1"/>
    <col min="5643" max="5888" width="9.140625" style="187"/>
    <col min="5889" max="5889" width="11.7109375" style="187" customWidth="1"/>
    <col min="5890" max="5890" width="19.85546875" style="187" customWidth="1"/>
    <col min="5891" max="5891" width="60.85546875" style="187" customWidth="1"/>
    <col min="5892" max="5898" width="20.7109375" style="187" customWidth="1"/>
    <col min="5899" max="6144" width="9.140625" style="187"/>
    <col min="6145" max="6145" width="11.7109375" style="187" customWidth="1"/>
    <col min="6146" max="6146" width="19.85546875" style="187" customWidth="1"/>
    <col min="6147" max="6147" width="60.85546875" style="187" customWidth="1"/>
    <col min="6148" max="6154" width="20.7109375" style="187" customWidth="1"/>
    <col min="6155" max="6400" width="9.140625" style="187"/>
    <col min="6401" max="6401" width="11.7109375" style="187" customWidth="1"/>
    <col min="6402" max="6402" width="19.85546875" style="187" customWidth="1"/>
    <col min="6403" max="6403" width="60.85546875" style="187" customWidth="1"/>
    <col min="6404" max="6410" width="20.7109375" style="187" customWidth="1"/>
    <col min="6411" max="6656" width="9.140625" style="187"/>
    <col min="6657" max="6657" width="11.7109375" style="187" customWidth="1"/>
    <col min="6658" max="6658" width="19.85546875" style="187" customWidth="1"/>
    <col min="6659" max="6659" width="60.85546875" style="187" customWidth="1"/>
    <col min="6660" max="6666" width="20.7109375" style="187" customWidth="1"/>
    <col min="6667" max="6912" width="9.140625" style="187"/>
    <col min="6913" max="6913" width="11.7109375" style="187" customWidth="1"/>
    <col min="6914" max="6914" width="19.85546875" style="187" customWidth="1"/>
    <col min="6915" max="6915" width="60.85546875" style="187" customWidth="1"/>
    <col min="6916" max="6922" width="20.7109375" style="187" customWidth="1"/>
    <col min="6923" max="7168" width="9.140625" style="187"/>
    <col min="7169" max="7169" width="11.7109375" style="187" customWidth="1"/>
    <col min="7170" max="7170" width="19.85546875" style="187" customWidth="1"/>
    <col min="7171" max="7171" width="60.85546875" style="187" customWidth="1"/>
    <col min="7172" max="7178" width="20.7109375" style="187" customWidth="1"/>
    <col min="7179" max="7424" width="9.140625" style="187"/>
    <col min="7425" max="7425" width="11.7109375" style="187" customWidth="1"/>
    <col min="7426" max="7426" width="19.85546875" style="187" customWidth="1"/>
    <col min="7427" max="7427" width="60.85546875" style="187" customWidth="1"/>
    <col min="7428" max="7434" width="20.7109375" style="187" customWidth="1"/>
    <col min="7435" max="7680" width="9.140625" style="187"/>
    <col min="7681" max="7681" width="11.7109375" style="187" customWidth="1"/>
    <col min="7682" max="7682" width="19.85546875" style="187" customWidth="1"/>
    <col min="7683" max="7683" width="60.85546875" style="187" customWidth="1"/>
    <col min="7684" max="7690" width="20.7109375" style="187" customWidth="1"/>
    <col min="7691" max="7936" width="9.140625" style="187"/>
    <col min="7937" max="7937" width="11.7109375" style="187" customWidth="1"/>
    <col min="7938" max="7938" width="19.85546875" style="187" customWidth="1"/>
    <col min="7939" max="7939" width="60.85546875" style="187" customWidth="1"/>
    <col min="7940" max="7946" width="20.7109375" style="187" customWidth="1"/>
    <col min="7947" max="8192" width="9.140625" style="187"/>
    <col min="8193" max="8193" width="11.7109375" style="187" customWidth="1"/>
    <col min="8194" max="8194" width="19.85546875" style="187" customWidth="1"/>
    <col min="8195" max="8195" width="60.85546875" style="187" customWidth="1"/>
    <col min="8196" max="8202" width="20.7109375" style="187" customWidth="1"/>
    <col min="8203" max="8448" width="9.140625" style="187"/>
    <col min="8449" max="8449" width="11.7109375" style="187" customWidth="1"/>
    <col min="8450" max="8450" width="19.85546875" style="187" customWidth="1"/>
    <col min="8451" max="8451" width="60.85546875" style="187" customWidth="1"/>
    <col min="8452" max="8458" width="20.7109375" style="187" customWidth="1"/>
    <col min="8459" max="8704" width="9.140625" style="187"/>
    <col min="8705" max="8705" width="11.7109375" style="187" customWidth="1"/>
    <col min="8706" max="8706" width="19.85546875" style="187" customWidth="1"/>
    <col min="8707" max="8707" width="60.85546875" style="187" customWidth="1"/>
    <col min="8708" max="8714" width="20.7109375" style="187" customWidth="1"/>
    <col min="8715" max="8960" width="9.140625" style="187"/>
    <col min="8961" max="8961" width="11.7109375" style="187" customWidth="1"/>
    <col min="8962" max="8962" width="19.85546875" style="187" customWidth="1"/>
    <col min="8963" max="8963" width="60.85546875" style="187" customWidth="1"/>
    <col min="8964" max="8970" width="20.7109375" style="187" customWidth="1"/>
    <col min="8971" max="9216" width="9.140625" style="187"/>
    <col min="9217" max="9217" width="11.7109375" style="187" customWidth="1"/>
    <col min="9218" max="9218" width="19.85546875" style="187" customWidth="1"/>
    <col min="9219" max="9219" width="60.85546875" style="187" customWidth="1"/>
    <col min="9220" max="9226" width="20.7109375" style="187" customWidth="1"/>
    <col min="9227" max="9472" width="9.140625" style="187"/>
    <col min="9473" max="9473" width="11.7109375" style="187" customWidth="1"/>
    <col min="9474" max="9474" width="19.85546875" style="187" customWidth="1"/>
    <col min="9475" max="9475" width="60.85546875" style="187" customWidth="1"/>
    <col min="9476" max="9482" width="20.7109375" style="187" customWidth="1"/>
    <col min="9483" max="9728" width="9.140625" style="187"/>
    <col min="9729" max="9729" width="11.7109375" style="187" customWidth="1"/>
    <col min="9730" max="9730" width="19.85546875" style="187" customWidth="1"/>
    <col min="9731" max="9731" width="60.85546875" style="187" customWidth="1"/>
    <col min="9732" max="9738" width="20.7109375" style="187" customWidth="1"/>
    <col min="9739" max="9984" width="9.140625" style="187"/>
    <col min="9985" max="9985" width="11.7109375" style="187" customWidth="1"/>
    <col min="9986" max="9986" width="19.85546875" style="187" customWidth="1"/>
    <col min="9987" max="9987" width="60.85546875" style="187" customWidth="1"/>
    <col min="9988" max="9994" width="20.7109375" style="187" customWidth="1"/>
    <col min="9995" max="10240" width="9.140625" style="187"/>
    <col min="10241" max="10241" width="11.7109375" style="187" customWidth="1"/>
    <col min="10242" max="10242" width="19.85546875" style="187" customWidth="1"/>
    <col min="10243" max="10243" width="60.85546875" style="187" customWidth="1"/>
    <col min="10244" max="10250" width="20.7109375" style="187" customWidth="1"/>
    <col min="10251" max="10496" width="9.140625" style="187"/>
    <col min="10497" max="10497" width="11.7109375" style="187" customWidth="1"/>
    <col min="10498" max="10498" width="19.85546875" style="187" customWidth="1"/>
    <col min="10499" max="10499" width="60.85546875" style="187" customWidth="1"/>
    <col min="10500" max="10506" width="20.7109375" style="187" customWidth="1"/>
    <col min="10507" max="10752" width="9.140625" style="187"/>
    <col min="10753" max="10753" width="11.7109375" style="187" customWidth="1"/>
    <col min="10754" max="10754" width="19.85546875" style="187" customWidth="1"/>
    <col min="10755" max="10755" width="60.85546875" style="187" customWidth="1"/>
    <col min="10756" max="10762" width="20.7109375" style="187" customWidth="1"/>
    <col min="10763" max="11008" width="9.140625" style="187"/>
    <col min="11009" max="11009" width="11.7109375" style="187" customWidth="1"/>
    <col min="11010" max="11010" width="19.85546875" style="187" customWidth="1"/>
    <col min="11011" max="11011" width="60.85546875" style="187" customWidth="1"/>
    <col min="11012" max="11018" width="20.7109375" style="187" customWidth="1"/>
    <col min="11019" max="11264" width="9.140625" style="187"/>
    <col min="11265" max="11265" width="11.7109375" style="187" customWidth="1"/>
    <col min="11266" max="11266" width="19.85546875" style="187" customWidth="1"/>
    <col min="11267" max="11267" width="60.85546875" style="187" customWidth="1"/>
    <col min="11268" max="11274" width="20.7109375" style="187" customWidth="1"/>
    <col min="11275" max="11520" width="9.140625" style="187"/>
    <col min="11521" max="11521" width="11.7109375" style="187" customWidth="1"/>
    <col min="11522" max="11522" width="19.85546875" style="187" customWidth="1"/>
    <col min="11523" max="11523" width="60.85546875" style="187" customWidth="1"/>
    <col min="11524" max="11530" width="20.7109375" style="187" customWidth="1"/>
    <col min="11531" max="11776" width="9.140625" style="187"/>
    <col min="11777" max="11777" width="11.7109375" style="187" customWidth="1"/>
    <col min="11778" max="11778" width="19.85546875" style="187" customWidth="1"/>
    <col min="11779" max="11779" width="60.85546875" style="187" customWidth="1"/>
    <col min="11780" max="11786" width="20.7109375" style="187" customWidth="1"/>
    <col min="11787" max="12032" width="9.140625" style="187"/>
    <col min="12033" max="12033" width="11.7109375" style="187" customWidth="1"/>
    <col min="12034" max="12034" width="19.85546875" style="187" customWidth="1"/>
    <col min="12035" max="12035" width="60.85546875" style="187" customWidth="1"/>
    <col min="12036" max="12042" width="20.7109375" style="187" customWidth="1"/>
    <col min="12043" max="12288" width="9.140625" style="187"/>
    <col min="12289" max="12289" width="11.7109375" style="187" customWidth="1"/>
    <col min="12290" max="12290" width="19.85546875" style="187" customWidth="1"/>
    <col min="12291" max="12291" width="60.85546875" style="187" customWidth="1"/>
    <col min="12292" max="12298" width="20.7109375" style="187" customWidth="1"/>
    <col min="12299" max="12544" width="9.140625" style="187"/>
    <col min="12545" max="12545" width="11.7109375" style="187" customWidth="1"/>
    <col min="12546" max="12546" width="19.85546875" style="187" customWidth="1"/>
    <col min="12547" max="12547" width="60.85546875" style="187" customWidth="1"/>
    <col min="12548" max="12554" width="20.7109375" style="187" customWidth="1"/>
    <col min="12555" max="12800" width="9.140625" style="187"/>
    <col min="12801" max="12801" width="11.7109375" style="187" customWidth="1"/>
    <col min="12802" max="12802" width="19.85546875" style="187" customWidth="1"/>
    <col min="12803" max="12803" width="60.85546875" style="187" customWidth="1"/>
    <col min="12804" max="12810" width="20.7109375" style="187" customWidth="1"/>
    <col min="12811" max="13056" width="9.140625" style="187"/>
    <col min="13057" max="13057" width="11.7109375" style="187" customWidth="1"/>
    <col min="13058" max="13058" width="19.85546875" style="187" customWidth="1"/>
    <col min="13059" max="13059" width="60.85546875" style="187" customWidth="1"/>
    <col min="13060" max="13066" width="20.7109375" style="187" customWidth="1"/>
    <col min="13067" max="13312" width="9.140625" style="187"/>
    <col min="13313" max="13313" width="11.7109375" style="187" customWidth="1"/>
    <col min="13314" max="13314" width="19.85546875" style="187" customWidth="1"/>
    <col min="13315" max="13315" width="60.85546875" style="187" customWidth="1"/>
    <col min="13316" max="13322" width="20.7109375" style="187" customWidth="1"/>
    <col min="13323" max="13568" width="9.140625" style="187"/>
    <col min="13569" max="13569" width="11.7109375" style="187" customWidth="1"/>
    <col min="13570" max="13570" width="19.85546875" style="187" customWidth="1"/>
    <col min="13571" max="13571" width="60.85546875" style="187" customWidth="1"/>
    <col min="13572" max="13578" width="20.7109375" style="187" customWidth="1"/>
    <col min="13579" max="13824" width="9.140625" style="187"/>
    <col min="13825" max="13825" width="11.7109375" style="187" customWidth="1"/>
    <col min="13826" max="13826" width="19.85546875" style="187" customWidth="1"/>
    <col min="13827" max="13827" width="60.85546875" style="187" customWidth="1"/>
    <col min="13828" max="13834" width="20.7109375" style="187" customWidth="1"/>
    <col min="13835" max="14080" width="9.140625" style="187"/>
    <col min="14081" max="14081" width="11.7109375" style="187" customWidth="1"/>
    <col min="14082" max="14082" width="19.85546875" style="187" customWidth="1"/>
    <col min="14083" max="14083" width="60.85546875" style="187" customWidth="1"/>
    <col min="14084" max="14090" width="20.7109375" style="187" customWidth="1"/>
    <col min="14091" max="14336" width="9.140625" style="187"/>
    <col min="14337" max="14337" width="11.7109375" style="187" customWidth="1"/>
    <col min="14338" max="14338" width="19.85546875" style="187" customWidth="1"/>
    <col min="14339" max="14339" width="60.85546875" style="187" customWidth="1"/>
    <col min="14340" max="14346" width="20.7109375" style="187" customWidth="1"/>
    <col min="14347" max="14592" width="9.140625" style="187"/>
    <col min="14593" max="14593" width="11.7109375" style="187" customWidth="1"/>
    <col min="14594" max="14594" width="19.85546875" style="187" customWidth="1"/>
    <col min="14595" max="14595" width="60.85546875" style="187" customWidth="1"/>
    <col min="14596" max="14602" width="20.7109375" style="187" customWidth="1"/>
    <col min="14603" max="14848" width="9.140625" style="187"/>
    <col min="14849" max="14849" width="11.7109375" style="187" customWidth="1"/>
    <col min="14850" max="14850" width="19.85546875" style="187" customWidth="1"/>
    <col min="14851" max="14851" width="60.85546875" style="187" customWidth="1"/>
    <col min="14852" max="14858" width="20.7109375" style="187" customWidth="1"/>
    <col min="14859" max="15104" width="9.140625" style="187"/>
    <col min="15105" max="15105" width="11.7109375" style="187" customWidth="1"/>
    <col min="15106" max="15106" width="19.85546875" style="187" customWidth="1"/>
    <col min="15107" max="15107" width="60.85546875" style="187" customWidth="1"/>
    <col min="15108" max="15114" width="20.7109375" style="187" customWidth="1"/>
    <col min="15115" max="15360" width="9.140625" style="187"/>
    <col min="15361" max="15361" width="11.7109375" style="187" customWidth="1"/>
    <col min="15362" max="15362" width="19.85546875" style="187" customWidth="1"/>
    <col min="15363" max="15363" width="60.85546875" style="187" customWidth="1"/>
    <col min="15364" max="15370" width="20.7109375" style="187" customWidth="1"/>
    <col min="15371" max="15616" width="9.140625" style="187"/>
    <col min="15617" max="15617" width="11.7109375" style="187" customWidth="1"/>
    <col min="15618" max="15618" width="19.85546875" style="187" customWidth="1"/>
    <col min="15619" max="15619" width="60.85546875" style="187" customWidth="1"/>
    <col min="15620" max="15626" width="20.7109375" style="187" customWidth="1"/>
    <col min="15627" max="15872" width="9.140625" style="187"/>
    <col min="15873" max="15873" width="11.7109375" style="187" customWidth="1"/>
    <col min="15874" max="15874" width="19.85546875" style="187" customWidth="1"/>
    <col min="15875" max="15875" width="60.85546875" style="187" customWidth="1"/>
    <col min="15876" max="15882" width="20.7109375" style="187" customWidth="1"/>
    <col min="15883" max="16128" width="9.140625" style="187"/>
    <col min="16129" max="16129" width="11.7109375" style="187" customWidth="1"/>
    <col min="16130" max="16130" width="19.85546875" style="187" customWidth="1"/>
    <col min="16131" max="16131" width="60.85546875" style="187" customWidth="1"/>
    <col min="16132" max="16138" width="20.7109375" style="187" customWidth="1"/>
    <col min="16139" max="16384" width="9.140625" style="187"/>
  </cols>
  <sheetData>
    <row r="1" spans="2:15" ht="20.25" x14ac:dyDescent="0.3">
      <c r="B1" s="26" t="str">
        <f>[4]Cover!C22</f>
        <v>ActewAGL</v>
      </c>
      <c r="C1" s="27"/>
    </row>
    <row r="2" spans="2:15" ht="20.25" x14ac:dyDescent="0.3">
      <c r="B2" s="558" t="s">
        <v>215</v>
      </c>
      <c r="C2" s="558"/>
      <c r="D2" s="562"/>
    </row>
    <row r="3" spans="2:15" ht="20.25" x14ac:dyDescent="0.3">
      <c r="B3" s="26" t="str">
        <f>Cover!C26</f>
        <v>2012-13</v>
      </c>
    </row>
    <row r="5" spans="2:15" ht="54" customHeight="1" x14ac:dyDescent="0.2">
      <c r="B5" s="563" t="s">
        <v>257</v>
      </c>
      <c r="C5" s="564"/>
    </row>
    <row r="7" spans="2:15" ht="15.75" x14ac:dyDescent="0.2">
      <c r="B7" s="555" t="s">
        <v>216</v>
      </c>
      <c r="C7" s="555"/>
      <c r="D7" s="555"/>
      <c r="E7" s="555"/>
    </row>
    <row r="9" spans="2:15" s="238" customFormat="1" ht="55.5" customHeight="1" x14ac:dyDescent="0.2">
      <c r="B9" s="236" t="s">
        <v>51</v>
      </c>
      <c r="C9" s="194" t="s">
        <v>52</v>
      </c>
      <c r="D9" s="195" t="s">
        <v>217</v>
      </c>
      <c r="E9" s="199" t="s">
        <v>54</v>
      </c>
      <c r="F9" s="197" t="s">
        <v>65</v>
      </c>
      <c r="G9" s="197" t="s">
        <v>73</v>
      </c>
      <c r="H9" s="198" t="s">
        <v>74</v>
      </c>
      <c r="I9" s="199" t="s">
        <v>55</v>
      </c>
      <c r="J9" s="237" t="s">
        <v>56</v>
      </c>
      <c r="K9" s="235"/>
      <c r="N9" s="235"/>
      <c r="O9" s="235"/>
    </row>
    <row r="10" spans="2:15" s="238" customFormat="1" x14ac:dyDescent="0.2">
      <c r="B10" s="236"/>
      <c r="C10" s="194"/>
      <c r="D10" s="195"/>
      <c r="E10" s="199"/>
      <c r="F10" s="197"/>
      <c r="G10" s="198"/>
      <c r="H10" s="198" t="s">
        <v>106</v>
      </c>
      <c r="I10" s="199"/>
      <c r="J10" s="237"/>
      <c r="K10" s="235"/>
      <c r="N10" s="235"/>
      <c r="O10" s="235"/>
    </row>
    <row r="11" spans="2:15" s="238" customFormat="1" x14ac:dyDescent="0.2">
      <c r="B11" s="236"/>
      <c r="C11" s="194"/>
      <c r="D11" s="263" t="s">
        <v>57</v>
      </c>
      <c r="E11" s="263" t="s">
        <v>57</v>
      </c>
      <c r="F11" s="263" t="s">
        <v>57</v>
      </c>
      <c r="G11" s="264" t="s">
        <v>57</v>
      </c>
      <c r="H11" s="263" t="s">
        <v>57</v>
      </c>
      <c r="I11" s="263" t="s">
        <v>57</v>
      </c>
      <c r="J11" s="263" t="s">
        <v>57</v>
      </c>
      <c r="K11" s="235"/>
      <c r="N11" s="235"/>
      <c r="O11" s="235"/>
    </row>
    <row r="12" spans="2:15" s="235" customFormat="1" ht="14.1" customHeight="1" x14ac:dyDescent="0.2">
      <c r="B12" s="361"/>
      <c r="C12" s="239" t="s">
        <v>218</v>
      </c>
      <c r="D12" s="479">
        <f>D14-D13</f>
        <v>-13196977.829999913</v>
      </c>
      <c r="E12" s="479">
        <f>E14-E13</f>
        <v>-25765570.709999815</v>
      </c>
      <c r="F12" s="479">
        <f>F14-F13</f>
        <v>12568592.879999906</v>
      </c>
      <c r="G12" s="479"/>
      <c r="H12" s="479"/>
      <c r="I12" s="479"/>
      <c r="J12" s="479"/>
    </row>
    <row r="13" spans="2:15" s="235" customFormat="1" ht="14.1" customHeight="1" x14ac:dyDescent="0.2">
      <c r="B13" s="361"/>
      <c r="C13" s="240" t="s">
        <v>219</v>
      </c>
      <c r="D13" s="459">
        <f>[5]BS11112!$M$16</f>
        <v>20067663.349999953</v>
      </c>
      <c r="E13" s="468">
        <f>D13-F13</f>
        <v>36770355.209999934</v>
      </c>
      <c r="F13" s="480">
        <f>[5]BS11112!$E$16</f>
        <v>-16702691.859999985</v>
      </c>
      <c r="G13" s="481"/>
      <c r="H13" s="481"/>
      <c r="I13" s="482"/>
      <c r="J13" s="481"/>
    </row>
    <row r="14" spans="2:15" s="235" customFormat="1" ht="14.1" customHeight="1" x14ac:dyDescent="0.2">
      <c r="B14" s="361"/>
      <c r="C14" s="240" t="s">
        <v>220</v>
      </c>
      <c r="D14" s="479">
        <f>'2. Balance'!D12</f>
        <v>6870685.5200000405</v>
      </c>
      <c r="E14" s="479">
        <f>'2. Balance'!E12</f>
        <v>11004784.500000119</v>
      </c>
      <c r="F14" s="479">
        <f>'2. Balance'!F12</f>
        <v>-4134098.9800000787</v>
      </c>
      <c r="G14" s="479">
        <f>G12+G13</f>
        <v>0</v>
      </c>
      <c r="H14" s="479">
        <f>H12+H13</f>
        <v>0</v>
      </c>
      <c r="I14" s="479">
        <f>I12+I13</f>
        <v>0</v>
      </c>
      <c r="J14" s="479">
        <f>J12+J13</f>
        <v>0</v>
      </c>
    </row>
    <row r="15" spans="2:15" s="235" customFormat="1" ht="14.1" customHeight="1" x14ac:dyDescent="0.2">
      <c r="K15" s="187"/>
    </row>
    <row r="16" spans="2:15" x14ac:dyDescent="0.2">
      <c r="B16" s="235"/>
      <c r="C16" s="235"/>
      <c r="D16" s="235"/>
      <c r="E16" s="235"/>
      <c r="F16" s="235"/>
      <c r="G16" s="235"/>
      <c r="H16" s="235"/>
      <c r="I16" s="235"/>
      <c r="J16" s="235"/>
    </row>
    <row r="17" spans="2:10" x14ac:dyDescent="0.2">
      <c r="B17" s="362" t="s">
        <v>221</v>
      </c>
      <c r="C17" s="363"/>
      <c r="D17" s="235"/>
      <c r="E17" s="235"/>
      <c r="F17" s="235"/>
      <c r="G17" s="235"/>
      <c r="H17" s="235"/>
      <c r="I17" s="235"/>
      <c r="J17" s="235"/>
    </row>
    <row r="18" spans="2:10" x14ac:dyDescent="0.2">
      <c r="B18" s="375" t="s">
        <v>273</v>
      </c>
      <c r="C18" s="374"/>
      <c r="D18" s="235"/>
      <c r="E18" s="235"/>
      <c r="F18" s="235"/>
      <c r="G18" s="235"/>
      <c r="H18" s="235"/>
      <c r="I18" s="235"/>
      <c r="J18" s="235"/>
    </row>
    <row r="19" spans="2:10" x14ac:dyDescent="0.2">
      <c r="B19" s="364" t="s">
        <v>222</v>
      </c>
      <c r="C19" s="365"/>
      <c r="D19" s="235"/>
      <c r="E19" s="235"/>
      <c r="F19" s="235"/>
      <c r="G19" s="235"/>
      <c r="H19" s="235"/>
      <c r="I19" s="235"/>
      <c r="J19" s="235"/>
    </row>
    <row r="20" spans="2:10" x14ac:dyDescent="0.2">
      <c r="B20" s="235"/>
      <c r="C20" s="235"/>
      <c r="D20" s="235"/>
      <c r="E20" s="235"/>
      <c r="F20" s="235"/>
      <c r="G20" s="235"/>
      <c r="H20" s="235"/>
      <c r="I20" s="235"/>
      <c r="J20" s="235"/>
    </row>
    <row r="21" spans="2:10" x14ac:dyDescent="0.2">
      <c r="B21" s="235"/>
      <c r="C21" s="235"/>
      <c r="D21" s="235"/>
      <c r="E21" s="235"/>
      <c r="F21" s="235"/>
      <c r="G21" s="235"/>
      <c r="H21" s="235"/>
      <c r="I21" s="235"/>
      <c r="J21" s="235"/>
    </row>
    <row r="22" spans="2:10" x14ac:dyDescent="0.2">
      <c r="B22" s="235"/>
      <c r="C22" s="235"/>
      <c r="D22" s="235"/>
      <c r="E22" s="235"/>
      <c r="F22" s="235"/>
      <c r="G22" s="235"/>
      <c r="H22" s="235"/>
      <c r="I22" s="235"/>
      <c r="J22" s="235"/>
    </row>
    <row r="23" spans="2:10" x14ac:dyDescent="0.2">
      <c r="B23" s="235"/>
      <c r="C23" s="235"/>
      <c r="D23" s="235"/>
      <c r="E23" s="235"/>
      <c r="F23" s="235"/>
      <c r="G23" s="235"/>
      <c r="H23" s="235"/>
      <c r="I23" s="235"/>
      <c r="J23" s="235"/>
    </row>
    <row r="24" spans="2:10" x14ac:dyDescent="0.2">
      <c r="B24" s="235"/>
      <c r="C24" s="235"/>
      <c r="D24" s="235"/>
      <c r="E24" s="235"/>
      <c r="F24" s="235"/>
      <c r="G24" s="235"/>
      <c r="H24" s="235"/>
      <c r="I24" s="235"/>
      <c r="J24" s="235"/>
    </row>
    <row r="25" spans="2:10" x14ac:dyDescent="0.2">
      <c r="B25" s="235"/>
      <c r="C25" s="235"/>
      <c r="D25" s="235"/>
      <c r="E25" s="235"/>
      <c r="F25" s="235"/>
      <c r="G25" s="235"/>
      <c r="H25" s="235"/>
      <c r="I25" s="235"/>
      <c r="J25" s="235"/>
    </row>
    <row r="26" spans="2:10" x14ac:dyDescent="0.2">
      <c r="B26" s="235"/>
      <c r="C26" s="235"/>
      <c r="D26" s="235"/>
      <c r="E26" s="235"/>
      <c r="F26" s="235"/>
      <c r="G26" s="235"/>
      <c r="H26" s="235"/>
      <c r="I26" s="235"/>
      <c r="J26" s="235"/>
    </row>
    <row r="27" spans="2:10" x14ac:dyDescent="0.2">
      <c r="B27" s="235"/>
      <c r="C27" s="235"/>
      <c r="D27" s="235"/>
      <c r="E27" s="235"/>
      <c r="F27" s="235"/>
      <c r="G27" s="235"/>
      <c r="H27" s="235"/>
      <c r="I27" s="235"/>
      <c r="J27" s="235"/>
    </row>
    <row r="28" spans="2:10" x14ac:dyDescent="0.2">
      <c r="B28" s="235"/>
      <c r="C28" s="235"/>
      <c r="D28" s="235"/>
      <c r="E28" s="235"/>
      <c r="F28" s="235"/>
      <c r="G28" s="235"/>
      <c r="H28" s="235"/>
      <c r="I28" s="235"/>
      <c r="J28" s="235"/>
    </row>
    <row r="29" spans="2:10" x14ac:dyDescent="0.2">
      <c r="B29" s="235"/>
      <c r="C29" s="235"/>
      <c r="D29" s="235"/>
      <c r="E29" s="235"/>
      <c r="F29" s="235"/>
      <c r="G29" s="235"/>
      <c r="H29" s="235"/>
      <c r="I29" s="235"/>
      <c r="J29" s="235"/>
    </row>
    <row r="30" spans="2:10" x14ac:dyDescent="0.2">
      <c r="B30" s="235"/>
      <c r="C30" s="235"/>
      <c r="D30" s="235"/>
      <c r="E30" s="235"/>
      <c r="F30" s="235"/>
      <c r="G30" s="235"/>
      <c r="H30" s="235"/>
      <c r="I30" s="235"/>
      <c r="J30" s="235"/>
    </row>
    <row r="31" spans="2:10" ht="15" x14ac:dyDescent="0.2">
      <c r="B31" s="241"/>
      <c r="C31" s="241"/>
      <c r="D31" s="241"/>
      <c r="E31" s="241"/>
      <c r="F31" s="241"/>
      <c r="G31" s="241"/>
      <c r="H31" s="241"/>
      <c r="I31" s="241"/>
      <c r="J31" s="241"/>
    </row>
    <row r="32" spans="2:10" ht="15" x14ac:dyDescent="0.2">
      <c r="B32" s="241"/>
      <c r="C32" s="241"/>
      <c r="D32" s="241"/>
      <c r="E32" s="241"/>
      <c r="F32" s="241"/>
      <c r="G32" s="241"/>
      <c r="H32" s="241"/>
      <c r="I32" s="241"/>
      <c r="J32" s="241"/>
    </row>
    <row r="33" spans="2:10" ht="15" x14ac:dyDescent="0.2">
      <c r="B33" s="241"/>
      <c r="C33" s="241"/>
      <c r="D33" s="241"/>
      <c r="E33" s="241"/>
      <c r="F33" s="241"/>
      <c r="G33" s="241"/>
      <c r="H33" s="241"/>
      <c r="I33" s="241"/>
      <c r="J33" s="241"/>
    </row>
    <row r="34" spans="2:10" ht="15" x14ac:dyDescent="0.2">
      <c r="B34" s="241"/>
      <c r="C34" s="241"/>
      <c r="D34" s="241"/>
      <c r="E34" s="241"/>
      <c r="F34" s="241"/>
      <c r="G34" s="241"/>
      <c r="H34" s="241"/>
      <c r="I34" s="241"/>
      <c r="J34" s="241"/>
    </row>
    <row r="35" spans="2:10" ht="15" x14ac:dyDescent="0.2">
      <c r="B35" s="241"/>
      <c r="C35" s="241"/>
      <c r="D35" s="241"/>
      <c r="E35" s="241"/>
      <c r="F35" s="241"/>
      <c r="G35" s="241"/>
      <c r="H35" s="241"/>
      <c r="I35" s="241"/>
      <c r="J35" s="241"/>
    </row>
    <row r="36" spans="2:10" ht="15" x14ac:dyDescent="0.2">
      <c r="B36" s="241"/>
      <c r="C36" s="241"/>
      <c r="D36" s="241"/>
      <c r="E36" s="241"/>
      <c r="F36" s="241"/>
      <c r="G36" s="241"/>
      <c r="H36" s="241"/>
      <c r="I36" s="241"/>
      <c r="J36" s="241"/>
    </row>
    <row r="37" spans="2:10" ht="15" x14ac:dyDescent="0.2">
      <c r="B37" s="241"/>
      <c r="C37" s="241"/>
      <c r="D37" s="241"/>
      <c r="E37" s="241"/>
      <c r="F37" s="241"/>
      <c r="G37" s="241"/>
      <c r="H37" s="241"/>
      <c r="I37" s="241"/>
      <c r="J37" s="241"/>
    </row>
    <row r="38" spans="2:10" ht="15" x14ac:dyDescent="0.2">
      <c r="B38" s="241"/>
      <c r="C38" s="241"/>
      <c r="D38" s="241"/>
      <c r="E38" s="241"/>
      <c r="F38" s="241"/>
      <c r="G38" s="241"/>
      <c r="H38" s="241"/>
      <c r="I38" s="241"/>
      <c r="J38" s="241"/>
    </row>
    <row r="39" spans="2:10" ht="15" x14ac:dyDescent="0.2">
      <c r="B39" s="241"/>
      <c r="C39" s="241"/>
      <c r="D39" s="241"/>
      <c r="E39" s="241"/>
      <c r="F39" s="241"/>
      <c r="G39" s="241"/>
      <c r="H39" s="241"/>
      <c r="I39" s="241"/>
      <c r="J39" s="241"/>
    </row>
    <row r="40" spans="2:10" ht="15" x14ac:dyDescent="0.2">
      <c r="B40" s="241"/>
      <c r="C40" s="241"/>
      <c r="D40" s="241"/>
      <c r="E40" s="241"/>
      <c r="F40" s="241"/>
      <c r="G40" s="241"/>
      <c r="H40" s="241"/>
      <c r="I40" s="241"/>
      <c r="J40" s="241"/>
    </row>
    <row r="41" spans="2:10" ht="15" x14ac:dyDescent="0.2">
      <c r="B41" s="241"/>
      <c r="C41" s="241"/>
      <c r="D41" s="241"/>
      <c r="E41" s="241"/>
      <c r="F41" s="241"/>
      <c r="G41" s="241"/>
      <c r="H41" s="241"/>
      <c r="I41" s="241"/>
      <c r="J41" s="241"/>
    </row>
    <row r="42" spans="2:10" ht="15" x14ac:dyDescent="0.2">
      <c r="B42" s="241"/>
      <c r="C42" s="241"/>
      <c r="D42" s="241"/>
      <c r="E42" s="241"/>
      <c r="F42" s="241"/>
      <c r="G42" s="241"/>
      <c r="H42" s="241"/>
      <c r="I42" s="241"/>
      <c r="J42" s="241"/>
    </row>
    <row r="43" spans="2:10" ht="15" x14ac:dyDescent="0.2">
      <c r="B43" s="241"/>
      <c r="C43" s="241"/>
      <c r="D43" s="241"/>
      <c r="E43" s="241"/>
      <c r="F43" s="241"/>
      <c r="G43" s="241"/>
      <c r="H43" s="241"/>
      <c r="I43" s="241"/>
      <c r="J43" s="241"/>
    </row>
    <row r="44" spans="2:10" ht="15" x14ac:dyDescent="0.2">
      <c r="B44" s="241"/>
      <c r="C44" s="241"/>
      <c r="D44" s="241"/>
      <c r="E44" s="241"/>
      <c r="F44" s="241"/>
      <c r="G44" s="241"/>
      <c r="H44" s="241"/>
      <c r="I44" s="241"/>
      <c r="J44" s="241"/>
    </row>
    <row r="45" spans="2:10" ht="15" x14ac:dyDescent="0.2">
      <c r="B45" s="241"/>
      <c r="C45" s="241"/>
      <c r="D45" s="241"/>
      <c r="E45" s="241"/>
      <c r="F45" s="241"/>
      <c r="G45" s="241"/>
      <c r="H45" s="241"/>
      <c r="I45" s="241"/>
      <c r="J45" s="241"/>
    </row>
    <row r="46" spans="2:10" ht="15" x14ac:dyDescent="0.2">
      <c r="B46" s="241"/>
      <c r="C46" s="241"/>
      <c r="D46" s="241"/>
      <c r="E46" s="241"/>
      <c r="F46" s="241"/>
      <c r="G46" s="241"/>
      <c r="H46" s="241"/>
      <c r="I46" s="241"/>
      <c r="J46" s="241"/>
    </row>
    <row r="47" spans="2:10" ht="15" x14ac:dyDescent="0.2">
      <c r="B47" s="241"/>
      <c r="C47" s="241"/>
      <c r="D47" s="241"/>
      <c r="E47" s="241"/>
      <c r="F47" s="241"/>
      <c r="G47" s="241"/>
      <c r="H47" s="241"/>
      <c r="I47" s="241"/>
      <c r="J47" s="241"/>
    </row>
    <row r="48" spans="2:10" ht="15" x14ac:dyDescent="0.2">
      <c r="B48" s="241"/>
      <c r="C48" s="241"/>
      <c r="D48" s="241"/>
      <c r="E48" s="241"/>
      <c r="F48" s="241"/>
      <c r="G48" s="241"/>
      <c r="H48" s="241"/>
      <c r="I48" s="241"/>
      <c r="J48" s="241"/>
    </row>
    <row r="49" spans="2:10" ht="15" x14ac:dyDescent="0.2">
      <c r="B49" s="241"/>
      <c r="C49" s="241"/>
      <c r="D49" s="241"/>
      <c r="E49" s="241"/>
      <c r="F49" s="241"/>
      <c r="G49" s="241"/>
      <c r="H49" s="241"/>
      <c r="I49" s="241"/>
      <c r="J49" s="241"/>
    </row>
    <row r="50" spans="2:10" ht="15" x14ac:dyDescent="0.2">
      <c r="B50" s="241"/>
      <c r="C50" s="241"/>
      <c r="D50" s="241"/>
      <c r="E50" s="241"/>
      <c r="F50" s="241"/>
      <c r="G50" s="241"/>
      <c r="H50" s="241"/>
      <c r="I50" s="241"/>
      <c r="J50" s="241"/>
    </row>
    <row r="51" spans="2:10" ht="15" x14ac:dyDescent="0.2">
      <c r="B51" s="241"/>
      <c r="C51" s="241"/>
      <c r="D51" s="241"/>
      <c r="E51" s="241"/>
      <c r="F51" s="241"/>
      <c r="G51" s="241"/>
      <c r="H51" s="241"/>
      <c r="I51" s="241"/>
      <c r="J51" s="241"/>
    </row>
    <row r="52" spans="2:10" ht="15" x14ac:dyDescent="0.2">
      <c r="B52" s="241"/>
      <c r="C52" s="241"/>
      <c r="D52" s="241"/>
      <c r="E52" s="241"/>
      <c r="F52" s="241"/>
      <c r="G52" s="241"/>
      <c r="H52" s="241"/>
      <c r="I52" s="241"/>
      <c r="J52" s="241"/>
    </row>
    <row r="53" spans="2:10" ht="15" x14ac:dyDescent="0.2">
      <c r="B53" s="241"/>
      <c r="C53" s="241"/>
      <c r="D53" s="241"/>
      <c r="E53" s="241"/>
      <c r="F53" s="241"/>
      <c r="G53" s="241"/>
      <c r="H53" s="241"/>
      <c r="I53" s="241"/>
      <c r="J53" s="241"/>
    </row>
    <row r="54" spans="2:10" ht="15" x14ac:dyDescent="0.2">
      <c r="B54" s="241"/>
      <c r="C54" s="241"/>
      <c r="D54" s="241"/>
      <c r="E54" s="241"/>
      <c r="F54" s="241"/>
      <c r="G54" s="241"/>
      <c r="H54" s="241"/>
      <c r="I54" s="241"/>
      <c r="J54" s="241"/>
    </row>
    <row r="55" spans="2:10" ht="15" x14ac:dyDescent="0.2">
      <c r="B55" s="241"/>
      <c r="C55" s="241"/>
      <c r="D55" s="241"/>
      <c r="E55" s="241"/>
      <c r="F55" s="241"/>
      <c r="G55" s="241"/>
      <c r="H55" s="241"/>
      <c r="I55" s="241"/>
      <c r="J55" s="241"/>
    </row>
    <row r="56" spans="2:10" ht="15" x14ac:dyDescent="0.2">
      <c r="B56" s="241"/>
      <c r="C56" s="241"/>
      <c r="D56" s="241"/>
      <c r="E56" s="241"/>
      <c r="F56" s="241"/>
      <c r="G56" s="241"/>
      <c r="H56" s="241"/>
      <c r="I56" s="241"/>
      <c r="J56" s="241"/>
    </row>
    <row r="57" spans="2:10" ht="15" x14ac:dyDescent="0.2">
      <c r="B57" s="241"/>
      <c r="C57" s="241"/>
      <c r="D57" s="241"/>
      <c r="E57" s="241"/>
      <c r="F57" s="241"/>
      <c r="G57" s="241"/>
      <c r="H57" s="241"/>
      <c r="I57" s="241"/>
      <c r="J57" s="241"/>
    </row>
    <row r="58" spans="2:10" ht="15" x14ac:dyDescent="0.2">
      <c r="B58" s="241"/>
      <c r="C58" s="241"/>
      <c r="D58" s="241"/>
      <c r="E58" s="241"/>
      <c r="F58" s="241"/>
      <c r="G58" s="241"/>
      <c r="H58" s="241"/>
      <c r="I58" s="241"/>
      <c r="J58" s="241"/>
    </row>
    <row r="59" spans="2:10" ht="15" x14ac:dyDescent="0.2">
      <c r="B59" s="241"/>
      <c r="C59" s="241"/>
      <c r="D59" s="241"/>
      <c r="E59" s="241"/>
      <c r="F59" s="241"/>
      <c r="G59" s="241"/>
      <c r="H59" s="241"/>
      <c r="I59" s="241"/>
      <c r="J59" s="241"/>
    </row>
    <row r="60" spans="2:10" ht="15" x14ac:dyDescent="0.2">
      <c r="B60" s="241"/>
      <c r="C60" s="241"/>
      <c r="D60" s="241"/>
      <c r="E60" s="241"/>
      <c r="F60" s="241"/>
      <c r="G60" s="241"/>
      <c r="H60" s="241"/>
      <c r="I60" s="241"/>
      <c r="J60" s="241"/>
    </row>
    <row r="61" spans="2:10" ht="15" x14ac:dyDescent="0.2">
      <c r="B61" s="241"/>
      <c r="C61" s="241"/>
      <c r="D61" s="241"/>
      <c r="E61" s="241"/>
      <c r="F61" s="241"/>
      <c r="G61" s="241"/>
      <c r="H61" s="241"/>
      <c r="I61" s="241"/>
      <c r="J61" s="241"/>
    </row>
    <row r="62" spans="2:10" ht="15" x14ac:dyDescent="0.2">
      <c r="B62" s="241"/>
      <c r="C62" s="241"/>
      <c r="D62" s="241"/>
      <c r="E62" s="241"/>
      <c r="F62" s="241"/>
      <c r="G62" s="241"/>
      <c r="H62" s="241"/>
      <c r="I62" s="241"/>
      <c r="J62" s="241"/>
    </row>
    <row r="63" spans="2:10" ht="15" x14ac:dyDescent="0.2">
      <c r="B63" s="241"/>
      <c r="C63" s="241"/>
      <c r="D63" s="241"/>
      <c r="E63" s="241"/>
      <c r="F63" s="241"/>
      <c r="G63" s="241"/>
      <c r="H63" s="241"/>
      <c r="I63" s="241"/>
      <c r="J63" s="241"/>
    </row>
    <row r="64" spans="2:10" ht="15" x14ac:dyDescent="0.2">
      <c r="B64" s="241"/>
      <c r="C64" s="241"/>
      <c r="D64" s="241"/>
      <c r="E64" s="241"/>
      <c r="F64" s="241"/>
      <c r="G64" s="241"/>
      <c r="H64" s="241"/>
      <c r="I64" s="241"/>
      <c r="J64" s="241"/>
    </row>
    <row r="65" spans="2:10" ht="15" x14ac:dyDescent="0.2">
      <c r="B65" s="241"/>
      <c r="C65" s="241"/>
      <c r="D65" s="241"/>
      <c r="E65" s="241"/>
      <c r="F65" s="241"/>
      <c r="G65" s="241"/>
      <c r="H65" s="241"/>
      <c r="I65" s="241"/>
      <c r="J65" s="241"/>
    </row>
    <row r="66" spans="2:10" ht="15" x14ac:dyDescent="0.2">
      <c r="B66" s="241"/>
      <c r="C66" s="241"/>
      <c r="D66" s="241"/>
      <c r="E66" s="241"/>
      <c r="F66" s="241"/>
      <c r="G66" s="241"/>
      <c r="H66" s="241"/>
      <c r="I66" s="241"/>
      <c r="J66" s="241"/>
    </row>
    <row r="67" spans="2:10" ht="15" x14ac:dyDescent="0.2">
      <c r="B67" s="241"/>
      <c r="C67" s="241"/>
      <c r="D67" s="241"/>
      <c r="E67" s="241"/>
      <c r="F67" s="241"/>
      <c r="G67" s="241"/>
      <c r="H67" s="241"/>
      <c r="I67" s="241"/>
      <c r="J67" s="241"/>
    </row>
    <row r="68" spans="2:10" ht="15" x14ac:dyDescent="0.2">
      <c r="B68" s="241"/>
      <c r="C68" s="241"/>
      <c r="D68" s="241"/>
      <c r="E68" s="241"/>
      <c r="F68" s="241"/>
      <c r="G68" s="241"/>
      <c r="H68" s="241"/>
      <c r="I68" s="241"/>
      <c r="J68" s="241"/>
    </row>
    <row r="69" spans="2:10" ht="15" x14ac:dyDescent="0.2">
      <c r="B69" s="241"/>
      <c r="C69" s="241"/>
      <c r="D69" s="241"/>
      <c r="E69" s="241"/>
      <c r="F69" s="241"/>
      <c r="G69" s="241"/>
      <c r="H69" s="241"/>
      <c r="I69" s="241"/>
      <c r="J69" s="241"/>
    </row>
    <row r="70" spans="2:10" ht="15" x14ac:dyDescent="0.2">
      <c r="B70" s="241"/>
      <c r="C70" s="241"/>
      <c r="D70" s="241"/>
      <c r="E70" s="241"/>
      <c r="F70" s="241"/>
      <c r="G70" s="241"/>
      <c r="H70" s="241"/>
      <c r="I70" s="241"/>
      <c r="J70" s="241"/>
    </row>
    <row r="71" spans="2:10" ht="15" x14ac:dyDescent="0.2">
      <c r="B71" s="241"/>
      <c r="C71" s="241"/>
      <c r="D71" s="241"/>
      <c r="E71" s="241"/>
      <c r="F71" s="241"/>
      <c r="G71" s="241"/>
      <c r="H71" s="241"/>
      <c r="I71" s="241"/>
      <c r="J71" s="241"/>
    </row>
    <row r="72" spans="2:10" ht="15" x14ac:dyDescent="0.2">
      <c r="B72" s="241"/>
      <c r="C72" s="241"/>
      <c r="D72" s="241"/>
      <c r="E72" s="241"/>
      <c r="F72" s="241"/>
      <c r="G72" s="241"/>
      <c r="H72" s="241"/>
      <c r="I72" s="241"/>
      <c r="J72" s="241"/>
    </row>
    <row r="73" spans="2:10" ht="15" x14ac:dyDescent="0.2">
      <c r="B73" s="241"/>
      <c r="C73" s="241"/>
      <c r="D73" s="241"/>
      <c r="E73" s="241"/>
      <c r="F73" s="241"/>
      <c r="G73" s="241"/>
      <c r="H73" s="241"/>
      <c r="I73" s="241"/>
      <c r="J73" s="241"/>
    </row>
    <row r="74" spans="2:10" ht="15" x14ac:dyDescent="0.2">
      <c r="B74" s="241"/>
      <c r="C74" s="241"/>
      <c r="D74" s="241"/>
      <c r="E74" s="241"/>
      <c r="F74" s="241"/>
      <c r="G74" s="241"/>
      <c r="H74" s="241"/>
      <c r="I74" s="241"/>
      <c r="J74" s="241"/>
    </row>
    <row r="75" spans="2:10" ht="15" x14ac:dyDescent="0.2">
      <c r="B75" s="241"/>
      <c r="C75" s="241"/>
      <c r="D75" s="241"/>
      <c r="E75" s="241"/>
      <c r="F75" s="241"/>
      <c r="G75" s="241"/>
      <c r="H75" s="241"/>
      <c r="I75" s="241"/>
      <c r="J75" s="241"/>
    </row>
    <row r="76" spans="2:10" ht="15" x14ac:dyDescent="0.2">
      <c r="B76" s="241"/>
      <c r="C76" s="241"/>
      <c r="D76" s="241"/>
      <c r="E76" s="241"/>
      <c r="F76" s="241"/>
      <c r="G76" s="241"/>
      <c r="H76" s="241"/>
      <c r="I76" s="241"/>
      <c r="J76" s="241"/>
    </row>
    <row r="77" spans="2:10" ht="15" x14ac:dyDescent="0.2">
      <c r="B77" s="241"/>
      <c r="C77" s="241"/>
      <c r="D77" s="241"/>
      <c r="E77" s="241"/>
      <c r="F77" s="241"/>
      <c r="G77" s="241"/>
      <c r="H77" s="241"/>
      <c r="I77" s="241"/>
      <c r="J77" s="241"/>
    </row>
    <row r="78" spans="2:10" ht="15" x14ac:dyDescent="0.2">
      <c r="B78" s="241"/>
      <c r="C78" s="241"/>
      <c r="D78" s="241"/>
      <c r="E78" s="241"/>
      <c r="F78" s="241"/>
      <c r="G78" s="241"/>
      <c r="H78" s="241"/>
      <c r="I78" s="241"/>
      <c r="J78" s="241"/>
    </row>
    <row r="79" spans="2:10" ht="15" x14ac:dyDescent="0.2">
      <c r="B79" s="241"/>
      <c r="C79" s="241"/>
      <c r="D79" s="241"/>
      <c r="E79" s="241"/>
      <c r="F79" s="241"/>
      <c r="G79" s="241"/>
      <c r="H79" s="241"/>
      <c r="I79" s="241"/>
      <c r="J79" s="241"/>
    </row>
    <row r="80" spans="2:10" ht="15" x14ac:dyDescent="0.2">
      <c r="B80" s="241"/>
      <c r="C80" s="241"/>
      <c r="D80" s="241"/>
      <c r="E80" s="241"/>
      <c r="F80" s="241"/>
      <c r="G80" s="241"/>
      <c r="H80" s="241"/>
      <c r="I80" s="241"/>
      <c r="J80" s="241"/>
    </row>
    <row r="81" spans="2:10" ht="15" x14ac:dyDescent="0.2">
      <c r="B81" s="241"/>
      <c r="C81" s="241"/>
      <c r="D81" s="241"/>
      <c r="E81" s="241"/>
      <c r="F81" s="241"/>
      <c r="G81" s="241"/>
      <c r="H81" s="241"/>
      <c r="I81" s="241"/>
      <c r="J81" s="241"/>
    </row>
    <row r="82" spans="2:10" ht="15" x14ac:dyDescent="0.2">
      <c r="B82" s="241"/>
      <c r="C82" s="241"/>
      <c r="D82" s="241"/>
      <c r="E82" s="241"/>
      <c r="F82" s="241"/>
      <c r="G82" s="241"/>
      <c r="H82" s="241"/>
      <c r="I82" s="241"/>
      <c r="J82" s="241"/>
    </row>
    <row r="83" spans="2:10" ht="15" x14ac:dyDescent="0.2">
      <c r="B83" s="241"/>
      <c r="C83" s="241"/>
      <c r="D83" s="241"/>
      <c r="E83" s="241"/>
      <c r="F83" s="241"/>
      <c r="G83" s="241"/>
      <c r="H83" s="241"/>
      <c r="I83" s="241"/>
      <c r="J83" s="241"/>
    </row>
    <row r="84" spans="2:10" ht="15" x14ac:dyDescent="0.2">
      <c r="B84" s="241"/>
      <c r="C84" s="241"/>
      <c r="D84" s="241"/>
      <c r="E84" s="241"/>
      <c r="F84" s="241"/>
      <c r="G84" s="241"/>
      <c r="H84" s="241"/>
      <c r="I84" s="241"/>
      <c r="J84" s="241"/>
    </row>
    <row r="85" spans="2:10" ht="15" x14ac:dyDescent="0.2">
      <c r="B85" s="241"/>
      <c r="C85" s="241"/>
      <c r="D85" s="241"/>
      <c r="E85" s="241"/>
      <c r="F85" s="241"/>
      <c r="G85" s="241"/>
      <c r="H85" s="241"/>
      <c r="I85" s="241"/>
      <c r="J85" s="241"/>
    </row>
    <row r="86" spans="2:10" ht="15" x14ac:dyDescent="0.2">
      <c r="B86" s="241"/>
      <c r="C86" s="241"/>
      <c r="D86" s="241"/>
      <c r="E86" s="241"/>
      <c r="F86" s="241"/>
      <c r="G86" s="241"/>
      <c r="H86" s="241"/>
      <c r="I86" s="241"/>
      <c r="J86" s="241"/>
    </row>
    <row r="87" spans="2:10" ht="15" x14ac:dyDescent="0.2">
      <c r="B87" s="241"/>
      <c r="C87" s="241"/>
      <c r="D87" s="241"/>
      <c r="E87" s="241"/>
      <c r="F87" s="241"/>
      <c r="G87" s="241"/>
      <c r="H87" s="241"/>
      <c r="I87" s="241"/>
      <c r="J87" s="241"/>
    </row>
    <row r="88" spans="2:10" ht="15" x14ac:dyDescent="0.2">
      <c r="B88" s="241"/>
      <c r="C88" s="241"/>
      <c r="D88" s="241"/>
      <c r="E88" s="241"/>
      <c r="F88" s="241"/>
      <c r="G88" s="241"/>
      <c r="H88" s="241"/>
      <c r="I88" s="241"/>
      <c r="J88" s="241"/>
    </row>
    <row r="89" spans="2:10" ht="15" x14ac:dyDescent="0.2">
      <c r="B89" s="241"/>
      <c r="C89" s="241"/>
      <c r="D89" s="241"/>
      <c r="E89" s="241"/>
      <c r="F89" s="241"/>
      <c r="G89" s="241"/>
      <c r="H89" s="241"/>
      <c r="I89" s="241"/>
      <c r="J89" s="241"/>
    </row>
    <row r="90" spans="2:10" ht="15" x14ac:dyDescent="0.2">
      <c r="B90" s="241"/>
      <c r="C90" s="241"/>
      <c r="D90" s="241"/>
      <c r="E90" s="241"/>
      <c r="F90" s="241"/>
      <c r="G90" s="241"/>
      <c r="H90" s="241"/>
      <c r="I90" s="241"/>
      <c r="J90" s="241"/>
    </row>
    <row r="91" spans="2:10" ht="15" x14ac:dyDescent="0.2">
      <c r="B91" s="241"/>
      <c r="C91" s="241"/>
      <c r="D91" s="241"/>
      <c r="E91" s="241"/>
      <c r="F91" s="241"/>
      <c r="G91" s="241"/>
      <c r="H91" s="241"/>
      <c r="I91" s="241"/>
      <c r="J91" s="241"/>
    </row>
    <row r="92" spans="2:10" ht="15" x14ac:dyDescent="0.2">
      <c r="B92" s="241"/>
      <c r="C92" s="241"/>
      <c r="D92" s="241"/>
      <c r="E92" s="241"/>
      <c r="F92" s="241"/>
      <c r="G92" s="241"/>
      <c r="H92" s="241"/>
      <c r="I92" s="241"/>
      <c r="J92" s="241"/>
    </row>
    <row r="93" spans="2:10" ht="15" x14ac:dyDescent="0.2">
      <c r="B93" s="241"/>
      <c r="C93" s="241"/>
      <c r="D93" s="241"/>
      <c r="E93" s="241"/>
      <c r="F93" s="241"/>
      <c r="G93" s="241"/>
      <c r="H93" s="241"/>
      <c r="I93" s="241"/>
      <c r="J93" s="241"/>
    </row>
    <row r="94" spans="2:10" ht="15" x14ac:dyDescent="0.2">
      <c r="B94" s="241"/>
      <c r="C94" s="241"/>
      <c r="D94" s="241"/>
      <c r="E94" s="241"/>
      <c r="F94" s="241"/>
      <c r="G94" s="241"/>
      <c r="H94" s="241"/>
      <c r="I94" s="241"/>
      <c r="J94" s="241"/>
    </row>
    <row r="95" spans="2:10" ht="15" x14ac:dyDescent="0.2">
      <c r="B95" s="241"/>
      <c r="C95" s="241"/>
      <c r="D95" s="241"/>
      <c r="E95" s="241"/>
      <c r="F95" s="241"/>
      <c r="G95" s="241"/>
      <c r="H95" s="241"/>
      <c r="I95" s="241"/>
      <c r="J95" s="241"/>
    </row>
    <row r="96" spans="2:10" ht="15" x14ac:dyDescent="0.2">
      <c r="B96" s="241"/>
      <c r="C96" s="241"/>
      <c r="D96" s="241"/>
      <c r="E96" s="241"/>
      <c r="F96" s="241"/>
      <c r="G96" s="241"/>
      <c r="H96" s="241"/>
      <c r="I96" s="241"/>
      <c r="J96" s="241"/>
    </row>
    <row r="97" spans="2:10" ht="15" x14ac:dyDescent="0.2">
      <c r="B97" s="241"/>
      <c r="C97" s="241"/>
      <c r="D97" s="241"/>
      <c r="E97" s="241"/>
      <c r="F97" s="241"/>
      <c r="G97" s="241"/>
      <c r="H97" s="241"/>
      <c r="I97" s="241"/>
      <c r="J97" s="241"/>
    </row>
    <row r="98" spans="2:10" ht="15" x14ac:dyDescent="0.2">
      <c r="B98" s="241"/>
      <c r="C98" s="241"/>
      <c r="D98" s="241"/>
      <c r="E98" s="241"/>
      <c r="F98" s="241"/>
      <c r="G98" s="241"/>
      <c r="H98" s="241"/>
      <c r="I98" s="241"/>
      <c r="J98" s="241"/>
    </row>
    <row r="99" spans="2:10" ht="15" x14ac:dyDescent="0.2">
      <c r="B99" s="241"/>
      <c r="C99" s="241"/>
      <c r="D99" s="241"/>
      <c r="E99" s="241"/>
      <c r="F99" s="241"/>
      <c r="G99" s="241"/>
      <c r="H99" s="241"/>
      <c r="I99" s="241"/>
      <c r="J99" s="241"/>
    </row>
    <row r="100" spans="2:10" ht="15" x14ac:dyDescent="0.2">
      <c r="B100" s="241"/>
      <c r="C100" s="241"/>
      <c r="D100" s="241"/>
      <c r="E100" s="241"/>
      <c r="F100" s="241"/>
      <c r="G100" s="241"/>
      <c r="H100" s="241"/>
      <c r="I100" s="241"/>
      <c r="J100" s="241"/>
    </row>
    <row r="101" spans="2:10" ht="15" x14ac:dyDescent="0.2">
      <c r="B101" s="241"/>
      <c r="C101" s="241"/>
      <c r="D101" s="241"/>
      <c r="E101" s="241"/>
      <c r="F101" s="241"/>
      <c r="G101" s="241"/>
      <c r="H101" s="241"/>
      <c r="I101" s="241"/>
      <c r="J101" s="241"/>
    </row>
    <row r="102" spans="2:10" ht="15" x14ac:dyDescent="0.2">
      <c r="B102" s="241"/>
      <c r="C102" s="241"/>
      <c r="D102" s="241"/>
      <c r="E102" s="241"/>
      <c r="F102" s="241"/>
      <c r="G102" s="241"/>
      <c r="H102" s="241"/>
      <c r="I102" s="241"/>
      <c r="J102" s="241"/>
    </row>
    <row r="103" spans="2:10" ht="15" x14ac:dyDescent="0.2">
      <c r="B103" s="241"/>
      <c r="C103" s="241"/>
      <c r="D103" s="241"/>
      <c r="E103" s="241"/>
      <c r="F103" s="241"/>
      <c r="G103" s="241"/>
      <c r="H103" s="241"/>
      <c r="I103" s="241"/>
      <c r="J103" s="241"/>
    </row>
    <row r="104" spans="2:10" ht="15" x14ac:dyDescent="0.2">
      <c r="B104" s="241"/>
      <c r="C104" s="241"/>
      <c r="D104" s="241"/>
      <c r="E104" s="241"/>
      <c r="F104" s="241"/>
      <c r="G104" s="241"/>
      <c r="H104" s="241"/>
      <c r="I104" s="241"/>
      <c r="J104" s="241"/>
    </row>
    <row r="105" spans="2:10" ht="15" x14ac:dyDescent="0.2">
      <c r="B105" s="241"/>
      <c r="C105" s="241"/>
      <c r="D105" s="241"/>
      <c r="E105" s="241"/>
      <c r="F105" s="241"/>
      <c r="G105" s="241"/>
      <c r="H105" s="241"/>
      <c r="I105" s="241"/>
      <c r="J105" s="241"/>
    </row>
    <row r="106" spans="2:10" ht="15" x14ac:dyDescent="0.2">
      <c r="B106" s="241"/>
      <c r="C106" s="241"/>
      <c r="D106" s="241"/>
      <c r="E106" s="241"/>
      <c r="F106" s="241"/>
      <c r="G106" s="241"/>
      <c r="H106" s="241"/>
      <c r="I106" s="241"/>
      <c r="J106" s="241"/>
    </row>
    <row r="107" spans="2:10" ht="15" x14ac:dyDescent="0.2">
      <c r="B107" s="241"/>
      <c r="C107" s="241"/>
      <c r="D107" s="241"/>
      <c r="E107" s="241"/>
      <c r="F107" s="241"/>
      <c r="G107" s="241"/>
      <c r="H107" s="241"/>
      <c r="I107" s="241"/>
      <c r="J107" s="241"/>
    </row>
    <row r="108" spans="2:10" ht="15" x14ac:dyDescent="0.2">
      <c r="B108" s="241"/>
      <c r="C108" s="241"/>
      <c r="D108" s="241"/>
      <c r="E108" s="241"/>
      <c r="F108" s="241"/>
      <c r="G108" s="241"/>
      <c r="H108" s="241"/>
      <c r="I108" s="241"/>
      <c r="J108" s="241"/>
    </row>
    <row r="109" spans="2:10" ht="15" x14ac:dyDescent="0.2">
      <c r="B109" s="241"/>
      <c r="C109" s="241"/>
      <c r="D109" s="241"/>
      <c r="E109" s="241"/>
      <c r="F109" s="241"/>
      <c r="G109" s="241"/>
      <c r="H109" s="241"/>
      <c r="I109" s="241"/>
      <c r="J109" s="241"/>
    </row>
  </sheetData>
  <mergeCells count="3">
    <mergeCell ref="B2:D2"/>
    <mergeCell ref="B7:E7"/>
    <mergeCell ref="B5:C5"/>
  </mergeCells>
  <pageMargins left="0.35433070866141736" right="0.35433070866141736" top="0.59055118110236227" bottom="0.59055118110236227" header="0.51181102362204722" footer="0.11811023622047245"/>
  <pageSetup paperSize="9" scale="75" fitToHeight="100" orientation="landscape" r:id="rId1"/>
  <headerFooter scaleWithDoc="0" alignWithMargins="0">
    <oddFooter>&amp;L&amp;8&amp;D&amp;C&amp;8&amp; Template: &amp;A
&amp;F&amp;R&amp;8&amp;P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18"/>
  <sheetViews>
    <sheetView zoomScaleNormal="100" zoomScaleSheetLayoutView="100" workbookViewId="0">
      <selection activeCell="D14" sqref="D14"/>
    </sheetView>
  </sheetViews>
  <sheetFormatPr defaultRowHeight="12.75" x14ac:dyDescent="0.2"/>
  <cols>
    <col min="1" max="1" width="11.7109375" style="187" customWidth="1"/>
    <col min="2" max="2" width="19.85546875" style="187" customWidth="1"/>
    <col min="3" max="3" width="61.5703125" style="187" customWidth="1"/>
    <col min="4" max="10" width="15.7109375" style="187" customWidth="1"/>
    <col min="11" max="11" width="3" style="187" customWidth="1"/>
    <col min="12" max="256" width="9.140625" style="187"/>
    <col min="257" max="257" width="11.7109375" style="187" customWidth="1"/>
    <col min="258" max="258" width="19.85546875" style="187" customWidth="1"/>
    <col min="259" max="259" width="61.5703125" style="187" customWidth="1"/>
    <col min="260" max="262" width="20.7109375" style="187" customWidth="1"/>
    <col min="263" max="263" width="22.140625" style="187" customWidth="1"/>
    <col min="264" max="266" width="20.7109375" style="187" customWidth="1"/>
    <col min="267" max="267" width="3" style="187" customWidth="1"/>
    <col min="268" max="512" width="9.140625" style="187"/>
    <col min="513" max="513" width="11.7109375" style="187" customWidth="1"/>
    <col min="514" max="514" width="19.85546875" style="187" customWidth="1"/>
    <col min="515" max="515" width="61.5703125" style="187" customWidth="1"/>
    <col min="516" max="518" width="20.7109375" style="187" customWidth="1"/>
    <col min="519" max="519" width="22.140625" style="187" customWidth="1"/>
    <col min="520" max="522" width="20.7109375" style="187" customWidth="1"/>
    <col min="523" max="523" width="3" style="187" customWidth="1"/>
    <col min="524" max="768" width="9.140625" style="187"/>
    <col min="769" max="769" width="11.7109375" style="187" customWidth="1"/>
    <col min="770" max="770" width="19.85546875" style="187" customWidth="1"/>
    <col min="771" max="771" width="61.5703125" style="187" customWidth="1"/>
    <col min="772" max="774" width="20.7109375" style="187" customWidth="1"/>
    <col min="775" max="775" width="22.140625" style="187" customWidth="1"/>
    <col min="776" max="778" width="20.7109375" style="187" customWidth="1"/>
    <col min="779" max="779" width="3" style="187" customWidth="1"/>
    <col min="780" max="1024" width="9.140625" style="187"/>
    <col min="1025" max="1025" width="11.7109375" style="187" customWidth="1"/>
    <col min="1026" max="1026" width="19.85546875" style="187" customWidth="1"/>
    <col min="1027" max="1027" width="61.5703125" style="187" customWidth="1"/>
    <col min="1028" max="1030" width="20.7109375" style="187" customWidth="1"/>
    <col min="1031" max="1031" width="22.140625" style="187" customWidth="1"/>
    <col min="1032" max="1034" width="20.7109375" style="187" customWidth="1"/>
    <col min="1035" max="1035" width="3" style="187" customWidth="1"/>
    <col min="1036" max="1280" width="9.140625" style="187"/>
    <col min="1281" max="1281" width="11.7109375" style="187" customWidth="1"/>
    <col min="1282" max="1282" width="19.85546875" style="187" customWidth="1"/>
    <col min="1283" max="1283" width="61.5703125" style="187" customWidth="1"/>
    <col min="1284" max="1286" width="20.7109375" style="187" customWidth="1"/>
    <col min="1287" max="1287" width="22.140625" style="187" customWidth="1"/>
    <col min="1288" max="1290" width="20.7109375" style="187" customWidth="1"/>
    <col min="1291" max="1291" width="3" style="187" customWidth="1"/>
    <col min="1292" max="1536" width="9.140625" style="187"/>
    <col min="1537" max="1537" width="11.7109375" style="187" customWidth="1"/>
    <col min="1538" max="1538" width="19.85546875" style="187" customWidth="1"/>
    <col min="1539" max="1539" width="61.5703125" style="187" customWidth="1"/>
    <col min="1540" max="1542" width="20.7109375" style="187" customWidth="1"/>
    <col min="1543" max="1543" width="22.140625" style="187" customWidth="1"/>
    <col min="1544" max="1546" width="20.7109375" style="187" customWidth="1"/>
    <col min="1547" max="1547" width="3" style="187" customWidth="1"/>
    <col min="1548" max="1792" width="9.140625" style="187"/>
    <col min="1793" max="1793" width="11.7109375" style="187" customWidth="1"/>
    <col min="1794" max="1794" width="19.85546875" style="187" customWidth="1"/>
    <col min="1795" max="1795" width="61.5703125" style="187" customWidth="1"/>
    <col min="1796" max="1798" width="20.7109375" style="187" customWidth="1"/>
    <col min="1799" max="1799" width="22.140625" style="187" customWidth="1"/>
    <col min="1800" max="1802" width="20.7109375" style="187" customWidth="1"/>
    <col min="1803" max="1803" width="3" style="187" customWidth="1"/>
    <col min="1804" max="2048" width="9.140625" style="187"/>
    <col min="2049" max="2049" width="11.7109375" style="187" customWidth="1"/>
    <col min="2050" max="2050" width="19.85546875" style="187" customWidth="1"/>
    <col min="2051" max="2051" width="61.5703125" style="187" customWidth="1"/>
    <col min="2052" max="2054" width="20.7109375" style="187" customWidth="1"/>
    <col min="2055" max="2055" width="22.140625" style="187" customWidth="1"/>
    <col min="2056" max="2058" width="20.7109375" style="187" customWidth="1"/>
    <col min="2059" max="2059" width="3" style="187" customWidth="1"/>
    <col min="2060" max="2304" width="9.140625" style="187"/>
    <col min="2305" max="2305" width="11.7109375" style="187" customWidth="1"/>
    <col min="2306" max="2306" width="19.85546875" style="187" customWidth="1"/>
    <col min="2307" max="2307" width="61.5703125" style="187" customWidth="1"/>
    <col min="2308" max="2310" width="20.7109375" style="187" customWidth="1"/>
    <col min="2311" max="2311" width="22.140625" style="187" customWidth="1"/>
    <col min="2312" max="2314" width="20.7109375" style="187" customWidth="1"/>
    <col min="2315" max="2315" width="3" style="187" customWidth="1"/>
    <col min="2316" max="2560" width="9.140625" style="187"/>
    <col min="2561" max="2561" width="11.7109375" style="187" customWidth="1"/>
    <col min="2562" max="2562" width="19.85546875" style="187" customWidth="1"/>
    <col min="2563" max="2563" width="61.5703125" style="187" customWidth="1"/>
    <col min="2564" max="2566" width="20.7109375" style="187" customWidth="1"/>
    <col min="2567" max="2567" width="22.140625" style="187" customWidth="1"/>
    <col min="2568" max="2570" width="20.7109375" style="187" customWidth="1"/>
    <col min="2571" max="2571" width="3" style="187" customWidth="1"/>
    <col min="2572" max="2816" width="9.140625" style="187"/>
    <col min="2817" max="2817" width="11.7109375" style="187" customWidth="1"/>
    <col min="2818" max="2818" width="19.85546875" style="187" customWidth="1"/>
    <col min="2819" max="2819" width="61.5703125" style="187" customWidth="1"/>
    <col min="2820" max="2822" width="20.7109375" style="187" customWidth="1"/>
    <col min="2823" max="2823" width="22.140625" style="187" customWidth="1"/>
    <col min="2824" max="2826" width="20.7109375" style="187" customWidth="1"/>
    <col min="2827" max="2827" width="3" style="187" customWidth="1"/>
    <col min="2828" max="3072" width="9.140625" style="187"/>
    <col min="3073" max="3073" width="11.7109375" style="187" customWidth="1"/>
    <col min="3074" max="3074" width="19.85546875" style="187" customWidth="1"/>
    <col min="3075" max="3075" width="61.5703125" style="187" customWidth="1"/>
    <col min="3076" max="3078" width="20.7109375" style="187" customWidth="1"/>
    <col min="3079" max="3079" width="22.140625" style="187" customWidth="1"/>
    <col min="3080" max="3082" width="20.7109375" style="187" customWidth="1"/>
    <col min="3083" max="3083" width="3" style="187" customWidth="1"/>
    <col min="3084" max="3328" width="9.140625" style="187"/>
    <col min="3329" max="3329" width="11.7109375" style="187" customWidth="1"/>
    <col min="3330" max="3330" width="19.85546875" style="187" customWidth="1"/>
    <col min="3331" max="3331" width="61.5703125" style="187" customWidth="1"/>
    <col min="3332" max="3334" width="20.7109375" style="187" customWidth="1"/>
    <col min="3335" max="3335" width="22.140625" style="187" customWidth="1"/>
    <col min="3336" max="3338" width="20.7109375" style="187" customWidth="1"/>
    <col min="3339" max="3339" width="3" style="187" customWidth="1"/>
    <col min="3340" max="3584" width="9.140625" style="187"/>
    <col min="3585" max="3585" width="11.7109375" style="187" customWidth="1"/>
    <col min="3586" max="3586" width="19.85546875" style="187" customWidth="1"/>
    <col min="3587" max="3587" width="61.5703125" style="187" customWidth="1"/>
    <col min="3588" max="3590" width="20.7109375" style="187" customWidth="1"/>
    <col min="3591" max="3591" width="22.140625" style="187" customWidth="1"/>
    <col min="3592" max="3594" width="20.7109375" style="187" customWidth="1"/>
    <col min="3595" max="3595" width="3" style="187" customWidth="1"/>
    <col min="3596" max="3840" width="9.140625" style="187"/>
    <col min="3841" max="3841" width="11.7109375" style="187" customWidth="1"/>
    <col min="3842" max="3842" width="19.85546875" style="187" customWidth="1"/>
    <col min="3843" max="3843" width="61.5703125" style="187" customWidth="1"/>
    <col min="3844" max="3846" width="20.7109375" style="187" customWidth="1"/>
    <col min="3847" max="3847" width="22.140625" style="187" customWidth="1"/>
    <col min="3848" max="3850" width="20.7109375" style="187" customWidth="1"/>
    <col min="3851" max="3851" width="3" style="187" customWidth="1"/>
    <col min="3852" max="4096" width="9.140625" style="187"/>
    <col min="4097" max="4097" width="11.7109375" style="187" customWidth="1"/>
    <col min="4098" max="4098" width="19.85546875" style="187" customWidth="1"/>
    <col min="4099" max="4099" width="61.5703125" style="187" customWidth="1"/>
    <col min="4100" max="4102" width="20.7109375" style="187" customWidth="1"/>
    <col min="4103" max="4103" width="22.140625" style="187" customWidth="1"/>
    <col min="4104" max="4106" width="20.7109375" style="187" customWidth="1"/>
    <col min="4107" max="4107" width="3" style="187" customWidth="1"/>
    <col min="4108" max="4352" width="9.140625" style="187"/>
    <col min="4353" max="4353" width="11.7109375" style="187" customWidth="1"/>
    <col min="4354" max="4354" width="19.85546875" style="187" customWidth="1"/>
    <col min="4355" max="4355" width="61.5703125" style="187" customWidth="1"/>
    <col min="4356" max="4358" width="20.7109375" style="187" customWidth="1"/>
    <col min="4359" max="4359" width="22.140625" style="187" customWidth="1"/>
    <col min="4360" max="4362" width="20.7109375" style="187" customWidth="1"/>
    <col min="4363" max="4363" width="3" style="187" customWidth="1"/>
    <col min="4364" max="4608" width="9.140625" style="187"/>
    <col min="4609" max="4609" width="11.7109375" style="187" customWidth="1"/>
    <col min="4610" max="4610" width="19.85546875" style="187" customWidth="1"/>
    <col min="4611" max="4611" width="61.5703125" style="187" customWidth="1"/>
    <col min="4612" max="4614" width="20.7109375" style="187" customWidth="1"/>
    <col min="4615" max="4615" width="22.140625" style="187" customWidth="1"/>
    <col min="4616" max="4618" width="20.7109375" style="187" customWidth="1"/>
    <col min="4619" max="4619" width="3" style="187" customWidth="1"/>
    <col min="4620" max="4864" width="9.140625" style="187"/>
    <col min="4865" max="4865" width="11.7109375" style="187" customWidth="1"/>
    <col min="4866" max="4866" width="19.85546875" style="187" customWidth="1"/>
    <col min="4867" max="4867" width="61.5703125" style="187" customWidth="1"/>
    <col min="4868" max="4870" width="20.7109375" style="187" customWidth="1"/>
    <col min="4871" max="4871" width="22.140625" style="187" customWidth="1"/>
    <col min="4872" max="4874" width="20.7109375" style="187" customWidth="1"/>
    <col min="4875" max="4875" width="3" style="187" customWidth="1"/>
    <col min="4876" max="5120" width="9.140625" style="187"/>
    <col min="5121" max="5121" width="11.7109375" style="187" customWidth="1"/>
    <col min="5122" max="5122" width="19.85546875" style="187" customWidth="1"/>
    <col min="5123" max="5123" width="61.5703125" style="187" customWidth="1"/>
    <col min="5124" max="5126" width="20.7109375" style="187" customWidth="1"/>
    <col min="5127" max="5127" width="22.140625" style="187" customWidth="1"/>
    <col min="5128" max="5130" width="20.7109375" style="187" customWidth="1"/>
    <col min="5131" max="5131" width="3" style="187" customWidth="1"/>
    <col min="5132" max="5376" width="9.140625" style="187"/>
    <col min="5377" max="5377" width="11.7109375" style="187" customWidth="1"/>
    <col min="5378" max="5378" width="19.85546875" style="187" customWidth="1"/>
    <col min="5379" max="5379" width="61.5703125" style="187" customWidth="1"/>
    <col min="5380" max="5382" width="20.7109375" style="187" customWidth="1"/>
    <col min="5383" max="5383" width="22.140625" style="187" customWidth="1"/>
    <col min="5384" max="5386" width="20.7109375" style="187" customWidth="1"/>
    <col min="5387" max="5387" width="3" style="187" customWidth="1"/>
    <col min="5388" max="5632" width="9.140625" style="187"/>
    <col min="5633" max="5633" width="11.7109375" style="187" customWidth="1"/>
    <col min="5634" max="5634" width="19.85546875" style="187" customWidth="1"/>
    <col min="5635" max="5635" width="61.5703125" style="187" customWidth="1"/>
    <col min="5636" max="5638" width="20.7109375" style="187" customWidth="1"/>
    <col min="5639" max="5639" width="22.140625" style="187" customWidth="1"/>
    <col min="5640" max="5642" width="20.7109375" style="187" customWidth="1"/>
    <col min="5643" max="5643" width="3" style="187" customWidth="1"/>
    <col min="5644" max="5888" width="9.140625" style="187"/>
    <col min="5889" max="5889" width="11.7109375" style="187" customWidth="1"/>
    <col min="5890" max="5890" width="19.85546875" style="187" customWidth="1"/>
    <col min="5891" max="5891" width="61.5703125" style="187" customWidth="1"/>
    <col min="5892" max="5894" width="20.7109375" style="187" customWidth="1"/>
    <col min="5895" max="5895" width="22.140625" style="187" customWidth="1"/>
    <col min="5896" max="5898" width="20.7109375" style="187" customWidth="1"/>
    <col min="5899" max="5899" width="3" style="187" customWidth="1"/>
    <col min="5900" max="6144" width="9.140625" style="187"/>
    <col min="6145" max="6145" width="11.7109375" style="187" customWidth="1"/>
    <col min="6146" max="6146" width="19.85546875" style="187" customWidth="1"/>
    <col min="6147" max="6147" width="61.5703125" style="187" customWidth="1"/>
    <col min="6148" max="6150" width="20.7109375" style="187" customWidth="1"/>
    <col min="6151" max="6151" width="22.140625" style="187" customWidth="1"/>
    <col min="6152" max="6154" width="20.7109375" style="187" customWidth="1"/>
    <col min="6155" max="6155" width="3" style="187" customWidth="1"/>
    <col min="6156" max="6400" width="9.140625" style="187"/>
    <col min="6401" max="6401" width="11.7109375" style="187" customWidth="1"/>
    <col min="6402" max="6402" width="19.85546875" style="187" customWidth="1"/>
    <col min="6403" max="6403" width="61.5703125" style="187" customWidth="1"/>
    <col min="6404" max="6406" width="20.7109375" style="187" customWidth="1"/>
    <col min="6407" max="6407" width="22.140625" style="187" customWidth="1"/>
    <col min="6408" max="6410" width="20.7109375" style="187" customWidth="1"/>
    <col min="6411" max="6411" width="3" style="187" customWidth="1"/>
    <col min="6412" max="6656" width="9.140625" style="187"/>
    <col min="6657" max="6657" width="11.7109375" style="187" customWidth="1"/>
    <col min="6658" max="6658" width="19.85546875" style="187" customWidth="1"/>
    <col min="6659" max="6659" width="61.5703125" style="187" customWidth="1"/>
    <col min="6660" max="6662" width="20.7109375" style="187" customWidth="1"/>
    <col min="6663" max="6663" width="22.140625" style="187" customWidth="1"/>
    <col min="6664" max="6666" width="20.7109375" style="187" customWidth="1"/>
    <col min="6667" max="6667" width="3" style="187" customWidth="1"/>
    <col min="6668" max="6912" width="9.140625" style="187"/>
    <col min="6913" max="6913" width="11.7109375" style="187" customWidth="1"/>
    <col min="6914" max="6914" width="19.85546875" style="187" customWidth="1"/>
    <col min="6915" max="6915" width="61.5703125" style="187" customWidth="1"/>
    <col min="6916" max="6918" width="20.7109375" style="187" customWidth="1"/>
    <col min="6919" max="6919" width="22.140625" style="187" customWidth="1"/>
    <col min="6920" max="6922" width="20.7109375" style="187" customWidth="1"/>
    <col min="6923" max="6923" width="3" style="187" customWidth="1"/>
    <col min="6924" max="7168" width="9.140625" style="187"/>
    <col min="7169" max="7169" width="11.7109375" style="187" customWidth="1"/>
    <col min="7170" max="7170" width="19.85546875" style="187" customWidth="1"/>
    <col min="7171" max="7171" width="61.5703125" style="187" customWidth="1"/>
    <col min="7172" max="7174" width="20.7109375" style="187" customWidth="1"/>
    <col min="7175" max="7175" width="22.140625" style="187" customWidth="1"/>
    <col min="7176" max="7178" width="20.7109375" style="187" customWidth="1"/>
    <col min="7179" max="7179" width="3" style="187" customWidth="1"/>
    <col min="7180" max="7424" width="9.140625" style="187"/>
    <col min="7425" max="7425" width="11.7109375" style="187" customWidth="1"/>
    <col min="7426" max="7426" width="19.85546875" style="187" customWidth="1"/>
    <col min="7427" max="7427" width="61.5703125" style="187" customWidth="1"/>
    <col min="7428" max="7430" width="20.7109375" style="187" customWidth="1"/>
    <col min="7431" max="7431" width="22.140625" style="187" customWidth="1"/>
    <col min="7432" max="7434" width="20.7109375" style="187" customWidth="1"/>
    <col min="7435" max="7435" width="3" style="187" customWidth="1"/>
    <col min="7436" max="7680" width="9.140625" style="187"/>
    <col min="7681" max="7681" width="11.7109375" style="187" customWidth="1"/>
    <col min="7682" max="7682" width="19.85546875" style="187" customWidth="1"/>
    <col min="7683" max="7683" width="61.5703125" style="187" customWidth="1"/>
    <col min="7684" max="7686" width="20.7109375" style="187" customWidth="1"/>
    <col min="7687" max="7687" width="22.140625" style="187" customWidth="1"/>
    <col min="7688" max="7690" width="20.7109375" style="187" customWidth="1"/>
    <col min="7691" max="7691" width="3" style="187" customWidth="1"/>
    <col min="7692" max="7936" width="9.140625" style="187"/>
    <col min="7937" max="7937" width="11.7109375" style="187" customWidth="1"/>
    <col min="7938" max="7938" width="19.85546875" style="187" customWidth="1"/>
    <col min="7939" max="7939" width="61.5703125" style="187" customWidth="1"/>
    <col min="7940" max="7942" width="20.7109375" style="187" customWidth="1"/>
    <col min="7943" max="7943" width="22.140625" style="187" customWidth="1"/>
    <col min="7944" max="7946" width="20.7109375" style="187" customWidth="1"/>
    <col min="7947" max="7947" width="3" style="187" customWidth="1"/>
    <col min="7948" max="8192" width="9.140625" style="187"/>
    <col min="8193" max="8193" width="11.7109375" style="187" customWidth="1"/>
    <col min="8194" max="8194" width="19.85546875" style="187" customWidth="1"/>
    <col min="8195" max="8195" width="61.5703125" style="187" customWidth="1"/>
    <col min="8196" max="8198" width="20.7109375" style="187" customWidth="1"/>
    <col min="8199" max="8199" width="22.140625" style="187" customWidth="1"/>
    <col min="8200" max="8202" width="20.7109375" style="187" customWidth="1"/>
    <col min="8203" max="8203" width="3" style="187" customWidth="1"/>
    <col min="8204" max="8448" width="9.140625" style="187"/>
    <col min="8449" max="8449" width="11.7109375" style="187" customWidth="1"/>
    <col min="8450" max="8450" width="19.85546875" style="187" customWidth="1"/>
    <col min="8451" max="8451" width="61.5703125" style="187" customWidth="1"/>
    <col min="8452" max="8454" width="20.7109375" style="187" customWidth="1"/>
    <col min="8455" max="8455" width="22.140625" style="187" customWidth="1"/>
    <col min="8456" max="8458" width="20.7109375" style="187" customWidth="1"/>
    <col min="8459" max="8459" width="3" style="187" customWidth="1"/>
    <col min="8460" max="8704" width="9.140625" style="187"/>
    <col min="8705" max="8705" width="11.7109375" style="187" customWidth="1"/>
    <col min="8706" max="8706" width="19.85546875" style="187" customWidth="1"/>
    <col min="8707" max="8707" width="61.5703125" style="187" customWidth="1"/>
    <col min="8708" max="8710" width="20.7109375" style="187" customWidth="1"/>
    <col min="8711" max="8711" width="22.140625" style="187" customWidth="1"/>
    <col min="8712" max="8714" width="20.7109375" style="187" customWidth="1"/>
    <col min="8715" max="8715" width="3" style="187" customWidth="1"/>
    <col min="8716" max="8960" width="9.140625" style="187"/>
    <col min="8961" max="8961" width="11.7109375" style="187" customWidth="1"/>
    <col min="8962" max="8962" width="19.85546875" style="187" customWidth="1"/>
    <col min="8963" max="8963" width="61.5703125" style="187" customWidth="1"/>
    <col min="8964" max="8966" width="20.7109375" style="187" customWidth="1"/>
    <col min="8967" max="8967" width="22.140625" style="187" customWidth="1"/>
    <col min="8968" max="8970" width="20.7109375" style="187" customWidth="1"/>
    <col min="8971" max="8971" width="3" style="187" customWidth="1"/>
    <col min="8972" max="9216" width="9.140625" style="187"/>
    <col min="9217" max="9217" width="11.7109375" style="187" customWidth="1"/>
    <col min="9218" max="9218" width="19.85546875" style="187" customWidth="1"/>
    <col min="9219" max="9219" width="61.5703125" style="187" customWidth="1"/>
    <col min="9220" max="9222" width="20.7109375" style="187" customWidth="1"/>
    <col min="9223" max="9223" width="22.140625" style="187" customWidth="1"/>
    <col min="9224" max="9226" width="20.7109375" style="187" customWidth="1"/>
    <col min="9227" max="9227" width="3" style="187" customWidth="1"/>
    <col min="9228" max="9472" width="9.140625" style="187"/>
    <col min="9473" max="9473" width="11.7109375" style="187" customWidth="1"/>
    <col min="9474" max="9474" width="19.85546875" style="187" customWidth="1"/>
    <col min="9475" max="9475" width="61.5703125" style="187" customWidth="1"/>
    <col min="9476" max="9478" width="20.7109375" style="187" customWidth="1"/>
    <col min="9479" max="9479" width="22.140625" style="187" customWidth="1"/>
    <col min="9480" max="9482" width="20.7109375" style="187" customWidth="1"/>
    <col min="9483" max="9483" width="3" style="187" customWidth="1"/>
    <col min="9484" max="9728" width="9.140625" style="187"/>
    <col min="9729" max="9729" width="11.7109375" style="187" customWidth="1"/>
    <col min="9730" max="9730" width="19.85546875" style="187" customWidth="1"/>
    <col min="9731" max="9731" width="61.5703125" style="187" customWidth="1"/>
    <col min="9732" max="9734" width="20.7109375" style="187" customWidth="1"/>
    <col min="9735" max="9735" width="22.140625" style="187" customWidth="1"/>
    <col min="9736" max="9738" width="20.7109375" style="187" customWidth="1"/>
    <col min="9739" max="9739" width="3" style="187" customWidth="1"/>
    <col min="9740" max="9984" width="9.140625" style="187"/>
    <col min="9985" max="9985" width="11.7109375" style="187" customWidth="1"/>
    <col min="9986" max="9986" width="19.85546875" style="187" customWidth="1"/>
    <col min="9987" max="9987" width="61.5703125" style="187" customWidth="1"/>
    <col min="9988" max="9990" width="20.7109375" style="187" customWidth="1"/>
    <col min="9991" max="9991" width="22.140625" style="187" customWidth="1"/>
    <col min="9992" max="9994" width="20.7109375" style="187" customWidth="1"/>
    <col min="9995" max="9995" width="3" style="187" customWidth="1"/>
    <col min="9996" max="10240" width="9.140625" style="187"/>
    <col min="10241" max="10241" width="11.7109375" style="187" customWidth="1"/>
    <col min="10242" max="10242" width="19.85546875" style="187" customWidth="1"/>
    <col min="10243" max="10243" width="61.5703125" style="187" customWidth="1"/>
    <col min="10244" max="10246" width="20.7109375" style="187" customWidth="1"/>
    <col min="10247" max="10247" width="22.140625" style="187" customWidth="1"/>
    <col min="10248" max="10250" width="20.7109375" style="187" customWidth="1"/>
    <col min="10251" max="10251" width="3" style="187" customWidth="1"/>
    <col min="10252" max="10496" width="9.140625" style="187"/>
    <col min="10497" max="10497" width="11.7109375" style="187" customWidth="1"/>
    <col min="10498" max="10498" width="19.85546875" style="187" customWidth="1"/>
    <col min="10499" max="10499" width="61.5703125" style="187" customWidth="1"/>
    <col min="10500" max="10502" width="20.7109375" style="187" customWidth="1"/>
    <col min="10503" max="10503" width="22.140625" style="187" customWidth="1"/>
    <col min="10504" max="10506" width="20.7109375" style="187" customWidth="1"/>
    <col min="10507" max="10507" width="3" style="187" customWidth="1"/>
    <col min="10508" max="10752" width="9.140625" style="187"/>
    <col min="10753" max="10753" width="11.7109375" style="187" customWidth="1"/>
    <col min="10754" max="10754" width="19.85546875" style="187" customWidth="1"/>
    <col min="10755" max="10755" width="61.5703125" style="187" customWidth="1"/>
    <col min="10756" max="10758" width="20.7109375" style="187" customWidth="1"/>
    <col min="10759" max="10759" width="22.140625" style="187" customWidth="1"/>
    <col min="10760" max="10762" width="20.7109375" style="187" customWidth="1"/>
    <col min="10763" max="10763" width="3" style="187" customWidth="1"/>
    <col min="10764" max="11008" width="9.140625" style="187"/>
    <col min="11009" max="11009" width="11.7109375" style="187" customWidth="1"/>
    <col min="11010" max="11010" width="19.85546875" style="187" customWidth="1"/>
    <col min="11011" max="11011" width="61.5703125" style="187" customWidth="1"/>
    <col min="11012" max="11014" width="20.7109375" style="187" customWidth="1"/>
    <col min="11015" max="11015" width="22.140625" style="187" customWidth="1"/>
    <col min="11016" max="11018" width="20.7109375" style="187" customWidth="1"/>
    <col min="11019" max="11019" width="3" style="187" customWidth="1"/>
    <col min="11020" max="11264" width="9.140625" style="187"/>
    <col min="11265" max="11265" width="11.7109375" style="187" customWidth="1"/>
    <col min="11266" max="11266" width="19.85546875" style="187" customWidth="1"/>
    <col min="11267" max="11267" width="61.5703125" style="187" customWidth="1"/>
    <col min="11268" max="11270" width="20.7109375" style="187" customWidth="1"/>
    <col min="11271" max="11271" width="22.140625" style="187" customWidth="1"/>
    <col min="11272" max="11274" width="20.7109375" style="187" customWidth="1"/>
    <col min="11275" max="11275" width="3" style="187" customWidth="1"/>
    <col min="11276" max="11520" width="9.140625" style="187"/>
    <col min="11521" max="11521" width="11.7109375" style="187" customWidth="1"/>
    <col min="11522" max="11522" width="19.85546875" style="187" customWidth="1"/>
    <col min="11523" max="11523" width="61.5703125" style="187" customWidth="1"/>
    <col min="11524" max="11526" width="20.7109375" style="187" customWidth="1"/>
    <col min="11527" max="11527" width="22.140625" style="187" customWidth="1"/>
    <col min="11528" max="11530" width="20.7109375" style="187" customWidth="1"/>
    <col min="11531" max="11531" width="3" style="187" customWidth="1"/>
    <col min="11532" max="11776" width="9.140625" style="187"/>
    <col min="11777" max="11777" width="11.7109375" style="187" customWidth="1"/>
    <col min="11778" max="11778" width="19.85546875" style="187" customWidth="1"/>
    <col min="11779" max="11779" width="61.5703125" style="187" customWidth="1"/>
    <col min="11780" max="11782" width="20.7109375" style="187" customWidth="1"/>
    <col min="11783" max="11783" width="22.140625" style="187" customWidth="1"/>
    <col min="11784" max="11786" width="20.7109375" style="187" customWidth="1"/>
    <col min="11787" max="11787" width="3" style="187" customWidth="1"/>
    <col min="11788" max="12032" width="9.140625" style="187"/>
    <col min="12033" max="12033" width="11.7109375" style="187" customWidth="1"/>
    <col min="12034" max="12034" width="19.85546875" style="187" customWidth="1"/>
    <col min="12035" max="12035" width="61.5703125" style="187" customWidth="1"/>
    <col min="12036" max="12038" width="20.7109375" style="187" customWidth="1"/>
    <col min="12039" max="12039" width="22.140625" style="187" customWidth="1"/>
    <col min="12040" max="12042" width="20.7109375" style="187" customWidth="1"/>
    <col min="12043" max="12043" width="3" style="187" customWidth="1"/>
    <col min="12044" max="12288" width="9.140625" style="187"/>
    <col min="12289" max="12289" width="11.7109375" style="187" customWidth="1"/>
    <col min="12290" max="12290" width="19.85546875" style="187" customWidth="1"/>
    <col min="12291" max="12291" width="61.5703125" style="187" customWidth="1"/>
    <col min="12292" max="12294" width="20.7109375" style="187" customWidth="1"/>
    <col min="12295" max="12295" width="22.140625" style="187" customWidth="1"/>
    <col min="12296" max="12298" width="20.7109375" style="187" customWidth="1"/>
    <col min="12299" max="12299" width="3" style="187" customWidth="1"/>
    <col min="12300" max="12544" width="9.140625" style="187"/>
    <col min="12545" max="12545" width="11.7109375" style="187" customWidth="1"/>
    <col min="12546" max="12546" width="19.85546875" style="187" customWidth="1"/>
    <col min="12547" max="12547" width="61.5703125" style="187" customWidth="1"/>
    <col min="12548" max="12550" width="20.7109375" style="187" customWidth="1"/>
    <col min="12551" max="12551" width="22.140625" style="187" customWidth="1"/>
    <col min="12552" max="12554" width="20.7109375" style="187" customWidth="1"/>
    <col min="12555" max="12555" width="3" style="187" customWidth="1"/>
    <col min="12556" max="12800" width="9.140625" style="187"/>
    <col min="12801" max="12801" width="11.7109375" style="187" customWidth="1"/>
    <col min="12802" max="12802" width="19.85546875" style="187" customWidth="1"/>
    <col min="12803" max="12803" width="61.5703125" style="187" customWidth="1"/>
    <col min="12804" max="12806" width="20.7109375" style="187" customWidth="1"/>
    <col min="12807" max="12807" width="22.140625" style="187" customWidth="1"/>
    <col min="12808" max="12810" width="20.7109375" style="187" customWidth="1"/>
    <col min="12811" max="12811" width="3" style="187" customWidth="1"/>
    <col min="12812" max="13056" width="9.140625" style="187"/>
    <col min="13057" max="13057" width="11.7109375" style="187" customWidth="1"/>
    <col min="13058" max="13058" width="19.85546875" style="187" customWidth="1"/>
    <col min="13059" max="13059" width="61.5703125" style="187" customWidth="1"/>
    <col min="13060" max="13062" width="20.7109375" style="187" customWidth="1"/>
    <col min="13063" max="13063" width="22.140625" style="187" customWidth="1"/>
    <col min="13064" max="13066" width="20.7109375" style="187" customWidth="1"/>
    <col min="13067" max="13067" width="3" style="187" customWidth="1"/>
    <col min="13068" max="13312" width="9.140625" style="187"/>
    <col min="13313" max="13313" width="11.7109375" style="187" customWidth="1"/>
    <col min="13314" max="13314" width="19.85546875" style="187" customWidth="1"/>
    <col min="13315" max="13315" width="61.5703125" style="187" customWidth="1"/>
    <col min="13316" max="13318" width="20.7109375" style="187" customWidth="1"/>
    <col min="13319" max="13319" width="22.140625" style="187" customWidth="1"/>
    <col min="13320" max="13322" width="20.7109375" style="187" customWidth="1"/>
    <col min="13323" max="13323" width="3" style="187" customWidth="1"/>
    <col min="13324" max="13568" width="9.140625" style="187"/>
    <col min="13569" max="13569" width="11.7109375" style="187" customWidth="1"/>
    <col min="13570" max="13570" width="19.85546875" style="187" customWidth="1"/>
    <col min="13571" max="13571" width="61.5703125" style="187" customWidth="1"/>
    <col min="13572" max="13574" width="20.7109375" style="187" customWidth="1"/>
    <col min="13575" max="13575" width="22.140625" style="187" customWidth="1"/>
    <col min="13576" max="13578" width="20.7109375" style="187" customWidth="1"/>
    <col min="13579" max="13579" width="3" style="187" customWidth="1"/>
    <col min="13580" max="13824" width="9.140625" style="187"/>
    <col min="13825" max="13825" width="11.7109375" style="187" customWidth="1"/>
    <col min="13826" max="13826" width="19.85546875" style="187" customWidth="1"/>
    <col min="13827" max="13827" width="61.5703125" style="187" customWidth="1"/>
    <col min="13828" max="13830" width="20.7109375" style="187" customWidth="1"/>
    <col min="13831" max="13831" width="22.140625" style="187" customWidth="1"/>
    <col min="13832" max="13834" width="20.7109375" style="187" customWidth="1"/>
    <col min="13835" max="13835" width="3" style="187" customWidth="1"/>
    <col min="13836" max="14080" width="9.140625" style="187"/>
    <col min="14081" max="14081" width="11.7109375" style="187" customWidth="1"/>
    <col min="14082" max="14082" width="19.85546875" style="187" customWidth="1"/>
    <col min="14083" max="14083" width="61.5703125" style="187" customWidth="1"/>
    <col min="14084" max="14086" width="20.7109375" style="187" customWidth="1"/>
    <col min="14087" max="14087" width="22.140625" style="187" customWidth="1"/>
    <col min="14088" max="14090" width="20.7109375" style="187" customWidth="1"/>
    <col min="14091" max="14091" width="3" style="187" customWidth="1"/>
    <col min="14092" max="14336" width="9.140625" style="187"/>
    <col min="14337" max="14337" width="11.7109375" style="187" customWidth="1"/>
    <col min="14338" max="14338" width="19.85546875" style="187" customWidth="1"/>
    <col min="14339" max="14339" width="61.5703125" style="187" customWidth="1"/>
    <col min="14340" max="14342" width="20.7109375" style="187" customWidth="1"/>
    <col min="14343" max="14343" width="22.140625" style="187" customWidth="1"/>
    <col min="14344" max="14346" width="20.7109375" style="187" customWidth="1"/>
    <col min="14347" max="14347" width="3" style="187" customWidth="1"/>
    <col min="14348" max="14592" width="9.140625" style="187"/>
    <col min="14593" max="14593" width="11.7109375" style="187" customWidth="1"/>
    <col min="14594" max="14594" width="19.85546875" style="187" customWidth="1"/>
    <col min="14595" max="14595" width="61.5703125" style="187" customWidth="1"/>
    <col min="14596" max="14598" width="20.7109375" style="187" customWidth="1"/>
    <col min="14599" max="14599" width="22.140625" style="187" customWidth="1"/>
    <col min="14600" max="14602" width="20.7109375" style="187" customWidth="1"/>
    <col min="14603" max="14603" width="3" style="187" customWidth="1"/>
    <col min="14604" max="14848" width="9.140625" style="187"/>
    <col min="14849" max="14849" width="11.7109375" style="187" customWidth="1"/>
    <col min="14850" max="14850" width="19.85546875" style="187" customWidth="1"/>
    <col min="14851" max="14851" width="61.5703125" style="187" customWidth="1"/>
    <col min="14852" max="14854" width="20.7109375" style="187" customWidth="1"/>
    <col min="14855" max="14855" width="22.140625" style="187" customWidth="1"/>
    <col min="14856" max="14858" width="20.7109375" style="187" customWidth="1"/>
    <col min="14859" max="14859" width="3" style="187" customWidth="1"/>
    <col min="14860" max="15104" width="9.140625" style="187"/>
    <col min="15105" max="15105" width="11.7109375" style="187" customWidth="1"/>
    <col min="15106" max="15106" width="19.85546875" style="187" customWidth="1"/>
    <col min="15107" max="15107" width="61.5703125" style="187" customWidth="1"/>
    <col min="15108" max="15110" width="20.7109375" style="187" customWidth="1"/>
    <col min="15111" max="15111" width="22.140625" style="187" customWidth="1"/>
    <col min="15112" max="15114" width="20.7109375" style="187" customWidth="1"/>
    <col min="15115" max="15115" width="3" style="187" customWidth="1"/>
    <col min="15116" max="15360" width="9.140625" style="187"/>
    <col min="15361" max="15361" width="11.7109375" style="187" customWidth="1"/>
    <col min="15362" max="15362" width="19.85546875" style="187" customWidth="1"/>
    <col min="15363" max="15363" width="61.5703125" style="187" customWidth="1"/>
    <col min="15364" max="15366" width="20.7109375" style="187" customWidth="1"/>
    <col min="15367" max="15367" width="22.140625" style="187" customWidth="1"/>
    <col min="15368" max="15370" width="20.7109375" style="187" customWidth="1"/>
    <col min="15371" max="15371" width="3" style="187" customWidth="1"/>
    <col min="15372" max="15616" width="9.140625" style="187"/>
    <col min="15617" max="15617" width="11.7109375" style="187" customWidth="1"/>
    <col min="15618" max="15618" width="19.85546875" style="187" customWidth="1"/>
    <col min="15619" max="15619" width="61.5703125" style="187" customWidth="1"/>
    <col min="15620" max="15622" width="20.7109375" style="187" customWidth="1"/>
    <col min="15623" max="15623" width="22.140625" style="187" customWidth="1"/>
    <col min="15624" max="15626" width="20.7109375" style="187" customWidth="1"/>
    <col min="15627" max="15627" width="3" style="187" customWidth="1"/>
    <col min="15628" max="15872" width="9.140625" style="187"/>
    <col min="15873" max="15873" width="11.7109375" style="187" customWidth="1"/>
    <col min="15874" max="15874" width="19.85546875" style="187" customWidth="1"/>
    <col min="15875" max="15875" width="61.5703125" style="187" customWidth="1"/>
    <col min="15876" max="15878" width="20.7109375" style="187" customWidth="1"/>
    <col min="15879" max="15879" width="22.140625" style="187" customWidth="1"/>
    <col min="15880" max="15882" width="20.7109375" style="187" customWidth="1"/>
    <col min="15883" max="15883" width="3" style="187" customWidth="1"/>
    <col min="15884" max="16128" width="9.140625" style="187"/>
    <col min="16129" max="16129" width="11.7109375" style="187" customWidth="1"/>
    <col min="16130" max="16130" width="19.85546875" style="187" customWidth="1"/>
    <col min="16131" max="16131" width="61.5703125" style="187" customWidth="1"/>
    <col min="16132" max="16134" width="20.7109375" style="187" customWidth="1"/>
    <col min="16135" max="16135" width="22.140625" style="187" customWidth="1"/>
    <col min="16136" max="16138" width="20.7109375" style="187" customWidth="1"/>
    <col min="16139" max="16139" width="3" style="187" customWidth="1"/>
    <col min="16140" max="16384" width="9.140625" style="187"/>
  </cols>
  <sheetData>
    <row r="1" spans="2:15" ht="20.25" x14ac:dyDescent="0.3">
      <c r="B1" s="26" t="str">
        <f>[4]Cover!C22</f>
        <v>ActewAGL</v>
      </c>
      <c r="C1" s="27"/>
    </row>
    <row r="2" spans="2:15" ht="20.25" x14ac:dyDescent="0.3">
      <c r="B2" s="558" t="s">
        <v>223</v>
      </c>
      <c r="C2" s="558"/>
      <c r="D2" s="562"/>
    </row>
    <row r="3" spans="2:15" ht="20.25" x14ac:dyDescent="0.3">
      <c r="B3" s="26" t="str">
        <f>Cover!C26</f>
        <v>2012-13</v>
      </c>
    </row>
    <row r="4" spans="2:15" ht="12.75" customHeight="1" x14ac:dyDescent="0.3">
      <c r="B4" s="242"/>
    </row>
    <row r="5" spans="2:15" ht="54.75" customHeight="1" x14ac:dyDescent="0.2">
      <c r="B5" s="565" t="s">
        <v>256</v>
      </c>
      <c r="C5" s="566"/>
      <c r="D5" s="261"/>
      <c r="E5" s="261"/>
      <c r="F5" s="262"/>
    </row>
    <row r="6" spans="2:15" ht="12.75" customHeight="1" x14ac:dyDescent="0.3">
      <c r="B6" s="242"/>
    </row>
    <row r="7" spans="2:15" ht="12.75" customHeight="1" x14ac:dyDescent="0.2">
      <c r="B7" s="555" t="s">
        <v>224</v>
      </c>
      <c r="C7" s="555"/>
      <c r="D7" s="555"/>
      <c r="E7" s="555"/>
    </row>
    <row r="9" spans="2:15" s="238" customFormat="1" ht="61.5" customHeight="1" x14ac:dyDescent="0.2">
      <c r="B9" s="236" t="s">
        <v>51</v>
      </c>
      <c r="C9" s="194" t="s">
        <v>52</v>
      </c>
      <c r="D9" s="195" t="s">
        <v>217</v>
      </c>
      <c r="E9" s="199" t="s">
        <v>54</v>
      </c>
      <c r="F9" s="214" t="s">
        <v>65</v>
      </c>
      <c r="G9" s="197" t="s">
        <v>73</v>
      </c>
      <c r="H9" s="198" t="s">
        <v>74</v>
      </c>
      <c r="I9" s="199" t="s">
        <v>66</v>
      </c>
      <c r="J9" s="243" t="s">
        <v>67</v>
      </c>
      <c r="K9" s="235"/>
      <c r="N9" s="235"/>
      <c r="O9" s="235"/>
    </row>
    <row r="10" spans="2:15" s="238" customFormat="1" ht="28.5" customHeight="1" x14ac:dyDescent="0.2">
      <c r="B10" s="236"/>
      <c r="C10" s="194"/>
      <c r="D10" s="244"/>
      <c r="E10" s="245"/>
      <c r="F10" s="245"/>
      <c r="G10" s="246"/>
      <c r="H10" s="198" t="s">
        <v>106</v>
      </c>
      <c r="I10" s="245"/>
      <c r="J10" s="247"/>
      <c r="K10" s="235"/>
      <c r="N10" s="235"/>
      <c r="O10" s="235"/>
    </row>
    <row r="11" spans="2:15" s="235" customFormat="1" ht="14.1" customHeight="1" x14ac:dyDescent="0.2">
      <c r="B11" s="359"/>
      <c r="C11" s="248" t="s">
        <v>225</v>
      </c>
      <c r="D11" s="28" t="s">
        <v>57</v>
      </c>
      <c r="E11" s="28" t="s">
        <v>57</v>
      </c>
      <c r="F11" s="28" t="s">
        <v>57</v>
      </c>
      <c r="G11" s="28" t="s">
        <v>57</v>
      </c>
      <c r="H11" s="28" t="s">
        <v>57</v>
      </c>
      <c r="I11" s="28" t="s">
        <v>57</v>
      </c>
      <c r="J11" s="28" t="s">
        <v>57</v>
      </c>
    </row>
    <row r="12" spans="2:15" s="235" customFormat="1" ht="14.1" customHeight="1" x14ac:dyDescent="0.2">
      <c r="B12" s="360"/>
      <c r="C12" s="240" t="s">
        <v>226</v>
      </c>
      <c r="D12" s="459">
        <f>SUM([5]BS11112!$M$55)</f>
        <v>708020465.66999996</v>
      </c>
      <c r="E12" s="468">
        <f>D12-F12</f>
        <v>218926599.39999998</v>
      </c>
      <c r="F12" s="459">
        <f>SUM([5]BS11112!$E$55)</f>
        <v>489093866.26999998</v>
      </c>
      <c r="G12" s="482"/>
      <c r="H12" s="482"/>
      <c r="I12" s="482"/>
      <c r="J12" s="481"/>
    </row>
    <row r="13" spans="2:15" s="235" customFormat="1" ht="14.1" customHeight="1" x14ac:dyDescent="0.2">
      <c r="B13" s="360"/>
      <c r="C13" s="240" t="s">
        <v>227</v>
      </c>
      <c r="D13" s="466">
        <v>0</v>
      </c>
      <c r="E13" s="466">
        <f t="shared" ref="E13:E14" si="0">D13-F13</f>
        <v>0</v>
      </c>
      <c r="F13" s="466">
        <v>0</v>
      </c>
      <c r="G13" s="482"/>
      <c r="H13" s="481"/>
      <c r="I13" s="483"/>
      <c r="J13" s="483"/>
    </row>
    <row r="14" spans="2:15" s="235" customFormat="1" ht="14.1" customHeight="1" x14ac:dyDescent="0.2">
      <c r="B14" s="360"/>
      <c r="C14" s="240" t="s">
        <v>228</v>
      </c>
      <c r="D14" s="466">
        <v>0</v>
      </c>
      <c r="E14" s="466">
        <f t="shared" si="0"/>
        <v>0</v>
      </c>
      <c r="F14" s="466">
        <v>0</v>
      </c>
      <c r="G14" s="482"/>
      <c r="H14" s="481"/>
      <c r="I14" s="483"/>
      <c r="J14" s="483"/>
    </row>
    <row r="15" spans="2:15" s="235" customFormat="1" ht="14.1" customHeight="1" x14ac:dyDescent="0.2">
      <c r="B15" s="360"/>
      <c r="C15" s="240" t="s">
        <v>229</v>
      </c>
      <c r="D15" s="479">
        <f>SUM(D12:D14)</f>
        <v>708020465.66999996</v>
      </c>
      <c r="E15" s="479">
        <f>SUM(E12:E14)</f>
        <v>218926599.39999998</v>
      </c>
      <c r="F15" s="479">
        <f t="shared" ref="F15:J15" si="1">SUM(F12:F14)</f>
        <v>489093866.26999998</v>
      </c>
      <c r="G15" s="479">
        <f t="shared" si="1"/>
        <v>0</v>
      </c>
      <c r="H15" s="479">
        <f t="shared" si="1"/>
        <v>0</v>
      </c>
      <c r="I15" s="479"/>
      <c r="J15" s="479">
        <f t="shared" si="1"/>
        <v>0</v>
      </c>
    </row>
    <row r="16" spans="2:15" s="235" customFormat="1" ht="14.1" customHeight="1" x14ac:dyDescent="0.2">
      <c r="B16" s="360"/>
      <c r="C16" s="248" t="s">
        <v>230</v>
      </c>
      <c r="D16" s="484"/>
      <c r="E16" s="484"/>
      <c r="F16" s="484"/>
      <c r="G16" s="484"/>
      <c r="H16" s="484"/>
      <c r="I16" s="484"/>
      <c r="J16" s="484"/>
    </row>
    <row r="17" spans="2:11" s="235" customFormat="1" ht="14.1" customHeight="1" x14ac:dyDescent="0.2">
      <c r="B17" s="360"/>
      <c r="C17" s="249" t="s">
        <v>226</v>
      </c>
      <c r="D17" s="466">
        <f>SUM([5]BS11112!$M$56)</f>
        <v>0</v>
      </c>
      <c r="E17" s="466">
        <f t="shared" ref="E17:E19" si="2">D17-F17</f>
        <v>0</v>
      </c>
      <c r="F17" s="466">
        <f>SUM([5]BS11112!$E$56)</f>
        <v>0</v>
      </c>
      <c r="G17" s="485"/>
      <c r="H17" s="481"/>
      <c r="I17" s="483"/>
      <c r="J17" s="483"/>
    </row>
    <row r="18" spans="2:11" s="235" customFormat="1" ht="14.1" customHeight="1" x14ac:dyDescent="0.2">
      <c r="B18" s="360"/>
      <c r="C18" s="249" t="s">
        <v>231</v>
      </c>
      <c r="D18" s="466">
        <v>0</v>
      </c>
      <c r="E18" s="466">
        <f t="shared" si="2"/>
        <v>0</v>
      </c>
      <c r="F18" s="466">
        <v>0</v>
      </c>
      <c r="G18" s="485"/>
      <c r="H18" s="481"/>
      <c r="I18" s="483"/>
      <c r="J18" s="483"/>
    </row>
    <row r="19" spans="2:11" s="235" customFormat="1" ht="14.1" customHeight="1" x14ac:dyDescent="0.2">
      <c r="B19" s="360"/>
      <c r="C19" s="249" t="s">
        <v>58</v>
      </c>
      <c r="D19" s="466">
        <v>0</v>
      </c>
      <c r="E19" s="466">
        <f t="shared" si="2"/>
        <v>0</v>
      </c>
      <c r="F19" s="466">
        <v>0</v>
      </c>
      <c r="G19" s="485"/>
      <c r="H19" s="481"/>
      <c r="I19" s="483"/>
      <c r="J19" s="483"/>
    </row>
    <row r="20" spans="2:11" s="235" customFormat="1" ht="14.1" customHeight="1" x14ac:dyDescent="0.2">
      <c r="B20" s="360"/>
      <c r="C20" s="249" t="s">
        <v>229</v>
      </c>
      <c r="D20" s="479">
        <f>SUM(D17:D19)</f>
        <v>0</v>
      </c>
      <c r="E20" s="479">
        <f t="shared" ref="E20:J20" si="3">SUM(E17:E19)</f>
        <v>0</v>
      </c>
      <c r="F20" s="479">
        <f t="shared" si="3"/>
        <v>0</v>
      </c>
      <c r="G20" s="479">
        <f t="shared" si="3"/>
        <v>0</v>
      </c>
      <c r="H20" s="479">
        <f t="shared" si="3"/>
        <v>0</v>
      </c>
      <c r="I20" s="479"/>
      <c r="J20" s="479">
        <f t="shared" si="3"/>
        <v>0</v>
      </c>
    </row>
    <row r="21" spans="2:11" s="235" customFormat="1" ht="14.1" customHeight="1" x14ac:dyDescent="0.2">
      <c r="B21" s="360"/>
      <c r="C21" s="239" t="s">
        <v>232</v>
      </c>
      <c r="D21" s="484"/>
      <c r="E21" s="484"/>
      <c r="F21" s="484"/>
      <c r="G21" s="484"/>
      <c r="H21" s="484"/>
      <c r="I21" s="484"/>
      <c r="J21" s="484"/>
    </row>
    <row r="22" spans="2:11" s="235" customFormat="1" ht="14.1" customHeight="1" x14ac:dyDescent="0.2">
      <c r="B22" s="360"/>
      <c r="C22" s="240" t="s">
        <v>226</v>
      </c>
      <c r="D22" s="466">
        <f>[5]BS1213!$M$63</f>
        <v>985402248.63</v>
      </c>
      <c r="E22" s="466">
        <f t="shared" ref="E22:E25" si="4">D22-F22</f>
        <v>331537533.30999994</v>
      </c>
      <c r="F22" s="466">
        <f>[5]BS1213!$E$63</f>
        <v>653864715.32000005</v>
      </c>
      <c r="G22" s="482"/>
      <c r="H22" s="481"/>
      <c r="I22" s="481"/>
      <c r="J22" s="481"/>
    </row>
    <row r="23" spans="2:11" s="235" customFormat="1" ht="14.1" customHeight="1" x14ac:dyDescent="0.2">
      <c r="B23" s="360"/>
      <c r="C23" s="240" t="s">
        <v>233</v>
      </c>
      <c r="D23" s="466">
        <f>'1. Income'!D31</f>
        <v>142290770.31999999</v>
      </c>
      <c r="E23" s="466">
        <f t="shared" si="4"/>
        <v>68408879.47999993</v>
      </c>
      <c r="F23" s="466">
        <f>'1. Income'!F31</f>
        <v>73881890.840000063</v>
      </c>
      <c r="G23" s="482"/>
      <c r="H23" s="481"/>
      <c r="I23" s="481"/>
      <c r="J23" s="481"/>
    </row>
    <row r="24" spans="2:11" s="235" customFormat="1" ht="14.1" customHeight="1" x14ac:dyDescent="0.2">
      <c r="B24" s="361"/>
      <c r="C24" s="240" t="s">
        <v>234</v>
      </c>
      <c r="D24" s="466">
        <v>0</v>
      </c>
      <c r="E24" s="466">
        <f t="shared" si="4"/>
        <v>0</v>
      </c>
      <c r="F24" s="466">
        <v>0</v>
      </c>
      <c r="G24" s="482"/>
      <c r="H24" s="481"/>
      <c r="I24" s="481"/>
      <c r="J24" s="481"/>
    </row>
    <row r="25" spans="2:11" s="235" customFormat="1" ht="14.1" customHeight="1" x14ac:dyDescent="0.2">
      <c r="B25" s="361"/>
      <c r="C25" s="240" t="s">
        <v>235</v>
      </c>
      <c r="D25" s="466">
        <f>[5]BS1213!$M$65</f>
        <v>-768656011</v>
      </c>
      <c r="E25" s="466">
        <f t="shared" si="4"/>
        <v>-292082261.87</v>
      </c>
      <c r="F25" s="466">
        <f>[5]BS1213!$E$65</f>
        <v>-476573749.13</v>
      </c>
      <c r="G25" s="482"/>
      <c r="H25" s="481"/>
      <c r="I25" s="481"/>
      <c r="J25" s="481"/>
    </row>
    <row r="26" spans="2:11" s="235" customFormat="1" ht="14.1" customHeight="1" x14ac:dyDescent="0.2">
      <c r="B26" s="361"/>
      <c r="C26" s="240" t="s">
        <v>229</v>
      </c>
      <c r="D26" s="479">
        <f>SUM(D22:D25)</f>
        <v>359037007.95000005</v>
      </c>
      <c r="E26" s="479">
        <f t="shared" ref="E26:J26" si="5">SUM(E22:E25)</f>
        <v>107864150.91999984</v>
      </c>
      <c r="F26" s="479">
        <f t="shared" si="5"/>
        <v>251172857.03000009</v>
      </c>
      <c r="G26" s="479">
        <f t="shared" si="5"/>
        <v>0</v>
      </c>
      <c r="H26" s="479">
        <f t="shared" si="5"/>
        <v>0</v>
      </c>
      <c r="I26" s="479"/>
      <c r="J26" s="479">
        <f t="shared" si="5"/>
        <v>0</v>
      </c>
    </row>
    <row r="27" spans="2:11" s="235" customFormat="1" ht="14.1" customHeight="1" x14ac:dyDescent="0.2">
      <c r="K27" s="187"/>
    </row>
    <row r="28" spans="2:11" ht="15" customHeight="1" x14ac:dyDescent="0.2">
      <c r="B28" s="362" t="s">
        <v>221</v>
      </c>
      <c r="C28" s="363"/>
    </row>
    <row r="29" spans="2:11" ht="15" customHeight="1" x14ac:dyDescent="0.2">
      <c r="B29" s="364" t="s">
        <v>280</v>
      </c>
      <c r="C29" s="365"/>
    </row>
    <row r="30" spans="2:11" x14ac:dyDescent="0.2">
      <c r="B30" s="235"/>
      <c r="C30" s="235"/>
      <c r="D30" s="235"/>
      <c r="E30" s="235"/>
      <c r="F30" s="235"/>
      <c r="G30" s="235"/>
      <c r="H30" s="235"/>
      <c r="I30" s="235"/>
      <c r="J30" s="235"/>
    </row>
    <row r="31" spans="2:11" x14ac:dyDescent="0.2">
      <c r="B31" s="235"/>
      <c r="C31" s="235"/>
      <c r="D31" s="235"/>
      <c r="E31" s="235"/>
      <c r="F31" s="235"/>
      <c r="G31" s="235"/>
      <c r="H31" s="235"/>
      <c r="I31" s="235"/>
      <c r="J31" s="235"/>
    </row>
    <row r="32" spans="2:11" x14ac:dyDescent="0.2">
      <c r="B32" s="235"/>
      <c r="C32" s="235"/>
      <c r="D32" s="235"/>
      <c r="E32" s="235"/>
      <c r="F32" s="235"/>
      <c r="G32" s="235"/>
      <c r="H32" s="235"/>
      <c r="I32" s="235"/>
      <c r="J32" s="235"/>
    </row>
    <row r="33" spans="2:10" x14ac:dyDescent="0.2">
      <c r="B33" s="235"/>
      <c r="C33" s="235"/>
      <c r="D33" s="235"/>
      <c r="E33" s="235"/>
      <c r="F33" s="235"/>
      <c r="G33" s="235"/>
      <c r="H33" s="235"/>
      <c r="I33" s="235"/>
      <c r="J33" s="235"/>
    </row>
    <row r="34" spans="2:10" x14ac:dyDescent="0.2">
      <c r="B34" s="235"/>
      <c r="C34" s="235"/>
      <c r="D34" s="235"/>
      <c r="E34" s="235"/>
      <c r="F34" s="235"/>
      <c r="G34" s="235"/>
      <c r="H34" s="235"/>
      <c r="I34" s="235"/>
      <c r="J34" s="235"/>
    </row>
    <row r="35" spans="2:10" x14ac:dyDescent="0.2">
      <c r="B35" s="235"/>
      <c r="C35" s="235"/>
      <c r="D35" s="235"/>
      <c r="E35" s="235"/>
      <c r="F35" s="235"/>
      <c r="G35" s="235"/>
      <c r="H35" s="235"/>
      <c r="I35" s="235"/>
      <c r="J35" s="235"/>
    </row>
    <row r="36" spans="2:10" x14ac:dyDescent="0.2">
      <c r="B36" s="235"/>
      <c r="C36" s="235"/>
      <c r="D36" s="235"/>
      <c r="E36" s="235"/>
      <c r="F36" s="235"/>
      <c r="G36" s="235"/>
      <c r="H36" s="235"/>
      <c r="I36" s="235"/>
      <c r="J36" s="235"/>
    </row>
    <row r="37" spans="2:10" x14ac:dyDescent="0.2">
      <c r="B37" s="235"/>
      <c r="C37" s="235"/>
      <c r="D37" s="235"/>
      <c r="E37" s="235"/>
      <c r="F37" s="235"/>
      <c r="G37" s="235"/>
      <c r="H37" s="235"/>
      <c r="I37" s="235"/>
      <c r="J37" s="235"/>
    </row>
    <row r="38" spans="2:10" x14ac:dyDescent="0.2">
      <c r="B38" s="235"/>
      <c r="C38" s="235"/>
      <c r="D38" s="235"/>
      <c r="E38" s="235"/>
      <c r="F38" s="235"/>
      <c r="G38" s="235"/>
      <c r="H38" s="235"/>
      <c r="I38" s="235"/>
      <c r="J38" s="235"/>
    </row>
    <row r="39" spans="2:10" x14ac:dyDescent="0.2">
      <c r="B39" s="235"/>
      <c r="C39" s="235"/>
      <c r="D39" s="235"/>
      <c r="E39" s="235"/>
      <c r="F39" s="235"/>
      <c r="G39" s="235"/>
      <c r="H39" s="235"/>
      <c r="I39" s="235"/>
      <c r="J39" s="235"/>
    </row>
    <row r="40" spans="2:10" ht="15" x14ac:dyDescent="0.2">
      <c r="B40" s="241"/>
      <c r="C40" s="241"/>
      <c r="D40" s="241"/>
      <c r="E40" s="241"/>
      <c r="F40" s="241"/>
      <c r="G40" s="241"/>
      <c r="H40" s="241"/>
      <c r="I40" s="241"/>
      <c r="J40" s="241"/>
    </row>
    <row r="41" spans="2:10" ht="15" x14ac:dyDescent="0.2">
      <c r="B41" s="241"/>
      <c r="C41" s="241"/>
      <c r="D41" s="241"/>
      <c r="E41" s="241"/>
      <c r="F41" s="241"/>
      <c r="G41" s="241"/>
      <c r="H41" s="241"/>
      <c r="I41" s="241"/>
      <c r="J41" s="241"/>
    </row>
    <row r="42" spans="2:10" ht="15" x14ac:dyDescent="0.2">
      <c r="B42" s="241"/>
      <c r="C42" s="241"/>
      <c r="D42" s="241"/>
      <c r="E42" s="241"/>
      <c r="F42" s="241"/>
      <c r="G42" s="241"/>
      <c r="H42" s="241"/>
      <c r="I42" s="241"/>
      <c r="J42" s="241"/>
    </row>
    <row r="43" spans="2:10" ht="15" x14ac:dyDescent="0.2">
      <c r="B43" s="241"/>
      <c r="C43" s="241"/>
      <c r="D43" s="241"/>
      <c r="E43" s="241"/>
      <c r="F43" s="241"/>
      <c r="G43" s="241"/>
      <c r="H43" s="241"/>
      <c r="I43" s="241"/>
      <c r="J43" s="241"/>
    </row>
    <row r="44" spans="2:10" ht="15" x14ac:dyDescent="0.2">
      <c r="B44" s="241"/>
      <c r="C44" s="241"/>
      <c r="D44" s="241"/>
      <c r="E44" s="241"/>
      <c r="F44" s="241"/>
      <c r="G44" s="241"/>
      <c r="H44" s="241"/>
      <c r="I44" s="241"/>
      <c r="J44" s="241"/>
    </row>
    <row r="45" spans="2:10" ht="15" x14ac:dyDescent="0.2">
      <c r="B45" s="241"/>
      <c r="C45" s="241"/>
      <c r="D45" s="241"/>
      <c r="E45" s="241"/>
      <c r="F45" s="241"/>
      <c r="G45" s="241"/>
      <c r="H45" s="241"/>
      <c r="I45" s="241"/>
      <c r="J45" s="241"/>
    </row>
    <row r="46" spans="2:10" ht="15" x14ac:dyDescent="0.2">
      <c r="B46" s="241"/>
      <c r="C46" s="241"/>
      <c r="D46" s="241"/>
      <c r="E46" s="241"/>
      <c r="F46" s="241"/>
      <c r="G46" s="241"/>
      <c r="H46" s="241"/>
      <c r="I46" s="241"/>
      <c r="J46" s="241"/>
    </row>
    <row r="47" spans="2:10" ht="15" x14ac:dyDescent="0.2">
      <c r="B47" s="241"/>
      <c r="C47" s="241"/>
      <c r="D47" s="241"/>
      <c r="E47" s="241"/>
      <c r="F47" s="241"/>
      <c r="G47" s="241"/>
      <c r="H47" s="241"/>
      <c r="I47" s="241"/>
      <c r="J47" s="241"/>
    </row>
    <row r="48" spans="2:10" ht="15" x14ac:dyDescent="0.2">
      <c r="B48" s="241"/>
      <c r="C48" s="241"/>
      <c r="D48" s="241"/>
      <c r="E48" s="241"/>
      <c r="F48" s="241"/>
      <c r="G48" s="241"/>
      <c r="H48" s="241"/>
      <c r="I48" s="241"/>
      <c r="J48" s="241"/>
    </row>
    <row r="49" spans="2:10" ht="15" x14ac:dyDescent="0.2">
      <c r="B49" s="241"/>
      <c r="C49" s="241"/>
      <c r="D49" s="241"/>
      <c r="E49" s="241"/>
      <c r="F49" s="241"/>
      <c r="G49" s="241"/>
      <c r="H49" s="241"/>
      <c r="I49" s="241"/>
      <c r="J49" s="241"/>
    </row>
    <row r="50" spans="2:10" ht="15" x14ac:dyDescent="0.2">
      <c r="B50" s="241"/>
      <c r="C50" s="241"/>
      <c r="D50" s="241"/>
      <c r="E50" s="241"/>
      <c r="F50" s="241"/>
      <c r="G50" s="241"/>
      <c r="H50" s="241"/>
      <c r="I50" s="241"/>
      <c r="J50" s="241"/>
    </row>
    <row r="51" spans="2:10" ht="15" x14ac:dyDescent="0.2">
      <c r="B51" s="241"/>
      <c r="C51" s="241"/>
      <c r="D51" s="241"/>
      <c r="E51" s="241"/>
      <c r="F51" s="241"/>
      <c r="G51" s="241"/>
      <c r="H51" s="241"/>
      <c r="I51" s="241"/>
      <c r="J51" s="241"/>
    </row>
    <row r="52" spans="2:10" ht="15" x14ac:dyDescent="0.2">
      <c r="B52" s="241"/>
      <c r="C52" s="241"/>
      <c r="D52" s="241"/>
      <c r="E52" s="241"/>
      <c r="F52" s="241"/>
      <c r="G52" s="241"/>
      <c r="H52" s="241"/>
      <c r="I52" s="241"/>
      <c r="J52" s="241"/>
    </row>
    <row r="53" spans="2:10" ht="15" x14ac:dyDescent="0.2">
      <c r="B53" s="241"/>
      <c r="C53" s="241"/>
      <c r="D53" s="241"/>
      <c r="E53" s="241"/>
      <c r="F53" s="241"/>
      <c r="G53" s="241"/>
      <c r="H53" s="241"/>
      <c r="I53" s="241"/>
      <c r="J53" s="241"/>
    </row>
    <row r="54" spans="2:10" ht="15" x14ac:dyDescent="0.2">
      <c r="B54" s="241"/>
      <c r="C54" s="241"/>
      <c r="D54" s="241"/>
      <c r="E54" s="241"/>
      <c r="F54" s="241"/>
      <c r="G54" s="241"/>
      <c r="H54" s="241"/>
      <c r="I54" s="241"/>
      <c r="J54" s="241"/>
    </row>
    <row r="55" spans="2:10" ht="15" x14ac:dyDescent="0.2">
      <c r="B55" s="241"/>
      <c r="C55" s="241"/>
      <c r="D55" s="241"/>
      <c r="E55" s="241"/>
      <c r="F55" s="241"/>
      <c r="G55" s="241"/>
      <c r="H55" s="241"/>
      <c r="I55" s="241"/>
      <c r="J55" s="241"/>
    </row>
    <row r="56" spans="2:10" ht="15" x14ac:dyDescent="0.2">
      <c r="B56" s="241"/>
      <c r="C56" s="241"/>
      <c r="D56" s="241"/>
      <c r="E56" s="241"/>
      <c r="F56" s="241"/>
      <c r="G56" s="241"/>
      <c r="H56" s="241"/>
      <c r="I56" s="241"/>
      <c r="J56" s="241"/>
    </row>
    <row r="57" spans="2:10" ht="15" x14ac:dyDescent="0.2">
      <c r="B57" s="241"/>
      <c r="C57" s="241"/>
      <c r="D57" s="241"/>
      <c r="E57" s="241"/>
      <c r="F57" s="241"/>
      <c r="G57" s="241"/>
      <c r="H57" s="241"/>
      <c r="I57" s="241"/>
      <c r="J57" s="241"/>
    </row>
    <row r="58" spans="2:10" ht="15" x14ac:dyDescent="0.2">
      <c r="B58" s="241"/>
      <c r="C58" s="241"/>
      <c r="D58" s="241"/>
      <c r="E58" s="241"/>
      <c r="F58" s="241"/>
      <c r="G58" s="241"/>
      <c r="H58" s="241"/>
      <c r="I58" s="241"/>
      <c r="J58" s="241"/>
    </row>
    <row r="59" spans="2:10" ht="15" x14ac:dyDescent="0.2">
      <c r="B59" s="241"/>
      <c r="C59" s="241"/>
      <c r="D59" s="241"/>
      <c r="E59" s="241"/>
      <c r="F59" s="241"/>
      <c r="G59" s="241"/>
      <c r="H59" s="241"/>
      <c r="I59" s="241"/>
      <c r="J59" s="241"/>
    </row>
    <row r="60" spans="2:10" ht="15" x14ac:dyDescent="0.2">
      <c r="B60" s="241"/>
      <c r="C60" s="241"/>
      <c r="D60" s="241"/>
      <c r="E60" s="241"/>
      <c r="F60" s="241"/>
      <c r="G60" s="241"/>
      <c r="H60" s="241"/>
      <c r="I60" s="241"/>
      <c r="J60" s="241"/>
    </row>
    <row r="61" spans="2:10" ht="15" x14ac:dyDescent="0.2">
      <c r="B61" s="241"/>
      <c r="C61" s="241"/>
      <c r="D61" s="241"/>
      <c r="E61" s="241"/>
      <c r="F61" s="241"/>
      <c r="G61" s="241"/>
      <c r="H61" s="241"/>
      <c r="I61" s="241"/>
      <c r="J61" s="241"/>
    </row>
    <row r="62" spans="2:10" ht="15" x14ac:dyDescent="0.2">
      <c r="B62" s="241"/>
      <c r="C62" s="241"/>
      <c r="D62" s="241"/>
      <c r="E62" s="241"/>
      <c r="F62" s="241"/>
      <c r="G62" s="241"/>
      <c r="H62" s="241"/>
      <c r="I62" s="241"/>
      <c r="J62" s="241"/>
    </row>
    <row r="63" spans="2:10" ht="15" x14ac:dyDescent="0.2">
      <c r="B63" s="241"/>
      <c r="C63" s="241"/>
      <c r="D63" s="241"/>
      <c r="E63" s="241"/>
      <c r="F63" s="241"/>
      <c r="G63" s="241"/>
      <c r="H63" s="241"/>
      <c r="I63" s="241"/>
      <c r="J63" s="241"/>
    </row>
    <row r="64" spans="2:10" ht="15" x14ac:dyDescent="0.2">
      <c r="B64" s="241"/>
      <c r="C64" s="241"/>
      <c r="D64" s="241"/>
      <c r="E64" s="241"/>
      <c r="F64" s="241"/>
      <c r="G64" s="241"/>
      <c r="H64" s="241"/>
      <c r="I64" s="241"/>
      <c r="J64" s="241"/>
    </row>
    <row r="65" spans="2:10" ht="15" x14ac:dyDescent="0.2">
      <c r="B65" s="241"/>
      <c r="C65" s="241"/>
      <c r="D65" s="241"/>
      <c r="E65" s="241"/>
      <c r="F65" s="241"/>
      <c r="G65" s="241"/>
      <c r="H65" s="241"/>
      <c r="I65" s="241"/>
      <c r="J65" s="241"/>
    </row>
    <row r="66" spans="2:10" ht="15" x14ac:dyDescent="0.2">
      <c r="B66" s="241"/>
      <c r="C66" s="241"/>
      <c r="D66" s="241"/>
      <c r="E66" s="241"/>
      <c r="F66" s="241"/>
      <c r="G66" s="241"/>
      <c r="H66" s="241"/>
      <c r="I66" s="241"/>
      <c r="J66" s="241"/>
    </row>
    <row r="67" spans="2:10" ht="15" x14ac:dyDescent="0.2">
      <c r="B67" s="241"/>
      <c r="C67" s="241"/>
      <c r="D67" s="241"/>
      <c r="E67" s="241"/>
      <c r="F67" s="241"/>
      <c r="G67" s="241"/>
      <c r="H67" s="241"/>
      <c r="I67" s="241"/>
      <c r="J67" s="241"/>
    </row>
    <row r="68" spans="2:10" ht="15" x14ac:dyDescent="0.2">
      <c r="B68" s="241"/>
      <c r="C68" s="241"/>
      <c r="D68" s="241"/>
      <c r="E68" s="241"/>
      <c r="F68" s="241"/>
      <c r="G68" s="241"/>
      <c r="H68" s="241"/>
      <c r="I68" s="241"/>
      <c r="J68" s="241"/>
    </row>
    <row r="69" spans="2:10" ht="15" x14ac:dyDescent="0.2">
      <c r="B69" s="241"/>
      <c r="C69" s="241"/>
      <c r="D69" s="241"/>
      <c r="E69" s="241"/>
      <c r="F69" s="241"/>
      <c r="G69" s="241"/>
      <c r="H69" s="241"/>
      <c r="I69" s="241"/>
      <c r="J69" s="241"/>
    </row>
    <row r="70" spans="2:10" ht="15" x14ac:dyDescent="0.2">
      <c r="B70" s="241"/>
      <c r="C70" s="241"/>
      <c r="D70" s="241"/>
      <c r="E70" s="241"/>
      <c r="F70" s="241"/>
      <c r="G70" s="241"/>
      <c r="H70" s="241"/>
      <c r="I70" s="241"/>
      <c r="J70" s="241"/>
    </row>
    <row r="71" spans="2:10" ht="15" x14ac:dyDescent="0.2">
      <c r="B71" s="241"/>
      <c r="C71" s="241"/>
      <c r="D71" s="241"/>
      <c r="E71" s="241"/>
      <c r="F71" s="241"/>
      <c r="G71" s="241"/>
      <c r="H71" s="241"/>
      <c r="I71" s="241"/>
      <c r="J71" s="241"/>
    </row>
    <row r="72" spans="2:10" ht="15" x14ac:dyDescent="0.2">
      <c r="B72" s="241"/>
      <c r="C72" s="241"/>
      <c r="D72" s="241"/>
      <c r="E72" s="241"/>
      <c r="F72" s="241"/>
      <c r="G72" s="241"/>
      <c r="H72" s="241"/>
      <c r="I72" s="241"/>
      <c r="J72" s="241"/>
    </row>
    <row r="73" spans="2:10" ht="15" x14ac:dyDescent="0.2">
      <c r="B73" s="241"/>
      <c r="C73" s="241"/>
      <c r="D73" s="241"/>
      <c r="E73" s="241"/>
      <c r="F73" s="241"/>
      <c r="G73" s="241"/>
      <c r="H73" s="241"/>
      <c r="I73" s="241"/>
      <c r="J73" s="241"/>
    </row>
    <row r="74" spans="2:10" ht="15" x14ac:dyDescent="0.2">
      <c r="B74" s="241"/>
      <c r="C74" s="241"/>
      <c r="D74" s="241"/>
      <c r="E74" s="241"/>
      <c r="F74" s="241"/>
      <c r="G74" s="241"/>
      <c r="H74" s="241"/>
      <c r="I74" s="241"/>
      <c r="J74" s="241"/>
    </row>
    <row r="75" spans="2:10" ht="15" x14ac:dyDescent="0.2">
      <c r="B75" s="241"/>
      <c r="C75" s="241"/>
      <c r="D75" s="241"/>
      <c r="E75" s="241"/>
      <c r="F75" s="241"/>
      <c r="G75" s="241"/>
      <c r="H75" s="241"/>
      <c r="I75" s="241"/>
      <c r="J75" s="241"/>
    </row>
    <row r="76" spans="2:10" ht="15" x14ac:dyDescent="0.2">
      <c r="B76" s="241"/>
      <c r="C76" s="241"/>
      <c r="D76" s="241"/>
      <c r="E76" s="241"/>
      <c r="F76" s="241"/>
      <c r="G76" s="241"/>
      <c r="H76" s="241"/>
      <c r="I76" s="241"/>
      <c r="J76" s="241"/>
    </row>
    <row r="77" spans="2:10" ht="15" x14ac:dyDescent="0.2">
      <c r="B77" s="241"/>
      <c r="C77" s="241"/>
      <c r="D77" s="241"/>
      <c r="E77" s="241"/>
      <c r="F77" s="241"/>
      <c r="G77" s="241"/>
      <c r="H77" s="241"/>
      <c r="I77" s="241"/>
      <c r="J77" s="241"/>
    </row>
    <row r="78" spans="2:10" ht="15" x14ac:dyDescent="0.2">
      <c r="B78" s="241"/>
      <c r="C78" s="241"/>
      <c r="D78" s="241"/>
      <c r="E78" s="241"/>
      <c r="F78" s="241"/>
      <c r="G78" s="241"/>
      <c r="H78" s="241"/>
      <c r="I78" s="241"/>
      <c r="J78" s="241"/>
    </row>
    <row r="79" spans="2:10" ht="15" x14ac:dyDescent="0.2">
      <c r="B79" s="241"/>
      <c r="C79" s="241"/>
      <c r="D79" s="241"/>
      <c r="E79" s="241"/>
      <c r="F79" s="241"/>
      <c r="G79" s="241"/>
      <c r="H79" s="241"/>
      <c r="I79" s="241"/>
      <c r="J79" s="241"/>
    </row>
    <row r="80" spans="2:10" ht="15" x14ac:dyDescent="0.2">
      <c r="B80" s="241"/>
      <c r="C80" s="241"/>
      <c r="D80" s="241"/>
      <c r="E80" s="241"/>
      <c r="F80" s="241"/>
      <c r="G80" s="241"/>
      <c r="H80" s="241"/>
      <c r="I80" s="241"/>
      <c r="J80" s="241"/>
    </row>
    <row r="81" spans="2:10" ht="15" x14ac:dyDescent="0.2">
      <c r="B81" s="241"/>
      <c r="C81" s="241"/>
      <c r="D81" s="241"/>
      <c r="E81" s="241"/>
      <c r="F81" s="241"/>
      <c r="G81" s="241"/>
      <c r="H81" s="241"/>
      <c r="I81" s="241"/>
      <c r="J81" s="241"/>
    </row>
    <row r="82" spans="2:10" ht="15" x14ac:dyDescent="0.2">
      <c r="B82" s="241"/>
      <c r="C82" s="241"/>
      <c r="D82" s="241"/>
      <c r="E82" s="241"/>
      <c r="F82" s="241"/>
      <c r="G82" s="241"/>
      <c r="H82" s="241"/>
      <c r="I82" s="241"/>
      <c r="J82" s="241"/>
    </row>
    <row r="83" spans="2:10" ht="15" x14ac:dyDescent="0.2">
      <c r="B83" s="241"/>
      <c r="C83" s="241"/>
      <c r="D83" s="241"/>
      <c r="E83" s="241"/>
      <c r="F83" s="241"/>
      <c r="G83" s="241"/>
      <c r="H83" s="241"/>
      <c r="I83" s="241"/>
      <c r="J83" s="241"/>
    </row>
    <row r="84" spans="2:10" ht="15" x14ac:dyDescent="0.2">
      <c r="B84" s="241"/>
      <c r="C84" s="241"/>
      <c r="D84" s="241"/>
      <c r="E84" s="241"/>
      <c r="F84" s="241"/>
      <c r="G84" s="241"/>
      <c r="H84" s="241"/>
      <c r="I84" s="241"/>
      <c r="J84" s="241"/>
    </row>
    <row r="85" spans="2:10" ht="15" x14ac:dyDescent="0.2">
      <c r="B85" s="241"/>
      <c r="C85" s="241"/>
      <c r="D85" s="241"/>
      <c r="E85" s="241"/>
      <c r="F85" s="241"/>
      <c r="G85" s="241"/>
      <c r="H85" s="241"/>
      <c r="I85" s="241"/>
      <c r="J85" s="241"/>
    </row>
    <row r="86" spans="2:10" ht="15" x14ac:dyDescent="0.2">
      <c r="B86" s="241"/>
      <c r="C86" s="241"/>
      <c r="D86" s="241"/>
      <c r="E86" s="241"/>
      <c r="F86" s="241"/>
      <c r="G86" s="241"/>
      <c r="H86" s="241"/>
      <c r="I86" s="241"/>
      <c r="J86" s="241"/>
    </row>
    <row r="87" spans="2:10" ht="15" x14ac:dyDescent="0.2">
      <c r="B87" s="241"/>
      <c r="C87" s="241"/>
      <c r="D87" s="241"/>
      <c r="E87" s="241"/>
      <c r="F87" s="241"/>
      <c r="G87" s="241"/>
      <c r="H87" s="241"/>
      <c r="I87" s="241"/>
      <c r="J87" s="241"/>
    </row>
    <row r="88" spans="2:10" ht="15" x14ac:dyDescent="0.2">
      <c r="B88" s="241"/>
      <c r="C88" s="241"/>
      <c r="D88" s="241"/>
      <c r="E88" s="241"/>
      <c r="F88" s="241"/>
      <c r="G88" s="241"/>
      <c r="H88" s="241"/>
      <c r="I88" s="241"/>
      <c r="J88" s="241"/>
    </row>
    <row r="89" spans="2:10" ht="15" x14ac:dyDescent="0.2">
      <c r="B89" s="241"/>
      <c r="C89" s="241"/>
      <c r="D89" s="241"/>
      <c r="E89" s="241"/>
      <c r="F89" s="241"/>
      <c r="G89" s="241"/>
      <c r="H89" s="241"/>
      <c r="I89" s="241"/>
      <c r="J89" s="241"/>
    </row>
    <row r="90" spans="2:10" ht="15" x14ac:dyDescent="0.2">
      <c r="B90" s="241"/>
      <c r="C90" s="241"/>
      <c r="D90" s="241"/>
      <c r="E90" s="241"/>
      <c r="F90" s="241"/>
      <c r="G90" s="241"/>
      <c r="H90" s="241"/>
      <c r="I90" s="241"/>
      <c r="J90" s="241"/>
    </row>
    <row r="91" spans="2:10" ht="15" x14ac:dyDescent="0.2">
      <c r="B91" s="241"/>
      <c r="C91" s="241"/>
      <c r="D91" s="241"/>
      <c r="E91" s="241"/>
      <c r="F91" s="241"/>
      <c r="G91" s="241"/>
      <c r="H91" s="241"/>
      <c r="I91" s="241"/>
      <c r="J91" s="241"/>
    </row>
    <row r="92" spans="2:10" ht="15" x14ac:dyDescent="0.2">
      <c r="B92" s="241"/>
      <c r="C92" s="241"/>
      <c r="D92" s="241"/>
      <c r="E92" s="241"/>
      <c r="F92" s="241"/>
      <c r="G92" s="241"/>
      <c r="H92" s="241"/>
      <c r="I92" s="241"/>
      <c r="J92" s="241"/>
    </row>
    <row r="93" spans="2:10" ht="15" x14ac:dyDescent="0.2">
      <c r="B93" s="241"/>
      <c r="C93" s="241"/>
      <c r="D93" s="241"/>
      <c r="E93" s="241"/>
      <c r="F93" s="241"/>
      <c r="G93" s="241"/>
      <c r="H93" s="241"/>
      <c r="I93" s="241"/>
      <c r="J93" s="241"/>
    </row>
    <row r="94" spans="2:10" ht="15" x14ac:dyDescent="0.2">
      <c r="B94" s="241"/>
      <c r="C94" s="241"/>
      <c r="D94" s="241"/>
      <c r="E94" s="241"/>
      <c r="F94" s="241"/>
      <c r="G94" s="241"/>
      <c r="H94" s="241"/>
      <c r="I94" s="241"/>
      <c r="J94" s="241"/>
    </row>
    <row r="95" spans="2:10" ht="15" x14ac:dyDescent="0.2">
      <c r="B95" s="241"/>
      <c r="C95" s="241"/>
      <c r="D95" s="241"/>
      <c r="E95" s="241"/>
      <c r="F95" s="241"/>
      <c r="G95" s="241"/>
      <c r="H95" s="241"/>
      <c r="I95" s="241"/>
      <c r="J95" s="241"/>
    </row>
    <row r="96" spans="2:10" ht="15" x14ac:dyDescent="0.2">
      <c r="B96" s="241"/>
      <c r="C96" s="241"/>
      <c r="D96" s="241"/>
      <c r="E96" s="241"/>
      <c r="F96" s="241"/>
      <c r="G96" s="241"/>
      <c r="H96" s="241"/>
      <c r="I96" s="241"/>
      <c r="J96" s="241"/>
    </row>
    <row r="97" spans="2:10" ht="15" x14ac:dyDescent="0.2">
      <c r="B97" s="241"/>
      <c r="C97" s="241"/>
      <c r="D97" s="241"/>
      <c r="E97" s="241"/>
      <c r="F97" s="241"/>
      <c r="G97" s="241"/>
      <c r="H97" s="241"/>
      <c r="I97" s="241"/>
      <c r="J97" s="241"/>
    </row>
    <row r="98" spans="2:10" ht="15" x14ac:dyDescent="0.2">
      <c r="B98" s="241"/>
      <c r="C98" s="241"/>
      <c r="D98" s="241"/>
      <c r="E98" s="241"/>
      <c r="F98" s="241"/>
      <c r="G98" s="241"/>
      <c r="H98" s="241"/>
      <c r="I98" s="241"/>
      <c r="J98" s="241"/>
    </row>
    <row r="99" spans="2:10" ht="15" x14ac:dyDescent="0.2">
      <c r="B99" s="241"/>
      <c r="C99" s="241"/>
      <c r="D99" s="241"/>
      <c r="E99" s="241"/>
      <c r="F99" s="241"/>
      <c r="G99" s="241"/>
      <c r="H99" s="241"/>
      <c r="I99" s="241"/>
      <c r="J99" s="241"/>
    </row>
    <row r="100" spans="2:10" ht="15" x14ac:dyDescent="0.2">
      <c r="B100" s="241"/>
      <c r="C100" s="241"/>
      <c r="D100" s="241"/>
      <c r="E100" s="241"/>
      <c r="F100" s="241"/>
      <c r="G100" s="241"/>
      <c r="H100" s="241"/>
      <c r="I100" s="241"/>
      <c r="J100" s="241"/>
    </row>
    <row r="101" spans="2:10" ht="15" x14ac:dyDescent="0.2">
      <c r="B101" s="241"/>
      <c r="C101" s="241"/>
      <c r="D101" s="241"/>
      <c r="E101" s="241"/>
      <c r="F101" s="241"/>
      <c r="G101" s="241"/>
      <c r="H101" s="241"/>
      <c r="I101" s="241"/>
      <c r="J101" s="241"/>
    </row>
    <row r="102" spans="2:10" ht="15" x14ac:dyDescent="0.2">
      <c r="B102" s="241"/>
      <c r="C102" s="241"/>
      <c r="D102" s="241"/>
      <c r="E102" s="241"/>
      <c r="F102" s="241"/>
      <c r="G102" s="241"/>
      <c r="H102" s="241"/>
      <c r="I102" s="241"/>
      <c r="J102" s="241"/>
    </row>
    <row r="103" spans="2:10" ht="15" x14ac:dyDescent="0.2">
      <c r="B103" s="241"/>
      <c r="C103" s="241"/>
      <c r="D103" s="241"/>
      <c r="E103" s="241"/>
      <c r="F103" s="241"/>
      <c r="G103" s="241"/>
      <c r="H103" s="241"/>
      <c r="I103" s="241"/>
      <c r="J103" s="241"/>
    </row>
    <row r="104" spans="2:10" ht="15" x14ac:dyDescent="0.2">
      <c r="B104" s="241"/>
      <c r="C104" s="241"/>
      <c r="D104" s="241"/>
      <c r="E104" s="241"/>
      <c r="F104" s="241"/>
      <c r="G104" s="241"/>
      <c r="H104" s="241"/>
      <c r="I104" s="241"/>
      <c r="J104" s="241"/>
    </row>
    <row r="105" spans="2:10" ht="15" x14ac:dyDescent="0.2">
      <c r="B105" s="241"/>
      <c r="C105" s="241"/>
      <c r="D105" s="241"/>
      <c r="E105" s="241"/>
      <c r="F105" s="241"/>
      <c r="G105" s="241"/>
      <c r="H105" s="241"/>
      <c r="I105" s="241"/>
      <c r="J105" s="241"/>
    </row>
    <row r="106" spans="2:10" ht="15" x14ac:dyDescent="0.2">
      <c r="B106" s="241"/>
      <c r="C106" s="241"/>
      <c r="D106" s="241"/>
      <c r="E106" s="241"/>
      <c r="F106" s="241"/>
      <c r="G106" s="241"/>
      <c r="H106" s="241"/>
      <c r="I106" s="241"/>
      <c r="J106" s="241"/>
    </row>
    <row r="107" spans="2:10" ht="15" x14ac:dyDescent="0.2">
      <c r="B107" s="241"/>
      <c r="C107" s="241"/>
      <c r="D107" s="241"/>
      <c r="E107" s="241"/>
      <c r="F107" s="241"/>
      <c r="G107" s="241"/>
      <c r="H107" s="241"/>
      <c r="I107" s="241"/>
      <c r="J107" s="241"/>
    </row>
    <row r="108" spans="2:10" ht="15" x14ac:dyDescent="0.2">
      <c r="B108" s="241"/>
      <c r="C108" s="241"/>
      <c r="D108" s="241"/>
      <c r="E108" s="241"/>
      <c r="F108" s="241"/>
      <c r="G108" s="241"/>
      <c r="H108" s="241"/>
      <c r="I108" s="241"/>
      <c r="J108" s="241"/>
    </row>
    <row r="109" spans="2:10" ht="15" x14ac:dyDescent="0.2">
      <c r="B109" s="241"/>
      <c r="C109" s="241"/>
      <c r="D109" s="241"/>
      <c r="E109" s="241"/>
      <c r="F109" s="241"/>
      <c r="G109" s="241"/>
      <c r="H109" s="241"/>
      <c r="I109" s="241"/>
      <c r="J109" s="241"/>
    </row>
    <row r="110" spans="2:10" ht="15" x14ac:dyDescent="0.2">
      <c r="B110" s="241"/>
      <c r="C110" s="241"/>
      <c r="D110" s="241"/>
      <c r="E110" s="241"/>
      <c r="F110" s="241"/>
      <c r="G110" s="241"/>
      <c r="H110" s="241"/>
      <c r="I110" s="241"/>
      <c r="J110" s="241"/>
    </row>
    <row r="111" spans="2:10" ht="15" x14ac:dyDescent="0.2">
      <c r="B111" s="241"/>
      <c r="C111" s="241"/>
      <c r="D111" s="241"/>
      <c r="E111" s="241"/>
      <c r="F111" s="241"/>
      <c r="G111" s="241"/>
      <c r="H111" s="241"/>
      <c r="I111" s="241"/>
      <c r="J111" s="241"/>
    </row>
    <row r="112" spans="2:10" ht="15" x14ac:dyDescent="0.2">
      <c r="B112" s="241"/>
      <c r="C112" s="241"/>
      <c r="D112" s="241"/>
      <c r="E112" s="241"/>
      <c r="F112" s="241"/>
      <c r="G112" s="241"/>
      <c r="H112" s="241"/>
      <c r="I112" s="241"/>
      <c r="J112" s="241"/>
    </row>
    <row r="113" spans="2:10" ht="15" x14ac:dyDescent="0.2">
      <c r="B113" s="241"/>
      <c r="C113" s="241"/>
      <c r="D113" s="241"/>
      <c r="E113" s="241"/>
      <c r="F113" s="241"/>
      <c r="G113" s="241"/>
      <c r="H113" s="241"/>
      <c r="I113" s="241"/>
      <c r="J113" s="241"/>
    </row>
    <row r="114" spans="2:10" ht="15" x14ac:dyDescent="0.2">
      <c r="B114" s="241"/>
      <c r="C114" s="241"/>
      <c r="D114" s="241"/>
      <c r="E114" s="241"/>
      <c r="F114" s="241"/>
      <c r="G114" s="241"/>
      <c r="H114" s="241"/>
      <c r="I114" s="241"/>
      <c r="J114" s="241"/>
    </row>
    <row r="115" spans="2:10" ht="15" x14ac:dyDescent="0.2">
      <c r="B115" s="241"/>
      <c r="C115" s="241"/>
      <c r="D115" s="241"/>
      <c r="E115" s="241"/>
      <c r="F115" s="241"/>
      <c r="G115" s="241"/>
      <c r="H115" s="241"/>
      <c r="I115" s="241"/>
      <c r="J115" s="241"/>
    </row>
    <row r="116" spans="2:10" ht="15" x14ac:dyDescent="0.2">
      <c r="B116" s="241"/>
      <c r="C116" s="241"/>
      <c r="D116" s="241"/>
      <c r="E116" s="241"/>
      <c r="F116" s="241"/>
      <c r="G116" s="241"/>
      <c r="H116" s="241"/>
      <c r="I116" s="241"/>
      <c r="J116" s="241"/>
    </row>
    <row r="117" spans="2:10" ht="15" x14ac:dyDescent="0.2">
      <c r="B117" s="241"/>
      <c r="C117" s="241"/>
      <c r="D117" s="241"/>
      <c r="E117" s="241"/>
      <c r="F117" s="241"/>
      <c r="G117" s="241"/>
      <c r="H117" s="241"/>
      <c r="I117" s="241"/>
      <c r="J117" s="241"/>
    </row>
    <row r="118" spans="2:10" ht="15" x14ac:dyDescent="0.2">
      <c r="B118" s="241"/>
      <c r="C118" s="241"/>
      <c r="D118" s="241"/>
      <c r="E118" s="241"/>
      <c r="F118" s="241"/>
      <c r="G118" s="241"/>
      <c r="H118" s="241"/>
      <c r="I118" s="241"/>
      <c r="J118" s="241"/>
    </row>
  </sheetData>
  <mergeCells count="3">
    <mergeCell ref="B2:D2"/>
    <mergeCell ref="B7:E7"/>
    <mergeCell ref="B5:C5"/>
  </mergeCells>
  <pageMargins left="0.35433070866141736" right="0.35433070866141736" top="0.59055118110236227" bottom="0.59055118110236227" header="0.51181102362204722" footer="0.11811023622047245"/>
  <pageSetup paperSize="9" scale="74" fitToHeight="100" orientation="landscape" r:id="rId1"/>
  <headerFooter scaleWithDoc="0" alignWithMargins="0">
    <oddFooter>&amp;L&amp;8&amp;D&amp;C&amp;8&amp; Template: &amp;A
&amp;F&amp;R&amp;8&amp;P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11"/>
  <sheetViews>
    <sheetView showGridLines="0" tabSelected="1" zoomScaleNormal="100" zoomScaleSheetLayoutView="100" workbookViewId="0">
      <selection activeCell="C11" sqref="C11:D19"/>
    </sheetView>
  </sheetViews>
  <sheetFormatPr defaultRowHeight="12.75" x14ac:dyDescent="0.2"/>
  <cols>
    <col min="1" max="1" width="10.85546875" customWidth="1"/>
    <col min="2" max="2" width="46.42578125" customWidth="1"/>
    <col min="3" max="6" width="15.7109375" customWidth="1"/>
    <col min="16" max="16" width="3.140625" customWidth="1"/>
  </cols>
  <sheetData>
    <row r="1" spans="2:12" ht="20.25" x14ac:dyDescent="0.3">
      <c r="B1" s="26" t="str">
        <f>Cover!C22</f>
        <v>ActewAGL</v>
      </c>
    </row>
    <row r="2" spans="2:12" ht="20.25" x14ac:dyDescent="0.3">
      <c r="B2" s="576" t="s">
        <v>135</v>
      </c>
      <c r="C2" s="577"/>
    </row>
    <row r="3" spans="2:12" ht="20.25" x14ac:dyDescent="0.3">
      <c r="B3" s="26" t="str">
        <f>Cover!C26</f>
        <v>2012-13</v>
      </c>
    </row>
    <row r="5" spans="2:12" s="260" customFormat="1" ht="51.75" customHeight="1" x14ac:dyDescent="0.2">
      <c r="B5" s="580" t="s">
        <v>255</v>
      </c>
      <c r="C5" s="581"/>
    </row>
    <row r="7" spans="2:12" ht="15.75" x14ac:dyDescent="0.25">
      <c r="B7" s="115" t="s">
        <v>133</v>
      </c>
    </row>
    <row r="8" spans="2:12" x14ac:dyDescent="0.2">
      <c r="B8" s="116"/>
    </row>
    <row r="9" spans="2:12" x14ac:dyDescent="0.2">
      <c r="B9" s="117"/>
      <c r="C9" s="112" t="s">
        <v>15</v>
      </c>
      <c r="D9" s="112" t="s">
        <v>21</v>
      </c>
      <c r="E9" s="112" t="s">
        <v>90</v>
      </c>
    </row>
    <row r="10" spans="2:12" x14ac:dyDescent="0.2">
      <c r="B10" s="118" t="s">
        <v>22</v>
      </c>
      <c r="C10" s="178" t="s">
        <v>57</v>
      </c>
      <c r="D10" s="178" t="s">
        <v>57</v>
      </c>
      <c r="E10" s="107"/>
    </row>
    <row r="11" spans="2:12" x14ac:dyDescent="0.2">
      <c r="B11" s="119" t="s">
        <v>23</v>
      </c>
      <c r="C11" s="523">
        <v>20764714.876497231</v>
      </c>
      <c r="D11" s="523">
        <v>13743902.499999998</v>
      </c>
      <c r="E11" s="158">
        <f>(D11-C11)/C11</f>
        <v>-0.33811263088634153</v>
      </c>
    </row>
    <row r="12" spans="2:12" x14ac:dyDescent="0.2">
      <c r="B12" s="119" t="s">
        <v>24</v>
      </c>
      <c r="C12" s="523">
        <v>33933936.870771028</v>
      </c>
      <c r="D12" s="523">
        <v>47859750.069999993</v>
      </c>
      <c r="E12" s="158">
        <f t="shared" ref="E12:E20" si="0">(D12-C12)/C12</f>
        <v>0.41038012336328572</v>
      </c>
    </row>
    <row r="13" spans="2:12" x14ac:dyDescent="0.2">
      <c r="B13" s="119" t="s">
        <v>25</v>
      </c>
      <c r="C13" s="523">
        <v>306232.6078006514</v>
      </c>
      <c r="D13" s="523">
        <v>599.09</v>
      </c>
      <c r="E13" s="158">
        <f t="shared" si="0"/>
        <v>-0.99804367665382643</v>
      </c>
    </row>
    <row r="14" spans="2:12" x14ac:dyDescent="0.2">
      <c r="B14" s="119" t="s">
        <v>26</v>
      </c>
      <c r="C14" s="523">
        <v>0</v>
      </c>
      <c r="D14" s="523">
        <v>0</v>
      </c>
      <c r="E14" s="158" t="e">
        <f t="shared" si="0"/>
        <v>#DIV/0!</v>
      </c>
    </row>
    <row r="15" spans="2:12" x14ac:dyDescent="0.2">
      <c r="B15" s="119" t="s">
        <v>58</v>
      </c>
      <c r="C15" s="523">
        <v>4401145.9914642107</v>
      </c>
      <c r="D15" s="523">
        <v>7233279.29</v>
      </c>
      <c r="E15" s="158">
        <f t="shared" si="0"/>
        <v>0.64349905775190408</v>
      </c>
      <c r="F15" s="567" t="s">
        <v>440</v>
      </c>
      <c r="G15" s="568"/>
      <c r="H15" s="568"/>
      <c r="I15" s="568"/>
      <c r="J15" s="568"/>
      <c r="K15" s="568"/>
      <c r="L15" s="569"/>
    </row>
    <row r="16" spans="2:12" x14ac:dyDescent="0.2">
      <c r="B16" s="138" t="s">
        <v>17</v>
      </c>
      <c r="C16" s="421">
        <f>SUM(C11:C15)</f>
        <v>59406030.346533127</v>
      </c>
      <c r="D16" s="421">
        <f>SUM(D11:D15)</f>
        <v>68837530.950000003</v>
      </c>
      <c r="E16" s="158">
        <f t="shared" si="0"/>
        <v>0.15876335362672972</v>
      </c>
    </row>
    <row r="17" spans="2:5" x14ac:dyDescent="0.2">
      <c r="B17" s="118" t="s">
        <v>27</v>
      </c>
      <c r="C17" s="420"/>
      <c r="D17" s="420"/>
      <c r="E17" s="158"/>
    </row>
    <row r="18" spans="2:5" ht="12.75" customHeight="1" x14ac:dyDescent="0.2">
      <c r="B18" s="119" t="s">
        <v>28</v>
      </c>
      <c r="C18" s="523">
        <v>2137979.2649870655</v>
      </c>
      <c r="D18" s="523">
        <v>10534324.618037326</v>
      </c>
      <c r="E18" s="158">
        <f t="shared" si="0"/>
        <v>3.9272342302632475</v>
      </c>
    </row>
    <row r="19" spans="2:5" x14ac:dyDescent="0.2">
      <c r="B19" s="119" t="s">
        <v>18</v>
      </c>
      <c r="C19" s="420">
        <v>0</v>
      </c>
      <c r="D19" s="420">
        <v>0</v>
      </c>
      <c r="E19" s="158" t="e">
        <f t="shared" si="0"/>
        <v>#DIV/0!</v>
      </c>
    </row>
    <row r="20" spans="2:5" x14ac:dyDescent="0.2">
      <c r="B20" s="138" t="s">
        <v>69</v>
      </c>
      <c r="C20" s="421">
        <f>SUM(C16:C19)</f>
        <v>61544009.611520194</v>
      </c>
      <c r="D20" s="421">
        <f>SUM(D16:D19)</f>
        <v>79371855.568037331</v>
      </c>
      <c r="E20" s="158">
        <f t="shared" si="0"/>
        <v>0.28967638067539897</v>
      </c>
    </row>
    <row r="22" spans="2:5" ht="15.75" x14ac:dyDescent="0.25">
      <c r="B22" s="115" t="s">
        <v>120</v>
      </c>
      <c r="D22" s="414"/>
    </row>
    <row r="23" spans="2:5" ht="15.75" x14ac:dyDescent="0.25">
      <c r="B23" s="115"/>
    </row>
    <row r="24" spans="2:5" ht="16.5" customHeight="1" x14ac:dyDescent="0.2">
      <c r="B24" s="578" t="s">
        <v>126</v>
      </c>
      <c r="C24" s="579"/>
    </row>
    <row r="25" spans="2:5" x14ac:dyDescent="0.2">
      <c r="B25" s="116"/>
    </row>
    <row r="26" spans="2:5" ht="12" customHeight="1" x14ac:dyDescent="0.2">
      <c r="B26" s="117"/>
      <c r="C26" s="573" t="s">
        <v>5</v>
      </c>
      <c r="D26" s="574"/>
      <c r="E26" s="575"/>
    </row>
    <row r="27" spans="2:5" x14ac:dyDescent="0.2">
      <c r="B27" s="118" t="s">
        <v>22</v>
      </c>
      <c r="C27" s="573"/>
      <c r="D27" s="574"/>
      <c r="E27" s="575"/>
    </row>
    <row r="28" spans="2:5" x14ac:dyDescent="0.2">
      <c r="B28" s="119" t="s">
        <v>23</v>
      </c>
      <c r="C28" s="570" t="s">
        <v>512</v>
      </c>
      <c r="D28" s="571"/>
      <c r="E28" s="572"/>
    </row>
    <row r="29" spans="2:5" x14ac:dyDescent="0.2">
      <c r="B29" s="119" t="s">
        <v>24</v>
      </c>
      <c r="C29" s="570" t="s">
        <v>443</v>
      </c>
      <c r="D29" s="571"/>
      <c r="E29" s="572"/>
    </row>
    <row r="30" spans="2:5" x14ac:dyDescent="0.2">
      <c r="B30" s="119" t="s">
        <v>25</v>
      </c>
      <c r="C30" s="570"/>
      <c r="D30" s="571"/>
      <c r="E30" s="572"/>
    </row>
    <row r="31" spans="2:5" x14ac:dyDescent="0.2">
      <c r="B31" s="119" t="s">
        <v>26</v>
      </c>
      <c r="C31" s="570"/>
      <c r="D31" s="571"/>
      <c r="E31" s="572"/>
    </row>
    <row r="32" spans="2:5" x14ac:dyDescent="0.2">
      <c r="B32" s="119" t="s">
        <v>58</v>
      </c>
      <c r="C32" s="570" t="s">
        <v>442</v>
      </c>
      <c r="D32" s="571"/>
      <c r="E32" s="572"/>
    </row>
    <row r="33" spans="2:5" x14ac:dyDescent="0.2">
      <c r="B33" s="118" t="s">
        <v>27</v>
      </c>
      <c r="C33" s="573"/>
      <c r="D33" s="574"/>
      <c r="E33" s="575"/>
    </row>
    <row r="34" spans="2:5" x14ac:dyDescent="0.2">
      <c r="B34" s="119" t="s">
        <v>28</v>
      </c>
      <c r="C34" s="570" t="s">
        <v>511</v>
      </c>
      <c r="D34" s="571"/>
      <c r="E34" s="572"/>
    </row>
    <row r="35" spans="2:5" x14ac:dyDescent="0.2">
      <c r="B35" s="119" t="s">
        <v>18</v>
      </c>
      <c r="C35" s="582"/>
      <c r="D35" s="571"/>
      <c r="E35" s="572"/>
    </row>
    <row r="37" spans="2:5" ht="15.75" x14ac:dyDescent="0.25">
      <c r="B37" s="111" t="s">
        <v>138</v>
      </c>
    </row>
    <row r="39" spans="2:5" x14ac:dyDescent="0.2">
      <c r="B39" s="117"/>
      <c r="C39" s="121" t="s">
        <v>15</v>
      </c>
      <c r="D39" s="121" t="s">
        <v>16</v>
      </c>
      <c r="E39" s="121" t="s">
        <v>90</v>
      </c>
    </row>
    <row r="40" spans="2:5" x14ac:dyDescent="0.2">
      <c r="B40" s="117" t="s">
        <v>71</v>
      </c>
      <c r="C40" s="121"/>
      <c r="D40" s="121"/>
      <c r="E40" s="121" t="s">
        <v>132</v>
      </c>
    </row>
    <row r="41" spans="2:5" x14ac:dyDescent="0.2">
      <c r="B41" s="154" t="s">
        <v>22</v>
      </c>
      <c r="C41" s="178" t="s">
        <v>57</v>
      </c>
      <c r="D41" s="178" t="s">
        <v>57</v>
      </c>
      <c r="E41" s="113"/>
    </row>
    <row r="42" spans="2:5" x14ac:dyDescent="0.2">
      <c r="B42" s="134" t="s">
        <v>260</v>
      </c>
      <c r="C42" s="417">
        <v>6212927</v>
      </c>
      <c r="D42" s="417">
        <f>SUM('[7]Asset breakup'!$H$11)</f>
        <v>4463528.7962314459</v>
      </c>
      <c r="E42" s="158">
        <f>(D42-C42)/C42</f>
        <v>-0.28157391898674394</v>
      </c>
    </row>
    <row r="43" spans="2:5" x14ac:dyDescent="0.2">
      <c r="B43" s="134" t="s">
        <v>261</v>
      </c>
      <c r="C43" s="417">
        <v>0</v>
      </c>
      <c r="D43" s="417">
        <f>SUM('[7]Asset breakup'!$H$12:$H$13)</f>
        <v>0</v>
      </c>
      <c r="E43" s="158" t="e">
        <f t="shared" ref="E43:E48" si="1">(D43-C43)/C43</f>
        <v>#DIV/0!</v>
      </c>
    </row>
    <row r="44" spans="2:5" x14ac:dyDescent="0.2">
      <c r="B44" s="134" t="s">
        <v>262</v>
      </c>
      <c r="C44" s="417">
        <v>8612028</v>
      </c>
      <c r="D44" s="417">
        <f>SUM('[7]Asset breakup'!$H$5:$H$10)</f>
        <v>19364976.553768553</v>
      </c>
      <c r="E44" s="158">
        <f t="shared" si="1"/>
        <v>1.2485965621301456</v>
      </c>
    </row>
    <row r="45" spans="2:5" x14ac:dyDescent="0.2">
      <c r="B45" s="134" t="s">
        <v>263</v>
      </c>
      <c r="C45" s="417">
        <v>12068551</v>
      </c>
      <c r="D45" s="417">
        <f>SUM('[7]Asset breakup'!$H$16)+SUM('[7]Asset breakup'!$H$20)</f>
        <v>12849291.809861798</v>
      </c>
      <c r="E45" s="158">
        <f t="shared" si="1"/>
        <v>6.4692174716069709E-2</v>
      </c>
    </row>
    <row r="46" spans="2:5" x14ac:dyDescent="0.2">
      <c r="B46" s="134" t="s">
        <v>264</v>
      </c>
      <c r="C46" s="417">
        <v>13634785</v>
      </c>
      <c r="D46" s="417">
        <f>SUM('[7]Asset breakup'!$H$17)</f>
        <v>10926074.759999998</v>
      </c>
      <c r="E46" s="158">
        <f t="shared" si="1"/>
        <v>-0.19866174934184896</v>
      </c>
    </row>
    <row r="47" spans="2:5" x14ac:dyDescent="0.2">
      <c r="B47" s="134" t="s">
        <v>265</v>
      </c>
      <c r="C47" s="417">
        <v>14476594</v>
      </c>
      <c r="D47" s="417">
        <f>SUM('[7]Asset breakup'!$H$18:$H$19)</f>
        <v>14000379.740138197</v>
      </c>
      <c r="E47" s="158">
        <f t="shared" si="1"/>
        <v>-3.289546283205861E-2</v>
      </c>
    </row>
    <row r="48" spans="2:5" x14ac:dyDescent="0.2">
      <c r="B48" s="140" t="s">
        <v>83</v>
      </c>
      <c r="C48" s="416">
        <v>55004884</v>
      </c>
      <c r="D48" s="416">
        <f>SUM(D42:D47)</f>
        <v>61604251.659999989</v>
      </c>
      <c r="E48" s="158">
        <f t="shared" si="1"/>
        <v>0.11997784887611052</v>
      </c>
    </row>
    <row r="49" spans="2:5" x14ac:dyDescent="0.2">
      <c r="B49" s="155" t="s">
        <v>27</v>
      </c>
      <c r="C49" s="418"/>
      <c r="D49" s="418"/>
      <c r="E49" s="113"/>
    </row>
    <row r="50" spans="2:5" x14ac:dyDescent="0.2">
      <c r="B50" s="142" t="s">
        <v>266</v>
      </c>
      <c r="C50" s="417">
        <v>4401146</v>
      </c>
      <c r="D50" s="417">
        <f>SUM('[7]Asset breakup'!$H$24)</f>
        <v>7233279.29</v>
      </c>
      <c r="E50" s="158">
        <f>(D50-C50)/C50</f>
        <v>0.6434990545644248</v>
      </c>
    </row>
    <row r="51" spans="2:5" x14ac:dyDescent="0.2">
      <c r="B51" s="142" t="s">
        <v>19</v>
      </c>
      <c r="C51" s="417">
        <v>0</v>
      </c>
      <c r="D51" s="417">
        <f>SUM('[7]Asset breakup'!$H$23)</f>
        <v>4577996.0199999996</v>
      </c>
      <c r="E51" s="158" t="e">
        <f t="shared" ref="E51:E60" si="2">(D51-C51)/C51</f>
        <v>#DIV/0!</v>
      </c>
    </row>
    <row r="52" spans="2:5" x14ac:dyDescent="0.2">
      <c r="B52" s="142" t="s">
        <v>267</v>
      </c>
      <c r="C52" s="417">
        <v>220290</v>
      </c>
      <c r="D52" s="417">
        <f>SUM('[7]Asset breakup'!$H$30)</f>
        <v>3191691.8638373255</v>
      </c>
      <c r="E52" s="158">
        <f t="shared" si="2"/>
        <v>13.488591692030168</v>
      </c>
    </row>
    <row r="53" spans="2:5" x14ac:dyDescent="0.2">
      <c r="B53" s="142" t="s">
        <v>268</v>
      </c>
      <c r="C53" s="417">
        <v>69234</v>
      </c>
      <c r="D53" s="417">
        <f>SUM('[7]Asset breakup'!$H$31)</f>
        <v>58973.513549999996</v>
      </c>
      <c r="E53" s="158">
        <f t="shared" si="2"/>
        <v>-0.14820011049484363</v>
      </c>
    </row>
    <row r="54" spans="2:5" x14ac:dyDescent="0.2">
      <c r="B54" s="142" t="s">
        <v>269</v>
      </c>
      <c r="C54" s="417">
        <v>0</v>
      </c>
      <c r="D54" s="417">
        <f>SUM('[7]Asset breakup'!$H$25)</f>
        <v>0</v>
      </c>
      <c r="E54" s="158" t="e">
        <f t="shared" si="2"/>
        <v>#DIV/0!</v>
      </c>
    </row>
    <row r="55" spans="2:5" x14ac:dyDescent="0.2">
      <c r="B55" s="142" t="s">
        <v>20</v>
      </c>
      <c r="C55" s="417">
        <v>1269181</v>
      </c>
      <c r="D55" s="417">
        <f>SUM('[7]Asset breakup'!$H$26)</f>
        <v>1288338.56</v>
      </c>
      <c r="E55" s="158">
        <f t="shared" si="2"/>
        <v>1.5094427036017759E-2</v>
      </c>
    </row>
    <row r="56" spans="2:5" x14ac:dyDescent="0.2">
      <c r="B56" s="142" t="s">
        <v>272</v>
      </c>
      <c r="C56" s="419"/>
      <c r="D56" s="419"/>
      <c r="E56" s="158" t="e">
        <f t="shared" si="2"/>
        <v>#DIV/0!</v>
      </c>
    </row>
    <row r="57" spans="2:5" x14ac:dyDescent="0.2">
      <c r="B57" s="142" t="s">
        <v>270</v>
      </c>
      <c r="C57" s="417">
        <v>579274</v>
      </c>
      <c r="D57" s="417">
        <f>SUM('[7]Asset breakup'!$H$22)</f>
        <v>662828.85000000021</v>
      </c>
      <c r="E57" s="158">
        <f t="shared" si="2"/>
        <v>0.14424063569226345</v>
      </c>
    </row>
    <row r="58" spans="2:5" x14ac:dyDescent="0.2">
      <c r="B58" s="142" t="s">
        <v>271</v>
      </c>
      <c r="C58" s="417">
        <v>0</v>
      </c>
      <c r="D58" s="417">
        <f>SUM('[7]Asset breakup'!$H$29)</f>
        <v>754495.81064999988</v>
      </c>
      <c r="E58" s="158" t="e">
        <f t="shared" si="2"/>
        <v>#DIV/0!</v>
      </c>
    </row>
    <row r="59" spans="2:5" x14ac:dyDescent="0.2">
      <c r="B59" s="143" t="s">
        <v>83</v>
      </c>
      <c r="C59" s="416">
        <f>SUM(C50:C58)</f>
        <v>6539125</v>
      </c>
      <c r="D59" s="416">
        <f>SUM(D50:D58)</f>
        <v>17767603.908037324</v>
      </c>
      <c r="E59" s="158">
        <f t="shared" si="2"/>
        <v>1.7171225367365395</v>
      </c>
    </row>
    <row r="60" spans="2:5" x14ac:dyDescent="0.2">
      <c r="B60" s="177" t="s">
        <v>69</v>
      </c>
      <c r="C60" s="416">
        <f>C48+C59</f>
        <v>61544009</v>
      </c>
      <c r="D60" s="416">
        <f>D48+D59</f>
        <v>79371855.568037316</v>
      </c>
      <c r="E60" s="158">
        <f t="shared" si="2"/>
        <v>0.28967639349001972</v>
      </c>
    </row>
    <row r="62" spans="2:5" ht="15.75" x14ac:dyDescent="0.25">
      <c r="B62" s="111" t="s">
        <v>406</v>
      </c>
    </row>
    <row r="64" spans="2:5" x14ac:dyDescent="0.2">
      <c r="B64" s="109"/>
      <c r="C64" s="112" t="s">
        <v>15</v>
      </c>
      <c r="D64" s="112" t="s">
        <v>21</v>
      </c>
      <c r="E64" s="112" t="s">
        <v>90</v>
      </c>
    </row>
    <row r="65" spans="2:6" x14ac:dyDescent="0.2">
      <c r="B65" s="401" t="s">
        <v>402</v>
      </c>
      <c r="C65" s="402" t="s">
        <v>57</v>
      </c>
      <c r="D65" s="402" t="s">
        <v>57</v>
      </c>
      <c r="E65" s="112"/>
    </row>
    <row r="66" spans="2:6" x14ac:dyDescent="0.2">
      <c r="B66" s="114" t="s">
        <v>106</v>
      </c>
      <c r="C66" s="415">
        <f>'[6]Comparison Nominal Dollars'!$W$165</f>
        <v>3813437.3236404667</v>
      </c>
      <c r="D66" s="415">
        <f>'[6]Comparison Nominal Dollars'!$Z$165</f>
        <v>4116159.3299999996</v>
      </c>
      <c r="E66" s="158">
        <f>(D66-C66)/C66</f>
        <v>7.9382976739353323E-2</v>
      </c>
    </row>
    <row r="68" spans="2:6" ht="15.75" customHeight="1" x14ac:dyDescent="0.25">
      <c r="B68" s="111" t="s">
        <v>407</v>
      </c>
    </row>
    <row r="69" spans="2:6" ht="13.5" customHeight="1" x14ac:dyDescent="0.2"/>
    <row r="70" spans="2:6" x14ac:dyDescent="0.2">
      <c r="B70" s="109"/>
      <c r="C70" s="112" t="s">
        <v>15</v>
      </c>
      <c r="D70" s="112" t="s">
        <v>21</v>
      </c>
      <c r="E70" s="112" t="s">
        <v>90</v>
      </c>
    </row>
    <row r="71" spans="2:6" x14ac:dyDescent="0.2">
      <c r="B71" s="401" t="s">
        <v>58</v>
      </c>
      <c r="C71" s="402" t="s">
        <v>57</v>
      </c>
      <c r="D71" s="402" t="s">
        <v>57</v>
      </c>
      <c r="E71" s="402"/>
    </row>
    <row r="72" spans="2:6" x14ac:dyDescent="0.2">
      <c r="B72" s="114" t="s">
        <v>404</v>
      </c>
      <c r="C72" s="181"/>
      <c r="D72" s="181"/>
      <c r="E72" s="137" t="e">
        <f>(D72-C72)/C72</f>
        <v>#DIV/0!</v>
      </c>
    </row>
    <row r="73" spans="2:6" ht="12.75" customHeight="1" x14ac:dyDescent="0.2">
      <c r="B73" s="114" t="s">
        <v>56</v>
      </c>
      <c r="C73" s="182"/>
      <c r="D73" s="180">
        <v>0</v>
      </c>
      <c r="E73" s="137" t="e">
        <f>(D73-C73)/C73</f>
        <v>#DIV/0!</v>
      </c>
    </row>
    <row r="74" spans="2:6" ht="12.75" customHeight="1" x14ac:dyDescent="0.2">
      <c r="B74" s="187" t="s">
        <v>532</v>
      </c>
    </row>
    <row r="75" spans="2:6" ht="15.75" x14ac:dyDescent="0.25">
      <c r="B75" s="111" t="s">
        <v>131</v>
      </c>
    </row>
    <row r="76" spans="2:6" x14ac:dyDescent="0.2">
      <c r="B76" s="583" t="s">
        <v>378</v>
      </c>
      <c r="C76" s="584"/>
      <c r="D76" s="584"/>
      <c r="E76" s="579"/>
    </row>
    <row r="77" spans="2:6" ht="15.75" x14ac:dyDescent="0.25">
      <c r="B77" s="111"/>
    </row>
    <row r="78" spans="2:6" ht="63.75" x14ac:dyDescent="0.2">
      <c r="B78" s="109" t="s">
        <v>29</v>
      </c>
      <c r="C78" s="585" t="s">
        <v>77</v>
      </c>
      <c r="D78" s="586"/>
      <c r="E78" s="587"/>
      <c r="F78" s="109" t="s">
        <v>408</v>
      </c>
    </row>
    <row r="79" spans="2:6" x14ac:dyDescent="0.2">
      <c r="B79" s="108" t="s">
        <v>444</v>
      </c>
      <c r="C79" s="570" t="s">
        <v>445</v>
      </c>
      <c r="D79" s="571"/>
      <c r="E79" s="572"/>
      <c r="F79" s="426">
        <v>337140</v>
      </c>
    </row>
    <row r="80" spans="2:6" x14ac:dyDescent="0.2">
      <c r="B80" s="108" t="s">
        <v>444</v>
      </c>
      <c r="C80" s="570" t="s">
        <v>446</v>
      </c>
      <c r="D80" s="571"/>
      <c r="E80" s="572"/>
      <c r="F80" s="426">
        <v>7172543.120000001</v>
      </c>
    </row>
    <row r="81" spans="2:6" x14ac:dyDescent="0.2">
      <c r="B81" s="108" t="s">
        <v>444</v>
      </c>
      <c r="C81" s="570" t="s">
        <v>447</v>
      </c>
      <c r="D81" s="571"/>
      <c r="E81" s="572"/>
      <c r="F81" s="426">
        <v>11113533.6</v>
      </c>
    </row>
    <row r="82" spans="2:6" x14ac:dyDescent="0.2">
      <c r="B82" s="108" t="s">
        <v>500</v>
      </c>
      <c r="C82" s="570" t="s">
        <v>501</v>
      </c>
      <c r="D82" s="571"/>
      <c r="E82" s="572"/>
      <c r="F82" s="426">
        <f>'[8]Actew Corporation'!$G$12</f>
        <v>401598</v>
      </c>
    </row>
    <row r="83" spans="2:6" x14ac:dyDescent="0.2">
      <c r="B83" s="108" t="s">
        <v>500</v>
      </c>
      <c r="C83" s="507" t="s">
        <v>502</v>
      </c>
      <c r="D83" s="505"/>
      <c r="E83" s="506"/>
      <c r="F83" s="426">
        <f>'[8]Actew Corporation'!$G$13</f>
        <v>23000</v>
      </c>
    </row>
    <row r="84" spans="2:6" x14ac:dyDescent="0.2">
      <c r="B84" s="108"/>
      <c r="C84" s="582"/>
      <c r="D84" s="571"/>
      <c r="E84" s="572"/>
      <c r="F84" s="426"/>
    </row>
    <row r="85" spans="2:6" x14ac:dyDescent="0.2">
      <c r="B85" s="109" t="s">
        <v>30</v>
      </c>
      <c r="C85" s="585"/>
      <c r="D85" s="586"/>
      <c r="E85" s="587"/>
      <c r="F85" s="427">
        <f>SUM(F79:F84)</f>
        <v>19047814.719999999</v>
      </c>
    </row>
    <row r="87" spans="2:6" ht="15.75" x14ac:dyDescent="0.25">
      <c r="B87" s="111" t="s">
        <v>139</v>
      </c>
    </row>
    <row r="89" spans="2:6" x14ac:dyDescent="0.2">
      <c r="B89" s="117"/>
      <c r="C89" s="121" t="s">
        <v>15</v>
      </c>
      <c r="D89" s="121" t="s">
        <v>16</v>
      </c>
    </row>
    <row r="90" spans="2:6" ht="15.75" x14ac:dyDescent="0.2">
      <c r="B90" s="139" t="s">
        <v>22</v>
      </c>
      <c r="C90" s="402" t="s">
        <v>57</v>
      </c>
      <c r="D90" s="402" t="s">
        <v>57</v>
      </c>
    </row>
    <row r="91" spans="2:6" x14ac:dyDescent="0.2">
      <c r="B91" s="134" t="s">
        <v>260</v>
      </c>
      <c r="C91" s="417">
        <v>0</v>
      </c>
      <c r="D91" s="417">
        <f>SUM('[7]Asset breakup'!$H$45)</f>
        <v>547339.10297933198</v>
      </c>
    </row>
    <row r="92" spans="2:6" x14ac:dyDescent="0.2">
      <c r="B92" s="134" t="s">
        <v>261</v>
      </c>
      <c r="C92" s="417">
        <v>0</v>
      </c>
      <c r="D92" s="417">
        <f>SUM('[7]Asset breakup'!$H$46:$H$47)</f>
        <v>0</v>
      </c>
    </row>
    <row r="93" spans="2:6" x14ac:dyDescent="0.2">
      <c r="B93" s="134" t="s">
        <v>262</v>
      </c>
      <c r="C93" s="417">
        <v>0</v>
      </c>
      <c r="D93" s="417">
        <f>SUM('[7]Asset breakup'!$H$39:$H$44)</f>
        <v>2931845.1670206683</v>
      </c>
    </row>
    <row r="94" spans="2:6" x14ac:dyDescent="0.2">
      <c r="B94" s="134" t="s">
        <v>263</v>
      </c>
      <c r="C94" s="417">
        <v>1868911</v>
      </c>
      <c r="D94" s="417">
        <f>SUM('[7]Asset breakup'!$H$50)+SUM('[7]Asset breakup'!$H$54)</f>
        <v>5485497.4708950408</v>
      </c>
    </row>
    <row r="95" spans="2:6" x14ac:dyDescent="0.2">
      <c r="B95" s="134" t="s">
        <v>264</v>
      </c>
      <c r="C95" s="417">
        <v>0</v>
      </c>
      <c r="D95" s="417">
        <f>SUM('[7]Asset breakup'!$H$51)</f>
        <v>0</v>
      </c>
    </row>
    <row r="96" spans="2:6" x14ac:dyDescent="0.2">
      <c r="B96" s="134" t="s">
        <v>265</v>
      </c>
      <c r="C96" s="417">
        <v>3070464</v>
      </c>
      <c r="D96" s="417">
        <f>SUM('[7]Asset breakup'!$H$52:$H$53)</f>
        <v>5252246.3991049621</v>
      </c>
    </row>
    <row r="97" spans="2:4" x14ac:dyDescent="0.2">
      <c r="B97" s="140" t="s">
        <v>83</v>
      </c>
      <c r="C97" s="416">
        <v>4939375</v>
      </c>
      <c r="D97" s="416">
        <f>SUM(D91:D96)</f>
        <v>14216928.140000002</v>
      </c>
    </row>
    <row r="98" spans="2:4" ht="15.75" x14ac:dyDescent="0.2">
      <c r="B98" s="141" t="s">
        <v>27</v>
      </c>
      <c r="C98" s="418"/>
      <c r="D98" s="418"/>
    </row>
    <row r="99" spans="2:4" x14ac:dyDescent="0.2">
      <c r="B99" s="142" t="s">
        <v>266</v>
      </c>
      <c r="C99" s="417">
        <v>0</v>
      </c>
      <c r="D99" s="417">
        <f>SUM('[7]Asset breakup'!$H$58)</f>
        <v>0</v>
      </c>
    </row>
    <row r="100" spans="2:4" x14ac:dyDescent="0.2">
      <c r="B100" s="142" t="s">
        <v>19</v>
      </c>
      <c r="C100" s="417">
        <v>0</v>
      </c>
      <c r="D100" s="417">
        <f>SUM('[7]Asset breakup'!$H$57)</f>
        <v>0</v>
      </c>
    </row>
    <row r="101" spans="2:4" x14ac:dyDescent="0.2">
      <c r="B101" s="142" t="s">
        <v>267</v>
      </c>
      <c r="C101" s="417">
        <v>0</v>
      </c>
      <c r="D101" s="417">
        <v>0</v>
      </c>
    </row>
    <row r="102" spans="2:4" x14ac:dyDescent="0.2">
      <c r="B102" s="142" t="s">
        <v>268</v>
      </c>
      <c r="C102" s="417">
        <v>0</v>
      </c>
      <c r="D102" s="417">
        <v>0</v>
      </c>
    </row>
    <row r="103" spans="2:4" x14ac:dyDescent="0.2">
      <c r="B103" s="142" t="s">
        <v>269</v>
      </c>
      <c r="C103" s="417">
        <v>0</v>
      </c>
      <c r="D103" s="417">
        <v>0</v>
      </c>
    </row>
    <row r="104" spans="2:4" x14ac:dyDescent="0.2">
      <c r="B104" s="142" t="s">
        <v>20</v>
      </c>
      <c r="C104" s="417">
        <v>0</v>
      </c>
      <c r="D104" s="417">
        <v>0</v>
      </c>
    </row>
    <row r="105" spans="2:4" x14ac:dyDescent="0.2">
      <c r="B105" s="142" t="s">
        <v>272</v>
      </c>
      <c r="C105" s="417">
        <v>0</v>
      </c>
      <c r="D105" s="419"/>
    </row>
    <row r="106" spans="2:4" x14ac:dyDescent="0.2">
      <c r="B106" s="142" t="s">
        <v>270</v>
      </c>
      <c r="C106" s="417">
        <v>0</v>
      </c>
      <c r="D106" s="417">
        <f>SUM('[7]Asset breakup'!$H$56)</f>
        <v>0</v>
      </c>
    </row>
    <row r="107" spans="2:4" x14ac:dyDescent="0.2">
      <c r="B107" s="142" t="s">
        <v>271</v>
      </c>
      <c r="C107" s="417">
        <v>0</v>
      </c>
      <c r="D107" s="417">
        <v>0</v>
      </c>
    </row>
    <row r="108" spans="2:4" x14ac:dyDescent="0.2">
      <c r="B108" s="143" t="s">
        <v>83</v>
      </c>
      <c r="C108" s="416">
        <f>SUM(C99:C107)</f>
        <v>0</v>
      </c>
      <c r="D108" s="416">
        <f>SUM(D99:D107)</f>
        <v>0</v>
      </c>
    </row>
    <row r="110" spans="2:4" ht="15.75" x14ac:dyDescent="0.25">
      <c r="B110" s="111" t="s">
        <v>140</v>
      </c>
    </row>
    <row r="112" spans="2:4" x14ac:dyDescent="0.2">
      <c r="B112" s="117"/>
      <c r="C112" s="121" t="s">
        <v>15</v>
      </c>
      <c r="D112" s="121" t="s">
        <v>16</v>
      </c>
    </row>
    <row r="113" spans="2:4" ht="15.75" x14ac:dyDescent="0.2">
      <c r="B113" s="139" t="s">
        <v>22</v>
      </c>
      <c r="C113" s="402" t="s">
        <v>57</v>
      </c>
      <c r="D113" s="402" t="s">
        <v>57</v>
      </c>
    </row>
    <row r="114" spans="2:4" x14ac:dyDescent="0.2">
      <c r="B114" s="134" t="s">
        <v>260</v>
      </c>
      <c r="C114" s="417">
        <v>0</v>
      </c>
      <c r="D114" s="417">
        <v>0</v>
      </c>
    </row>
    <row r="115" spans="2:4" x14ac:dyDescent="0.2">
      <c r="B115" s="134" t="s">
        <v>261</v>
      </c>
      <c r="C115" s="417">
        <v>0</v>
      </c>
      <c r="D115" s="417">
        <v>0</v>
      </c>
    </row>
    <row r="116" spans="2:4" x14ac:dyDescent="0.2">
      <c r="B116" s="134" t="s">
        <v>262</v>
      </c>
      <c r="C116" s="417">
        <v>0</v>
      </c>
      <c r="D116" s="417">
        <v>0</v>
      </c>
    </row>
    <row r="117" spans="2:4" x14ac:dyDescent="0.2">
      <c r="B117" s="134" t="s">
        <v>263</v>
      </c>
      <c r="C117" s="417">
        <v>0</v>
      </c>
      <c r="D117" s="417">
        <v>0</v>
      </c>
    </row>
    <row r="118" spans="2:4" x14ac:dyDescent="0.2">
      <c r="B118" s="134" t="s">
        <v>264</v>
      </c>
      <c r="C118" s="417">
        <v>0</v>
      </c>
      <c r="D118" s="417">
        <v>0</v>
      </c>
    </row>
    <row r="119" spans="2:4" x14ac:dyDescent="0.2">
      <c r="B119" s="134" t="s">
        <v>265</v>
      </c>
      <c r="C119" s="417">
        <v>0</v>
      </c>
      <c r="D119" s="417">
        <v>0</v>
      </c>
    </row>
    <row r="120" spans="2:4" x14ac:dyDescent="0.2">
      <c r="B120" s="140" t="s">
        <v>83</v>
      </c>
      <c r="C120" s="135">
        <f>SUM(C114:C119)</f>
        <v>0</v>
      </c>
      <c r="D120" s="135">
        <f>SUM(D114:D119)</f>
        <v>0</v>
      </c>
    </row>
    <row r="121" spans="2:4" ht="15.75" x14ac:dyDescent="0.2">
      <c r="B121" s="141" t="s">
        <v>27</v>
      </c>
      <c r="C121" s="113"/>
      <c r="D121" s="113"/>
    </row>
    <row r="122" spans="2:4" x14ac:dyDescent="0.2">
      <c r="B122" s="142" t="s">
        <v>266</v>
      </c>
      <c r="C122" s="417">
        <v>0</v>
      </c>
      <c r="D122" s="417">
        <v>0</v>
      </c>
    </row>
    <row r="123" spans="2:4" x14ac:dyDescent="0.2">
      <c r="B123" s="142" t="s">
        <v>19</v>
      </c>
      <c r="C123" s="417">
        <v>0</v>
      </c>
      <c r="D123" s="417">
        <v>0</v>
      </c>
    </row>
    <row r="124" spans="2:4" x14ac:dyDescent="0.2">
      <c r="B124" s="142" t="s">
        <v>267</v>
      </c>
      <c r="C124" s="417">
        <v>0</v>
      </c>
      <c r="D124" s="417">
        <v>0</v>
      </c>
    </row>
    <row r="125" spans="2:4" x14ac:dyDescent="0.2">
      <c r="B125" s="142" t="s">
        <v>268</v>
      </c>
      <c r="C125" s="417">
        <v>0</v>
      </c>
      <c r="D125" s="417">
        <v>0</v>
      </c>
    </row>
    <row r="126" spans="2:4" x14ac:dyDescent="0.2">
      <c r="B126" s="142" t="s">
        <v>269</v>
      </c>
      <c r="C126" s="417">
        <v>0</v>
      </c>
      <c r="D126" s="417">
        <v>0</v>
      </c>
    </row>
    <row r="127" spans="2:4" x14ac:dyDescent="0.2">
      <c r="B127" s="142" t="s">
        <v>20</v>
      </c>
      <c r="C127" s="417">
        <v>0</v>
      </c>
      <c r="D127" s="417">
        <v>0</v>
      </c>
    </row>
    <row r="128" spans="2:4" x14ac:dyDescent="0.2">
      <c r="B128" s="142" t="s">
        <v>272</v>
      </c>
      <c r="C128" s="417">
        <v>0</v>
      </c>
      <c r="D128" s="181"/>
    </row>
    <row r="129" spans="2:4" x14ac:dyDescent="0.2">
      <c r="B129" s="142" t="s">
        <v>270</v>
      </c>
      <c r="C129" s="417">
        <v>0</v>
      </c>
      <c r="D129" s="417">
        <v>0</v>
      </c>
    </row>
    <row r="130" spans="2:4" x14ac:dyDescent="0.2">
      <c r="B130" s="142" t="s">
        <v>271</v>
      </c>
      <c r="C130" s="417">
        <v>0</v>
      </c>
      <c r="D130" s="417">
        <v>0</v>
      </c>
    </row>
    <row r="131" spans="2:4" x14ac:dyDescent="0.2">
      <c r="B131" s="143" t="s">
        <v>83</v>
      </c>
      <c r="C131" s="135">
        <f>SUM(C122:C130)</f>
        <v>0</v>
      </c>
      <c r="D131" s="135">
        <f>SUM(D122:D130)</f>
        <v>0</v>
      </c>
    </row>
    <row r="133" spans="2:4" x14ac:dyDescent="0.2">
      <c r="B133" s="187" t="s">
        <v>531</v>
      </c>
    </row>
    <row r="170" spans="2:2" x14ac:dyDescent="0.2">
      <c r="B170" s="85"/>
    </row>
    <row r="171" spans="2:2" x14ac:dyDescent="0.2">
      <c r="B171" s="85"/>
    </row>
    <row r="172" spans="2:2" ht="12.75" customHeight="1" x14ac:dyDescent="0.2"/>
    <row r="173" spans="2:2" ht="12.75" customHeight="1" x14ac:dyDescent="0.2"/>
    <row r="174" spans="2:2" ht="12.75" customHeight="1" x14ac:dyDescent="0.2"/>
    <row r="178" ht="15" customHeight="1" x14ac:dyDescent="0.2"/>
    <row r="179" ht="15" customHeight="1" x14ac:dyDescent="0.2"/>
    <row r="180" ht="15" customHeight="1" x14ac:dyDescent="0.2"/>
    <row r="184" ht="15" customHeight="1" x14ac:dyDescent="0.2"/>
    <row r="185" ht="15" customHeight="1" x14ac:dyDescent="0.2"/>
    <row r="187" ht="15" customHeight="1" x14ac:dyDescent="0.2"/>
    <row r="188" ht="15" customHeight="1" x14ac:dyDescent="0.2"/>
    <row r="189" ht="15" customHeight="1" x14ac:dyDescent="0.2"/>
    <row r="192" ht="12.75" customHeight="1" x14ac:dyDescent="0.2"/>
    <row r="193" ht="12.75" customHeight="1" x14ac:dyDescent="0.2"/>
    <row r="194"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2" ht="12.75" customHeight="1" x14ac:dyDescent="0.2"/>
    <row r="203" ht="12.75" customHeight="1" x14ac:dyDescent="0.2"/>
    <row r="206" ht="12.75" customHeight="1" x14ac:dyDescent="0.2"/>
    <row r="207" ht="12.75" customHeight="1" x14ac:dyDescent="0.2"/>
    <row r="208" ht="15.75" customHeight="1" x14ac:dyDescent="0.2"/>
    <row r="210" ht="12.75" customHeight="1" x14ac:dyDescent="0.2"/>
    <row r="211" ht="12.75" customHeight="1" x14ac:dyDescent="0.2"/>
  </sheetData>
  <mergeCells count="22">
    <mergeCell ref="C34:E34"/>
    <mergeCell ref="C35:E35"/>
    <mergeCell ref="B76:E76"/>
    <mergeCell ref="C85:E85"/>
    <mergeCell ref="C78:E78"/>
    <mergeCell ref="C79:E79"/>
    <mergeCell ref="C80:E80"/>
    <mergeCell ref="C81:E81"/>
    <mergeCell ref="C84:E84"/>
    <mergeCell ref="C82:E82"/>
    <mergeCell ref="B2:C2"/>
    <mergeCell ref="B24:C24"/>
    <mergeCell ref="B5:C5"/>
    <mergeCell ref="C26:E26"/>
    <mergeCell ref="C27:E27"/>
    <mergeCell ref="F15:L15"/>
    <mergeCell ref="C30:E30"/>
    <mergeCell ref="C31:E31"/>
    <mergeCell ref="C32:E32"/>
    <mergeCell ref="C33:E33"/>
    <mergeCell ref="C28:E28"/>
    <mergeCell ref="C29:E29"/>
  </mergeCells>
  <phoneticPr fontId="35" type="noConversion"/>
  <pageMargins left="0.35433070866141736" right="0.35433070866141736" top="0.59055118110236227" bottom="0.59055118110236227" header="0.51181102362204722" footer="0.11811023622047245"/>
  <pageSetup paperSize="9" scale="90" fitToHeight="100" orientation="portrait" r:id="rId1"/>
  <headerFooter scaleWithDoc="0" alignWithMargins="0">
    <oddFooter>&amp;L&amp;8&amp;D&amp;C&amp;8&amp; Template: &amp;A
&amp;F&amp;R&amp;8&amp;P of &amp;N</oddFooter>
  </headerFooter>
  <rowBreaks count="1" manualBreakCount="1">
    <brk id="8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58"/>
  <sheetViews>
    <sheetView showGridLines="0" topLeftCell="A13" zoomScaleNormal="100" zoomScaleSheetLayoutView="115" workbookViewId="0">
      <selection activeCell="C35" sqref="C35"/>
    </sheetView>
  </sheetViews>
  <sheetFormatPr defaultRowHeight="12.75" x14ac:dyDescent="0.2"/>
  <cols>
    <col min="1" max="1" width="11.140625" customWidth="1"/>
    <col min="2" max="2" width="39.5703125" customWidth="1"/>
    <col min="3" max="6" width="15.7109375" customWidth="1"/>
    <col min="7" max="7" width="4.42578125" customWidth="1"/>
  </cols>
  <sheetData>
    <row r="1" spans="2:6" ht="20.25" x14ac:dyDescent="0.3">
      <c r="B1" s="26" t="str">
        <f>Cover!C22</f>
        <v>ActewAGL</v>
      </c>
    </row>
    <row r="2" spans="2:6" ht="20.25" x14ac:dyDescent="0.3">
      <c r="B2" s="110" t="s">
        <v>134</v>
      </c>
    </row>
    <row r="3" spans="2:6" ht="20.25" x14ac:dyDescent="0.3">
      <c r="B3" s="26" t="str">
        <f>Cover!C26</f>
        <v>2012-13</v>
      </c>
    </row>
    <row r="5" spans="2:6" s="260" customFormat="1" ht="66.75" customHeight="1" x14ac:dyDescent="0.2">
      <c r="B5" s="588" t="s">
        <v>255</v>
      </c>
      <c r="C5" s="589"/>
    </row>
    <row r="6" spans="2:6" x14ac:dyDescent="0.2">
      <c r="B6" s="380"/>
      <c r="C6" s="380"/>
    </row>
    <row r="7" spans="2:6" x14ac:dyDescent="0.2">
      <c r="B7" s="590" t="s">
        <v>7</v>
      </c>
      <c r="C7" s="591"/>
      <c r="E7" s="122"/>
      <c r="F7" s="122"/>
    </row>
    <row r="9" spans="2:6" ht="15.75" x14ac:dyDescent="0.25">
      <c r="B9" s="115" t="s">
        <v>133</v>
      </c>
    </row>
    <row r="10" spans="2:6" x14ac:dyDescent="0.2">
      <c r="B10" s="116"/>
    </row>
    <row r="11" spans="2:6" x14ac:dyDescent="0.2">
      <c r="B11" s="117"/>
      <c r="C11" s="112" t="s">
        <v>15</v>
      </c>
      <c r="D11" s="112" t="s">
        <v>21</v>
      </c>
      <c r="E11" s="112" t="s">
        <v>90</v>
      </c>
    </row>
    <row r="12" spans="2:6" x14ac:dyDescent="0.2">
      <c r="B12" s="118" t="s">
        <v>22</v>
      </c>
      <c r="C12" s="402" t="s">
        <v>57</v>
      </c>
      <c r="D12" s="402" t="s">
        <v>57</v>
      </c>
      <c r="E12" s="107"/>
    </row>
    <row r="13" spans="2:6" x14ac:dyDescent="0.2">
      <c r="B13" s="119" t="s">
        <v>23</v>
      </c>
      <c r="C13" s="429">
        <v>0</v>
      </c>
      <c r="D13" s="429">
        <f>'[9]Corporate overhead Detail'!$E$25-'[9]Corporate overhead Detail'!$E$29</f>
        <v>759550.91999999993</v>
      </c>
      <c r="E13" s="158" t="e">
        <f>(D13-C13)/C13</f>
        <v>#DIV/0!</v>
      </c>
    </row>
    <row r="14" spans="2:6" x14ac:dyDescent="0.2">
      <c r="B14" s="119" t="s">
        <v>24</v>
      </c>
      <c r="C14" s="429">
        <v>0</v>
      </c>
      <c r="D14" s="429">
        <f>'[9]Corporate overhead Detail'!$E$14+'[9]Corporate overhead Detail'!$E$32-'[9]Corporate overhead Detail'!$E$17</f>
        <v>1761171.79</v>
      </c>
      <c r="E14" s="158" t="e">
        <f t="shared" ref="E14:E22" si="0">(D14-C14)/C14</f>
        <v>#DIV/0!</v>
      </c>
    </row>
    <row r="15" spans="2:6" ht="17.25" customHeight="1" x14ac:dyDescent="0.2">
      <c r="B15" s="119" t="s">
        <v>25</v>
      </c>
      <c r="C15" s="429">
        <v>0</v>
      </c>
      <c r="D15" s="429">
        <f>'[9]Corporate overhead Detail'!$E$33</f>
        <v>64.19</v>
      </c>
      <c r="E15" s="158" t="e">
        <f t="shared" si="0"/>
        <v>#DIV/0!</v>
      </c>
    </row>
    <row r="16" spans="2:6" ht="15" customHeight="1" x14ac:dyDescent="0.2">
      <c r="B16" s="119" t="s">
        <v>26</v>
      </c>
      <c r="C16" s="429">
        <v>0</v>
      </c>
      <c r="D16" s="429"/>
      <c r="E16" s="158" t="e">
        <f t="shared" si="0"/>
        <v>#DIV/0!</v>
      </c>
    </row>
    <row r="17" spans="2:5" ht="14.25" customHeight="1" x14ac:dyDescent="0.2">
      <c r="B17" s="119" t="s">
        <v>58</v>
      </c>
      <c r="C17" s="429">
        <v>0</v>
      </c>
      <c r="D17" s="429">
        <f>'[9]Corporate overhead Detail'!$E$34</f>
        <v>89902.889999999985</v>
      </c>
      <c r="E17" s="158" t="e">
        <f t="shared" si="0"/>
        <v>#DIV/0!</v>
      </c>
    </row>
    <row r="18" spans="2:5" x14ac:dyDescent="0.2">
      <c r="B18" s="138" t="s">
        <v>17</v>
      </c>
      <c r="C18" s="421">
        <f>SUM(C13:C17)</f>
        <v>0</v>
      </c>
      <c r="D18" s="421">
        <f>SUM(D13:D17)</f>
        <v>2610689.79</v>
      </c>
      <c r="E18" s="158" t="e">
        <f t="shared" si="0"/>
        <v>#DIV/0!</v>
      </c>
    </row>
    <row r="19" spans="2:5" x14ac:dyDescent="0.2">
      <c r="B19" s="118" t="s">
        <v>27</v>
      </c>
      <c r="C19" s="429"/>
      <c r="D19" s="429"/>
      <c r="E19" s="158" t="e">
        <f t="shared" si="0"/>
        <v>#DIV/0!</v>
      </c>
    </row>
    <row r="20" spans="2:5" x14ac:dyDescent="0.2">
      <c r="B20" s="119" t="s">
        <v>28</v>
      </c>
      <c r="C20" s="429">
        <v>0</v>
      </c>
      <c r="D20" s="429">
        <f>'[9]Corporate overhead Detail'!$E$35</f>
        <v>-242.83</v>
      </c>
      <c r="E20" s="158" t="e">
        <f t="shared" si="0"/>
        <v>#DIV/0!</v>
      </c>
    </row>
    <row r="21" spans="2:5" x14ac:dyDescent="0.2">
      <c r="B21" s="119" t="s">
        <v>18</v>
      </c>
      <c r="C21" s="429">
        <v>0</v>
      </c>
      <c r="D21" s="429"/>
      <c r="E21" s="158" t="e">
        <f t="shared" si="0"/>
        <v>#DIV/0!</v>
      </c>
    </row>
    <row r="22" spans="2:5" x14ac:dyDescent="0.2">
      <c r="B22" s="138" t="s">
        <v>69</v>
      </c>
      <c r="C22" s="421">
        <f>SUM(C18:C21)</f>
        <v>0</v>
      </c>
      <c r="D22" s="421">
        <f>SUM(D18:D21)</f>
        <v>2610446.96</v>
      </c>
      <c r="E22" s="158" t="e">
        <f t="shared" si="0"/>
        <v>#DIV/0!</v>
      </c>
    </row>
    <row r="23" spans="2:5" x14ac:dyDescent="0.2">
      <c r="B23" t="s">
        <v>533</v>
      </c>
    </row>
    <row r="24" spans="2:5" ht="15.75" x14ac:dyDescent="0.25">
      <c r="B24" s="111" t="s">
        <v>403</v>
      </c>
    </row>
    <row r="26" spans="2:5" x14ac:dyDescent="0.2">
      <c r="B26" s="109"/>
      <c r="C26" s="112" t="s">
        <v>15</v>
      </c>
      <c r="D26" s="112" t="s">
        <v>21</v>
      </c>
      <c r="E26" s="112" t="s">
        <v>90</v>
      </c>
    </row>
    <row r="27" spans="2:5" x14ac:dyDescent="0.2">
      <c r="B27" s="401" t="s">
        <v>402</v>
      </c>
      <c r="C27" s="402" t="s">
        <v>57</v>
      </c>
      <c r="D27" s="402" t="s">
        <v>57</v>
      </c>
      <c r="E27" s="112"/>
    </row>
    <row r="28" spans="2:5" x14ac:dyDescent="0.2">
      <c r="B28" s="114" t="s">
        <v>106</v>
      </c>
      <c r="C28" s="429">
        <v>0</v>
      </c>
      <c r="D28" s="429">
        <f>'[9]Corporate overhead Detail'!$E$17+'[9]Corporate overhead Detail'!$E$29</f>
        <v>244836.41999999998</v>
      </c>
      <c r="E28" s="135" t="e">
        <f>(D28-C28)/C28</f>
        <v>#DIV/0!</v>
      </c>
    </row>
    <row r="29" spans="2:5" x14ac:dyDescent="0.2">
      <c r="B29" t="s">
        <v>533</v>
      </c>
    </row>
    <row r="30" spans="2:5" ht="15.75" customHeight="1" x14ac:dyDescent="0.25">
      <c r="B30" s="111" t="s">
        <v>405</v>
      </c>
    </row>
    <row r="31" spans="2:5" ht="13.5" customHeight="1" x14ac:dyDescent="0.2"/>
    <row r="32" spans="2:5" x14ac:dyDescent="0.2">
      <c r="B32" s="109"/>
      <c r="C32" s="112" t="s">
        <v>15</v>
      </c>
      <c r="D32" s="112" t="s">
        <v>21</v>
      </c>
      <c r="E32" s="112" t="s">
        <v>90</v>
      </c>
    </row>
    <row r="33" spans="2:6" x14ac:dyDescent="0.2">
      <c r="B33" s="401" t="s">
        <v>58</v>
      </c>
      <c r="C33" s="402" t="s">
        <v>57</v>
      </c>
      <c r="D33" s="402" t="s">
        <v>57</v>
      </c>
      <c r="E33" s="112"/>
    </row>
    <row r="34" spans="2:6" x14ac:dyDescent="0.2">
      <c r="B34" s="114" t="s">
        <v>404</v>
      </c>
      <c r="C34" s="407"/>
      <c r="D34" s="407"/>
      <c r="E34" s="135" t="e">
        <f>(D34-C34)/C34</f>
        <v>#DIV/0!</v>
      </c>
    </row>
    <row r="35" spans="2:6" ht="12.75" customHeight="1" x14ac:dyDescent="0.2">
      <c r="B35" s="114" t="s">
        <v>56</v>
      </c>
      <c r="C35" s="407"/>
      <c r="D35" s="429">
        <v>0</v>
      </c>
      <c r="E35" s="135" t="e">
        <f>(D35-C35)/C35</f>
        <v>#DIV/0!</v>
      </c>
    </row>
    <row r="36" spans="2:6" x14ac:dyDescent="0.2">
      <c r="B36" t="s">
        <v>533</v>
      </c>
    </row>
    <row r="37" spans="2:6" ht="15.75" x14ac:dyDescent="0.25">
      <c r="B37" s="111" t="s">
        <v>274</v>
      </c>
    </row>
    <row r="38" spans="2:6" ht="15.75" x14ac:dyDescent="0.25">
      <c r="B38" s="111"/>
    </row>
    <row r="39" spans="2:6" ht="30" customHeight="1" x14ac:dyDescent="0.2">
      <c r="B39" s="592" t="s">
        <v>379</v>
      </c>
      <c r="C39" s="593"/>
      <c r="D39" s="593"/>
      <c r="E39" s="591"/>
    </row>
    <row r="40" spans="2:6" ht="12.75" customHeight="1" x14ac:dyDescent="0.25">
      <c r="B40" s="111"/>
    </row>
    <row r="41" spans="2:6" ht="63.75" x14ac:dyDescent="0.2">
      <c r="B41" s="109" t="s">
        <v>29</v>
      </c>
      <c r="C41" s="585" t="s">
        <v>77</v>
      </c>
      <c r="D41" s="586"/>
      <c r="E41" s="587"/>
      <c r="F41" s="109" t="s">
        <v>408</v>
      </c>
    </row>
    <row r="42" spans="2:6" ht="18" customHeight="1" x14ac:dyDescent="0.2">
      <c r="B42" s="428" t="s">
        <v>441</v>
      </c>
      <c r="C42" s="582"/>
      <c r="D42" s="571"/>
      <c r="E42" s="572"/>
      <c r="F42" s="120"/>
    </row>
    <row r="43" spans="2:6" ht="13.5" customHeight="1" x14ac:dyDescent="0.2">
      <c r="B43" s="108"/>
      <c r="C43" s="582"/>
      <c r="D43" s="571"/>
      <c r="E43" s="572"/>
      <c r="F43" s="120"/>
    </row>
    <row r="44" spans="2:6" x14ac:dyDescent="0.2">
      <c r="B44" s="108"/>
      <c r="C44" s="582"/>
      <c r="D44" s="571"/>
      <c r="E44" s="572"/>
      <c r="F44" s="120"/>
    </row>
    <row r="45" spans="2:6" x14ac:dyDescent="0.2">
      <c r="B45" s="108"/>
      <c r="C45" s="582"/>
      <c r="D45" s="571"/>
      <c r="E45" s="572"/>
      <c r="F45" s="120"/>
    </row>
    <row r="46" spans="2:6" x14ac:dyDescent="0.2">
      <c r="B46" s="109" t="s">
        <v>30</v>
      </c>
      <c r="C46" s="585"/>
      <c r="D46" s="586"/>
      <c r="E46" s="587"/>
      <c r="F46" s="136">
        <f>SUM(F42:F45)</f>
        <v>0</v>
      </c>
    </row>
    <row r="81" spans="2:2" x14ac:dyDescent="0.2">
      <c r="B81" s="85"/>
    </row>
    <row r="82" spans="2:2" x14ac:dyDescent="0.2">
      <c r="B82" s="85"/>
    </row>
    <row r="119" ht="12.75" customHeight="1" x14ac:dyDescent="0.2"/>
    <row r="120" ht="12.75" customHeight="1" x14ac:dyDescent="0.2"/>
    <row r="121" ht="12.75" customHeight="1" x14ac:dyDescent="0.2"/>
    <row r="122" ht="12.75" customHeight="1" x14ac:dyDescent="0.2"/>
    <row r="123" ht="12.75" customHeight="1" x14ac:dyDescent="0.2"/>
    <row r="125" ht="15" customHeight="1" x14ac:dyDescent="0.2"/>
    <row r="126" ht="15" customHeight="1" x14ac:dyDescent="0.2"/>
    <row r="127" ht="15" customHeight="1" x14ac:dyDescent="0.2"/>
    <row r="128" ht="30" customHeight="1" x14ac:dyDescent="0.2"/>
    <row r="129" ht="30" customHeight="1" x14ac:dyDescent="0.2"/>
    <row r="131"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2.75" customHeight="1" x14ac:dyDescent="0.2"/>
    <row r="140" ht="12.75" customHeight="1" x14ac:dyDescent="0.2"/>
    <row r="141" ht="12.75" customHeight="1" x14ac:dyDescent="0.2"/>
    <row r="143" ht="12.75" customHeight="1" x14ac:dyDescent="0.2"/>
    <row r="144" ht="12.75" customHeight="1" x14ac:dyDescent="0.2"/>
    <row r="145" ht="25.5" customHeight="1" x14ac:dyDescent="0.2"/>
    <row r="146" ht="12.75" customHeight="1" x14ac:dyDescent="0.2"/>
    <row r="147" ht="12.75" customHeight="1" x14ac:dyDescent="0.2"/>
    <row r="149" ht="12.75" customHeight="1" x14ac:dyDescent="0.2"/>
    <row r="150" ht="12.75" customHeight="1" x14ac:dyDescent="0.2"/>
    <row r="153" ht="12.75" customHeight="1" x14ac:dyDescent="0.2"/>
    <row r="154" ht="12.75" customHeight="1" x14ac:dyDescent="0.2"/>
    <row r="155" ht="12.75" customHeight="1" x14ac:dyDescent="0.2"/>
    <row r="157" ht="12.75" customHeight="1" x14ac:dyDescent="0.2"/>
    <row r="158" ht="12.75" customHeight="1" x14ac:dyDescent="0.2"/>
  </sheetData>
  <mergeCells count="9">
    <mergeCell ref="B5:C5"/>
    <mergeCell ref="B7:C7"/>
    <mergeCell ref="C45:E45"/>
    <mergeCell ref="C46:E46"/>
    <mergeCell ref="C41:E41"/>
    <mergeCell ref="C42:E42"/>
    <mergeCell ref="C43:E43"/>
    <mergeCell ref="C44:E44"/>
    <mergeCell ref="B39:E39"/>
  </mergeCells>
  <phoneticPr fontId="35" type="noConversion"/>
  <pageMargins left="0.35433070866141736" right="0.35433070866141736" top="0.59055118110236227" bottom="0.59055118110236227" header="0.51181102362204722" footer="0.11811023622047245"/>
  <pageSetup paperSize="9" scale="86" fitToHeight="100" orientation="portrait" r:id="rId1"/>
  <headerFooter scaleWithDoc="0" alignWithMargins="0">
    <oddFooter>&amp;L&amp;8&amp;D&amp;C&amp;8&amp; Template: &amp;A
&amp;F&amp;R&amp;8&amp;P of &amp;N</oddFooter>
  </headerFooter>
  <colBreaks count="1" manualBreakCount="1">
    <brk id="6" max="4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9"/>
  <sheetViews>
    <sheetView showGridLines="0" zoomScaleNormal="100" zoomScaleSheetLayoutView="100" workbookViewId="0">
      <selection activeCell="C35" sqref="C35"/>
    </sheetView>
  </sheetViews>
  <sheetFormatPr defaultRowHeight="12.75" x14ac:dyDescent="0.2"/>
  <cols>
    <col min="1" max="1" width="11.28515625" customWidth="1"/>
    <col min="4" max="4" width="30.28515625" customWidth="1"/>
    <col min="5" max="6" width="20.85546875" customWidth="1"/>
  </cols>
  <sheetData>
    <row r="1" spans="2:6" ht="20.25" x14ac:dyDescent="0.3">
      <c r="B1" s="26" t="str">
        <f>Cover!C22</f>
        <v>ActewAGL</v>
      </c>
    </row>
    <row r="2" spans="2:6" ht="20.25" x14ac:dyDescent="0.3">
      <c r="B2" s="110" t="s">
        <v>9</v>
      </c>
    </row>
    <row r="3" spans="2:6" ht="20.25" x14ac:dyDescent="0.3">
      <c r="B3" s="26" t="str">
        <f>Cover!C26</f>
        <v>2012-13</v>
      </c>
    </row>
    <row r="4" spans="2:6" ht="20.25" x14ac:dyDescent="0.3">
      <c r="B4" s="110"/>
    </row>
    <row r="5" spans="2:6" s="260" customFormat="1" ht="23.25" customHeight="1" x14ac:dyDescent="0.2">
      <c r="B5" s="597" t="s">
        <v>254</v>
      </c>
      <c r="C5" s="560"/>
      <c r="D5" s="560"/>
      <c r="E5" s="561"/>
    </row>
    <row r="6" spans="2:6" ht="20.25" x14ac:dyDescent="0.3">
      <c r="B6" s="110"/>
    </row>
    <row r="7" spans="2:6" ht="15.75" x14ac:dyDescent="0.25">
      <c r="B7" s="111" t="s">
        <v>141</v>
      </c>
    </row>
    <row r="9" spans="2:6" x14ac:dyDescent="0.2">
      <c r="B9" s="604" t="s">
        <v>10</v>
      </c>
      <c r="C9" s="604"/>
      <c r="D9" s="604"/>
      <c r="E9" s="370" t="s">
        <v>121</v>
      </c>
      <c r="F9" s="370" t="s">
        <v>122</v>
      </c>
    </row>
    <row r="10" spans="2:6" x14ac:dyDescent="0.2">
      <c r="B10" s="601" t="str">
        <f>'5. Capex'!B41</f>
        <v>System assets</v>
      </c>
      <c r="C10" s="602"/>
      <c r="D10" s="603"/>
      <c r="E10" s="378"/>
      <c r="F10" s="378"/>
    </row>
    <row r="11" spans="2:6" x14ac:dyDescent="0.2">
      <c r="B11" s="594" t="str">
        <f>'5. Capex'!B42</f>
        <v>Sub-transmission overhead</v>
      </c>
      <c r="C11" s="595"/>
      <c r="D11" s="596"/>
      <c r="E11" s="430">
        <v>44.407921324078721</v>
      </c>
      <c r="F11" s="424">
        <f>'5. Capex'!D42</f>
        <v>4463528.7962314459</v>
      </c>
    </row>
    <row r="12" spans="2:6" x14ac:dyDescent="0.2">
      <c r="B12" s="594" t="str">
        <f>'5. Capex'!B43</f>
        <v>Sub-transmission underground</v>
      </c>
      <c r="C12" s="595"/>
      <c r="D12" s="596"/>
      <c r="E12" s="430">
        <v>47.5</v>
      </c>
      <c r="F12" s="424">
        <f>'5. Capex'!D43</f>
        <v>0</v>
      </c>
    </row>
    <row r="13" spans="2:6" x14ac:dyDescent="0.2">
      <c r="B13" s="594" t="str">
        <f>'5. Capex'!B44</f>
        <v>Zone Substation</v>
      </c>
      <c r="C13" s="595"/>
      <c r="D13" s="596"/>
      <c r="E13" s="430">
        <v>40</v>
      </c>
      <c r="F13" s="424">
        <f>'5. Capex'!D44</f>
        <v>19364976.553768553</v>
      </c>
    </row>
    <row r="14" spans="2:6" x14ac:dyDescent="0.2">
      <c r="B14" s="594" t="str">
        <f>'5. Capex'!B45</f>
        <v>Distribution Substations</v>
      </c>
      <c r="C14" s="595"/>
      <c r="D14" s="596"/>
      <c r="E14" s="430">
        <v>40</v>
      </c>
      <c r="F14" s="424">
        <f>'5. Capex'!D45</f>
        <v>12849291.809861798</v>
      </c>
    </row>
    <row r="15" spans="2:6" x14ac:dyDescent="0.2">
      <c r="B15" s="594" t="str">
        <f>'5. Capex'!B46</f>
        <v>Distribution Overhead Lines</v>
      </c>
      <c r="C15" s="595"/>
      <c r="D15" s="596"/>
      <c r="E15" s="430">
        <v>45</v>
      </c>
      <c r="F15" s="424">
        <f>'5. Capex'!D46</f>
        <v>10926074.759999998</v>
      </c>
    </row>
    <row r="16" spans="2:6" x14ac:dyDescent="0.2">
      <c r="B16" s="594" t="str">
        <f>'5. Capex'!B47</f>
        <v>Distribution Underground Lines</v>
      </c>
      <c r="C16" s="595"/>
      <c r="D16" s="596"/>
      <c r="E16" s="430">
        <v>50</v>
      </c>
      <c r="F16" s="424">
        <f>'5. Capex'!D47</f>
        <v>14000379.740138197</v>
      </c>
    </row>
    <row r="17" spans="2:6" x14ac:dyDescent="0.2">
      <c r="B17" s="598" t="str">
        <f>'5. Capex'!B48</f>
        <v>Sub-total</v>
      </c>
      <c r="C17" s="599"/>
      <c r="D17" s="600"/>
      <c r="E17" s="422"/>
      <c r="F17" s="424">
        <f>SUM(F11:F16)</f>
        <v>61604251.659999989</v>
      </c>
    </row>
    <row r="18" spans="2:6" x14ac:dyDescent="0.2">
      <c r="B18" s="601" t="str">
        <f>'5. Capex'!B49</f>
        <v>Non-system assets</v>
      </c>
      <c r="C18" s="602"/>
      <c r="D18" s="603"/>
      <c r="E18" s="423"/>
      <c r="F18" s="425"/>
    </row>
    <row r="19" spans="2:6" x14ac:dyDescent="0.2">
      <c r="B19" s="594" t="str">
        <f>'5. Capex'!B50</f>
        <v>IT and communication systems (Networks)</v>
      </c>
      <c r="C19" s="595"/>
      <c r="D19" s="596"/>
      <c r="E19" s="430">
        <v>10</v>
      </c>
      <c r="F19" s="424">
        <f>'5. Capex'!D50</f>
        <v>7233279.29</v>
      </c>
    </row>
    <row r="20" spans="2:6" x14ac:dyDescent="0.2">
      <c r="B20" s="594" t="str">
        <f>'5. Capex'!B51</f>
        <v>Motor vehicles</v>
      </c>
      <c r="C20" s="595"/>
      <c r="D20" s="596"/>
      <c r="E20" s="430">
        <v>8</v>
      </c>
      <c r="F20" s="424">
        <f>'5. Capex'!D51</f>
        <v>4577996.0199999996</v>
      </c>
    </row>
    <row r="21" spans="2:6" x14ac:dyDescent="0.2">
      <c r="B21" s="594" t="str">
        <f>'5. Capex'!B52</f>
        <v>IT systems (Corporate)</v>
      </c>
      <c r="C21" s="595"/>
      <c r="D21" s="596"/>
      <c r="E21" s="430">
        <v>4.0999999999999996</v>
      </c>
      <c r="F21" s="424">
        <f>'5. Capex'!D52</f>
        <v>3191691.8638373255</v>
      </c>
    </row>
    <row r="22" spans="2:6" x14ac:dyDescent="0.2">
      <c r="B22" s="594" t="str">
        <f>'5. Capex'!B53</f>
        <v>Telecommunications (Corporate)</v>
      </c>
      <c r="C22" s="595"/>
      <c r="D22" s="596"/>
      <c r="E22" s="430">
        <v>6.7</v>
      </c>
      <c r="F22" s="424">
        <f>'5. Capex'!D53</f>
        <v>58973.513549999996</v>
      </c>
    </row>
    <row r="23" spans="2:6" x14ac:dyDescent="0.2">
      <c r="B23" s="594" t="str">
        <f>'5. Capex'!B54</f>
        <v xml:space="preserve">Land </v>
      </c>
      <c r="C23" s="595"/>
      <c r="D23" s="596"/>
      <c r="E23" s="431" t="s">
        <v>448</v>
      </c>
      <c r="F23" s="424">
        <f>'5. Capex'!D54</f>
        <v>0</v>
      </c>
    </row>
    <row r="24" spans="2:6" x14ac:dyDescent="0.2">
      <c r="B24" s="594" t="str">
        <f>'5. Capex'!B55</f>
        <v>Buildings</v>
      </c>
      <c r="C24" s="595"/>
      <c r="D24" s="596"/>
      <c r="E24" s="430">
        <v>100</v>
      </c>
      <c r="F24" s="424">
        <f>'5. Capex'!D55</f>
        <v>1288338.56</v>
      </c>
    </row>
    <row r="25" spans="2:6" x14ac:dyDescent="0.2">
      <c r="B25" s="594" t="str">
        <f>'5. Capex'!B56</f>
        <v>Equity Raising Costs</v>
      </c>
      <c r="C25" s="595"/>
      <c r="D25" s="596"/>
      <c r="E25" s="430">
        <v>44.549314045499948</v>
      </c>
      <c r="F25" s="424">
        <f>'5. Capex'!D56</f>
        <v>0</v>
      </c>
    </row>
    <row r="26" spans="2:6" x14ac:dyDescent="0.2">
      <c r="B26" s="594" t="str">
        <f>'5. Capex'!B57</f>
        <v>Other non-system assets (Networks)</v>
      </c>
      <c r="C26" s="595"/>
      <c r="D26" s="596"/>
      <c r="E26" s="430">
        <v>5.8</v>
      </c>
      <c r="F26" s="424">
        <f>'5. Capex'!D57</f>
        <v>662828.85000000021</v>
      </c>
    </row>
    <row r="27" spans="2:6" x14ac:dyDescent="0.2">
      <c r="B27" s="594" t="str">
        <f>'5. Capex'!B58</f>
        <v>Other non-system assets (Corporate)</v>
      </c>
      <c r="C27" s="595"/>
      <c r="D27" s="596"/>
      <c r="E27" s="430">
        <v>5.7</v>
      </c>
      <c r="F27" s="424">
        <f>'5. Capex'!D58</f>
        <v>754495.81064999988</v>
      </c>
    </row>
    <row r="28" spans="2:6" x14ac:dyDescent="0.2">
      <c r="B28" s="598" t="str">
        <f>'5. Capex'!B59</f>
        <v>Sub-total</v>
      </c>
      <c r="C28" s="599"/>
      <c r="D28" s="600"/>
      <c r="E28" s="179"/>
      <c r="F28" s="424">
        <f>SUM(F19:F27)</f>
        <v>17767603.908037324</v>
      </c>
    </row>
    <row r="29" spans="2:6" x14ac:dyDescent="0.2">
      <c r="B29" s="598" t="str">
        <f>'5. Capex'!B60</f>
        <v>Total</v>
      </c>
      <c r="C29" s="599"/>
      <c r="D29" s="600"/>
      <c r="E29" s="179"/>
      <c r="F29" s="424">
        <f>F17+F28</f>
        <v>79371855.568037316</v>
      </c>
    </row>
  </sheetData>
  <mergeCells count="22">
    <mergeCell ref="B16:D16"/>
    <mergeCell ref="B9:D9"/>
    <mergeCell ref="B10:D10"/>
    <mergeCell ref="B11:D11"/>
    <mergeCell ref="B12:D12"/>
    <mergeCell ref="B13:D13"/>
    <mergeCell ref="B21:D21"/>
    <mergeCell ref="B5:E5"/>
    <mergeCell ref="B27:D27"/>
    <mergeCell ref="B28:D28"/>
    <mergeCell ref="B29:D29"/>
    <mergeCell ref="B22:D22"/>
    <mergeCell ref="B23:D23"/>
    <mergeCell ref="B24:D24"/>
    <mergeCell ref="B25:D25"/>
    <mergeCell ref="B26:D26"/>
    <mergeCell ref="B19:D19"/>
    <mergeCell ref="B20:D20"/>
    <mergeCell ref="B17:D17"/>
    <mergeCell ref="B18:D18"/>
    <mergeCell ref="B14:D14"/>
    <mergeCell ref="B15:D15"/>
  </mergeCells>
  <phoneticPr fontId="35" type="noConversion"/>
  <pageMargins left="0.35433070866141736" right="0.35433070866141736" top="0.59055118110236227" bottom="0.59055118110236227" header="0.51181102362204722" footer="0.11811023622047245"/>
  <pageSetup paperSize="9" fitToHeight="100" orientation="landscape" r:id="rId1"/>
  <headerFooter scaleWithDoc="0" alignWithMargins="0">
    <oddFooter>&amp;L&amp;8&amp;D&amp;C&amp;8&amp; Template: &amp;A
&amp;F&amp;R&amp;8&amp;P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25</vt:i4>
      </vt:variant>
    </vt:vector>
  </HeadingPairs>
  <TitlesOfParts>
    <vt:vector size="49" baseType="lpstr">
      <vt:lpstr>Cover</vt:lpstr>
      <vt:lpstr>Contents</vt:lpstr>
      <vt:lpstr>1. Income</vt:lpstr>
      <vt:lpstr>2. Balance</vt:lpstr>
      <vt:lpstr>3. Cashflows</vt:lpstr>
      <vt:lpstr>4. Equity</vt:lpstr>
      <vt:lpstr>5. Capex</vt:lpstr>
      <vt:lpstr>6. Capex overheads</vt:lpstr>
      <vt:lpstr>7. Capex for tax dep'n</vt:lpstr>
      <vt:lpstr>8. Maintenance</vt:lpstr>
      <vt:lpstr>9. Maintenance overheads</vt:lpstr>
      <vt:lpstr>10. Operating costs</vt:lpstr>
      <vt:lpstr>11. Operating overheads</vt:lpstr>
      <vt:lpstr>12. Cost categories</vt:lpstr>
      <vt:lpstr>13. Opex step change</vt:lpstr>
      <vt:lpstr>14. Provisions</vt:lpstr>
      <vt:lpstr>15. Overheads allocation</vt:lpstr>
      <vt:lpstr>16. Avoided cost payments</vt:lpstr>
      <vt:lpstr>17. Altern Ctl &amp; other</vt:lpstr>
      <vt:lpstr>18. EBSS</vt:lpstr>
      <vt:lpstr>19. Juris Scheme</vt:lpstr>
      <vt:lpstr>20. DMIS -DMIA</vt:lpstr>
      <vt:lpstr>21. Self insurance</vt:lpstr>
      <vt:lpstr>22. CHAP</vt:lpstr>
      <vt:lpstr>'1. Income'!Print_Area</vt:lpstr>
      <vt:lpstr>'10. Operating costs'!Print_Area</vt:lpstr>
      <vt:lpstr>'11. Operating overheads'!Print_Area</vt:lpstr>
      <vt:lpstr>'12. Cost categories'!Print_Area</vt:lpstr>
      <vt:lpstr>'13. Opex step change'!Print_Area</vt:lpstr>
      <vt:lpstr>'14. Provisions'!Print_Area</vt:lpstr>
      <vt:lpstr>'15. Overheads allocation'!Print_Area</vt:lpstr>
      <vt:lpstr>'16. Avoided cost payments'!Print_Area</vt:lpstr>
      <vt:lpstr>'17. Altern Ctl &amp; other'!Print_Area</vt:lpstr>
      <vt:lpstr>'18. EBSS'!Print_Area</vt:lpstr>
      <vt:lpstr>'19. Juris Scheme'!Print_Area</vt:lpstr>
      <vt:lpstr>'2. Balance'!Print_Area</vt:lpstr>
      <vt:lpstr>'20. DMIS -DMIA'!Print_Area</vt:lpstr>
      <vt:lpstr>'21. Self insurance'!Print_Area</vt:lpstr>
      <vt:lpstr>'22. CHAP'!Print_Area</vt:lpstr>
      <vt:lpstr>'3. Cashflows'!Print_Area</vt:lpstr>
      <vt:lpstr>'4. Equity'!Print_Area</vt:lpstr>
      <vt:lpstr>'5. Capex'!Print_Area</vt:lpstr>
      <vt:lpstr>'6. Capex overheads'!Print_Area</vt:lpstr>
      <vt:lpstr>'7. Capex for tax dep''n'!Print_Area</vt:lpstr>
      <vt:lpstr>'8. Maintenance'!Print_Area</vt:lpstr>
      <vt:lpstr>'9. Maintenance overheads'!Print_Area</vt:lpstr>
      <vt:lpstr>Contents!Print_Area</vt:lpstr>
      <vt:lpstr>Cover!Print_Area</vt:lpstr>
      <vt:lpstr>'2. Balance'!Print_Titles</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asood</dc:creator>
  <cp:lastModifiedBy>Bryant, Anita</cp:lastModifiedBy>
  <cp:lastPrinted>2013-11-20T00:09:31Z</cp:lastPrinted>
  <dcterms:created xsi:type="dcterms:W3CDTF">2012-02-16T03:44:14Z</dcterms:created>
  <dcterms:modified xsi:type="dcterms:W3CDTF">2015-08-21T07:31:20Z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C:\Documents and Settings\abrya\Local Settings\Temporary Internet Files\Content.Outlook\VRT2XFRW\2  ActewAGL - Annual RIN - 2012-13 - financial information (amended 31-01-2014).xlsx</vt:lpwstr>
  </property>
  <property fmtid="{D5CDD505-2E9C-101B-9397-08002B2CF9AE}" pid="3" name="_AdHocReviewCycleID">
    <vt:i4>1831020440</vt:i4>
  </property>
  <property fmtid="{D5CDD505-2E9C-101B-9397-08002B2CF9AE}" pid="4" name="_NewReviewCycle">
    <vt:lpwstr/>
  </property>
  <property fmtid="{D5CDD505-2E9C-101B-9397-08002B2CF9AE}" pid="5" name="_EmailSubject">
    <vt:lpwstr>ActewAGL distribution - 2012/13 Annual RIN amendment</vt:lpwstr>
  </property>
  <property fmtid="{D5CDD505-2E9C-101B-9397-08002B2CF9AE}" pid="6" name="_AuthorEmail">
    <vt:lpwstr>Robert.Walker@actewagl.com.au</vt:lpwstr>
  </property>
  <property fmtid="{D5CDD505-2E9C-101B-9397-08002B2CF9AE}" pid="7" name="_AuthorEmailDisplayName">
    <vt:lpwstr>Walker, Robert</vt:lpwstr>
  </property>
  <property fmtid="{D5CDD505-2E9C-101B-9397-08002B2CF9AE}" pid="8" name="_ReviewingToolsShownOnce">
    <vt:lpwstr/>
  </property>
</Properties>
</file>