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aery\AppData\Roaming\iManage\Work\Recent\AER23008247 - CitiPower - Victorian Electricity Distribution_Determination - 2026-31\"/>
    </mc:Choice>
  </mc:AlternateContent>
  <xr:revisionPtr revIDLastSave="0" documentId="8_{4A469AF3-73C0-4FC7-9A2C-14A1D8225D00}" xr6:coauthVersionLast="47" xr6:coauthVersionMax="47" xr10:uidLastSave="{00000000-0000-0000-0000-000000000000}"/>
  <bookViews>
    <workbookView xWindow="28680" yWindow="-120" windowWidth="29040" windowHeight="15720" tabRatio="691" activeTab="4" xr2:uid="{00000000-000D-0000-FFFF-FFFF00000000}"/>
  </bookViews>
  <sheets>
    <sheet name="Index" sheetId="5" r:id="rId1"/>
    <sheet name="Input | General" sheetId="2" r:id="rId2"/>
    <sheet name="Input | Inflation and Disc Rate" sheetId="13" r:id="rId3"/>
    <sheet name="Input | Reported Capex" sheetId="3" r:id="rId4"/>
    <sheet name="Calc | CESS Revenue Increments" sheetId="4" r:id="rId5"/>
    <sheet name="Output | Models" sheetId="10" r:id="rId6"/>
    <sheet name="Output|Final year true-up" sheetId="14" r:id="rId7"/>
    <sheet name="Lookup | Tables" sheetId="9" r:id="rId8"/>
  </sheets>
  <definedNames>
    <definedName name="__123Graph_A" hidden="1">#REF!</definedName>
    <definedName name="__123Graph_CWH2" hidden="1">#REF!</definedName>
    <definedName name="__123Graph_CWH3" hidden="1">#REF!</definedName>
    <definedName name="__123Graph_X" hidden="1">#REF!</definedName>
    <definedName name="_1__123Graph_ACHART_3" hidden="1">#REF!</definedName>
    <definedName name="_1__123Graph_ACHART_7" hidden="1">#REF!</definedName>
    <definedName name="_101__123Graph_ACHART_2" hidden="1">#REF!</definedName>
    <definedName name="_109__123Graph_ACHART_3" hidden="1">#REF!</definedName>
    <definedName name="_110__123Graph_ACHART_30" hidden="1">#REF!</definedName>
    <definedName name="_111__123Graph_ACHART_31" hidden="1">#REF!</definedName>
    <definedName name="_112__123Graph_ACHART_35" hidden="1">#REF!</definedName>
    <definedName name="_116__123Graph_ACHART_3" hidden="1">#REF!</definedName>
    <definedName name="_117__123Graph_ACHART_30" hidden="1">#REF!</definedName>
    <definedName name="_118__123Graph_ACHART_31" hidden="1">#REF!</definedName>
    <definedName name="_119__123Graph_ACHART_35" hidden="1">#REF!</definedName>
    <definedName name="_126__123Graph_ACHART_4" hidden="1">#REF!</definedName>
    <definedName name="_134__123Graph_ACHART_4" hidden="1">#REF!</definedName>
    <definedName name="_14__123Graph_ACHART_1" hidden="1">#REF!</definedName>
    <definedName name="_140__123Graph_ACHART_5" hidden="1">#REF!</definedName>
    <definedName name="_149__123Graph_ACHART_5" hidden="1">#REF!</definedName>
    <definedName name="_15__123Graph_ACHART_1" hidden="1">#REF!</definedName>
    <definedName name="_154__123Graph_ACHART_6" hidden="1">#REF!</definedName>
    <definedName name="_155__123Graph_ACHART_62" hidden="1">#REF!</definedName>
    <definedName name="_156__123Graph_ACHART_66" hidden="1">#REF!</definedName>
    <definedName name="_157__123Graph_ACHART_68" hidden="1">#REF!</definedName>
    <definedName name="_158__123Graph_ACHART_69" hidden="1">#REF!</definedName>
    <definedName name="_164__123Graph_ACHART_6" hidden="1">#REF!</definedName>
    <definedName name="_165__123Graph_ACHART_62" hidden="1">#REF!</definedName>
    <definedName name="_166__123Graph_ACHART_66" hidden="1">#REF!</definedName>
    <definedName name="_167__123Graph_ACHART_68" hidden="1">#REF!</definedName>
    <definedName name="_168__123Graph_ACHART_69" hidden="1">#REF!</definedName>
    <definedName name="_172__123Graph_ACHART_7" hidden="1">#REF!</definedName>
    <definedName name="_173__123Graph_ACHART_70" hidden="1">#REF!</definedName>
    <definedName name="_174__123Graph_ACHART_71" hidden="1">#REF!</definedName>
    <definedName name="_183__123Graph_ACHART_7" hidden="1">#REF!</definedName>
    <definedName name="_184__123Graph_ACHART_70" hidden="1">#REF!</definedName>
    <definedName name="_185__123Graph_ACHART_71" hidden="1">#REF!</definedName>
    <definedName name="_188__123Graph_ACHART_8" hidden="1">#REF!</definedName>
    <definedName name="_2__123Graph_ACHART_7" hidden="1">#REF!</definedName>
    <definedName name="_2__123Graph_BCHART_7" hidden="1">#REF!</definedName>
    <definedName name="_200__123Graph_ACHART_8" hidden="1">#REF!</definedName>
    <definedName name="_202__123Graph_ACHART_9" hidden="1">#REF!</definedName>
    <definedName name="_210__123Graph_BCHART_1" hidden="1">#REF!</definedName>
    <definedName name="_215__123Graph_ACHART_9" hidden="1">#REF!</definedName>
    <definedName name="_223__123Graph_BCHART_1" hidden="1">#REF!</definedName>
    <definedName name="_224__123Graph_BCHART_10" hidden="1">#REF!</definedName>
    <definedName name="_238__123Graph_BCHART_10" hidden="1">#REF!</definedName>
    <definedName name="_238__123Graph_BCHART_11" hidden="1">#REF!</definedName>
    <definedName name="_239__123Graph_BCHART_12" hidden="1">#REF!</definedName>
    <definedName name="_253__123Graph_BCHART_11" hidden="1">#REF!</definedName>
    <definedName name="_254__123Graph_BCHART_12" hidden="1">#REF!</definedName>
    <definedName name="_257__123Graph_BCHART_13" hidden="1">#REF!</definedName>
    <definedName name="_258__123Graph_BCHART_15" hidden="1">#REF!</definedName>
    <definedName name="_259__123Graph_BCHART_16" hidden="1">#REF!</definedName>
    <definedName name="_273__123Graph_BCHART_13" hidden="1">#REF!</definedName>
    <definedName name="_273__123Graph_BCHART_2" hidden="1">#REF!</definedName>
    <definedName name="_274__123Graph_BCHART_15" hidden="1">#REF!</definedName>
    <definedName name="_275__123Graph_BCHART_16" hidden="1">#REF!</definedName>
    <definedName name="_28__123Graph_ACHART_10" hidden="1">#REF!</definedName>
    <definedName name="_287__123Graph_BCHART_3" hidden="1">#REF!</definedName>
    <definedName name="_288__123Graph_BCHART_30" hidden="1">#REF!</definedName>
    <definedName name="_289__123Graph_BCHART_31" hidden="1">#REF!</definedName>
    <definedName name="_290__123Graph_BCHART_2" hidden="1">#REF!</definedName>
    <definedName name="_290__123Graph_BCHART_35" hidden="1">#REF!</definedName>
    <definedName name="_3__123Graph_ACHART_8" hidden="1">#REF!</definedName>
    <definedName name="_30__123Graph_ACHART_10" hidden="1">#REF!</definedName>
    <definedName name="_304__123Graph_BCHART_4" hidden="1">#REF!</definedName>
    <definedName name="_305__123Graph_BCHART_3" hidden="1">#REF!</definedName>
    <definedName name="_306__123Graph_BCHART_30" hidden="1">#REF!</definedName>
    <definedName name="_307__123Graph_BCHART_31" hidden="1">#REF!</definedName>
    <definedName name="_308__123Graph_BCHART_35" hidden="1">#REF!</definedName>
    <definedName name="_318__123Graph_BCHART_5" hidden="1">#REF!</definedName>
    <definedName name="_323__123Graph_BCHART_4" hidden="1">#REF!</definedName>
    <definedName name="_332__123Graph_BCHART_6" hidden="1">#REF!</definedName>
    <definedName name="_333__123Graph_BCHART_62" hidden="1">#REF!</definedName>
    <definedName name="_334__123Graph_BCHART_66" hidden="1">#REF!</definedName>
    <definedName name="_335__123Graph_BCHART_68" hidden="1">#REF!</definedName>
    <definedName name="_336__123Graph_BCHART_69" hidden="1">#REF!</definedName>
    <definedName name="_338__123Graph_BCHART_5" hidden="1">#REF!</definedName>
    <definedName name="_353__123Graph_BCHART_6" hidden="1">#REF!</definedName>
    <definedName name="_354__123Graph_BCHART_62" hidden="1">#REF!</definedName>
    <definedName name="_354__123Graph_BCHART_7" hidden="1">#REF!</definedName>
    <definedName name="_355__123Graph_BCHART_66" hidden="1">#REF!</definedName>
    <definedName name="_355__123Graph_BCHART_70" hidden="1">#REF!</definedName>
    <definedName name="_356__123Graph_BCHART_68" hidden="1">#REF!</definedName>
    <definedName name="_356__123Graph_BCHART_71" hidden="1">#REF!</definedName>
    <definedName name="_357__123Graph_BCHART_69" hidden="1">#REF!</definedName>
    <definedName name="_374__123Graph_BCHART_8" hidden="1">#REF!</definedName>
    <definedName name="_376__123Graph_BCHART_7" hidden="1">#REF!</definedName>
    <definedName name="_377__123Graph_BCHART_70" hidden="1">#REF!</definedName>
    <definedName name="_378__123Graph_BCHART_71" hidden="1">#REF!</definedName>
    <definedName name="_388__123Graph_BCHART_9" hidden="1">#REF!</definedName>
    <definedName name="_396__123Graph_CCHART_1" hidden="1">#REF!</definedName>
    <definedName name="_397__123Graph_BCHART_8" hidden="1">#REF!</definedName>
    <definedName name="_4__123Graph_BCHART_3" hidden="1">#REF!</definedName>
    <definedName name="_404__123Graph_CCHART_10" hidden="1">#REF!</definedName>
    <definedName name="_412__123Graph_BCHART_9" hidden="1">#REF!</definedName>
    <definedName name="_418__123Graph_CCHART_11" hidden="1">#REF!</definedName>
    <definedName name="_419__123Graph_CCHART_12" hidden="1">#REF!</definedName>
    <definedName name="_42__123Graph_ACHART_11" hidden="1">#REF!</definedName>
    <definedName name="_420__123Graph_CCHART_1" hidden="1">#REF!</definedName>
    <definedName name="_420__123Graph_CCHART_13" hidden="1">#REF!</definedName>
    <definedName name="_421__123Graph_CCHART_14" hidden="1">#REF!</definedName>
    <definedName name="_422__123Graph_CCHART_15" hidden="1">#REF!</definedName>
    <definedName name="_423__123Graph_CCHART_16" hidden="1">#REF!</definedName>
    <definedName name="_428__123Graph_CCHART_10" hidden="1">#REF!</definedName>
    <definedName name="_437__123Graph_CCHART_2" hidden="1">#REF!</definedName>
    <definedName name="_443__123Graph_CCHART_11" hidden="1">#REF!</definedName>
    <definedName name="_444__123Graph_CCHART_12" hidden="1">#REF!</definedName>
    <definedName name="_445__123Graph_CCHART_13" hidden="1">#REF!</definedName>
    <definedName name="_445__123Graph_CCHART_3" hidden="1">#REF!</definedName>
    <definedName name="_446__123Graph_CCHART_14" hidden="1">#REF!</definedName>
    <definedName name="_447__123Graph_CCHART_15" hidden="1">#REF!</definedName>
    <definedName name="_448__123Graph_CCHART_16" hidden="1">#REF!</definedName>
    <definedName name="_45__123Graph_ACHART_11" hidden="1">#REF!</definedName>
    <definedName name="_453__123Graph_CCHART_4" hidden="1">#REF!</definedName>
    <definedName name="_461__123Graph_CCHART_5" hidden="1">#REF!</definedName>
    <definedName name="_463__123Graph_CCHART_2" hidden="1">#REF!</definedName>
    <definedName name="_469__123Graph_CCHART_6" hidden="1">#REF!</definedName>
    <definedName name="_470__123Graph_CCHART_62" hidden="1">#REF!</definedName>
    <definedName name="_471__123Graph_CCHART_3" hidden="1">#REF!</definedName>
    <definedName name="_471__123Graph_CCHART_66" hidden="1">#REF!</definedName>
    <definedName name="_472__123Graph_CCHART_68" hidden="1">#REF!</definedName>
    <definedName name="_473__123Graph_CCHART_69" hidden="1">#REF!</definedName>
    <definedName name="_479__123Graph_CCHART_4" hidden="1">#REF!</definedName>
    <definedName name="_481__123Graph_CCHART_7" hidden="1">#REF!</definedName>
    <definedName name="_482__123Graph_CCHART_70" hidden="1">#REF!</definedName>
    <definedName name="_487__123Graph_CCHART_5" hidden="1">#REF!</definedName>
    <definedName name="_490__123Graph_CCHART_8" hidden="1">#REF!</definedName>
    <definedName name="_495__123Graph_CCHART_6" hidden="1">#REF!</definedName>
    <definedName name="_496__123Graph_CCHART_62" hidden="1">#REF!</definedName>
    <definedName name="_497__123Graph_CCHART_66" hidden="1">#REF!</definedName>
    <definedName name="_498__123Graph_CCHART_68" hidden="1">#REF!</definedName>
    <definedName name="_498__123Graph_CCHART_9" hidden="1">#REF!</definedName>
    <definedName name="_499__123Graph_CCHART_69" hidden="1">#REF!</definedName>
    <definedName name="_499__123Graph_DCHART_1" hidden="1">#REF!</definedName>
    <definedName name="_5__123Graph_BCHART_7" hidden="1">#REF!</definedName>
    <definedName name="_507__123Graph_CCHART_7" hidden="1">#REF!</definedName>
    <definedName name="_507__123Graph_DCHART_10" hidden="1">#REF!</definedName>
    <definedName name="_508__123Graph_CCHART_70" hidden="1">#REF!</definedName>
    <definedName name="_508__123Graph_DCHART_11" hidden="1">#REF!</definedName>
    <definedName name="_509__123Graph_DCHART_13" hidden="1">#REF!</definedName>
    <definedName name="_510__123Graph_DCHART_16" hidden="1">#REF!</definedName>
    <definedName name="_511__123Graph_DCHART_2" hidden="1">#REF!</definedName>
    <definedName name="_512__123Graph_DCHART_66" hidden="1">#REF!</definedName>
    <definedName name="_513__123Graph_DCHART_68" hidden="1">#REF!</definedName>
    <definedName name="_514__123Graph_DCHART_70" hidden="1">#REF!</definedName>
    <definedName name="_516__123Graph_CCHART_8" hidden="1">#REF!</definedName>
    <definedName name="_522__123Graph_ECHART_10" hidden="1">#REF!</definedName>
    <definedName name="_523__123Graph_ECHART_11" hidden="1">#REF!</definedName>
    <definedName name="_524__123Graph_CCHART_9" hidden="1">#REF!</definedName>
    <definedName name="_524__123Graph_ECHART_2" hidden="1">#REF!</definedName>
    <definedName name="_525__123Graph_DCHART_1" hidden="1">#REF!</definedName>
    <definedName name="_525__123Graph_ECHART_66" hidden="1">#REF!</definedName>
    <definedName name="_526__123Graph_ECHART_68" hidden="1">#REF!</definedName>
    <definedName name="_533__123Graph_DCHART_10" hidden="1">#REF!</definedName>
    <definedName name="_534__123Graph_DCHART_11" hidden="1">#REF!</definedName>
    <definedName name="_534__123Graph_FCHART_10" hidden="1">#REF!</definedName>
    <definedName name="_535__123Graph_DCHART_13" hidden="1">#REF!</definedName>
    <definedName name="_536__123Graph_DCHART_16" hidden="1">#REF!</definedName>
    <definedName name="_537__123Graph_DCHART_2" hidden="1">#REF!</definedName>
    <definedName name="_538__123Graph_DCHART_66" hidden="1">#REF!</definedName>
    <definedName name="_539__123Graph_DCHART_68" hidden="1">#REF!</definedName>
    <definedName name="_540__123Graph_DCHART_70" hidden="1">#REF!</definedName>
    <definedName name="_548__123Graph_ECHART_10" hidden="1">#REF!</definedName>
    <definedName name="_548__123Graph_XCHART_10" hidden="1">#REF!</definedName>
    <definedName name="_549__123Graph_ECHART_11" hidden="1">#REF!</definedName>
    <definedName name="_550__123Graph_ECHART_2" hidden="1">#REF!</definedName>
    <definedName name="_551__123Graph_ECHART_66" hidden="1">#REF!</definedName>
    <definedName name="_552__123Graph_ECHART_68" hidden="1">#REF!</definedName>
    <definedName name="_560__123Graph_FCHART_10" hidden="1">#REF!</definedName>
    <definedName name="_562__123Graph_XCHART_11" hidden="1">#REF!</definedName>
    <definedName name="_563__123Graph_XCHART_12" hidden="1">#REF!</definedName>
    <definedName name="_564__123Graph_XCHART_13" hidden="1">#REF!</definedName>
    <definedName name="_565__123Graph_XCHART_14" hidden="1">#REF!</definedName>
    <definedName name="_566__123Graph_XCHART_15" hidden="1">#REF!</definedName>
    <definedName name="_567__123Graph_XCHART_16" hidden="1">#REF!</definedName>
    <definedName name="_575__123Graph_XCHART_10" hidden="1">#REF!</definedName>
    <definedName name="_581__123Graph_XCHART_2" hidden="1">#REF!</definedName>
    <definedName name="_590__123Graph_XCHART_11" hidden="1">#REF!</definedName>
    <definedName name="_591__123Graph_XCHART_12" hidden="1">#REF!</definedName>
    <definedName name="_592__123Graph_XCHART_13" hidden="1">#REF!</definedName>
    <definedName name="_593__123Graph_XCHART_14" hidden="1">#REF!</definedName>
    <definedName name="_594__123Graph_XCHART_15" hidden="1">#REF!</definedName>
    <definedName name="_595__123Graph_XCHART_16" hidden="1">#REF!</definedName>
    <definedName name="_595__123Graph_XCHART_3" hidden="1">#REF!</definedName>
    <definedName name="_596__123Graph_XCHART_35" hidden="1">#REF!</definedName>
    <definedName name="_6__123Graph_BCHART_8" hidden="1">#REF!</definedName>
    <definedName name="_60__123Graph_ACHART_12" hidden="1">#REF!</definedName>
    <definedName name="_610__123Graph_XCHART_2" hidden="1">#REF!</definedName>
    <definedName name="_610__123Graph_XCHART_4" hidden="1">#REF!</definedName>
    <definedName name="_624__123Graph_XCHART_5" hidden="1">#REF!</definedName>
    <definedName name="_625__123Graph_XCHART_3" hidden="1">#REF!</definedName>
    <definedName name="_626__123Graph_XCHART_35" hidden="1">#REF!</definedName>
    <definedName name="_638__123Graph_XCHART_6" hidden="1">#REF!</definedName>
    <definedName name="_64__123Graph_ACHART_12" hidden="1">#REF!</definedName>
    <definedName name="_641__123Graph_XCHART_4" hidden="1">#REF!</definedName>
    <definedName name="_652__123Graph_XCHART_7" hidden="1">#REF!</definedName>
    <definedName name="_653__123Graph_XCHART_71" hidden="1">#REF!</definedName>
    <definedName name="_656__123Graph_XCHART_5" hidden="1">#REF!</definedName>
    <definedName name="_667__123Graph_XCHART_8" hidden="1">#REF!</definedName>
    <definedName name="_671__123Graph_XCHART_6" hidden="1">#REF!</definedName>
    <definedName name="_681__123Graph_XCHART_9" hidden="1">#REF!</definedName>
    <definedName name="_686__123Graph_XCHART_7" hidden="1">#REF!</definedName>
    <definedName name="_687__123Graph_XCHART_71" hidden="1">#REF!</definedName>
    <definedName name="_7__123Graph_CCHART_7" hidden="1">#REF!</definedName>
    <definedName name="_702__123Graph_XCHART_8" hidden="1">#REF!</definedName>
    <definedName name="_717__123Graph_XCHART_9" hidden="1">#REF!</definedName>
    <definedName name="_78__123Graph_ACHART_13" hidden="1">#REF!</definedName>
    <definedName name="_79__123Graph_ACHART_14" hidden="1">#REF!</definedName>
    <definedName name="_8__123Graph_DCHART_7" hidden="1">#REF!</definedName>
    <definedName name="_80__123Graph_ACHART_15" hidden="1">#REF!</definedName>
    <definedName name="_81__123Graph_ACHART_16" hidden="1">#REF!</definedName>
    <definedName name="_83__123Graph_ACHART_13" hidden="1">#REF!</definedName>
    <definedName name="_84__123Graph_ACHART_14" hidden="1">#REF!</definedName>
    <definedName name="_85__123Graph_ACHART_15" hidden="1">#REF!</definedName>
    <definedName name="_86__123Graph_ACHART_16" hidden="1">#REF!</definedName>
    <definedName name="_9__123Graph_XCHART_8" hidden="1">#REF!</definedName>
    <definedName name="_95__123Graph_ACHART_2" hidden="1">#REF!</definedName>
    <definedName name="_Fill" hidden="1">#REF!</definedName>
    <definedName name="_xlnm._FilterDatabase" hidden="1">#REF!</definedName>
    <definedName name="_jns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jns3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l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l3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10offset">10</definedName>
    <definedName name="A11offset">11</definedName>
    <definedName name="A12offset">12</definedName>
    <definedName name="A13offset">13</definedName>
    <definedName name="A14offset">14</definedName>
    <definedName name="A15offset">15</definedName>
    <definedName name="A16offset">16</definedName>
    <definedName name="A17offset">17</definedName>
    <definedName name="A18offset">18</definedName>
    <definedName name="A19offset">19</definedName>
    <definedName name="A1offset">1</definedName>
    <definedName name="A20offset">20</definedName>
    <definedName name="A21offset">21</definedName>
    <definedName name="A22offset">22</definedName>
    <definedName name="A2325806K">#REF!,#REF!</definedName>
    <definedName name="A2325807L">#REF!,#REF!</definedName>
    <definedName name="A2325810A">#REF!,#REF!</definedName>
    <definedName name="A2325811C">#REF!,#REF!</definedName>
    <definedName name="A2325812F">#REF!,#REF!</definedName>
    <definedName name="A2325815L">#REF!,#REF!</definedName>
    <definedName name="A2325816R">#REF!,#REF!</definedName>
    <definedName name="A2325817T">#REF!,#REF!</definedName>
    <definedName name="A2325820F">#REF!,#REF!</definedName>
    <definedName name="A2325821J">#REF!,#REF!</definedName>
    <definedName name="A2325822K">#REF!,#REF!</definedName>
    <definedName name="A2325825T">#REF!,#REF!</definedName>
    <definedName name="A2325826V">#REF!,#REF!</definedName>
    <definedName name="A2325827W">#REF!,#REF!</definedName>
    <definedName name="A2325830K">#REF!,#REF!</definedName>
    <definedName name="A2325831L">#REF!,#REF!</definedName>
    <definedName name="A2325832R">#REF!,#REF!</definedName>
    <definedName name="A2325835W">#REF!,#REF!</definedName>
    <definedName name="A2325836X">#REF!,#REF!</definedName>
    <definedName name="A2325837A">#REF!,#REF!</definedName>
    <definedName name="A2325840R">#REF!,#REF!</definedName>
    <definedName name="A2325841T">#REF!,#REF!</definedName>
    <definedName name="A2325842V">#REF!,#REF!</definedName>
    <definedName name="A2325845A">#REF!,#REF!</definedName>
    <definedName name="A2325846C">#REF!,#REF!</definedName>
    <definedName name="A2325847F">#REF!,#REF!</definedName>
    <definedName name="A2325850V">#REF!,#REF!</definedName>
    <definedName name="A23offset">23</definedName>
    <definedName name="A24offset">24</definedName>
    <definedName name="A25offset">25</definedName>
    <definedName name="A26offset">26</definedName>
    <definedName name="A27offset">27</definedName>
    <definedName name="A28offset">28</definedName>
    <definedName name="A29offset">29</definedName>
    <definedName name="A2offset">2</definedName>
    <definedName name="A30offset">30</definedName>
    <definedName name="A31offset">31</definedName>
    <definedName name="A32offset">32</definedName>
    <definedName name="A33offset">33</definedName>
    <definedName name="A34offset">34</definedName>
    <definedName name="A35offset">35</definedName>
    <definedName name="A36offset">36</definedName>
    <definedName name="A37offset">37</definedName>
    <definedName name="A38offset">38</definedName>
    <definedName name="A39offset">39</definedName>
    <definedName name="A3offset">3</definedName>
    <definedName name="A40offset">40</definedName>
    <definedName name="A41offset">41</definedName>
    <definedName name="A42offset">42</definedName>
    <definedName name="A43offset">43</definedName>
    <definedName name="A44offset">44</definedName>
    <definedName name="A45offset">45</definedName>
    <definedName name="A46offset">46</definedName>
    <definedName name="A47offset">47</definedName>
    <definedName name="A48offset">48</definedName>
    <definedName name="A49offset">49</definedName>
    <definedName name="A4offset">4</definedName>
    <definedName name="A50offset">50</definedName>
    <definedName name="A5offset">5</definedName>
    <definedName name="A6offset">6</definedName>
    <definedName name="A7offset">7</definedName>
    <definedName name="A8offset">8</definedName>
    <definedName name="A9offset">9</definedName>
    <definedName name="aaaaaaaa" hidden="1">{#N/A,#N/A,FALSE,"Group P&amp;L";#N/A,#N/A,FALSE,"Group Balance Sheet"}</definedName>
    <definedName name="abba" hidden="1">{"Ownership",#N/A,FALSE,"Ownership";"Contents",#N/A,FALSE,"Contents"}</definedName>
    <definedName name="adasdfa3454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dgaergfas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fa" hidden="1">{#N/A,#N/A,FALSE,"Group P&amp;L";#N/A,#N/A,FALSE,"Group Balance Sheet"}</definedName>
    <definedName name="afafaf" hidden="1">{#N/A,#N/A,FALSE,"Group P&amp;L";#N/A,#N/A,FALSE,"Group Balance Sheet"}</definedName>
    <definedName name="afafafafaf" hidden="1">{#N/A,#N/A,FALSE,"Group P&amp;L";#N/A,#N/A,FALSE,"Group Balance Sheet"}</definedName>
    <definedName name="anscount" hidden="1">1</definedName>
    <definedName name="aria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a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a3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a4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a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a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b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b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b3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b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b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b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c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c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c3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c4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c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c8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d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d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d3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d5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d6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d7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e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e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e3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e5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e7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e87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3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33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6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767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T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" hidden="1">{#N/A,#N/A,FALSE,"Group P&amp;L";#N/A,#N/A,FALSE,"Group Balance Sheet"}</definedName>
    <definedName name="asafa" hidden="1">{#N/A,#N/A,FALSE,"Group P&amp;L";#N/A,#N/A,FALSE,"Group Balance Sheet"}</definedName>
    <definedName name="aSAS" hidden="1">{#N/A,#N/A,FALSE,"Group P&amp;L";#N/A,#N/A,FALSE,"Group Balance Sheet"}</definedName>
    <definedName name="asdf" hidden="1">{#N/A,#N/A,FALSE,"Group P&amp;L";#N/A,#N/A,FALSE,"Group Balance Sheet"}</definedName>
    <definedName name="asdf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234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3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55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5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6563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df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dfasdf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asd" hidden="1">{#N/A,#N/A,FALSE,"Group P&amp;L";#N/A,#N/A,FALSE,"Group Balance Sheet"}</definedName>
    <definedName name="asdfasdf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fasd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ff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ff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ff3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fgbg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fd" hidden="1">{#N/A,#N/A,FALSE,"Group P&amp;L";#N/A,#N/A,FALSE,"Group Balance Sheet"}</definedName>
    <definedName name="asdfasfdasfd" hidden="1">{#N/A,#N/A,FALSE,"Group P&amp;L";#N/A,#N/A,FALSE,"Group Balance Sheet"}</definedName>
    <definedName name="asdfgasdf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gfag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gfasdgf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ggdg" hidden="1">{#N/A,#N/A,FALSE,"Group P&amp;L";#N/A,#N/A,FALSE,"Group Balance Sheet"}</definedName>
    <definedName name="asdggg" hidden="1">{#N/A,#N/A,FALSE,"Group P&amp;L";#N/A,#N/A,FALSE,"Group Balance Sheet"}</definedName>
    <definedName name="asdgsgd" hidden="1">{#N/A,#N/A,FALSE,"Group P&amp;L";#N/A,#N/A,FALSE,"Group Balance Sheet"}</definedName>
    <definedName name="asfaf" hidden="1">{#N/A,#N/A,FALSE,"Group P&amp;L";#N/A,#N/A,FALSE,"Group Balance Sheet"}</definedName>
    <definedName name="asfssf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sd" hidden="1">{#N/A,#N/A,FALSE,"Group P&amp;L";#N/A,#N/A,FALSE,"Group Balance Sheet"}</definedName>
    <definedName name="astg" hidden="1">{#N/A,#N/A,FALSE,"Group P&amp;L";#N/A,#N/A,FALSE,"Group Balance Sheet"}</definedName>
    <definedName name="bccccccccc" hidden="1">{#N/A,#N/A,FALSE,"Group P&amp;L";#N/A,#N/A,FALSE,"Group Balance Sheet"}</definedName>
    <definedName name="bf" hidden="1">{#N/A,#N/A,FALSE,"Group P&amp;L";#N/A,#N/A,FALSE,"Group Balance Sheet"}</definedName>
    <definedName name="bpr" hidden="1">{#N/A,#N/A,FALSE,"Group P&amp;L";#N/A,#N/A,FALSE,"Group Balance Sheet"}</definedName>
    <definedName name="ccccccccccccc" hidden="1">{#N/A,#N/A,FALSE,"Group P&amp;L";#N/A,#N/A,FALSE,"Group Balance Sheet"}</definedName>
    <definedName name="ccscfc" hidden="1">{#N/A,#N/A,FALSE,"Group P&amp;L";#N/A,#N/A,FALSE,"Group Balance Sheet"}</definedName>
    <definedName name="cn" hidden="1">{#N/A,#N/A,FALSE,"Group P&amp;L";#N/A,#N/A,FALSE,"Group Balance Sheet"}</definedName>
    <definedName name="cpt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cqwec" hidden="1">{#N/A,#N/A,FALSE,"Group P&amp;L";#N/A,#N/A,FALSE,"Group Balance Sheet"}</definedName>
    <definedName name="CRCP_span">CONCATENATE(CRCP_y1, " to ",CRCP_y5)</definedName>
    <definedName name="cv" hidden="1">{#N/A,#N/A,FALSE,"Group P&amp;L";#N/A,#N/A,FALSE,"Group Balance Sheet"}</definedName>
    <definedName name="cvb" hidden="1">{#N/A,#N/A,FALSE,"Group P&amp;L";#N/A,#N/A,FALSE,"Group Balance Sheet"}</definedName>
    <definedName name="cvbbzx" hidden="1">{#N/A,#N/A,FALSE,"Group P&amp;L";#N/A,#N/A,FALSE,"Group Balance Sheet"}</definedName>
    <definedName name="cvcmv" hidden="1">{#N/A,#N/A,FALSE,"Group P&amp;L";#N/A,#N/A,FALSE,"Group Balance Sheet"}</definedName>
    <definedName name="cx" hidden="1">{#N/A,#N/A,FALSE,"Group P&amp;L";#N/A,#N/A,FALSE,"Group Balance Sheet"}</definedName>
    <definedName name="d" hidden="1">{#N/A,#N/A,FALSE,"Group P&amp;L";#N/A,#N/A,FALSE,"Group Balance Sheet"}</definedName>
    <definedName name="da" hidden="1">{#N/A,#N/A,FALSE,"Group P&amp;L";#N/A,#N/A,FALSE,"Group Balance Sheet"}</definedName>
    <definedName name="Date_Range">#REF!,#REF!</definedName>
    <definedName name="deuli3edjlkd3" hidden="1">{#N/A,#N/A,FALSE,"Group P&amp;L";#N/A,#N/A,FALSE,"Group Balance Sheet"}</definedName>
    <definedName name="df" hidden="1">{#N/A,#N/A,FALSE,"Group P&amp;L";#N/A,#N/A,FALSE,"Group Balance Sheet"}</definedName>
    <definedName name="dfgdf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dfhg" hidden="1">{#N/A,#N/A,FALSE,"Group P&amp;L";#N/A,#N/A,FALSE,"Group Balance Sheet"}</definedName>
    <definedName name="dg" hidden="1">{#N/A,#N/A,FALSE,"Group P&amp;L";#N/A,#N/A,FALSE,"Group Balance Sheet"}</definedName>
    <definedName name="dggggggggggggggg" hidden="1">{#N/A,#N/A,FALSE,"Group P&amp;L";#N/A,#N/A,FALSE,"Group Balance Sheet"}</definedName>
    <definedName name="dh" hidden="1">{#N/A,#N/A,FALSE,"Group P&amp;L";#N/A,#N/A,FALSE,"Group Balance Sheet"}</definedName>
    <definedName name="dhdf" hidden="1">{#N/A,#N/A,FALSE,"Group P&amp;L";#N/A,#N/A,FALSE,"Group Balance Sheet"}</definedName>
    <definedName name="dollars">'Lookup | Tables'!$E$7</definedName>
    <definedName name="eqrt" hidden="1">{#N/A,#N/A,FALSE,"Group P&amp;L";#N/A,#N/A,FALSE,"Group Balance Sheet"}</definedName>
    <definedName name="erwyhreytwe" hidden="1">{#N/A,#N/A,FALSE,"Group P&amp;L";#N/A,#N/A,FALSE,"Group Balance Sheet"}</definedName>
    <definedName name="et" hidden="1">{#N/A,#N/A,FALSE,"Group P&amp;L";#N/A,#N/A,FALSE,"Group Balance Sheet"}</definedName>
    <definedName name="ewewew" hidden="1">{#N/A,#N/A,FALSE,"Group P&amp;L";#N/A,#N/A,FALSE,"Group Balance Sheet"}</definedName>
    <definedName name="ewqf" hidden="1">{#N/A,#N/A,FALSE,"Group P&amp;L";#N/A,#N/A,FALSE,"Group Balance Sheet"}</definedName>
    <definedName name="ExistingAssetsRemainingLife">25</definedName>
    <definedName name="EYGadeG" hidden="1">{#N/A,#N/A,FALSE,"Group P&amp;L";#N/A,#N/A,FALSE,"Group Balance Sheet"}</definedName>
    <definedName name="fafaf" hidden="1">{#N/A,#N/A,FALSE,"Group P&amp;L";#N/A,#N/A,FALSE,"Group Balance Sheet"}</definedName>
    <definedName name="fas" hidden="1">{#N/A,#N/A,FALSE,"Group P&amp;L";#N/A,#N/A,FALSE,"Group Balance Sheet"}</definedName>
    <definedName name="fasd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asd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asd3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asdasdf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asdasdf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asdasdf3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ga" hidden="1">{#N/A,#N/A,FALSE,"Group P&amp;L";#N/A,#N/A,FALSE,"Group Balance Sheet"}</definedName>
    <definedName name="fggdf" hidden="1">{#N/A,#N/A,FALSE,"Group P&amp;L";#N/A,#N/A,FALSE,"Group Balance Sheet"}</definedName>
    <definedName name="fgh" hidden="1">{#N/A,#N/A,FALSE,"Group P&amp;L";#N/A,#N/A,FALSE,"Group Balance Sheet"}</definedName>
    <definedName name="fghfhg" hidden="1">{#N/A,#N/A,FALSE,"Group P&amp;L";#N/A,#N/A,FALSE,"Group Balance Sheet"}</definedName>
    <definedName name="FRCP_1to5">"2015-16 to 2019-20"</definedName>
    <definedName name="FRCP_span">"2015-20"</definedName>
    <definedName name="ftnjh" hidden="1">{#N/A,#N/A,FALSE,"Group P&amp;L";#N/A,#N/A,FALSE,"Group Balance Sheet"}</definedName>
    <definedName name="Gap">ROUND((#REF!-#REF!)/30,0)/12</definedName>
    <definedName name="gasdg" hidden="1">{#N/A,#N/A,FALSE,"Group P&amp;L";#N/A,#N/A,FALSE,"Group Balance Sheet"}</definedName>
    <definedName name="gj" hidden="1">{#N/A,#N/A,FALSE,"Group P&amp;L";#N/A,#N/A,FALSE,"Group Balance Sheet"}</definedName>
    <definedName name="gjk" hidden="1">{#N/A,#N/A,FALSE,"Group P&amp;L";#N/A,#N/A,FALSE,"Group Balance Sheet"}</definedName>
    <definedName name="gmgmgmgmgmgm" hidden="1">{#N/A,#N/A,FALSE,"Group P&amp;L";#N/A,#N/A,FALSE,"Group Balance Sheet"}</definedName>
    <definedName name="guilkrtmk" hidden="1">{#N/A,#N/A,FALSE,"Group P&amp;L";#N/A,#N/A,FALSE,"Group Balance Sheet"}</definedName>
    <definedName name="h" hidden="1">{#N/A,#N/A,FALSE,"Group P&amp;L";#N/A,#N/A,FALSE,"Group Balance Sheet"}</definedName>
    <definedName name="hdenjhenjh" hidden="1">{#N/A,#N/A,FALSE,"Group P&amp;L";#N/A,#N/A,FALSE,"Group Balance Sheet"}</definedName>
    <definedName name="hfdfdgfkiklrtlkryuk" hidden="1">{#N/A,#N/A,FALSE,"Group P&amp;L";#N/A,#N/A,FALSE,"Group Balance Sheet"}</definedName>
    <definedName name="hg" hidden="1">{#N/A,#N/A,FALSE,"Group P&amp;L";#N/A,#N/A,FALSE,"Group Balance Sheet"}</definedName>
    <definedName name="hgfgh" hidden="1">{#N/A,#N/A,FALSE,"Group P&amp;L";#N/A,#N/A,FALSE,"Group Balance Sheet"}</definedName>
    <definedName name="hjk" hidden="1">{#N/A,#N/A,FALSE,"Group P&amp;L";#N/A,#N/A,FALSE,"Group Balance Sheet"}</definedName>
    <definedName name="hkkkkkkkkkkk" hidden="1">{#N/A,#N/A,FALSE,"Group P&amp;L";#N/A,#N/A,FALSE,"Group Balance Sheet"}</definedName>
    <definedName name="hlkhg" hidden="1">{#N/A,#N/A,FALSE,"Group P&amp;L";#N/A,#N/A,FALSE,"Group Balance Sheet"}</definedName>
    <definedName name="hxa" hidden="1">{#N/A,#N/A,FALSE,"Group P&amp;L";#N/A,#N/A,FALSE,"Group Balance Sheet"}</definedName>
    <definedName name="im" hidden="1">{#N/A,#N/A,FALSE,"Group P&amp;L";#N/A,#N/A,FALSE,"Group Balance Sheet"}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40970.780625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jfnmcvn" hidden="1">{#N/A,#N/A,FALSE,"Group P&amp;L";#N/A,#N/A,FALSE,"Group Balance Sheet"}</definedName>
    <definedName name="jggggggggggggg" hidden="1">{#N/A,#N/A,FALSE,"Group P&amp;L";#N/A,#N/A,FALSE,"Group Balance Sheet"}</definedName>
    <definedName name="jgggggggggggggg" hidden="1">{#N/A,#N/A,FALSE,"Group P&amp;L";#N/A,#N/A,FALSE,"Group Balance Sheet"}</definedName>
    <definedName name="jjfd" hidden="1">{#N/A,#N/A,FALSE,"Group P&amp;L";#N/A,#N/A,FALSE,"Group Balance Sheet"}</definedName>
    <definedName name="jjgjj" hidden="1">{#N/A,#N/A,FALSE,"Group P&amp;L";#N/A,#N/A,FALSE,"Group Balance Sheet"}</definedName>
    <definedName name="jmjmjm" hidden="1">{#N/A,#N/A,FALSE,"Group P&amp;L";#N/A,#N/A,FALSE,"Group Balance Sheet"}</definedName>
    <definedName name="jns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kdb" hidden="1">{#N/A,#N/A,FALSE,"Group P&amp;L";#N/A,#N/A,FALSE,"Group Balance Sheet"}</definedName>
    <definedName name="kkkk" hidden="1">{#N/A,#N/A,FALSE,"Group P&amp;L";#N/A,#N/A,FALSE,"Group Balance Sheet"}</definedName>
    <definedName name="kurkrykmrkm" hidden="1">{#N/A,#N/A,FALSE,"Group P&amp;L";#N/A,#N/A,FALSE,"Group Balance Sheet"}</definedName>
    <definedName name="LAN" hidden="1">{"Ownership",#N/A,FALSE,"Ownership";"Contents",#N/A,FALSE,"Contents"}</definedName>
    <definedName name="limcount" hidden="1">1</definedName>
    <definedName name="llglgjlgl" hidden="1">{#N/A,#N/A,FALSE,"Group P&amp;L";#N/A,#N/A,FALSE,"Group Balance Sheet"}</definedName>
    <definedName name="lllkl" hidden="1">{#N/A,#N/A,FALSE,"Group P&amp;L";#N/A,#N/A,FALSE,"Group Balance Sheet"}</definedName>
    <definedName name="llllllllll" hidden="1">{#N/A,#N/A,FALSE,"Group P&amp;L";#N/A,#N/A,FALSE,"Group Balance Sheet"}</definedName>
    <definedName name="lllllllllllllllll" hidden="1">{#N/A,#N/A,FALSE,"Group P&amp;L";#N/A,#N/A,FALSE,"Group Balance Sheet"}</definedName>
    <definedName name="lo" hidden="1">{#N/A,#N/A,FALSE,"Group P&amp;L";#N/A,#N/A,FALSE,"Group Balance Sheet"}</definedName>
    <definedName name="m" hidden="1">{#N/A,#N/A,FALSE,"Group P&amp;L";#N/A,#N/A,FALSE,"Group Balance Sheet"}</definedName>
    <definedName name="mfmfmfgm" hidden="1">{#N/A,#N/A,FALSE,"Group P&amp;L";#N/A,#N/A,FALSE,"Group Balance Sheet"}</definedName>
    <definedName name="mh" hidden="1">{#N/A,#N/A,FALSE,"Group P&amp;L";#N/A,#N/A,FALSE,"Group Balance Sheet"}</definedName>
    <definedName name="millions">'Lookup | Tables'!$E$9</definedName>
    <definedName name="mkt" hidden="1">{#N/A,#N/A,FALSE,"Group P&amp;L";#N/A,#N/A,FALSE,"Group Balance Sheet"}</definedName>
    <definedName name="nbdfndf" hidden="1">{#N/A,#N/A,FALSE,"Group P&amp;L";#N/A,#N/A,FALSE,"Group Balance Sheet"}</definedName>
    <definedName name="ncv" hidden="1">{#N/A,#N/A,FALSE,"Group P&amp;L";#N/A,#N/A,FALSE,"Group Balance Sheet"}</definedName>
    <definedName name="njedt" hidden="1">{#N/A,#N/A,FALSE,"Group P&amp;L";#N/A,#N/A,FALSE,"Group Balance Sheet"}</definedName>
    <definedName name="nmb" hidden="1">{#N/A,#N/A,FALSE,"Group P&amp;L";#N/A,#N/A,FALSE,"Group Balance Sheet"}</definedName>
    <definedName name="nvvvvvvvvvvvv" hidden="1">{#N/A,#N/A,FALSE,"Group P&amp;L";#N/A,#N/A,FALSE,"Group Balance Sheet"}</definedName>
    <definedName name="of" hidden="1">{#N/A,#N/A,FALSE,"Group P&amp;L";#N/A,#N/A,FALSE,"Group Balance Sheet"}</definedName>
    <definedName name="oipoip" hidden="1">{#N/A,#N/A,FALSE,"Group P&amp;L";#N/A,#N/A,FALSE,"Group Balance Sheet"}</definedName>
    <definedName name="ol" hidden="1">{#N/A,#N/A,FALSE,"Group P&amp;L";#N/A,#N/A,FALSE,"Group Balance Sheet"}</definedName>
    <definedName name="ool" hidden="1">{#N/A,#N/A,FALSE,"Group P&amp;L";#N/A,#N/A,FALSE,"Group Balance Sheet"}</definedName>
    <definedName name="ooooo" hidden="1">{#N/A,#N/A,FALSE,"Group P&amp;L";#N/A,#N/A,FALSE,"Group Balance Sheet"}</definedName>
    <definedName name="ooop" hidden="1">{#N/A,#N/A,FALSE,"Group P&amp;L";#N/A,#N/A,FALSE,"Group Balance Sheet"}</definedName>
    <definedName name="oppp" hidden="1">{#N/A,#N/A,FALSE,"Group P&amp;L";#N/A,#N/A,FALSE,"Group Balance Sheet"}</definedName>
    <definedName name="ouihb" hidden="1">{#N/A,#N/A,FALSE,"Group P&amp;L";#N/A,#N/A,FALSE,"Group Balance Sheet"}</definedName>
    <definedName name="ouijlk" hidden="1">{#N/A,#N/A,FALSE,"Group P&amp;L";#N/A,#N/A,FALSE,"Group Balance Sheet"}</definedName>
    <definedName name="p" hidden="1">{#N/A,#N/A,FALSE,"Group P&amp;L";#N/A,#N/A,FALSE,"Group Balance Sheet"}</definedName>
    <definedName name="p0iu" hidden="1">{#N/A,#N/A,FALSE,"Group P&amp;L";#N/A,#N/A,FALSE,"Group Balance Sheet"}</definedName>
    <definedName name="po" hidden="1">{#N/A,#N/A,FALSE,"Group P&amp;L";#N/A,#N/A,FALSE,"Group Balance Sheet"}</definedName>
    <definedName name="poiiop" hidden="1">{#N/A,#N/A,FALSE,"Group P&amp;L";#N/A,#N/A,FALSE,"Group Balance Sheet"}</definedName>
    <definedName name="poiu" hidden="1">{#N/A,#N/A,FALSE,"Group P&amp;L";#N/A,#N/A,FALSE,"Group Balance Sheet"}</definedName>
    <definedName name="pollmju" hidden="1">{#N/A,#N/A,FALSE,"Group P&amp;L";#N/A,#N/A,FALSE,"Group Balance Sheet"}</definedName>
    <definedName name="poool" hidden="1">{#N/A,#N/A,FALSE,"Group P&amp;L";#N/A,#N/A,FALSE,"Group Balance Sheet"}</definedName>
    <definedName name="poooo" hidden="1">{#N/A,#N/A,FALSE,"Group P&amp;L";#N/A,#N/A,FALSE,"Group Balance Sheet"}</definedName>
    <definedName name="poooool" hidden="1">{#N/A,#N/A,FALSE,"Group P&amp;L";#N/A,#N/A,FALSE,"Group Balance Sheet"}</definedName>
    <definedName name="pooooooooo" hidden="1">{#N/A,#N/A,FALSE,"Group P&amp;L";#N/A,#N/A,FALSE,"Group Balance Sheet"}</definedName>
    <definedName name="poooooooooo" hidden="1">{#N/A,#N/A,FALSE,"Group P&amp;L";#N/A,#N/A,FALSE,"Group Balance Sheet"}</definedName>
    <definedName name="poooooop" hidden="1">{#N/A,#N/A,FALSE,"Group P&amp;L";#N/A,#N/A,FALSE,"Group Balance Sheet"}</definedName>
    <definedName name="poop" hidden="1">{#N/A,#N/A,FALSE,"Group P&amp;L";#N/A,#N/A,FALSE,"Group Balance Sheet"}</definedName>
    <definedName name="pootop" hidden="1">{#N/A,#N/A,FALSE,"Group P&amp;L";#N/A,#N/A,FALSE,"Group Balance Sheet"}</definedName>
    <definedName name="pop" hidden="1">{#N/A,#N/A,FALSE,"Group P&amp;L";#N/A,#N/A,FALSE,"Group Balance Sheet"}</definedName>
    <definedName name="ppp" hidden="1">{#N/A,#N/A,FALSE,"Group P&amp;L";#N/A,#N/A,FALSE,"Group Balance Sheet"}</definedName>
    <definedName name="ppppppppppppppp" hidden="1">{#N/A,#N/A,FALSE,"Group P&amp;L";#N/A,#N/A,FALSE,"Group Balance Sheet"}</definedName>
    <definedName name="ppppppppppppppppppppppp" hidden="1">{#N/A,#N/A,FALSE,"Group P&amp;L";#N/A,#N/A,FALSE,"Group Balance Sheet"}</definedName>
    <definedName name="qqqqqqqqqqqqqqqqq" hidden="1">{#N/A,#N/A,FALSE,"Group P&amp;L";#N/A,#N/A,FALSE,"Group Balance Sheet"}</definedName>
    <definedName name="Quarter">OFFSET(#REF!,1,,COUNTA(#REF!)-1,)</definedName>
    <definedName name="qw" hidden="1">{#N/A,#N/A,FALSE,"Group P&amp;L";#N/A,#N/A,FALSE,"Group Balance Sheet"}</definedName>
    <definedName name="qwdqdx" hidden="1">{#N/A,#N/A,FALSE,"Group P&amp;L";#N/A,#N/A,FALSE,"Group Balance Sheet"}</definedName>
    <definedName name="qwq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QWQWQWE" hidden="1">{#N/A,#N/A,FALSE,"Group P&amp;L";#N/A,#N/A,FALSE,"Group Balance Sheet"}</definedName>
    <definedName name="qwrtq" hidden="1">{#N/A,#N/A,FALSE,"Group P&amp;L";#N/A,#N/A,FALSE,"Group Balance Sheet"}</definedName>
    <definedName name="qwwqww" hidden="1">{#N/A,#N/A,FALSE,"Group P&amp;L";#N/A,#N/A,FALSE,"Group Balance Sheet"}</definedName>
    <definedName name="qwww" hidden="1">{#N/A,#N/A,FALSE,"Group P&amp;L";#N/A,#N/A,FALSE,"Group Balance Sheet"}</definedName>
    <definedName name="qzqz" hidden="1">{#N/A,#N/A,FALSE,"Group P&amp;L";#N/A,#N/A,FALSE,"Group Balance Sheet"}</definedName>
    <definedName name="rbhswr" hidden="1">{#N/A,#N/A,FALSE,"Group P&amp;L";#N/A,#N/A,FALSE,"Group Balance Sheet"}</definedName>
    <definedName name="RCP_1to5">"2015-16 to 2019-20"</definedName>
    <definedName name="rehtb" hidden="1">{#N/A,#N/A,FALSE,"Group P&amp;L";#N/A,#N/A,FALSE,"Group Balance Sheet"}</definedName>
    <definedName name="rertte" hidden="1">{#N/A,#N/A,FALSE,"Group P&amp;L";#N/A,#N/A,FALSE,"Group Balance Sheet"}</definedName>
    <definedName name="rew" hidden="1">{#N/A,#N/A,FALSE,"Group P&amp;L";#N/A,#N/A,FALSE,"Group Balance Sheet"}</definedName>
    <definedName name="rmkt" hidden="1">{#N/A,#N/A,FALSE,"Group P&amp;L";#N/A,#N/A,FALSE,"Group Balance Sheet"}</definedName>
    <definedName name="rsdht" hidden="1">{#N/A,#N/A,FALSE,"Group P&amp;L";#N/A,#N/A,FALSE,"Group Balance Sheet"}</definedName>
    <definedName name="rtuit" hidden="1">{#N/A,#N/A,FALSE,"Group P&amp;L";#N/A,#N/A,FALSE,"Group Balance Sheet"}</definedName>
    <definedName name="rtut" hidden="1">{#N/A,#N/A,FALSE,"Group P&amp;L";#N/A,#N/A,FALSE,"Group Balance Sheet"}</definedName>
    <definedName name="rtweutrwurut" hidden="1">{#N/A,#N/A,FALSE,"Group P&amp;L";#N/A,#N/A,FALSE,"Group Balance Sheet"}</definedName>
    <definedName name="sbvsdf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sdaf4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sdfgagf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sdfgagrdfa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sdfh" hidden="1">{#N/A,#N/A,FALSE,"Group P&amp;L";#N/A,#N/A,FALSE,"Group Balance Sheet"}</definedName>
    <definedName name="sdgasgg" hidden="1">{#N/A,#N/A,FALSE,"Group P&amp;L";#N/A,#N/A,FALSE,"Group Balance Sheet"}</definedName>
    <definedName name="sencount" hidden="1">1</definedName>
    <definedName name="sfgsfgsf" hidden="1">{#N/A,#N/A,FALSE,"Group P&amp;L";#N/A,#N/A,FALSE,"Group Balance Sheet"}</definedName>
    <definedName name="sfhfhsfhg" hidden="1">{#N/A,#N/A,FALSE,"Group P&amp;L";#N/A,#N/A,FALSE,"Group Balance Sheet"}</definedName>
    <definedName name="shf" hidden="1">{#N/A,#N/A,FALSE,"Group P&amp;L";#N/A,#N/A,FALSE,"Group Balance Sheet"}</definedName>
    <definedName name="SL01VIEWHND">-1</definedName>
    <definedName name="SRTYHSRTUY" hidden="1">{#N/A,#N/A,FALSE,"Group P&amp;L";#N/A,#N/A,FALSE,"Group Balance Sheet"}</definedName>
    <definedName name="sssssssssss" hidden="1">{#N/A,#N/A,FALSE,"Group P&amp;L";#N/A,#N/A,FALSE,"Group Balance Sheet"}</definedName>
    <definedName name="sta" hidden="1">{#N/A,#N/A,FALSE,"Group P&amp;L";#N/A,#N/A,FALSE,"Group Balance Sheet"}</definedName>
    <definedName name="Stuff" hidden="1">{#N/A,#N/A,FALSE,"Group P&amp;L";#N/A,#N/A,FALSE,"Group Balance Sheet"}</definedName>
    <definedName name="SXBNDDSP">0</definedName>
    <definedName name="teest" hidden="1">{"Ownership",#N/A,FALSE,"Ownership";"Contents",#N/A,FALSE,"Contents"}</definedName>
    <definedName name="TerminalValueGrowthRate">1%</definedName>
    <definedName name="TEST" hidden="1">{#N/A,#N/A,FALSE,"Group P&amp;L";#N/A,#N/A,FALSE,"Group Balance Sheet"}</definedName>
    <definedName name="tg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thousands">'Lookup | Tables'!$E$8</definedName>
    <definedName name="TITLE5">_xll.SUBNM("actewagl_tm1:bs_month","","Jun")</definedName>
    <definedName name="tjuyt" hidden="1">{#N/A,#N/A,FALSE,"Group P&amp;L";#N/A,#N/A,FALSE,"Group Balance Sheet"}</definedName>
    <definedName name="TM1REBUILDOPTION">1</definedName>
    <definedName name="tooooot" hidden="1">{#N/A,#N/A,FALSE,"Group P&amp;L";#N/A,#N/A,FALSE,"Group Balance Sheet"}</definedName>
    <definedName name="toooot" hidden="1">{#N/A,#N/A,FALSE,"Group P&amp;L";#N/A,#N/A,FALSE,"Group Balance Sheet"}</definedName>
    <definedName name="tooot" hidden="1">{#N/A,#N/A,FALSE,"Group P&amp;L";#N/A,#N/A,FALSE,"Group Balance Sheet"}</definedName>
    <definedName name="toot" hidden="1">{#N/A,#N/A,FALSE,"Group P&amp;L";#N/A,#N/A,FALSE,"Group Balance Sheet"}</definedName>
    <definedName name="tot" hidden="1">{#N/A,#N/A,FALSE,"Group P&amp;L";#N/A,#N/A,FALSE,"Group Balance Sheet"}</definedName>
    <definedName name="trfv" hidden="1">{#N/A,#N/A,FALSE,"Group P&amp;L";#N/A,#N/A,FALSE,"Group Balance Sheet"}</definedName>
    <definedName name="ttt" hidden="1">{#N/A,#N/A,FALSE,"Group P&amp;L";#N/A,#N/A,FALSE,"Group Balance Sheet"}</definedName>
    <definedName name="tuituyrtuy" hidden="1">{#N/A,#N/A,FALSE,"Group P&amp;L";#N/A,#N/A,FALSE,"Group Balance Sheet"}</definedName>
    <definedName name="tut" hidden="1">{#N/A,#N/A,FALSE,"Group P&amp;L";#N/A,#N/A,FALSE,"Group Balance Sheet"}</definedName>
    <definedName name="tuut" hidden="1">{#N/A,#N/A,FALSE,"Group P&amp;L";#N/A,#N/A,FALSE,"Group Balance Sheet"}</definedName>
    <definedName name="tuuut" hidden="1">{#N/A,#N/A,FALSE,"Group P&amp;L";#N/A,#N/A,FALSE,"Group Balance Sheet"}</definedName>
    <definedName name="ty" hidden="1">{#N/A,#N/A,FALSE,"Group P&amp;L";#N/A,#N/A,FALSE,"Group Balance Sheet"}</definedName>
    <definedName name="tyjew" hidden="1">{#N/A,#N/A,FALSE,"Group P&amp;L";#N/A,#N/A,FALSE,"Group Balance Sheet"}</definedName>
    <definedName name="tyt" hidden="1">{#N/A,#N/A,FALSE,"Group P&amp;L";#N/A,#N/A,FALSE,"Group Balance Sheet"}</definedName>
    <definedName name="ui" hidden="1">{#N/A,#N/A,FALSE,"Group P&amp;L";#N/A,#N/A,FALSE,"Group Balance Sheet"}</definedName>
    <definedName name="uiiuiu" hidden="1">{#N/A,#N/A,FALSE,"Group P&amp;L";#N/A,#N/A,FALSE,"Group Balance Sheet"}</definedName>
    <definedName name="uik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uiop" hidden="1">{#N/A,#N/A,FALSE,"Group P&amp;L";#N/A,#N/A,FALSE,"Group Balance Sheet"}</definedName>
    <definedName name="uliug" hidden="1">{#N/A,#N/A,FALSE,"Group P&amp;L";#N/A,#N/A,FALSE,"Group Balance Sheet"}</definedName>
    <definedName name="utrew" hidden="1">{#N/A,#N/A,FALSE,"Group P&amp;L";#N/A,#N/A,FALSE,"Group Balance Sheet"}</definedName>
    <definedName name="uuuuuuuu" hidden="1">{#N/A,#N/A,FALSE,"Group P&amp;L";#N/A,#N/A,FALSE,"Group Balance Sheet"}</definedName>
    <definedName name="uuuuuuuuuuuuu" hidden="1">{#N/A,#N/A,FALSE,"Group P&amp;L";#N/A,#N/A,FALSE,"Group Balance Sheet"}</definedName>
    <definedName name="uyhtrrth" hidden="1">{#N/A,#N/A,FALSE,"Group P&amp;L";#N/A,#N/A,FALSE,"Group Balance Sheet"}</definedName>
    <definedName name="uytr" hidden="1">{#N/A,#N/A,FALSE,"Group P&amp;L";#N/A,#N/A,FALSE,"Group Balance Sheet"}</definedName>
    <definedName name="vcbg" hidden="1">{#N/A,#N/A,FALSE,"Group P&amp;L";#N/A,#N/A,FALSE,"Group Balance Sheet"}</definedName>
    <definedName name="vCube" hidden="1">#REF!</definedName>
    <definedName name="vFormulas" hidden="1">#REF!</definedName>
    <definedName name="vfsd" hidden="1">{#N/A,#N/A,FALSE,"Group P&amp;L";#N/A,#N/A,FALSE,"Group Balance Sheet"}</definedName>
    <definedName name="vGetRange" hidden="1">#REF!</definedName>
    <definedName name="vPasteBackFrom" hidden="1">#REF!</definedName>
    <definedName name="vPasteBackTo" hidden="1">#REF!</definedName>
    <definedName name="vProjectEntry" hidden="1">#REF!</definedName>
    <definedName name="vProjectPaste" hidden="1">#REF!</definedName>
    <definedName name="vSendStatus" hidden="1">#REF!</definedName>
    <definedName name="vServer" hidden="1">#REF!</definedName>
    <definedName name="W4EYT6W" hidden="1">{#N/A,#N/A,FALSE,"Group P&amp;L";#N/A,#N/A,FALSE,"Group Balance Sheet"}</definedName>
    <definedName name="wan.bpr" hidden="1">{#N/A,#N/A,FALSE,"Group P&amp;L";#N/A,#N/A,FALSE,"Group Balance Sheet"}</definedName>
    <definedName name="we" hidden="1">{#N/A,#N/A,FALSE,"Group P&amp;L";#N/A,#N/A,FALSE,"Group Balance Sheet"}</definedName>
    <definedName name="weret" hidden="1">{#N/A,#N/A,FALSE,"Group P&amp;L";#N/A,#N/A,FALSE,"Group Balance Sheet"}</definedName>
    <definedName name="werhtwedhgsd" hidden="1">{#N/A,#N/A,FALSE,"Group P&amp;L";#N/A,#N/A,FALSE,"Group Balance Sheet"}</definedName>
    <definedName name="wertyuioi" hidden="1">{#N/A,#N/A,FALSE,"Group P&amp;L";#N/A,#N/A,FALSE,"Group Balance Sheet"}</definedName>
    <definedName name="weytjewtj" hidden="1">{#N/A,#N/A,FALSE,"Group P&amp;L";#N/A,#N/A,FALSE,"Group Balance Sheet"}</definedName>
    <definedName name="wqhgqhg" hidden="1">{#N/A,#N/A,FALSE,"Group P&amp;L";#N/A,#N/A,FALSE,"Group Balance Sheet"}</definedName>
    <definedName name="wrju" hidden="1">{#N/A,#N/A,FALSE,"Group P&amp;L";#N/A,#N/A,FALSE,"Group Balance Sheet"}</definedName>
    <definedName name="wrn.App._.Custodians." hidden="1">{"Ownership",#N/A,FALSE,"Ownership";"Contents",#N/A,FALSE,"Contents"}</definedName>
    <definedName name="wrn.bpr" hidden="1">{#N/A,#N/A,FALSE,"Group P&amp;L";#N/A,#N/A,FALSE,"Group Balance Sheet"}</definedName>
    <definedName name="wrn.BPR." hidden="1">{#N/A,#N/A,FALSE,"Group P&amp;L";#N/A,#N/A,FALSE,"Group Balance Sheet"}</definedName>
    <definedName name="wrn.bpt" hidden="1">{#N/A,#N/A,FALSE,"Group P&amp;L";#N/A,#N/A,FALSE,"Group Balance Sheet"}</definedName>
    <definedName name="wrn.Print._.Summary." hidden="1">{#N/A,#N/A,FALSE,"Credit Ratios";#N/A,#N/A,FALSE,"UEL Consolidated";#N/A,#N/A,FALSE,"Distribution";#N/A,#N/A,FALSE,"IS";#N/A,#N/A,FALSE,"UEComm";#N/A,#N/A,FALSE,"Utilimode";#N/A,#N/A,FALSE,"NPS";#N/A,#N/A,FALSE,"Corporate";#N/A,#N/A,FALSE,"Consolidations";#N/A,#N/A,FALSE,"Amort'n Book";#N/A,#N/A,FALSE,"Dep'n Book";#N/A,#N/A,FALSE,"Dep'n Tax";#N/A,#N/A,FALSE,"InterCo Loans";#N/A,#N/A,FALSE,"Debt"}</definedName>
    <definedName name="wrn.Summary." hidden="1">{#N/A,#N/A,FALSE,"Credit Ratios";#N/A,#N/A,FALSE,"Debt";#N/A,#N/A,FALSE,"UEL Consolidated";#N/A,#N/A,FALSE,"UEComm";#N/A,#N/A,FALSE,"NPS";#N/A,#N/A,FALSE,"UED Total";#N/A,#N/A,FALSE,"Distribution";#N/A,#N/A,FALSE,"Utilimode";#N/A,#N/A,FALSE,"UEHL";#N/A,#N/A,FALSE,"IS";#N/A,#N/A,FALSE,"Corporate";#N/A,#N/A,FALSE,"Consolidations - UED";#N/A,#N/A,FALSE,"Consolidations - UEL"}</definedName>
    <definedName name="wrn.TEST." hidden="1">{#N/A,#N/A,FALSE,"MGH income-Support";#N/A,#N/A,FALSE,"MGN balance sheet-Support"}</definedName>
    <definedName name="wrn.UEG._.Operating._.Report.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wrn.ueg._.Operating._.Report3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wrn.ueg._.operating._report.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wrutut" hidden="1">{#N/A,#N/A,FALSE,"Group P&amp;L";#N/A,#N/A,FALSE,"Group Balance Sheet"}</definedName>
    <definedName name="wrutuwrut" hidden="1">{#N/A,#N/A,FALSE,"Group P&amp;L";#N/A,#N/A,FALSE,"Group Balance Sheet"}</definedName>
    <definedName name="WSA" hidden="1">{#N/A,#N/A,FALSE,"Group P&amp;L";#N/A,#N/A,FALSE,"Group Balance Sheet"}</definedName>
    <definedName name="wwww" hidden="1">{#N/A,#N/A,FALSE,"Group P&amp;L";#N/A,#N/A,FALSE,"Group Balance Sheet"}</definedName>
    <definedName name="wwwwwwwwwwwww" hidden="1">{#N/A,#N/A,FALSE,"Group P&amp;L";#N/A,#N/A,FALSE,"Group Balance Sheet"}</definedName>
    <definedName name="wwwwwwwwwwwwwwwww" hidden="1">{#N/A,#N/A,FALSE,"Group P&amp;L";#N/A,#N/A,FALSE,"Group Balance Sheet"}</definedName>
    <definedName name="x" hidden="1">{#N/A,#N/A,FALSE,"Group P&amp;L";#N/A,#N/A,FALSE,"Group Balance Sheet"}</definedName>
    <definedName name="xaxax" hidden="1">{#N/A,#N/A,FALSE,"Group P&amp;L";#N/A,#N/A,FALSE,"Group Balance Sheet"}</definedName>
    <definedName name="xc" hidden="1">{#N/A,#N/A,FALSE,"Group P&amp;L";#N/A,#N/A,FALSE,"Group Balance Sheet"}</definedName>
    <definedName name="xcdfr" hidden="1">{#N/A,#N/A,FALSE,"Group P&amp;L";#N/A,#N/A,FALSE,"Group Balance Sheet"}</definedName>
    <definedName name="xcvb" hidden="1">{#N/A,#N/A,FALSE,"Group P&amp;L";#N/A,#N/A,FALSE,"Group Balance Sheet"}</definedName>
    <definedName name="xsd" hidden="1">{#N/A,#N/A,FALSE,"Group P&amp;L";#N/A,#N/A,FALSE,"Group Balance Sheet"}</definedName>
    <definedName name="xxx" hidden="1">{#N/A,#N/A,FALSE,"Group P&amp;L";#N/A,#N/A,FALSE,"Group Balance Sheet"}</definedName>
    <definedName name="xxxxxxxxxxxxxxx" hidden="1">{#N/A,#N/A,FALSE,"Group P&amp;L";#N/A,#N/A,FALSE,"Group Balance Sheet"}</definedName>
    <definedName name="xzcvcv" hidden="1">{#N/A,#N/A,FALSE,"Group P&amp;L";#N/A,#N/A,FALSE,"Group Balance Sheet"}</definedName>
    <definedName name="y" hidden="1">{#N/A,#N/A,FALSE,"Group P&amp;L";#N/A,#N/A,FALSE,"Group Balance Sheet"}</definedName>
    <definedName name="Year" localSheetId="6">OFFSET(#REF!,1,,COUNTA(#REF!)-1,)</definedName>
    <definedName name="YearStandard">365.25</definedName>
    <definedName name="YRAewYW" hidden="1">{#N/A,#N/A,FALSE,"Group P&amp;L";#N/A,#N/A,FALSE,"Group Balance Sheet"}</definedName>
    <definedName name="ytnjhe" hidden="1">{#N/A,#N/A,FALSE,"Group P&amp;L";#N/A,#N/A,FALSE,"Group Balance Sheet"}</definedName>
    <definedName name="yyhnn" hidden="1">{#N/A,#N/A,FALSE,"Group P&amp;L";#N/A,#N/A,FALSE,"Group Balance Sheet"}</definedName>
    <definedName name="yyyyyyyyyyyy" hidden="1">{#N/A,#N/A,FALSE,"Group P&amp;L";#N/A,#N/A,FALSE,"Group Balance Sheet"}</definedName>
    <definedName name="Z_194E5B9A_53B1_414D_85B4_862268EA3FD8_.wvu.Cols" hidden="1">#REF!,#REF!</definedName>
    <definedName name="Z_457C99E0_B489_11D4_9586_D18A69491E44_.wvu.FilterData" hidden="1">#REF!</definedName>
    <definedName name="Z_4A79B72B_DC22_4363_885C_85183B73F539_.wvu.Cols" hidden="1">#REF!,#REF!</definedName>
    <definedName name="Z_6664BF98_58A8_4AA7_B274_16B63D099514_.wvu.PrintTitles" hidden="1">#REF!</definedName>
    <definedName name="Z_6664BF98_58A8_4AA7_B274_16B63D099514_.wvu.Rows" hidden="1">#REF!</definedName>
    <definedName name="Z_7BA556F5_54D8_11D5_A01A_F3F642D11487_.wvu.PrintTitles" hidden="1">#REF!</definedName>
    <definedName name="Z_82A713E0_6943_11D4_BE9F_0010A4B0D9C7_.wvu.Cols" hidden="1">#REF!</definedName>
    <definedName name="Z_82A713E0_6943_11D4_BE9F_0010A4B0D9C7_.wvu.Rows" hidden="1">#REF!,#REF!</definedName>
    <definedName name="Z_86D17A40_67AF_11D4_BE9F_0010A4C47286_.wvu.FilterData" hidden="1">#REF!</definedName>
    <definedName name="Z_86D17A4F_67AF_11D4_BE9F_0010A4C47286_.wvu.FilterData" hidden="1">#REF!</definedName>
    <definedName name="Z_954171C1_B0CF_11D4_9586_C4C4470EA652_.wvu.FilterData" hidden="1">#REF!</definedName>
    <definedName name="Z_954171C6_B0CF_11D4_9586_C4C4470EA652_.wvu.FilterData" hidden="1">#REF!</definedName>
    <definedName name="Z_B353C461_E47E_11D3_9F17_9F7735ADF445_.wvu.PrintArea" hidden="1">#REF!</definedName>
    <definedName name="Z_B6615E22_B0C4_11D4_9586_D4E81DC95A44_.wvu.FilterData" hidden="1">#REF!</definedName>
    <definedName name="Z_CFB7B7F4_1D0A_11D5_9586_DD7024B77949_.wvu.FilterData" hidden="1">#REF!</definedName>
    <definedName name="zx" hidden="1">{#N/A,#N/A,FALSE,"Group P&amp;L";#N/A,#N/A,FALSE,"Group Balance Sheet"}</definedName>
    <definedName name="zxc" hidden="1">{#N/A,#N/A,FALSE,"Group P&amp;L";#N/A,#N/A,FALSE,"Group Balance Sheet"}</definedName>
    <definedName name="zxcv" hidden="1">{#N/A,#N/A,FALSE,"Group P&amp;L";#N/A,#N/A,FALSE,"Group Balance Sheet"}</definedName>
    <definedName name="zxvb" hidden="1">{#N/A,#N/A,FALSE,"Group P&amp;L";#N/A,#N/A,FALSE,"Group Balance Sheet"}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14" l="1"/>
  <c r="I23" i="3" l="1"/>
  <c r="I24" i="3" s="1"/>
  <c r="L30" i="14" l="1"/>
  <c r="K30" i="14"/>
  <c r="J30" i="14"/>
  <c r="I30" i="14"/>
  <c r="H30" i="14"/>
  <c r="H22" i="14"/>
  <c r="H13" i="2" l="1"/>
  <c r="K7" i="13" s="1"/>
  <c r="D18" i="2"/>
  <c r="L7" i="13" s="1"/>
  <c r="G13" i="2" l="1"/>
  <c r="E18" i="2"/>
  <c r="J7" i="13" l="1"/>
  <c r="J19" i="13" s="1"/>
  <c r="F13" i="2"/>
  <c r="J6" i="3" s="1"/>
  <c r="M7" i="13"/>
  <c r="M19" i="13" s="1"/>
  <c r="F18" i="2"/>
  <c r="D18" i="4"/>
  <c r="G7" i="4"/>
  <c r="H7" i="4"/>
  <c r="K6" i="3"/>
  <c r="L6" i="3"/>
  <c r="L19" i="13"/>
  <c r="K19" i="13"/>
  <c r="E13" i="2" l="1"/>
  <c r="I7" i="13"/>
  <c r="I19" i="13" s="1"/>
  <c r="F7" i="4"/>
  <c r="G18" i="2"/>
  <c r="N7" i="13"/>
  <c r="N19" i="13" s="1"/>
  <c r="L16" i="3"/>
  <c r="L12" i="3"/>
  <c r="J16" i="3"/>
  <c r="J12" i="3"/>
  <c r="K16" i="3"/>
  <c r="K12" i="3"/>
  <c r="D13" i="2" l="1"/>
  <c r="H7" i="13"/>
  <c r="H19" i="13" s="1"/>
  <c r="I6" i="3"/>
  <c r="E7" i="4"/>
  <c r="H18" i="2"/>
  <c r="P7" i="13" s="1"/>
  <c r="P19" i="13" s="1"/>
  <c r="O7" i="13"/>
  <c r="O19" i="13" s="1"/>
  <c r="G7" i="13" l="1"/>
  <c r="H6" i="3"/>
  <c r="D7" i="4"/>
  <c r="I16" i="3"/>
  <c r="I12" i="3"/>
  <c r="H12" i="3" l="1"/>
  <c r="D31" i="4" s="1"/>
  <c r="H16" i="3"/>
  <c r="F7" i="13"/>
  <c r="F24" i="3" s="1"/>
  <c r="F31" i="3" s="1"/>
  <c r="G19" i="13"/>
  <c r="F8" i="3" l="1"/>
  <c r="F9" i="3"/>
  <c r="F10" i="3"/>
  <c r="F12" i="3"/>
  <c r="C15" i="13"/>
  <c r="C10" i="13"/>
  <c r="C47" i="4"/>
  <c r="B1" i="2"/>
  <c r="B1" i="10" s="1"/>
  <c r="C45" i="4"/>
  <c r="D43" i="4"/>
  <c r="J6" i="10" s="1"/>
  <c r="E43" i="4"/>
  <c r="K6" i="10" s="1"/>
  <c r="F43" i="4"/>
  <c r="L6" i="10" s="1"/>
  <c r="G43" i="4"/>
  <c r="M6" i="10" s="1"/>
  <c r="H43" i="4"/>
  <c r="N6" i="10" s="1"/>
  <c r="H24" i="4"/>
  <c r="G24" i="4"/>
  <c r="F24" i="4"/>
  <c r="E24" i="4"/>
  <c r="D24" i="4"/>
  <c r="H28" i="3"/>
  <c r="I28" i="3"/>
  <c r="J28" i="3"/>
  <c r="K28" i="3"/>
  <c r="L28" i="3"/>
  <c r="F8" i="10"/>
  <c r="E8" i="10"/>
  <c r="C18" i="9"/>
  <c r="B1" i="9" l="1"/>
  <c r="B1" i="5"/>
  <c r="B1" i="3"/>
  <c r="B1" i="13"/>
  <c r="B1" i="4"/>
  <c r="H15" i="14" l="1"/>
  <c r="I15" i="14" l="1"/>
  <c r="J15" i="14" l="1"/>
  <c r="L15" i="14" l="1"/>
  <c r="K15" i="14"/>
  <c r="H13" i="13" l="1"/>
  <c r="I13" i="13"/>
  <c r="J13" i="13"/>
  <c r="K13" i="13"/>
  <c r="G13" i="13" l="1"/>
  <c r="G10" i="13"/>
  <c r="H10" i="13" s="1"/>
  <c r="I10" i="13" s="1"/>
  <c r="J10" i="13" s="1"/>
  <c r="K10" i="13" s="1"/>
  <c r="L8" i="14"/>
  <c r="K8" i="14"/>
  <c r="J8" i="14"/>
  <c r="I8" i="14"/>
  <c r="H8" i="14" l="1"/>
  <c r="H9" i="14" s="1"/>
  <c r="G15" i="13"/>
  <c r="H15" i="13" l="1"/>
  <c r="I9" i="14"/>
  <c r="H16" i="14"/>
  <c r="J9" i="14" l="1"/>
  <c r="I16" i="14"/>
  <c r="I15" i="13"/>
  <c r="K9" i="14" l="1"/>
  <c r="J16" i="14"/>
  <c r="J15" i="13"/>
  <c r="K15" i="13" l="1"/>
  <c r="L9" i="14"/>
  <c r="L16" i="14" s="1"/>
  <c r="L25" i="14" s="1"/>
  <c r="K16" i="14"/>
  <c r="K23" i="3" l="1"/>
  <c r="J23" i="3"/>
  <c r="J24" i="3" s="1"/>
  <c r="K24" i="3"/>
  <c r="H6" i="14" l="1"/>
  <c r="H10" i="14" s="1"/>
  <c r="D8" i="4"/>
  <c r="G22" i="13"/>
  <c r="D9" i="4" s="1"/>
  <c r="D10" i="4"/>
  <c r="E8" i="4" l="1"/>
  <c r="I6" i="14"/>
  <c r="H22" i="13"/>
  <c r="E9" i="4" s="1"/>
  <c r="E11" i="4" s="1"/>
  <c r="E10" i="4"/>
  <c r="I10" i="14" l="1"/>
  <c r="I17" i="14"/>
  <c r="I22" i="14" s="1"/>
  <c r="F8" i="4"/>
  <c r="J6" i="14"/>
  <c r="I22" i="13"/>
  <c r="F9" i="4" s="1"/>
  <c r="F11" i="4" s="1"/>
  <c r="F10" i="4"/>
  <c r="E12" i="4"/>
  <c r="J10" i="14" l="1"/>
  <c r="J17" i="14"/>
  <c r="J18" i="14"/>
  <c r="F12" i="4"/>
  <c r="G8" i="4"/>
  <c r="K6" i="14"/>
  <c r="J22" i="13"/>
  <c r="G9" i="4" s="1"/>
  <c r="G11" i="4" s="1"/>
  <c r="G10" i="4"/>
  <c r="F14" i="4"/>
  <c r="G14" i="4" l="1"/>
  <c r="G12" i="4"/>
  <c r="J22" i="14"/>
  <c r="K10" i="14"/>
  <c r="K18" i="14"/>
  <c r="K17" i="14"/>
  <c r="K19" i="14"/>
  <c r="G15" i="4"/>
  <c r="K22" i="14" l="1"/>
  <c r="H8" i="4" l="1"/>
  <c r="L6" i="14"/>
  <c r="K22" i="13"/>
  <c r="H9" i="4" s="1"/>
  <c r="H10" i="4"/>
  <c r="G19" i="4" l="1"/>
  <c r="L20" i="14"/>
  <c r="L17" i="14"/>
  <c r="L19" i="14"/>
  <c r="L10" i="14"/>
  <c r="K24" i="14" s="1"/>
  <c r="L18" i="14"/>
  <c r="H16" i="4"/>
  <c r="H14" i="4"/>
  <c r="H15" i="4"/>
  <c r="L22" i="14" l="1"/>
  <c r="L26" i="14" s="1"/>
  <c r="F19" i="4"/>
  <c r="G20" i="4"/>
  <c r="K25" i="14"/>
  <c r="J24" i="14"/>
  <c r="K26" i="14"/>
  <c r="I24" i="14" l="1"/>
  <c r="J25" i="14"/>
  <c r="J26" i="14"/>
  <c r="E19" i="4"/>
  <c r="F20" i="4"/>
  <c r="H24" i="14" l="1"/>
  <c r="I26" i="14"/>
  <c r="I25" i="14"/>
  <c r="E20" i="4"/>
  <c r="D19" i="4"/>
  <c r="D21" i="4" l="1"/>
  <c r="H26" i="14"/>
  <c r="H25" i="14"/>
  <c r="L27" i="14" l="1"/>
  <c r="M9" i="13" l="1"/>
  <c r="L10" i="13"/>
  <c r="M10" i="13" l="1"/>
  <c r="L15" i="13"/>
  <c r="N9" i="13"/>
  <c r="O9" i="13" l="1"/>
  <c r="M15" i="13"/>
  <c r="N15" i="13" s="1"/>
  <c r="N10" i="13"/>
  <c r="O10" i="13" l="1"/>
  <c r="O15" i="13"/>
  <c r="P9" i="13"/>
  <c r="P15" i="13" l="1"/>
  <c r="P10" i="13"/>
  <c r="Q7" i="14" l="1"/>
  <c r="P22" i="13"/>
  <c r="H25" i="4" s="1"/>
  <c r="O7" i="14"/>
  <c r="N22" i="13"/>
  <c r="F25" i="4" s="1"/>
  <c r="N7" i="14"/>
  <c r="M22" i="13"/>
  <c r="E25" i="4" s="1"/>
  <c r="D44" i="4"/>
  <c r="E44" i="4" s="1"/>
  <c r="F44" i="4" s="1"/>
  <c r="G44" i="4" s="1"/>
  <c r="H44" i="4" s="1"/>
  <c r="H31" i="14"/>
  <c r="L22" i="13"/>
  <c r="D25" i="4" s="1"/>
  <c r="D27" i="4" s="1"/>
  <c r="P7" i="14"/>
  <c r="O22" i="13"/>
  <c r="G25" i="4" s="1"/>
  <c r="E27" i="4" l="1"/>
  <c r="I31" i="14"/>
  <c r="J31" i="14" s="1"/>
  <c r="K31" i="14" s="1"/>
  <c r="L31" i="14" s="1"/>
  <c r="F27" i="4"/>
  <c r="G27" i="4"/>
  <c r="H27" i="4"/>
  <c r="H33" i="14" l="1"/>
  <c r="H34" i="14" l="1"/>
  <c r="I33" i="14"/>
  <c r="I34" i="14" l="1"/>
  <c r="J33" i="14"/>
  <c r="J34" i="14" l="1"/>
  <c r="K33" i="14"/>
  <c r="K34" i="14" l="1"/>
  <c r="L33" i="14"/>
  <c r="L34" i="14" l="1"/>
  <c r="M34" i="14" s="1"/>
  <c r="M33" i="14"/>
  <c r="H31" i="3" l="1"/>
  <c r="D26" i="4" s="1"/>
  <c r="D28" i="4" s="1"/>
  <c r="J31" i="3" l="1"/>
  <c r="F26" i="4" s="1"/>
  <c r="F28" i="4" s="1"/>
  <c r="I31" i="3"/>
  <c r="E26" i="4" s="1"/>
  <c r="E28" i="4" s="1"/>
  <c r="L31" i="3" l="1"/>
  <c r="H26" i="4" s="1"/>
  <c r="H28" i="4" s="1"/>
  <c r="K31" i="3" l="1"/>
  <c r="G26" i="4" s="1"/>
  <c r="G28" i="4" s="1"/>
  <c r="H23" i="3" l="1"/>
  <c r="H24" i="3" l="1"/>
  <c r="D11" i="4"/>
  <c r="D12" i="4" s="1"/>
  <c r="E13" i="4" l="1"/>
  <c r="E18" i="4" s="1"/>
  <c r="E21" i="4" s="1"/>
  <c r="F13" i="4"/>
  <c r="F18" i="4" s="1"/>
  <c r="F21" i="4" s="1"/>
  <c r="G13" i="4"/>
  <c r="G18" i="4" s="1"/>
  <c r="G21" i="4" s="1"/>
  <c r="H13" i="4"/>
  <c r="H18" i="4" s="1"/>
  <c r="H21" i="4" s="1"/>
  <c r="D20" i="4"/>
  <c r="D38" i="4" l="1"/>
  <c r="L23" i="3" l="1"/>
  <c r="L24" i="3" l="1"/>
  <c r="D32" i="4" s="1"/>
  <c r="D33" i="4" s="1"/>
  <c r="H11" i="4"/>
  <c r="H12" i="4" s="1"/>
  <c r="H20" i="4" s="1"/>
  <c r="D35" i="4" s="1"/>
  <c r="D37" i="4" l="1"/>
  <c r="D39" i="4" s="1"/>
  <c r="D45" i="4" s="1"/>
  <c r="D36" i="4" l="1"/>
  <c r="E45" i="4"/>
  <c r="J8" i="10"/>
  <c r="F45" i="4" l="1"/>
  <c r="K8" i="10"/>
  <c r="G45" i="4" l="1"/>
  <c r="L8" i="10"/>
  <c r="M8" i="10" l="1"/>
  <c r="H45" i="4"/>
  <c r="N8" i="10" s="1"/>
  <c r="O8" i="10" l="1"/>
  <c r="D4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6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$nominal, end of year terms</t>
        </r>
      </text>
    </comment>
    <comment ref="C26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$nominal, middle of year terms</t>
        </r>
      </text>
    </comment>
    <comment ref="C30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$nominal, end of regulatory period 1 terms</t>
        </r>
      </text>
    </comment>
  </commentList>
</comments>
</file>

<file path=xl/sharedStrings.xml><?xml version="1.0" encoding="utf-8"?>
<sst xmlns="http://schemas.openxmlformats.org/spreadsheetml/2006/main" count="353" uniqueCount="171">
  <si>
    <t>NSP Name</t>
  </si>
  <si>
    <t>CESS to apply to this year's expenditure (Yes/No)</t>
  </si>
  <si>
    <t>Actual or estimate year</t>
  </si>
  <si>
    <t>Basis</t>
  </si>
  <si>
    <t>Total capex allowance applicable to CESS</t>
  </si>
  <si>
    <t>Source</t>
  </si>
  <si>
    <t>Actual</t>
  </si>
  <si>
    <t>Yes</t>
  </si>
  <si>
    <t>2014-15</t>
  </si>
  <si>
    <t>Year</t>
  </si>
  <si>
    <t>Real Vanilla WACC</t>
  </si>
  <si>
    <t>2018-19</t>
  </si>
  <si>
    <t>Regulatory period 1</t>
  </si>
  <si>
    <t>Regulatory period 2</t>
  </si>
  <si>
    <t>Capex allowance</t>
  </si>
  <si>
    <t>Increase in forecast capex in regulatory period 2 attributable to capex deferred in regulatory period 1</t>
  </si>
  <si>
    <t>Actual capex</t>
  </si>
  <si>
    <t>Discount factor (middle of year 5)</t>
  </si>
  <si>
    <t>Underspend</t>
  </si>
  <si>
    <t>NPV of increase in forecast capex from deferred capex</t>
  </si>
  <si>
    <t>Total financing benefit</t>
  </si>
  <si>
    <t>NPV underspend</t>
  </si>
  <si>
    <t>NPV financing benefit</t>
  </si>
  <si>
    <t>CESS calculation (post-adjustment)</t>
  </si>
  <si>
    <t>Total underspend (NPV) adjusted for deferrals</t>
  </si>
  <si>
    <t>Relevant sharing ratio</t>
  </si>
  <si>
    <t>Consumer share</t>
  </si>
  <si>
    <t>NSP share</t>
  </si>
  <si>
    <t>Total NSP financing benefit (NPV)</t>
  </si>
  <si>
    <t>NPV of CESS payments (post-adjustment)</t>
  </si>
  <si>
    <t>Estimate</t>
  </si>
  <si>
    <t>2013-14</t>
  </si>
  <si>
    <t>Index</t>
  </si>
  <si>
    <t>Model index</t>
  </si>
  <si>
    <t>Sheet Name</t>
  </si>
  <si>
    <t>Sheet Description</t>
  </si>
  <si>
    <t>End</t>
  </si>
  <si>
    <t>Input | General</t>
  </si>
  <si>
    <t>Internal Link</t>
  </si>
  <si>
    <t>Input | Capex</t>
  </si>
  <si>
    <t>Inputs the reported capital expenditure from the prior regulatory control period as well as the AER's forecast etc.</t>
  </si>
  <si>
    <t>Calculates the CESS payments from the prior regulatory control period</t>
  </si>
  <si>
    <t>Input | Capex Allowance</t>
  </si>
  <si>
    <t>Input | Actual / Estimate Capex</t>
  </si>
  <si>
    <t>Input | Capex Deferred to following regulatory period</t>
  </si>
  <si>
    <t>Input | Inflation</t>
  </si>
  <si>
    <t>Calc | NPV of CESS payments</t>
  </si>
  <si>
    <t>Calc | Total CESS Payments</t>
  </si>
  <si>
    <t>Inputs NSP name, regulatory years for the prior and forecast regulatory control period etc.</t>
  </si>
  <si>
    <t>Key:</t>
  </si>
  <si>
    <t>Input</t>
  </si>
  <si>
    <t>Unit Denominations</t>
  </si>
  <si>
    <t>Ref</t>
  </si>
  <si>
    <t>Dollars</t>
  </si>
  <si>
    <t>AER</t>
  </si>
  <si>
    <t>$dollars</t>
  </si>
  <si>
    <t>Thousands</t>
  </si>
  <si>
    <t>$000</t>
  </si>
  <si>
    <t>Millions</t>
  </si>
  <si>
    <t>$millions</t>
  </si>
  <si>
    <t>Per cent</t>
  </si>
  <si>
    <t>Unit</t>
  </si>
  <si>
    <t>Years</t>
  </si>
  <si>
    <t>nominal</t>
  </si>
  <si>
    <t>2007-08</t>
  </si>
  <si>
    <t>2008-09</t>
  </si>
  <si>
    <t>2009-10</t>
  </si>
  <si>
    <t>2010-11</t>
  </si>
  <si>
    <t>2011-12</t>
  </si>
  <si>
    <t>2012-13</t>
  </si>
  <si>
    <t>2015-16</t>
  </si>
  <si>
    <t>2016-17</t>
  </si>
  <si>
    <t>2017-18</t>
  </si>
  <si>
    <t>2019-20</t>
  </si>
  <si>
    <t>2020-21</t>
  </si>
  <si>
    <t>2021-22</t>
  </si>
  <si>
    <t>2022-23</t>
  </si>
  <si>
    <t>2023-24</t>
  </si>
  <si>
    <t>Outputs the CESS revenue increments needed as a post tax revenue model input</t>
  </si>
  <si>
    <t>Input | Reported Capex</t>
  </si>
  <si>
    <t>Inputs for Post Tax Revenue Model</t>
  </si>
  <si>
    <t>Note. The dollar base should be consistent with the post tax revenue model</t>
  </si>
  <si>
    <t>Calc | CESS Revenue Increments</t>
  </si>
  <si>
    <t>Includes the lookup tables used within the CESS model.</t>
  </si>
  <si>
    <t>Revenue Adjustments</t>
  </si>
  <si>
    <t>Calculated</t>
  </si>
  <si>
    <t>n/a</t>
  </si>
  <si>
    <t>not applicable</t>
  </si>
  <si>
    <t>Regulatory control period CESS applied in (regulatory years)</t>
  </si>
  <si>
    <t>Regulatory control period CESS revenue increment applied in (regulatory years)</t>
  </si>
  <si>
    <t>Year 1</t>
  </si>
  <si>
    <t>Year 2</t>
  </si>
  <si>
    <t>Year 3</t>
  </si>
  <si>
    <t>Year 4</t>
  </si>
  <si>
    <t>Year 5</t>
  </si>
  <si>
    <t>Input | Discount rate</t>
  </si>
  <si>
    <t>Nominal Vanilla WACC (fixed, real, time varying)</t>
  </si>
  <si>
    <t>Discount rate:</t>
  </si>
  <si>
    <t>Year 1 benefit</t>
  </si>
  <si>
    <t>Year 2 benefit</t>
  </si>
  <si>
    <t>Year 3 benefit</t>
  </si>
  <si>
    <t>Year 4 benefit</t>
  </si>
  <si>
    <t>Year 5 benefit</t>
  </si>
  <si>
    <t>Total actual capex applicable to CESS</t>
  </si>
  <si>
    <t>Inputs the inflation and discount rate</t>
  </si>
  <si>
    <t>Input | Inflation and Disc Rate</t>
  </si>
  <si>
    <t>Output | Models</t>
  </si>
  <si>
    <t>Lookup | Tables</t>
  </si>
  <si>
    <t>Actual CPI Inflation Rate</t>
  </si>
  <si>
    <t>Forecast CPI Inflation Rate</t>
  </si>
  <si>
    <t>Input | CESS Payments</t>
  </si>
  <si>
    <t>Capex deferred and re-proposed</t>
  </si>
  <si>
    <t>Total</t>
  </si>
  <si>
    <t>Denominations</t>
  </si>
  <si>
    <t>Regulatory control period details</t>
  </si>
  <si>
    <t>Determination stage</t>
  </si>
  <si>
    <t>Determination years</t>
  </si>
  <si>
    <t>Input | Inflation and Discount rate</t>
  </si>
  <si>
    <t>Asset Disposals</t>
  </si>
  <si>
    <t>Discount factor (end of year)</t>
  </si>
  <si>
    <t>Discount rate (Real WACC)</t>
  </si>
  <si>
    <t>Discount rate (Nominal, fixed real WACC)</t>
  </si>
  <si>
    <t>Forecast Real Vanilla WACC</t>
  </si>
  <si>
    <t>Other excludable capex</t>
  </si>
  <si>
    <t>2024-25</t>
  </si>
  <si>
    <t>Customer Contributions</t>
  </si>
  <si>
    <t>First year of regulatory period</t>
  </si>
  <si>
    <t>Total capex allowance (includes customer contributions)</t>
  </si>
  <si>
    <t>Total capex (includes customer contributions)</t>
  </si>
  <si>
    <t>CESS increments as per NER 6.4.3(a)(5)</t>
  </si>
  <si>
    <t>DNSP</t>
  </si>
  <si>
    <t>DNSP/AER</t>
  </si>
  <si>
    <t>2025-26</t>
  </si>
  <si>
    <t>Discount factor</t>
  </si>
  <si>
    <t>Forecast capex</t>
  </si>
  <si>
    <t>Underspend or Overspend, %</t>
  </si>
  <si>
    <t>Internal Link or calculation</t>
  </si>
  <si>
    <t>Regulatory proposal</t>
  </si>
  <si>
    <t>Draft decision</t>
  </si>
  <si>
    <t>Revised proposal</t>
  </si>
  <si>
    <t>Final decision</t>
  </si>
  <si>
    <t>2026-31</t>
  </si>
  <si>
    <t>2026-27</t>
  </si>
  <si>
    <t>All terms and definitions are as per the AER's Capital expenditure sharing scheme.</t>
  </si>
  <si>
    <t>CESS - Previous Period True-up</t>
  </si>
  <si>
    <t>Modelling team update/reviewed</t>
  </si>
  <si>
    <t>Calc | NPV of CESS adjustments</t>
  </si>
  <si>
    <t>2027–28</t>
  </si>
  <si>
    <t>2028–29</t>
  </si>
  <si>
    <t>2029–30</t>
  </si>
  <si>
    <t>2030–31</t>
  </si>
  <si>
    <t>Real vanilla WACC</t>
  </si>
  <si>
    <t>AER FD PTRM 2021-26, 2023-24 RoD Update</t>
  </si>
  <si>
    <t>Forecast real vanilla WACC</t>
  </si>
  <si>
    <t xml:space="preserve">Actual CPI </t>
  </si>
  <si>
    <t>Actual/estimated inflation from 2027–31 RFM</t>
  </si>
  <si>
    <t xml:space="preserve">Cumulative Actual CPI </t>
  </si>
  <si>
    <t>Nominal vanilla WACC (fixed real time varying)</t>
  </si>
  <si>
    <t>CESS increments as per NER 6A.5.4(a)(5)</t>
  </si>
  <si>
    <t>AER Final Decision (CY20 Forecast Capex)</t>
  </si>
  <si>
    <t>2020–21</t>
  </si>
  <si>
    <t>Adjusted for CY20 Actual Capex</t>
  </si>
  <si>
    <t>Difference in CESS increment amounts</t>
  </si>
  <si>
    <t>NPV Difference in CESS increment amounts</t>
  </si>
  <si>
    <t>NPV of CESS payment adjustments</t>
  </si>
  <si>
    <t>Calc | Total CY20 CESS Payment Adjustments</t>
  </si>
  <si>
    <t>CESS Payment Per Year ($2025–26 million)</t>
  </si>
  <si>
    <t>2025–26</t>
  </si>
  <si>
    <t>CESS Payment Per Year ($nominal million)</t>
  </si>
  <si>
    <t>CitiPower</t>
  </si>
  <si>
    <t>AER Final Decision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</si>
</sst>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1"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&quot;$&quot;#,##0.00"/>
    <numFmt numFmtId="169" formatCode="_-* #,##0_-;\-* #,##0_-;_-* &quot;-&quot;??_-;_-@_-"/>
    <numFmt numFmtId="170" formatCode="dd\-mmm"/>
    <numFmt numFmtId="171" formatCode="_-* #,##0.00_-;[Red]\(#,##0.00\)_-;_-* &quot;-&quot;??_-;_-@_-"/>
    <numFmt numFmtId="172" formatCode="_(#,##0_);\(#,##0\);_(&quot;-&quot;_)"/>
    <numFmt numFmtId="173" formatCode="&quot;Warning&quot;;&quot;Warning&quot;;&quot;OK&quot;"/>
    <numFmt numFmtId="174" formatCode="mm/dd/yy"/>
    <numFmt numFmtId="175" formatCode="_([$€-2]* #,##0.00_);_([$€-2]* \(#,##0.00\);_([$€-2]* &quot;-&quot;??_)"/>
    <numFmt numFmtId="176" formatCode="0_);[Red]\(0\)"/>
    <numFmt numFmtId="177" formatCode="0.0%"/>
    <numFmt numFmtId="178" formatCode="dd/mmm"/>
    <numFmt numFmtId="179" formatCode="_(* #,##0_);_(* \(#,##0\);_(* &quot;-&quot;?_);_(@_)"/>
    <numFmt numFmtId="180" formatCode="#,##0.0_);\(#,##0.0\)"/>
    <numFmt numFmtId="181" formatCode="#,##0_ ;\-#,##0\ "/>
    <numFmt numFmtId="182" formatCode="#,##0;[Red]\(#,##0.0\)"/>
    <numFmt numFmtId="183" formatCode="#,##0_ ;[Red]\(#,##0\)\ "/>
    <numFmt numFmtId="184" formatCode="#,##0.00;\(#,##0.00\)"/>
    <numFmt numFmtId="185" formatCode="_)d\-mmm\-yy_)"/>
    <numFmt numFmtId="186" formatCode="_(#,##0.0_);\(#,##0.0\);_(&quot;-&quot;_)"/>
    <numFmt numFmtId="187" formatCode="_(###0_);\(###0\);_(###0_)"/>
    <numFmt numFmtId="188" formatCode="#,##0.0000_);[Red]\(#,##0.0000\)"/>
    <numFmt numFmtId="189" formatCode="_(#\ ##0.00_);\(#\ ##0.00\);_(&quot;-&quot;_)"/>
    <numFmt numFmtId="190" formatCode="0.000"/>
    <numFmt numFmtId="191" formatCode="_(* #,##0.0_);_(* \(#,##0.0\);_(* &quot;-&quot;?_);_(@_)"/>
    <numFmt numFmtId="192" formatCode="_-* #,##0.00000_-;\-* #,##0.00000_-;_-* &quot;-&quot;??_-;_-@_-"/>
    <numFmt numFmtId="193" formatCode="_-* #,##0.000_-;\-* #,##0.000_-;_-* &quot;-&quot;??_-;_-@_-"/>
  </numFmts>
  <fonts count="113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4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i/>
      <u/>
      <sz val="8"/>
      <color theme="10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10"/>
      <color theme="1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i/>
      <sz val="8"/>
      <color indexed="8"/>
      <name val="Arial"/>
      <family val="2"/>
    </font>
    <font>
      <b/>
      <sz val="8"/>
      <name val="Arial"/>
      <family val="2"/>
    </font>
    <font>
      <b/>
      <i/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9"/>
      <name val="AGaramond"/>
    </font>
    <font>
      <sz val="10"/>
      <name val="Times New Roman"/>
      <family val="1"/>
    </font>
    <font>
      <sz val="11"/>
      <color indexed="20"/>
      <name val="Calibri"/>
      <family val="2"/>
    </font>
    <font>
      <sz val="10"/>
      <name val="Helvetica"/>
      <family val="2"/>
    </font>
    <font>
      <sz val="10"/>
      <color indexed="12"/>
      <name val="Helvetica"/>
      <family val="2"/>
    </font>
    <font>
      <b/>
      <sz val="13"/>
      <color indexed="9"/>
      <name val="Arial"/>
      <family val="2"/>
    </font>
    <font>
      <b/>
      <sz val="11"/>
      <color indexed="52"/>
      <name val="Calibri"/>
      <family val="2"/>
    </font>
    <font>
      <sz val="10"/>
      <color indexed="55"/>
      <name val="Arial"/>
      <family val="2"/>
    </font>
    <font>
      <b/>
      <sz val="11"/>
      <color indexed="9"/>
      <name val="Calibri"/>
      <family val="2"/>
    </font>
    <font>
      <b/>
      <sz val="10"/>
      <color theme="1"/>
      <name val="Arial"/>
      <family val="2"/>
    </font>
    <font>
      <sz val="10"/>
      <name val="MS Sans Serif"/>
      <family val="2"/>
    </font>
    <font>
      <sz val="10"/>
      <name val="Verdana"/>
      <family val="2"/>
    </font>
    <font>
      <sz val="10"/>
      <color indexed="24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9"/>
      <name val="GillSans"/>
      <family val="2"/>
    </font>
    <font>
      <sz val="9"/>
      <name val="GillSans Light"/>
      <family val="2"/>
    </font>
    <font>
      <sz val="11"/>
      <color indexed="17"/>
      <name val="Calibri"/>
      <family val="2"/>
    </font>
    <font>
      <b/>
      <sz val="13"/>
      <color theme="4" tint="-0.24994659260841701"/>
      <name val="Arial"/>
      <family val="2"/>
    </font>
    <font>
      <b/>
      <sz val="12"/>
      <color indexed="8"/>
      <name val="Arial"/>
      <family val="2"/>
    </font>
    <font>
      <u/>
      <sz val="11"/>
      <name val="Arial"/>
      <family val="2"/>
    </font>
    <font>
      <i/>
      <sz val="11"/>
      <name val="Arial"/>
      <family val="2"/>
    </font>
    <font>
      <i/>
      <sz val="10"/>
      <color theme="1" tint="0.24994659260841701"/>
      <name val="Arial"/>
      <family val="2"/>
    </font>
    <font>
      <b/>
      <sz val="15"/>
      <color indexed="62"/>
      <name val="Calibri"/>
      <family val="2"/>
    </font>
    <font>
      <b/>
      <sz val="9"/>
      <name val="Arial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8.5"/>
      <name val="Univers 65"/>
      <family val="2"/>
    </font>
    <font>
      <u/>
      <sz val="11"/>
      <color indexed="12"/>
      <name val="Calibri"/>
      <family val="2"/>
    </font>
    <font>
      <b/>
      <sz val="10"/>
      <color indexed="56"/>
      <name val="Wingdings"/>
      <charset val="2"/>
    </font>
    <font>
      <b/>
      <u/>
      <sz val="8"/>
      <color indexed="56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2"/>
      <color indexed="14"/>
      <name val="Arial"/>
      <family val="2"/>
    </font>
    <font>
      <b/>
      <sz val="12"/>
      <name val="Arial"/>
      <family val="2"/>
    </font>
    <font>
      <sz val="11"/>
      <color indexed="60"/>
      <name val="Calibri"/>
      <family val="2"/>
    </font>
    <font>
      <sz val="8"/>
      <name val="Palatino"/>
      <family val="1"/>
    </font>
    <font>
      <sz val="10"/>
      <color indexed="16"/>
      <name val="Arial"/>
      <family val="2"/>
    </font>
    <font>
      <b/>
      <sz val="11"/>
      <color indexed="63"/>
      <name val="Calibri"/>
      <family val="2"/>
    </font>
    <font>
      <sz val="11"/>
      <color indexed="8"/>
      <name val="Arial"/>
      <family val="2"/>
    </font>
    <font>
      <sz val="8.5"/>
      <name val="Univers 55"/>
      <family val="2"/>
    </font>
    <font>
      <sz val="10"/>
      <color indexed="18"/>
      <name val="Times New Roman"/>
      <family val="1"/>
    </font>
    <font>
      <b/>
      <sz val="10"/>
      <name val="MS Sans Serif"/>
      <family val="2"/>
    </font>
    <font>
      <b/>
      <sz val="18"/>
      <color indexed="62"/>
      <name val="Cambria"/>
      <family val="2"/>
    </font>
    <font>
      <b/>
      <sz val="16"/>
      <color indexed="9"/>
      <name val="Arial"/>
      <family val="2"/>
    </font>
    <font>
      <b/>
      <sz val="12"/>
      <color indexed="9"/>
      <name val="Arial"/>
      <family val="2"/>
    </font>
    <font>
      <sz val="11"/>
      <color indexed="9"/>
      <name val="Arial"/>
      <family val="2"/>
    </font>
    <font>
      <b/>
      <sz val="14"/>
      <name val="Arial"/>
      <family val="2"/>
    </font>
    <font>
      <sz val="9"/>
      <color indexed="21"/>
      <name val="Helvetica-Black"/>
    </font>
    <font>
      <b/>
      <sz val="9"/>
      <name val="Palatino"/>
      <family val="1"/>
    </font>
    <font>
      <sz val="7"/>
      <name val="Palatino"/>
      <family val="1"/>
    </font>
    <font>
      <b/>
      <sz val="11"/>
      <color indexed="9"/>
      <name val="Arial"/>
      <family val="2"/>
    </font>
    <font>
      <sz val="10"/>
      <color theme="1"/>
      <name val="Arial"/>
      <family val="2"/>
    </font>
    <font>
      <sz val="12"/>
      <name val="Palatino"/>
      <family val="1"/>
    </font>
    <font>
      <sz val="11"/>
      <name val="Helvetica-Black"/>
    </font>
    <font>
      <sz val="12"/>
      <color indexed="12"/>
      <name val="Arial MT"/>
    </font>
    <font>
      <b/>
      <u/>
      <sz val="9.5"/>
      <color indexed="56"/>
      <name val="Arial"/>
      <family val="2"/>
    </font>
    <font>
      <u/>
      <sz val="8"/>
      <color indexed="56"/>
      <name val="Arial"/>
      <family val="2"/>
    </font>
    <font>
      <sz val="10"/>
      <color theme="5" tint="-0.499984740745262"/>
      <name val="Arial"/>
      <family val="2"/>
    </font>
    <font>
      <sz val="11"/>
      <color indexed="10"/>
      <name val="Calibri"/>
      <family val="2"/>
    </font>
    <font>
      <u/>
      <sz val="8"/>
      <color theme="10"/>
      <name val="Arial"/>
      <family val="2"/>
    </font>
    <font>
      <b/>
      <i/>
      <sz val="8"/>
      <color theme="1"/>
      <name val="Arial"/>
      <family val="2"/>
    </font>
    <font>
      <b/>
      <i/>
      <sz val="8"/>
      <name val="Arial"/>
      <family val="2"/>
    </font>
    <font>
      <b/>
      <i/>
      <sz val="11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i/>
      <sz val="12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b/>
      <sz val="8"/>
      <color theme="1"/>
      <name val="Calibri"/>
      <family val="2"/>
      <scheme val="minor"/>
    </font>
    <font>
      <u/>
      <sz val="7"/>
      <color theme="10"/>
      <name val="Arial"/>
      <family val="2"/>
    </font>
    <font>
      <sz val="7"/>
      <color theme="1"/>
      <name val="Arial"/>
      <family val="2"/>
    </font>
    <font>
      <sz val="7"/>
      <color indexed="8"/>
      <name val="Arial"/>
      <family val="2"/>
    </font>
    <font>
      <strike/>
      <sz val="8"/>
      <color rgb="FFFF000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theme="1"/>
      <name val="Calibri"/>
      <family val="2"/>
    </font>
  </fonts>
  <fills count="61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8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49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55"/>
      </patternFill>
    </fill>
    <fill>
      <patternFill patternType="solid">
        <fgColor theme="6" tint="0.3999450666829432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lightUp">
        <fgColor indexed="23"/>
        <bgColor auto="1"/>
      </patternFill>
    </fill>
    <fill>
      <patternFill patternType="solid">
        <fgColor indexed="42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mediumGray">
        <fgColor indexed="22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gray0625">
        <fgColor indexed="2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indexed="44"/>
        <bgColor indexed="64"/>
      </patternFill>
    </fill>
    <fill>
      <patternFill patternType="gray0625">
        <bgColor indexed="44"/>
      </patternFill>
    </fill>
    <fill>
      <patternFill patternType="solid">
        <fgColor indexed="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</fills>
  <borders count="4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medium">
        <color indexed="38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9"/>
      </bottom>
      <diagonal/>
    </border>
    <border>
      <left/>
      <right/>
      <top style="medium">
        <color indexed="9"/>
      </top>
      <bottom/>
      <diagonal/>
    </border>
    <border>
      <left style="dashed">
        <color rgb="FFFF0000"/>
      </left>
      <right style="dashed">
        <color rgb="FFFF0000"/>
      </right>
      <top style="dashed">
        <color rgb="FFFF0000"/>
      </top>
      <bottom style="dashed">
        <color rgb="FFFF0000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ashed">
        <color rgb="FF000000"/>
      </left>
      <right style="dashed">
        <color rgb="FF000000"/>
      </right>
      <top style="dashed">
        <color rgb="FF000000"/>
      </top>
      <bottom style="dashed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341">
    <xf numFmtId="0" fontId="0" fillId="0" borderId="0"/>
    <xf numFmtId="0" fontId="1" fillId="2" borderId="1" applyNumberFormat="0" applyAlignment="0" applyProtection="0"/>
    <xf numFmtId="0" fontId="2" fillId="0" borderId="0" applyNumberFormat="0" applyFill="0" applyBorder="0" applyAlignment="0" applyProtection="0"/>
    <xf numFmtId="0" fontId="1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1" fontId="24" fillId="0" borderId="0"/>
    <xf numFmtId="171" fontId="24" fillId="0" borderId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5" fillId="17" borderId="0" applyNumberFormat="0" applyBorder="0" applyAlignment="0" applyProtection="0"/>
    <xf numFmtId="0" fontId="25" fillId="21" borderId="0" applyNumberFormat="0" applyBorder="0" applyAlignment="0" applyProtection="0"/>
    <xf numFmtId="0" fontId="26" fillId="18" borderId="0" applyNumberFormat="0" applyBorder="0" applyAlignment="0" applyProtection="0"/>
    <xf numFmtId="0" fontId="26" fillId="22" borderId="0" applyNumberFormat="0" applyBorder="0" applyAlignment="0" applyProtection="0"/>
    <xf numFmtId="0" fontId="25" fillId="14" borderId="0" applyNumberFormat="0" applyBorder="0" applyAlignment="0" applyProtection="0"/>
    <xf numFmtId="0" fontId="25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27" fillId="0" borderId="0"/>
    <xf numFmtId="172" fontId="24" fillId="0" borderId="9">
      <alignment horizontal="right" vertical="center"/>
      <protection locked="0"/>
    </xf>
    <xf numFmtId="164" fontId="28" fillId="0" borderId="0" applyFont="0" applyFill="0" applyBorder="0" applyAlignment="0" applyProtection="0"/>
    <xf numFmtId="0" fontId="29" fillId="27" borderId="0" applyNumberFormat="0" applyBorder="0" applyAlignment="0" applyProtection="0"/>
    <xf numFmtId="0" fontId="30" fillId="0" borderId="0" applyNumberFormat="0" applyFill="0" applyBorder="0" applyAlignment="0"/>
    <xf numFmtId="165" fontId="23" fillId="28" borderId="0" applyNumberFormat="0" applyFont="0" applyBorder="0" applyAlignment="0">
      <alignment horizontal="right"/>
    </xf>
    <xf numFmtId="165" fontId="23" fillId="28" borderId="0" applyNumberFormat="0" applyFont="0" applyBorder="0" applyAlignment="0">
      <alignment horizontal="right"/>
    </xf>
    <xf numFmtId="0" fontId="31" fillId="0" borderId="0" applyNumberFormat="0" applyFill="0" applyBorder="0" applyAlignment="0">
      <protection locked="0"/>
    </xf>
    <xf numFmtId="0" fontId="32" fillId="29" borderId="0"/>
    <xf numFmtId="0" fontId="33" fillId="11" borderId="10" applyNumberFormat="0" applyAlignment="0" applyProtection="0"/>
    <xf numFmtId="173" fontId="34" fillId="0" borderId="11">
      <alignment horizontal="center"/>
    </xf>
    <xf numFmtId="0" fontId="35" fillId="30" borderId="12" applyNumberFormat="0" applyAlignment="0" applyProtection="0"/>
    <xf numFmtId="0" fontId="36" fillId="31" borderId="6">
      <alignment horizontal="center" vertical="center"/>
    </xf>
    <xf numFmtId="165" fontId="23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3" fontId="39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40" fillId="34" borderId="0" applyNumberFormat="0" applyBorder="0" applyAlignment="0" applyProtection="0"/>
    <xf numFmtId="0" fontId="23" fillId="35" borderId="10"/>
    <xf numFmtId="175" fontId="2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42" fillId="0" borderId="0"/>
    <xf numFmtId="0" fontId="43" fillId="0" borderId="0"/>
    <xf numFmtId="0" fontId="44" fillId="36" borderId="0" applyNumberFormat="0" applyBorder="0" applyAlignment="0" applyProtection="0"/>
    <xf numFmtId="0" fontId="45" fillId="0" borderId="0" applyFill="0" applyBorder="0"/>
    <xf numFmtId="0" fontId="46" fillId="0" borderId="0" applyNumberFormat="0" applyFill="0"/>
    <xf numFmtId="0" fontId="47" fillId="0" borderId="0" applyFill="0"/>
    <xf numFmtId="0" fontId="48" fillId="0" borderId="0" applyFill="0"/>
    <xf numFmtId="0" fontId="49" fillId="0" borderId="0" applyFill="0"/>
    <xf numFmtId="0" fontId="18" fillId="0" borderId="0" applyFill="0" applyBorder="0">
      <alignment vertical="center"/>
    </xf>
    <xf numFmtId="0" fontId="50" fillId="0" borderId="13" applyNumberFormat="0" applyFill="0" applyAlignment="0" applyProtection="0"/>
    <xf numFmtId="0" fontId="18" fillId="0" borderId="0" applyFill="0" applyBorder="0">
      <alignment vertical="center"/>
    </xf>
    <xf numFmtId="0" fontId="51" fillId="0" borderId="0" applyFill="0" applyBorder="0">
      <alignment vertical="center"/>
    </xf>
    <xf numFmtId="0" fontId="52" fillId="0" borderId="14" applyNumberFormat="0" applyFill="0" applyAlignment="0" applyProtection="0"/>
    <xf numFmtId="0" fontId="51" fillId="0" borderId="0" applyFill="0" applyBorder="0">
      <alignment vertical="center"/>
    </xf>
    <xf numFmtId="0" fontId="20" fillId="0" borderId="0" applyFill="0" applyBorder="0">
      <alignment vertical="center"/>
    </xf>
    <xf numFmtId="0" fontId="53" fillId="0" borderId="15" applyNumberFormat="0" applyFill="0" applyAlignment="0" applyProtection="0"/>
    <xf numFmtId="0" fontId="20" fillId="0" borderId="0" applyFill="0" applyBorder="0">
      <alignment vertical="center"/>
    </xf>
    <xf numFmtId="0" fontId="24" fillId="0" borderId="0" applyFill="0" applyBorder="0">
      <alignment vertical="center"/>
    </xf>
    <xf numFmtId="0" fontId="53" fillId="0" borderId="0" applyNumberFormat="0" applyFill="0" applyBorder="0" applyAlignment="0" applyProtection="0"/>
    <xf numFmtId="0" fontId="24" fillId="0" borderId="0" applyFill="0" applyBorder="0">
      <alignment vertical="center"/>
    </xf>
    <xf numFmtId="177" fontId="54" fillId="0" borderId="0"/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Fill="0" applyBorder="0">
      <alignment horizontal="center" vertical="center"/>
      <protection locked="0"/>
    </xf>
    <xf numFmtId="0" fontId="57" fillId="0" borderId="0" applyFill="0" applyBorder="0">
      <alignment horizontal="left" vertical="center"/>
      <protection locked="0"/>
    </xf>
    <xf numFmtId="0" fontId="58" fillId="9" borderId="10" applyNumberFormat="0" applyAlignment="0" applyProtection="0"/>
    <xf numFmtId="178" fontId="17" fillId="37" borderId="0" applyProtection="0"/>
    <xf numFmtId="165" fontId="23" fillId="38" borderId="0" applyFont="0" applyBorder="0" applyAlignment="0">
      <alignment horizontal="right"/>
      <protection locked="0"/>
    </xf>
    <xf numFmtId="165" fontId="23" fillId="38" borderId="0" applyFont="0" applyBorder="0" applyAlignment="0">
      <alignment horizontal="right"/>
      <protection locked="0"/>
    </xf>
    <xf numFmtId="179" fontId="23" fillId="5" borderId="0" applyFont="0" applyBorder="0">
      <alignment horizontal="right"/>
      <protection locked="0"/>
    </xf>
    <xf numFmtId="179" fontId="23" fillId="5" borderId="0" applyFont="0" applyBorder="0">
      <alignment horizontal="right"/>
      <protection locked="0"/>
    </xf>
    <xf numFmtId="165" fontId="23" fillId="39" borderId="0" applyFont="0" applyBorder="0">
      <alignment horizontal="right"/>
      <protection locked="0"/>
    </xf>
    <xf numFmtId="165" fontId="23" fillId="39" borderId="0" applyFont="0" applyBorder="0">
      <alignment horizontal="right"/>
      <protection locked="0"/>
    </xf>
    <xf numFmtId="0" fontId="32" fillId="40" borderId="0"/>
    <xf numFmtId="0" fontId="23" fillId="3" borderId="16" applyNumberFormat="0" applyFont="0" applyAlignment="0"/>
    <xf numFmtId="0" fontId="24" fillId="28" borderId="0"/>
    <xf numFmtId="0" fontId="59" fillId="0" borderId="17" applyNumberFormat="0" applyFill="0" applyAlignment="0" applyProtection="0"/>
    <xf numFmtId="180" fontId="60" fillId="0" borderId="0"/>
    <xf numFmtId="0" fontId="61" fillId="0" borderId="0" applyFill="0" applyBorder="0">
      <alignment horizontal="left" vertical="center"/>
    </xf>
    <xf numFmtId="0" fontId="62" fillId="12" borderId="0" applyNumberFormat="0" applyBorder="0" applyAlignment="0" applyProtection="0"/>
    <xf numFmtId="181" fontId="63" fillId="0" borderId="0"/>
    <xf numFmtId="0" fontId="1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7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5" fillId="0" borderId="0"/>
    <xf numFmtId="0" fontId="23" fillId="0" borderId="0"/>
    <xf numFmtId="0" fontId="28" fillId="0" borderId="0"/>
    <xf numFmtId="0" fontId="23" fillId="7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23" fillId="10" borderId="18" applyNumberFormat="0" applyFont="0" applyAlignment="0" applyProtection="0"/>
    <xf numFmtId="0" fontId="64" fillId="37" borderId="19" applyNumberFormat="0"/>
    <xf numFmtId="0" fontId="65" fillId="11" borderId="20" applyNumberFormat="0" applyAlignment="0" applyProtection="0"/>
    <xf numFmtId="182" fontId="23" fillId="0" borderId="0" applyFill="0" applyBorder="0"/>
    <xf numFmtId="182" fontId="23" fillId="0" borderId="0" applyFill="0" applyBorder="0"/>
    <xf numFmtId="182" fontId="23" fillId="0" borderId="0" applyFill="0" applyBorder="0"/>
    <xf numFmtId="9" fontId="6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3" fillId="0" borderId="0" applyFont="0" applyFill="0" applyBorder="0" applyAlignment="0" applyProtection="0"/>
    <xf numFmtId="177" fontId="67" fillId="0" borderId="0"/>
    <xf numFmtId="0" fontId="20" fillId="0" borderId="0" applyFill="0" applyBorder="0">
      <alignment vertical="center"/>
    </xf>
    <xf numFmtId="0" fontId="37" fillId="0" borderId="0" applyNumberFormat="0" applyFont="0" applyFill="0" applyBorder="0" applyAlignment="0" applyProtection="0">
      <alignment horizontal="left"/>
    </xf>
    <xf numFmtId="15" fontId="37" fillId="0" borderId="0" applyFont="0" applyFill="0" applyBorder="0" applyAlignment="0" applyProtection="0"/>
    <xf numFmtId="4" fontId="37" fillId="0" borderId="0" applyFont="0" applyFill="0" applyBorder="0" applyAlignment="0" applyProtection="0"/>
    <xf numFmtId="183" fontId="68" fillId="0" borderId="4"/>
    <xf numFmtId="0" fontId="69" fillId="0" borderId="3">
      <alignment horizontal="center"/>
    </xf>
    <xf numFmtId="3" fontId="37" fillId="0" borderId="0" applyFont="0" applyFill="0" applyBorder="0" applyAlignment="0" applyProtection="0"/>
    <xf numFmtId="0" fontId="37" fillId="41" borderId="0" applyNumberFormat="0" applyFont="0" applyBorder="0" applyAlignment="0" applyProtection="0"/>
    <xf numFmtId="184" fontId="23" fillId="0" borderId="0"/>
    <xf numFmtId="184" fontId="23" fillId="0" borderId="0"/>
    <xf numFmtId="184" fontId="23" fillId="0" borderId="0"/>
    <xf numFmtId="185" fontId="24" fillId="0" borderId="0" applyFill="0" applyBorder="0">
      <alignment horizontal="right" vertical="center"/>
    </xf>
    <xf numFmtId="186" fontId="24" fillId="0" borderId="0" applyFill="0" applyBorder="0">
      <alignment horizontal="right" vertical="center"/>
    </xf>
    <xf numFmtId="187" fontId="24" fillId="0" borderId="0" applyFill="0" applyBorder="0">
      <alignment horizontal="right" vertical="center"/>
    </xf>
    <xf numFmtId="0" fontId="23" fillId="10" borderId="0" applyNumberFormat="0" applyFont="0" applyBorder="0" applyAlignment="0" applyProtection="0"/>
    <xf numFmtId="0" fontId="23" fillId="10" borderId="0" applyNumberFormat="0" applyFont="0" applyBorder="0" applyAlignment="0" applyProtection="0"/>
    <xf numFmtId="0" fontId="23" fillId="11" borderId="0" applyNumberFormat="0" applyFont="0" applyBorder="0" applyAlignment="0" applyProtection="0"/>
    <xf numFmtId="0" fontId="23" fillId="11" borderId="0" applyNumberFormat="0" applyFont="0" applyBorder="0" applyAlignment="0" applyProtection="0"/>
    <xf numFmtId="0" fontId="23" fillId="13" borderId="0" applyNumberFormat="0" applyFont="0" applyBorder="0" applyAlignment="0" applyProtection="0"/>
    <xf numFmtId="0" fontId="23" fillId="13" borderId="0" applyNumberFormat="0" applyFon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13" borderId="0" applyNumberFormat="0" applyFont="0" applyBorder="0" applyAlignment="0" applyProtection="0"/>
    <xf numFmtId="0" fontId="23" fillId="13" borderId="0" applyNumberFormat="0" applyFon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Border="0" applyAlignment="0" applyProtection="0"/>
    <xf numFmtId="0" fontId="23" fillId="0" borderId="0" applyNumberFormat="0" applyFont="0" applyBorder="0" applyAlignment="0" applyProtection="0"/>
    <xf numFmtId="0" fontId="70" fillId="0" borderId="0" applyNumberFormat="0" applyFill="0" applyBorder="0" applyAlignment="0" applyProtection="0"/>
    <xf numFmtId="0" fontId="71" fillId="42" borderId="0"/>
    <xf numFmtId="0" fontId="72" fillId="42" borderId="0" applyNumberFormat="0"/>
    <xf numFmtId="0" fontId="73" fillId="42" borderId="0"/>
    <xf numFmtId="0" fontId="23" fillId="0" borderId="0"/>
    <xf numFmtId="0" fontId="23" fillId="0" borderId="0"/>
    <xf numFmtId="0" fontId="23" fillId="0" borderId="0"/>
    <xf numFmtId="0" fontId="61" fillId="0" borderId="0"/>
    <xf numFmtId="0" fontId="74" fillId="0" borderId="0"/>
    <xf numFmtId="15" fontId="23" fillId="0" borderId="0"/>
    <xf numFmtId="15" fontId="23" fillId="0" borderId="0"/>
    <xf numFmtId="15" fontId="23" fillId="0" borderId="0"/>
    <xf numFmtId="10" fontId="23" fillId="0" borderId="0"/>
    <xf numFmtId="10" fontId="23" fillId="0" borderId="0"/>
    <xf numFmtId="10" fontId="23" fillId="0" borderId="0"/>
    <xf numFmtId="0" fontId="75" fillId="43" borderId="21" applyBorder="0" applyProtection="0">
      <alignment horizontal="centerContinuous" vertical="center"/>
    </xf>
    <xf numFmtId="0" fontId="76" fillId="0" borderId="0" applyBorder="0" applyProtection="0">
      <alignment vertical="center"/>
    </xf>
    <xf numFmtId="0" fontId="77" fillId="0" borderId="0">
      <alignment horizontal="left"/>
    </xf>
    <xf numFmtId="0" fontId="77" fillId="0" borderId="5" applyFill="0" applyBorder="0" applyProtection="0">
      <alignment horizontal="left" vertical="top"/>
    </xf>
    <xf numFmtId="0" fontId="78" fillId="44" borderId="6" applyNumberFormat="0">
      <alignment horizontal="center" vertical="center"/>
    </xf>
    <xf numFmtId="0" fontId="79" fillId="45" borderId="10" applyNumberFormat="0" applyAlignment="0">
      <alignment horizontal="right"/>
    </xf>
    <xf numFmtId="49" fontId="23" fillId="0" borderId="0" applyFont="0" applyFill="0" applyBorder="0" applyAlignment="0" applyProtection="0"/>
    <xf numFmtId="0" fontId="80" fillId="0" borderId="0"/>
    <xf numFmtId="49" fontId="23" fillId="0" borderId="0" applyFont="0" applyFill="0" applyBorder="0" applyAlignment="0" applyProtection="0"/>
    <xf numFmtId="0" fontId="81" fillId="0" borderId="0"/>
    <xf numFmtId="0" fontId="81" fillId="0" borderId="0"/>
    <xf numFmtId="0" fontId="80" fillId="0" borderId="0"/>
    <xf numFmtId="180" fontId="82" fillId="0" borderId="0"/>
    <xf numFmtId="0" fontId="70" fillId="0" borderId="0" applyNumberFormat="0" applyFill="0" applyBorder="0" applyAlignment="0" applyProtection="0"/>
    <xf numFmtId="0" fontId="83" fillId="0" borderId="0" applyFill="0" applyBorder="0">
      <alignment horizontal="left" vertical="center"/>
      <protection locked="0"/>
    </xf>
    <xf numFmtId="0" fontId="80" fillId="0" borderId="0"/>
    <xf numFmtId="0" fontId="84" fillId="0" borderId="0" applyFill="0" applyBorder="0">
      <alignment horizontal="left" vertical="center"/>
      <protection locked="0"/>
    </xf>
    <xf numFmtId="0" fontId="40" fillId="0" borderId="22" applyNumberFormat="0" applyFill="0" applyAlignment="0" applyProtection="0"/>
    <xf numFmtId="0" fontId="18" fillId="3" borderId="16" applyNumberFormat="0" applyAlignment="0"/>
    <xf numFmtId="0" fontId="34" fillId="0" borderId="0" applyNumberFormat="0" applyFill="0" applyBorder="0"/>
    <xf numFmtId="0" fontId="85" fillId="46" borderId="16" applyNumberFormat="0">
      <protection locked="0"/>
    </xf>
    <xf numFmtId="0" fontId="86" fillId="0" borderId="0" applyNumberFormat="0" applyFill="0" applyBorder="0" applyAlignment="0" applyProtection="0"/>
    <xf numFmtId="188" fontId="23" fillId="0" borderId="21" applyBorder="0" applyProtection="0">
      <alignment horizontal="right"/>
    </xf>
    <xf numFmtId="188" fontId="23" fillId="0" borderId="21" applyBorder="0" applyProtection="0">
      <alignment horizontal="right"/>
    </xf>
    <xf numFmtId="188" fontId="23" fillId="0" borderId="21" applyBorder="0" applyProtection="0">
      <alignment horizontal="right"/>
    </xf>
    <xf numFmtId="0" fontId="87" fillId="0" borderId="0" applyNumberForma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23" fillId="0" borderId="0"/>
    <xf numFmtId="0" fontId="15" fillId="0" borderId="0"/>
    <xf numFmtId="9" fontId="15" fillId="0" borderId="0" applyFont="0" applyFill="0" applyBorder="0" applyAlignment="0" applyProtection="0"/>
    <xf numFmtId="172" fontId="24" fillId="0" borderId="29">
      <alignment horizontal="right" vertical="center"/>
      <protection locked="0"/>
    </xf>
    <xf numFmtId="167" fontId="15" fillId="0" borderId="0" applyFont="0" applyFill="0" applyBorder="0" applyAlignment="0" applyProtection="0"/>
    <xf numFmtId="0" fontId="33" fillId="11" borderId="30" applyNumberFormat="0" applyAlignment="0" applyProtection="0"/>
    <xf numFmtId="0" fontId="58" fillId="9" borderId="30" applyNumberFormat="0" applyAlignment="0" applyProtection="0"/>
    <xf numFmtId="0" fontId="23" fillId="10" borderId="31" applyNumberFormat="0" applyFont="0" applyAlignment="0" applyProtection="0"/>
    <xf numFmtId="0" fontId="65" fillId="11" borderId="32" applyNumberFormat="0" applyAlignment="0" applyProtection="0"/>
    <xf numFmtId="0" fontId="40" fillId="0" borderId="33" applyNumberFormat="0" applyFill="0" applyAlignment="0" applyProtection="0"/>
    <xf numFmtId="173" fontId="34" fillId="0" borderId="34">
      <alignment horizontal="center"/>
    </xf>
    <xf numFmtId="0" fontId="11" fillId="0" borderId="0"/>
    <xf numFmtId="0" fontId="2" fillId="0" borderId="0" applyNumberFormat="0" applyFill="0" applyBorder="0" applyAlignment="0" applyProtection="0"/>
    <xf numFmtId="0" fontId="15" fillId="0" borderId="0"/>
    <xf numFmtId="16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9" fillId="0" borderId="0"/>
    <xf numFmtId="9" fontId="79" fillId="0" borderId="0" applyFont="0" applyFill="0" applyBorder="0" applyAlignment="0" applyProtection="0"/>
    <xf numFmtId="0" fontId="11" fillId="47" borderId="0" applyNumberFormat="0" applyBorder="0" applyAlignment="0" applyProtection="0"/>
    <xf numFmtId="191" fontId="23" fillId="39" borderId="0" applyFont="0" applyBorder="0">
      <alignment horizontal="right"/>
    </xf>
    <xf numFmtId="177" fontId="23" fillId="39" borderId="0" applyFont="0" applyBorder="0" applyAlignment="0"/>
    <xf numFmtId="191" fontId="23" fillId="39" borderId="0" applyFont="0" applyBorder="0">
      <alignment horizontal="right"/>
    </xf>
    <xf numFmtId="165" fontId="23" fillId="48" borderId="0" applyFont="0" applyBorder="0" applyAlignment="0">
      <alignment horizontal="right"/>
      <protection locked="0"/>
    </xf>
    <xf numFmtId="10" fontId="23" fillId="48" borderId="0" applyFont="0" applyBorder="0">
      <alignment horizontal="right"/>
      <protection locked="0"/>
    </xf>
    <xf numFmtId="165" fontId="23" fillId="48" borderId="0" applyFont="0" applyBorder="0" applyAlignment="0">
      <alignment horizontal="right"/>
      <protection locked="0"/>
    </xf>
    <xf numFmtId="3" fontId="23" fillId="49" borderId="0" applyFont="0" applyBorder="0">
      <protection locked="0"/>
    </xf>
    <xf numFmtId="177" fontId="51" fillId="49" borderId="0" applyBorder="0" applyAlignment="0">
      <protection locked="0"/>
    </xf>
    <xf numFmtId="177" fontId="95" fillId="50" borderId="0" applyBorder="0" applyAlignment="0"/>
    <xf numFmtId="191" fontId="96" fillId="28" borderId="37" applyFont="0" applyBorder="0" applyAlignment="0"/>
    <xf numFmtId="177" fontId="51" fillId="28" borderId="0" applyFont="0" applyBorder="0" applyAlignment="0"/>
    <xf numFmtId="167" fontId="11" fillId="0" borderId="0" applyFont="0" applyFill="0" applyBorder="0" applyAlignment="0" applyProtection="0"/>
    <xf numFmtId="165" fontId="23" fillId="28" borderId="0" applyNumberFormat="0" applyFont="0" applyBorder="0" applyAlignment="0">
      <alignment horizontal="right"/>
    </xf>
    <xf numFmtId="165" fontId="23" fillId="28" borderId="0" applyNumberFormat="0" applyFont="0" applyBorder="0" applyAlignment="0">
      <alignment horizontal="right"/>
    </xf>
    <xf numFmtId="167" fontId="23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23" fillId="38" borderId="0" applyFont="0" applyBorder="0" applyAlignment="0">
      <alignment horizontal="right"/>
      <protection locked="0"/>
    </xf>
    <xf numFmtId="165" fontId="23" fillId="38" borderId="0" applyFont="0" applyBorder="0" applyAlignment="0">
      <alignment horizontal="right"/>
      <protection locked="0"/>
    </xf>
    <xf numFmtId="165" fontId="23" fillId="39" borderId="0" applyFont="0" applyBorder="0">
      <alignment horizontal="right"/>
      <protection locked="0"/>
    </xf>
    <xf numFmtId="165" fontId="23" fillId="39" borderId="0" applyFont="0" applyBorder="0">
      <alignment horizontal="right"/>
      <protection locked="0"/>
    </xf>
    <xf numFmtId="167" fontId="15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23" fillId="48" borderId="0" applyFont="0" applyBorder="0" applyAlignment="0">
      <alignment horizontal="right"/>
      <protection locked="0"/>
    </xf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/>
    <xf numFmtId="0" fontId="112" fillId="0" borderId="0"/>
  </cellStyleXfs>
  <cellXfs count="213">
    <xf numFmtId="0" fontId="0" fillId="0" borderId="0" xfId="0"/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7" fillId="4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7" fillId="4" borderId="2" xfId="0" applyFont="1" applyFill="1" applyBorder="1" applyAlignment="1">
      <alignment vertical="center"/>
    </xf>
    <xf numFmtId="10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4" borderId="2" xfId="0" applyFont="1" applyFill="1" applyBorder="1" applyAlignment="1">
      <alignment vertical="center"/>
    </xf>
    <xf numFmtId="0" fontId="3" fillId="3" borderId="0" xfId="0" applyFont="1" applyFill="1"/>
    <xf numFmtId="168" fontId="7" fillId="3" borderId="0" xfId="0" applyNumberFormat="1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2" fontId="10" fillId="3" borderId="0" xfId="0" applyNumberFormat="1" applyFont="1" applyFill="1" applyAlignment="1">
      <alignment horizontal="center" vertical="center"/>
    </xf>
    <xf numFmtId="0" fontId="12" fillId="4" borderId="2" xfId="0" applyFont="1" applyFill="1" applyBorder="1" applyAlignment="1">
      <alignment horizontal="left" vertical="center"/>
    </xf>
    <xf numFmtId="0" fontId="15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left" vertical="center"/>
    </xf>
    <xf numFmtId="0" fontId="14" fillId="3" borderId="0" xfId="0" applyFont="1" applyFill="1" applyAlignment="1">
      <alignment horizontal="left"/>
    </xf>
    <xf numFmtId="0" fontId="13" fillId="3" borderId="0" xfId="2" applyFont="1" applyFill="1" applyBorder="1" applyAlignment="1">
      <alignment horizontal="left"/>
    </xf>
    <xf numFmtId="0" fontId="16" fillId="3" borderId="0" xfId="0" applyFont="1" applyFill="1" applyAlignment="1">
      <alignment horizontal="left" vertical="center"/>
    </xf>
    <xf numFmtId="0" fontId="15" fillId="3" borderId="0" xfId="3" applyFill="1"/>
    <xf numFmtId="0" fontId="4" fillId="3" borderId="0" xfId="3" applyFont="1" applyFill="1" applyAlignment="1">
      <alignment horizontal="left" vertical="center"/>
    </xf>
    <xf numFmtId="0" fontId="4" fillId="3" borderId="0" xfId="3" applyFont="1" applyFill="1" applyAlignment="1">
      <alignment horizontal="left" indent="9"/>
    </xf>
    <xf numFmtId="0" fontId="16" fillId="3" borderId="0" xfId="3" applyFont="1" applyFill="1" applyAlignment="1">
      <alignment horizontal="left"/>
    </xf>
    <xf numFmtId="0" fontId="16" fillId="3" borderId="0" xfId="3" applyFont="1" applyFill="1" applyAlignment="1">
      <alignment horizontal="left" indent="9"/>
    </xf>
    <xf numFmtId="0" fontId="15" fillId="6" borderId="2" xfId="3" applyFill="1" applyBorder="1"/>
    <xf numFmtId="0" fontId="12" fillId="6" borderId="2" xfId="3" applyFont="1" applyFill="1" applyBorder="1"/>
    <xf numFmtId="0" fontId="18" fillId="6" borderId="2" xfId="3" applyFont="1" applyFill="1" applyBorder="1" applyAlignment="1">
      <alignment vertical="center"/>
    </xf>
    <xf numFmtId="0" fontId="15" fillId="6" borderId="2" xfId="3" applyFill="1" applyBorder="1" applyAlignment="1">
      <alignment wrapText="1"/>
    </xf>
    <xf numFmtId="166" fontId="18" fillId="6" borderId="2" xfId="3" applyNumberFormat="1" applyFont="1" applyFill="1" applyBorder="1" applyAlignment="1">
      <alignment horizontal="center" wrapText="1"/>
    </xf>
    <xf numFmtId="169" fontId="17" fillId="7" borderId="0" xfId="3" applyNumberFormat="1" applyFont="1" applyFill="1"/>
    <xf numFmtId="0" fontId="15" fillId="0" borderId="0" xfId="3"/>
    <xf numFmtId="169" fontId="17" fillId="0" borderId="0" xfId="3" applyNumberFormat="1" applyFont="1"/>
    <xf numFmtId="169" fontId="19" fillId="0" borderId="0" xfId="3" applyNumberFormat="1" applyFont="1"/>
    <xf numFmtId="169" fontId="19" fillId="0" borderId="0" xfId="3" applyNumberFormat="1" applyFont="1" applyAlignment="1">
      <alignment horizontal="center"/>
    </xf>
    <xf numFmtId="169" fontId="20" fillId="0" borderId="0" xfId="3" applyNumberFormat="1" applyFont="1"/>
    <xf numFmtId="169" fontId="22" fillId="0" borderId="0" xfId="3" applyNumberFormat="1" applyFont="1" applyAlignment="1">
      <alignment horizontal="center"/>
    </xf>
    <xf numFmtId="169" fontId="17" fillId="0" borderId="0" xfId="3" applyNumberFormat="1" applyFont="1" applyAlignment="1">
      <alignment horizontal="left" indent="1"/>
    </xf>
    <xf numFmtId="0" fontId="15" fillId="3" borderId="23" xfId="3" applyFill="1" applyBorder="1"/>
    <xf numFmtId="0" fontId="16" fillId="3" borderId="23" xfId="3" applyFont="1" applyFill="1" applyBorder="1" applyAlignment="1">
      <alignment horizontal="left"/>
    </xf>
    <xf numFmtId="0" fontId="16" fillId="3" borderId="23" xfId="3" applyFont="1" applyFill="1" applyBorder="1" applyAlignment="1">
      <alignment horizontal="left" indent="9"/>
    </xf>
    <xf numFmtId="0" fontId="12" fillId="3" borderId="24" xfId="3" applyFont="1" applyFill="1" applyBorder="1"/>
    <xf numFmtId="0" fontId="88" fillId="3" borderId="24" xfId="3" applyFont="1" applyFill="1" applyBorder="1" applyAlignment="1">
      <alignment horizontal="center"/>
    </xf>
    <xf numFmtId="0" fontId="14" fillId="6" borderId="2" xfId="3" applyFont="1" applyFill="1" applyBorder="1"/>
    <xf numFmtId="169" fontId="17" fillId="0" borderId="0" xfId="3" applyNumberFormat="1" applyFont="1" applyAlignment="1">
      <alignment horizontal="center"/>
    </xf>
    <xf numFmtId="169" fontId="22" fillId="0" borderId="0" xfId="3" applyNumberFormat="1" applyFont="1"/>
    <xf numFmtId="169" fontId="21" fillId="0" borderId="0" xfId="3" applyNumberFormat="1" applyFont="1" applyAlignment="1">
      <alignment horizontal="center"/>
    </xf>
    <xf numFmtId="169" fontId="22" fillId="0" borderId="21" xfId="3" applyNumberFormat="1" applyFont="1" applyBorder="1" applyAlignment="1">
      <alignment horizontal="center"/>
    </xf>
    <xf numFmtId="169" fontId="13" fillId="0" borderId="0" xfId="263" applyNumberFormat="1" applyFont="1" applyAlignment="1" applyProtection="1">
      <alignment horizontal="center"/>
    </xf>
    <xf numFmtId="0" fontId="8" fillId="4" borderId="2" xfId="0" applyFont="1" applyFill="1" applyBorder="1" applyAlignment="1">
      <alignment horizontal="center" vertical="center"/>
    </xf>
    <xf numFmtId="0" fontId="90" fillId="4" borderId="2" xfId="0" applyFont="1" applyFill="1" applyBorder="1" applyAlignment="1">
      <alignment horizontal="center" vertical="center"/>
    </xf>
    <xf numFmtId="0" fontId="90" fillId="3" borderId="0" xfId="0" applyFont="1" applyFill="1" applyAlignment="1">
      <alignment horizontal="center" vertical="center"/>
    </xf>
    <xf numFmtId="169" fontId="19" fillId="3" borderId="0" xfId="0" applyNumberFormat="1" applyFont="1" applyFill="1" applyAlignment="1">
      <alignment horizontal="center" vertical="center"/>
    </xf>
    <xf numFmtId="0" fontId="91" fillId="3" borderId="0" xfId="0" applyFont="1" applyFill="1" applyAlignment="1">
      <alignment vertical="center"/>
    </xf>
    <xf numFmtId="169" fontId="22" fillId="3" borderId="21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24" fillId="3" borderId="0" xfId="0" applyFont="1" applyFill="1" applyAlignment="1">
      <alignment horizontal="left" vertical="center"/>
    </xf>
    <xf numFmtId="0" fontId="24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vertical="center"/>
    </xf>
    <xf numFmtId="0" fontId="12" fillId="4" borderId="2" xfId="0" applyFont="1" applyFill="1" applyBorder="1" applyAlignment="1">
      <alignment vertical="center"/>
    </xf>
    <xf numFmtId="0" fontId="89" fillId="3" borderId="0" xfId="0" applyFont="1" applyFill="1" applyAlignment="1">
      <alignment horizontal="center" vertical="center"/>
    </xf>
    <xf numFmtId="169" fontId="19" fillId="3" borderId="2" xfId="0" applyNumberFormat="1" applyFont="1" applyFill="1" applyBorder="1" applyAlignment="1">
      <alignment horizontal="center" vertical="center"/>
    </xf>
    <xf numFmtId="169" fontId="22" fillId="3" borderId="2" xfId="0" applyNumberFormat="1" applyFont="1" applyFill="1" applyBorder="1" applyAlignment="1">
      <alignment horizontal="left" vertical="center"/>
    </xf>
    <xf numFmtId="0" fontId="14" fillId="3" borderId="0" xfId="0" applyFont="1" applyFill="1" applyAlignment="1">
      <alignment horizontal="center" vertical="center"/>
    </xf>
    <xf numFmtId="0" fontId="0" fillId="3" borderId="0" xfId="0" applyFill="1"/>
    <xf numFmtId="49" fontId="17" fillId="3" borderId="0" xfId="0" applyNumberFormat="1" applyFont="1" applyFill="1" applyAlignment="1" applyProtection="1">
      <alignment horizontal="left" vertical="center"/>
      <protection locked="0"/>
    </xf>
    <xf numFmtId="0" fontId="92" fillId="4" borderId="2" xfId="0" applyFont="1" applyFill="1" applyBorder="1" applyAlignment="1">
      <alignment horizontal="center" vertical="center"/>
    </xf>
    <xf numFmtId="0" fontId="93" fillId="4" borderId="2" xfId="0" applyFont="1" applyFill="1" applyBorder="1" applyAlignment="1">
      <alignment horizontal="left" vertical="center"/>
    </xf>
    <xf numFmtId="0" fontId="92" fillId="4" borderId="2" xfId="0" applyFont="1" applyFill="1" applyBorder="1" applyAlignment="1">
      <alignment vertical="center"/>
    </xf>
    <xf numFmtId="49" fontId="17" fillId="3" borderId="0" xfId="0" applyNumberFormat="1" applyFont="1" applyFill="1" applyAlignment="1" applyProtection="1">
      <alignment horizontal="left" vertical="center" wrapText="1"/>
      <protection locked="0"/>
    </xf>
    <xf numFmtId="169" fontId="22" fillId="3" borderId="0" xfId="0" applyNumberFormat="1" applyFont="1" applyFill="1" applyAlignment="1">
      <alignment horizontal="center" vertical="center"/>
    </xf>
    <xf numFmtId="10" fontId="15" fillId="3" borderId="0" xfId="0" applyNumberFormat="1" applyFont="1" applyFill="1" applyAlignment="1">
      <alignment horizontal="center" vertical="center"/>
    </xf>
    <xf numFmtId="2" fontId="15" fillId="0" borderId="5" xfId="0" applyNumberFormat="1" applyFont="1" applyBorder="1" applyAlignment="1">
      <alignment horizontal="right"/>
    </xf>
    <xf numFmtId="0" fontId="20" fillId="3" borderId="0" xfId="0" applyFont="1" applyFill="1" applyAlignment="1">
      <alignment horizontal="left" vertical="center"/>
    </xf>
    <xf numFmtId="0" fontId="94" fillId="3" borderId="0" xfId="0" applyFont="1" applyFill="1" applyAlignment="1">
      <alignment horizontal="left"/>
    </xf>
    <xf numFmtId="0" fontId="15" fillId="3" borderId="0" xfId="0" applyFont="1" applyFill="1"/>
    <xf numFmtId="0" fontId="91" fillId="3" borderId="0" xfId="0" applyFont="1" applyFill="1"/>
    <xf numFmtId="2" fontId="15" fillId="3" borderId="0" xfId="0" applyNumberFormat="1" applyFont="1" applyFill="1"/>
    <xf numFmtId="0" fontId="24" fillId="3" borderId="6" xfId="0" applyFont="1" applyFill="1" applyBorder="1" applyAlignment="1">
      <alignment horizontal="left" vertical="center"/>
    </xf>
    <xf numFmtId="9" fontId="15" fillId="0" borderId="4" xfId="0" applyNumberFormat="1" applyFont="1" applyBorder="1"/>
    <xf numFmtId="0" fontId="98" fillId="3" borderId="0" xfId="2" applyFont="1" applyFill="1" applyBorder="1" applyAlignment="1" applyProtection="1">
      <alignment vertical="center"/>
    </xf>
    <xf numFmtId="0" fontId="99" fillId="3" borderId="0" xfId="265" applyFont="1" applyFill="1" applyAlignment="1">
      <alignment horizontal="right" vertical="center"/>
    </xf>
    <xf numFmtId="0" fontId="99" fillId="3" borderId="0" xfId="0" applyFont="1" applyFill="1" applyAlignment="1">
      <alignment horizontal="center" vertical="center"/>
    </xf>
    <xf numFmtId="0" fontId="13" fillId="3" borderId="0" xfId="2" quotePrefix="1" applyFont="1" applyFill="1" applyBorder="1" applyAlignment="1">
      <alignment horizontal="left"/>
    </xf>
    <xf numFmtId="169" fontId="22" fillId="3" borderId="0" xfId="0" applyNumberFormat="1" applyFont="1" applyFill="1" applyAlignment="1">
      <alignment horizontal="right" vertical="center"/>
    </xf>
    <xf numFmtId="169" fontId="22" fillId="3" borderId="21" xfId="0" applyNumberFormat="1" applyFont="1" applyFill="1" applyBorder="1" applyAlignment="1">
      <alignment horizontal="right" vertical="center"/>
    </xf>
    <xf numFmtId="169" fontId="22" fillId="3" borderId="38" xfId="0" applyNumberFormat="1" applyFont="1" applyFill="1" applyBorder="1" applyAlignment="1">
      <alignment horizontal="right" vertical="center"/>
    </xf>
    <xf numFmtId="0" fontId="12" fillId="0" borderId="36" xfId="0" applyFont="1" applyBorder="1"/>
    <xf numFmtId="0" fontId="15" fillId="0" borderId="40" xfId="0" applyFont="1" applyBorder="1" applyAlignment="1">
      <alignment horizontal="left" indent="1"/>
    </xf>
    <xf numFmtId="0" fontId="15" fillId="0" borderId="5" xfId="0" applyFont="1" applyBorder="1" applyAlignment="1">
      <alignment horizontal="left" indent="1"/>
    </xf>
    <xf numFmtId="0" fontId="15" fillId="0" borderId="35" xfId="0" applyFont="1" applyBorder="1" applyAlignment="1">
      <alignment horizontal="left" indent="1"/>
    </xf>
    <xf numFmtId="0" fontId="15" fillId="0" borderId="36" xfId="0" applyFont="1" applyBorder="1" applyAlignment="1">
      <alignment horizontal="left" indent="1"/>
    </xf>
    <xf numFmtId="0" fontId="15" fillId="0" borderId="41" xfId="0" applyFont="1" applyBorder="1" applyAlignment="1">
      <alignment horizontal="left" indent="1"/>
    </xf>
    <xf numFmtId="0" fontId="15" fillId="0" borderId="4" xfId="0" applyFont="1" applyBorder="1" applyAlignment="1">
      <alignment horizontal="left" indent="1"/>
    </xf>
    <xf numFmtId="0" fontId="12" fillId="3" borderId="36" xfId="0" applyFont="1" applyFill="1" applyBorder="1"/>
    <xf numFmtId="0" fontId="97" fillId="3" borderId="35" xfId="0" applyFont="1" applyFill="1" applyBorder="1"/>
    <xf numFmtId="0" fontId="97" fillId="3" borderId="21" xfId="0" applyFont="1" applyFill="1" applyBorder="1"/>
    <xf numFmtId="0" fontId="98" fillId="3" borderId="0" xfId="2" applyFont="1" applyFill="1" applyBorder="1" applyAlignment="1" applyProtection="1">
      <alignment horizontal="left" vertical="center"/>
    </xf>
    <xf numFmtId="10" fontId="15" fillId="3" borderId="42" xfId="0" applyNumberFormat="1" applyFont="1" applyFill="1" applyBorder="1" applyAlignment="1">
      <alignment horizontal="center" vertical="center"/>
    </xf>
    <xf numFmtId="10" fontId="15" fillId="3" borderId="43" xfId="0" applyNumberFormat="1" applyFont="1" applyFill="1" applyBorder="1" applyAlignment="1">
      <alignment horizontal="center" vertical="center"/>
    </xf>
    <xf numFmtId="10" fontId="24" fillId="3" borderId="0" xfId="0" applyNumberFormat="1" applyFont="1" applyFill="1" applyAlignment="1">
      <alignment horizontal="center" vertical="center"/>
    </xf>
    <xf numFmtId="192" fontId="17" fillId="0" borderId="0" xfId="3" applyNumberFormat="1" applyFont="1"/>
    <xf numFmtId="189" fontId="20" fillId="0" borderId="0" xfId="55" applyNumberFormat="1" applyFont="1" applyBorder="1" applyAlignment="1" applyProtection="1">
      <alignment horizontal="center" vertical="center"/>
    </xf>
    <xf numFmtId="0" fontId="17" fillId="3" borderId="0" xfId="0" applyFont="1" applyFill="1" applyAlignment="1">
      <alignment horizontal="left" vertical="center"/>
    </xf>
    <xf numFmtId="49" fontId="102" fillId="51" borderId="0" xfId="0" applyNumberFormat="1" applyFont="1" applyFill="1" applyAlignment="1" applyProtection="1">
      <alignment horizontal="left" vertical="center"/>
      <protection locked="0"/>
    </xf>
    <xf numFmtId="0" fontId="103" fillId="51" borderId="0" xfId="0" applyFont="1" applyFill="1" applyAlignment="1">
      <alignment vertical="center"/>
    </xf>
    <xf numFmtId="169" fontId="22" fillId="3" borderId="39" xfId="0" applyNumberFormat="1" applyFont="1" applyFill="1" applyBorder="1" applyAlignment="1">
      <alignment horizontal="center" vertical="center"/>
    </xf>
    <xf numFmtId="2" fontId="15" fillId="0" borderId="0" xfId="0" applyNumberFormat="1" applyFont="1" applyAlignment="1">
      <alignment horizontal="right"/>
    </xf>
    <xf numFmtId="2" fontId="101" fillId="0" borderId="0" xfId="0" applyNumberFormat="1" applyFont="1" applyAlignment="1">
      <alignment horizontal="right"/>
    </xf>
    <xf numFmtId="0" fontId="15" fillId="0" borderId="6" xfId="0" applyFont="1" applyBorder="1" applyAlignment="1">
      <alignment horizontal="left" indent="1"/>
    </xf>
    <xf numFmtId="2" fontId="15" fillId="0" borderId="37" xfId="0" applyNumberFormat="1" applyFont="1" applyBorder="1" applyAlignment="1">
      <alignment horizontal="right"/>
    </xf>
    <xf numFmtId="49" fontId="17" fillId="0" borderId="0" xfId="0" applyNumberFormat="1" applyFont="1" applyAlignment="1" applyProtection="1">
      <alignment horizontal="left" vertical="center"/>
      <protection locked="0"/>
    </xf>
    <xf numFmtId="49" fontId="102" fillId="52" borderId="0" xfId="0" applyNumberFormat="1" applyFont="1" applyFill="1" applyAlignment="1" applyProtection="1">
      <alignment horizontal="left" vertical="center"/>
      <protection locked="0"/>
    </xf>
    <xf numFmtId="0" fontId="100" fillId="53" borderId="0" xfId="265" applyFont="1" applyFill="1" applyAlignment="1">
      <alignment horizontal="center" vertical="center"/>
    </xf>
    <xf numFmtId="0" fontId="24" fillId="53" borderId="26" xfId="1" applyFont="1" applyFill="1" applyBorder="1" applyAlignment="1">
      <alignment horizontal="center" vertical="center"/>
    </xf>
    <xf numFmtId="10" fontId="24" fillId="53" borderId="28" xfId="0" applyNumberFormat="1" applyFont="1" applyFill="1" applyBorder="1" applyAlignment="1">
      <alignment horizontal="center" vertical="center"/>
    </xf>
    <xf numFmtId="2" fontId="24" fillId="53" borderId="26" xfId="1" applyNumberFormat="1" applyFont="1" applyFill="1" applyBorder="1" applyAlignment="1">
      <alignment horizontal="center" vertical="center"/>
    </xf>
    <xf numFmtId="2" fontId="24" fillId="54" borderId="26" xfId="1" applyNumberFormat="1" applyFont="1" applyFill="1" applyBorder="1" applyAlignment="1">
      <alignment horizontal="center" vertical="center"/>
    </xf>
    <xf numFmtId="169" fontId="89" fillId="53" borderId="25" xfId="3" applyNumberFormat="1" applyFont="1" applyFill="1" applyBorder="1" applyAlignment="1" applyProtection="1">
      <alignment horizontal="center"/>
      <protection locked="0"/>
    </xf>
    <xf numFmtId="170" fontId="17" fillId="53" borderId="8" xfId="3" applyNumberFormat="1" applyFont="1" applyFill="1" applyBorder="1" applyAlignment="1" applyProtection="1">
      <alignment horizontal="center"/>
      <protection locked="0"/>
    </xf>
    <xf numFmtId="0" fontId="100" fillId="55" borderId="0" xfId="265" applyFont="1" applyFill="1" applyAlignment="1">
      <alignment horizontal="center" vertical="center"/>
    </xf>
    <xf numFmtId="2" fontId="17" fillId="55" borderId="45" xfId="265" applyNumberFormat="1" applyFont="1" applyFill="1" applyBorder="1" applyAlignment="1">
      <alignment horizontal="right" vertical="center"/>
    </xf>
    <xf numFmtId="2" fontId="17" fillId="55" borderId="0" xfId="265" applyNumberFormat="1" applyFont="1" applyFill="1" applyAlignment="1">
      <alignment horizontal="right" vertical="center"/>
    </xf>
    <xf numFmtId="2" fontId="17" fillId="55" borderId="37" xfId="265" applyNumberFormat="1" applyFont="1" applyFill="1" applyBorder="1" applyAlignment="1">
      <alignment horizontal="right" vertical="center"/>
    </xf>
    <xf numFmtId="2" fontId="17" fillId="55" borderId="5" xfId="265" applyNumberFormat="1" applyFont="1" applyFill="1" applyBorder="1" applyAlignment="1">
      <alignment horizontal="right" vertical="center"/>
    </xf>
    <xf numFmtId="10" fontId="17" fillId="55" borderId="7" xfId="268" applyNumberFormat="1" applyFont="1" applyFill="1" applyBorder="1" applyAlignment="1" applyProtection="1">
      <alignment horizontal="right" vertical="center"/>
    </xf>
    <xf numFmtId="10" fontId="17" fillId="55" borderId="44" xfId="268" applyNumberFormat="1" applyFont="1" applyFill="1" applyBorder="1" applyAlignment="1" applyProtection="1">
      <alignment horizontal="right" vertical="center"/>
    </xf>
    <xf numFmtId="0" fontId="22" fillId="3" borderId="0" xfId="304" applyNumberFormat="1" applyFont="1" applyFill="1" applyBorder="1" applyAlignment="1" applyProtection="1">
      <alignment horizontal="center" vertical="center"/>
    </xf>
    <xf numFmtId="0" fontId="24" fillId="53" borderId="0" xfId="1" applyFont="1" applyFill="1" applyBorder="1" applyAlignment="1">
      <alignment horizontal="center" vertical="center"/>
    </xf>
    <xf numFmtId="0" fontId="24" fillId="55" borderId="26" xfId="1" applyFont="1" applyFill="1" applyBorder="1" applyAlignment="1">
      <alignment horizontal="center" vertical="center"/>
    </xf>
    <xf numFmtId="10" fontId="15" fillId="55" borderId="28" xfId="0" applyNumberFormat="1" applyFont="1" applyFill="1" applyBorder="1" applyAlignment="1">
      <alignment horizontal="center" vertical="center"/>
    </xf>
    <xf numFmtId="190" fontId="24" fillId="55" borderId="28" xfId="0" applyNumberFormat="1" applyFont="1" applyFill="1" applyBorder="1" applyAlignment="1">
      <alignment horizontal="center" vertical="center"/>
    </xf>
    <xf numFmtId="190" fontId="15" fillId="55" borderId="28" xfId="268" applyNumberFormat="1" applyFont="1" applyFill="1" applyBorder="1" applyAlignment="1">
      <alignment horizontal="center" vertical="center"/>
    </xf>
    <xf numFmtId="2" fontId="24" fillId="55" borderId="26" xfId="1" applyNumberFormat="1" applyFont="1" applyFill="1" applyBorder="1" applyAlignment="1">
      <alignment horizontal="center" vertical="center"/>
    </xf>
    <xf numFmtId="0" fontId="14" fillId="55" borderId="0" xfId="0" applyFont="1" applyFill="1" applyAlignment="1">
      <alignment horizontal="center" vertical="center"/>
    </xf>
    <xf numFmtId="2" fontId="15" fillId="55" borderId="41" xfId="0" applyNumberFormat="1" applyFont="1" applyFill="1" applyBorder="1"/>
    <xf numFmtId="2" fontId="15" fillId="55" borderId="4" xfId="0" applyNumberFormat="1" applyFont="1" applyFill="1" applyBorder="1"/>
    <xf numFmtId="2" fontId="15" fillId="55" borderId="40" xfId="0" applyNumberFormat="1" applyFont="1" applyFill="1" applyBorder="1"/>
    <xf numFmtId="168" fontId="24" fillId="55" borderId="2" xfId="0" applyNumberFormat="1" applyFont="1" applyFill="1" applyBorder="1" applyAlignment="1">
      <alignment horizontal="right" vertical="center"/>
    </xf>
    <xf numFmtId="168" fontId="24" fillId="55" borderId="39" xfId="0" applyNumberFormat="1" applyFont="1" applyFill="1" applyBorder="1" applyAlignment="1">
      <alignment horizontal="right" vertical="center"/>
    </xf>
    <xf numFmtId="168" fontId="24" fillId="55" borderId="6" xfId="0" applyNumberFormat="1" applyFont="1" applyFill="1" applyBorder="1" applyAlignment="1">
      <alignment horizontal="right" vertical="center"/>
    </xf>
    <xf numFmtId="189" fontId="20" fillId="55" borderId="26" xfId="55" applyNumberFormat="1" applyFont="1" applyFill="1" applyBorder="1" applyAlignment="1" applyProtection="1">
      <alignment horizontal="center" vertical="center"/>
    </xf>
    <xf numFmtId="2" fontId="24" fillId="55" borderId="2" xfId="268" applyNumberFormat="1" applyFont="1" applyFill="1" applyBorder="1" applyAlignment="1">
      <alignment horizontal="right" vertical="center"/>
    </xf>
    <xf numFmtId="2" fontId="24" fillId="55" borderId="36" xfId="268" applyNumberFormat="1" applyFont="1" applyFill="1" applyBorder="1" applyAlignment="1">
      <alignment horizontal="right" vertical="center"/>
    </xf>
    <xf numFmtId="170" fontId="17" fillId="53" borderId="0" xfId="3" applyNumberFormat="1" applyFont="1" applyFill="1" applyAlignment="1" applyProtection="1">
      <alignment horizontal="center"/>
      <protection locked="0"/>
    </xf>
    <xf numFmtId="49" fontId="19" fillId="0" borderId="27" xfId="0" applyNumberFormat="1" applyFont="1" applyBorder="1" applyAlignment="1" applyProtection="1">
      <alignment horizontal="center" vertical="center"/>
      <protection locked="0"/>
    </xf>
    <xf numFmtId="0" fontId="100" fillId="55" borderId="0" xfId="265" applyFont="1" applyFill="1" applyAlignment="1">
      <alignment horizontal="center" vertical="center" wrapText="1"/>
    </xf>
    <xf numFmtId="0" fontId="107" fillId="3" borderId="0" xfId="0" applyFont="1" applyFill="1"/>
    <xf numFmtId="2" fontId="15" fillId="55" borderId="5" xfId="0" applyNumberFormat="1" applyFont="1" applyFill="1" applyBorder="1" applyAlignment="1">
      <alignment horizontal="right"/>
    </xf>
    <xf numFmtId="2" fontId="15" fillId="55" borderId="0" xfId="0" applyNumberFormat="1" applyFont="1" applyFill="1" applyAlignment="1">
      <alignment horizontal="right"/>
    </xf>
    <xf numFmtId="2" fontId="15" fillId="55" borderId="37" xfId="0" applyNumberFormat="1" applyFont="1" applyFill="1" applyBorder="1" applyAlignment="1">
      <alignment horizontal="right"/>
    </xf>
    <xf numFmtId="2" fontId="15" fillId="55" borderId="35" xfId="0" applyNumberFormat="1" applyFont="1" applyFill="1" applyBorder="1" applyAlignment="1">
      <alignment horizontal="right"/>
    </xf>
    <xf numFmtId="2" fontId="15" fillId="55" borderId="21" xfId="0" applyNumberFormat="1" applyFont="1" applyFill="1" applyBorder="1" applyAlignment="1">
      <alignment horizontal="right"/>
    </xf>
    <xf numFmtId="2" fontId="15" fillId="55" borderId="38" xfId="0" applyNumberFormat="1" applyFont="1" applyFill="1" applyBorder="1" applyAlignment="1">
      <alignment horizontal="right"/>
    </xf>
    <xf numFmtId="2" fontId="15" fillId="55" borderId="39" xfId="0" applyNumberFormat="1" applyFont="1" applyFill="1" applyBorder="1" applyAlignment="1">
      <alignment horizontal="right"/>
    </xf>
    <xf numFmtId="9" fontId="15" fillId="55" borderId="4" xfId="0" applyNumberFormat="1" applyFont="1" applyFill="1" applyBorder="1"/>
    <xf numFmtId="0" fontId="16" fillId="56" borderId="2" xfId="0" applyFont="1" applyFill="1" applyBorder="1" applyAlignment="1">
      <alignment horizontal="left" vertical="center"/>
    </xf>
    <xf numFmtId="0" fontId="3" fillId="56" borderId="2" xfId="0" applyFont="1" applyFill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100" fillId="57" borderId="0" xfId="265" applyFont="1" applyFill="1" applyAlignment="1">
      <alignment horizontal="center" vertical="center" wrapText="1"/>
    </xf>
    <xf numFmtId="0" fontId="108" fillId="3" borderId="0" xfId="0" applyFont="1" applyFill="1"/>
    <xf numFmtId="0" fontId="0" fillId="3" borderId="0" xfId="0" applyFill="1" applyAlignment="1">
      <alignment horizontal="right"/>
    </xf>
    <xf numFmtId="169" fontId="22" fillId="3" borderId="0" xfId="3" applyNumberFormat="1" applyFont="1" applyFill="1"/>
    <xf numFmtId="169" fontId="17" fillId="3" borderId="0" xfId="3" applyNumberFormat="1" applyFont="1" applyFill="1" applyAlignment="1">
      <alignment horizontal="left" indent="1"/>
    </xf>
    <xf numFmtId="10" fontId="0" fillId="57" borderId="8" xfId="268" applyNumberFormat="1" applyFont="1" applyFill="1" applyBorder="1"/>
    <xf numFmtId="0" fontId="0" fillId="0" borderId="8" xfId="0" applyBorder="1"/>
    <xf numFmtId="10" fontId="0" fillId="3" borderId="0" xfId="268" applyNumberFormat="1" applyFont="1" applyFill="1"/>
    <xf numFmtId="10" fontId="0" fillId="0" borderId="8" xfId="268" applyNumberFormat="1" applyFont="1" applyFill="1" applyBorder="1"/>
    <xf numFmtId="190" fontId="0" fillId="3" borderId="0" xfId="0" applyNumberFormat="1" applyFill="1"/>
    <xf numFmtId="193" fontId="0" fillId="0" borderId="8" xfId="304" applyNumberFormat="1" applyFont="1" applyBorder="1"/>
    <xf numFmtId="10" fontId="0" fillId="0" borderId="8" xfId="268" applyNumberFormat="1" applyFont="1" applyBorder="1"/>
    <xf numFmtId="2" fontId="109" fillId="58" borderId="46" xfId="0" applyNumberFormat="1" applyFont="1" applyFill="1" applyBorder="1" applyAlignment="1">
      <alignment horizontal="center" vertical="center"/>
    </xf>
    <xf numFmtId="167" fontId="0" fillId="59" borderId="8" xfId="304" applyFont="1" applyFill="1" applyBorder="1"/>
    <xf numFmtId="167" fontId="0" fillId="3" borderId="8" xfId="304" applyFont="1" applyFill="1" applyBorder="1"/>
    <xf numFmtId="169" fontId="19" fillId="3" borderId="0" xfId="3" applyNumberFormat="1" applyFont="1" applyFill="1" applyAlignment="1">
      <alignment horizontal="center"/>
    </xf>
    <xf numFmtId="0" fontId="0" fillId="3" borderId="8" xfId="0" applyFill="1" applyBorder="1"/>
    <xf numFmtId="167" fontId="110" fillId="3" borderId="8" xfId="304" applyFont="1" applyFill="1" applyBorder="1"/>
    <xf numFmtId="167" fontId="0" fillId="3" borderId="47" xfId="304" applyFont="1" applyFill="1" applyBorder="1"/>
    <xf numFmtId="0" fontId="19" fillId="3" borderId="27" xfId="0" applyFont="1" applyFill="1" applyBorder="1" applyAlignment="1" applyProtection="1">
      <alignment horizontal="center" vertical="center"/>
      <protection locked="0"/>
    </xf>
    <xf numFmtId="0" fontId="19" fillId="3" borderId="27" xfId="0" applyFont="1" applyFill="1" applyBorder="1" applyAlignment="1">
      <alignment horizontal="center" vertical="center"/>
    </xf>
    <xf numFmtId="169" fontId="22" fillId="3" borderId="0" xfId="0" applyNumberFormat="1" applyFont="1" applyFill="1" applyAlignment="1">
      <alignment horizontal="left" vertical="center"/>
    </xf>
    <xf numFmtId="167" fontId="111" fillId="3" borderId="2" xfId="304" applyFont="1" applyFill="1" applyBorder="1" applyAlignment="1" applyProtection="1">
      <alignment horizontal="left" vertical="center"/>
    </xf>
    <xf numFmtId="167" fontId="108" fillId="3" borderId="2" xfId="304" applyFont="1" applyFill="1" applyBorder="1"/>
    <xf numFmtId="167" fontId="0" fillId="3" borderId="0" xfId="0" applyNumberFormat="1" applyFill="1"/>
    <xf numFmtId="0" fontId="15" fillId="4" borderId="2" xfId="3" applyFill="1" applyBorder="1"/>
    <xf numFmtId="0" fontId="12" fillId="4" borderId="2" xfId="3" applyFont="1" applyFill="1" applyBorder="1"/>
    <xf numFmtId="166" fontId="18" fillId="4" borderId="2" xfId="3" applyNumberFormat="1" applyFont="1" applyFill="1" applyBorder="1" applyAlignment="1">
      <alignment horizontal="center" wrapText="1"/>
    </xf>
    <xf numFmtId="0" fontId="14" fillId="4" borderId="2" xfId="3" applyFont="1" applyFill="1" applyBorder="1"/>
    <xf numFmtId="0" fontId="18" fillId="4" borderId="2" xfId="3" applyFont="1" applyFill="1" applyBorder="1" applyAlignment="1">
      <alignment vertical="center"/>
    </xf>
    <xf numFmtId="169" fontId="22" fillId="3" borderId="0" xfId="3" applyNumberFormat="1" applyFont="1" applyFill="1" applyAlignment="1">
      <alignment horizontal="left" indent="1"/>
    </xf>
    <xf numFmtId="167" fontId="0" fillId="3" borderId="0" xfId="304" applyFont="1" applyFill="1"/>
    <xf numFmtId="10" fontId="24" fillId="55" borderId="28" xfId="0" applyNumberFormat="1" applyFont="1" applyFill="1" applyBorder="1" applyAlignment="1">
      <alignment horizontal="center" vertical="center"/>
    </xf>
    <xf numFmtId="2" fontId="24" fillId="55" borderId="2" xfId="1" applyNumberFormat="1" applyFont="1" applyFill="1" applyBorder="1" applyAlignment="1">
      <alignment horizontal="center" vertical="center"/>
    </xf>
    <xf numFmtId="10" fontId="17" fillId="55" borderId="36" xfId="268" applyNumberFormat="1" applyFont="1" applyFill="1" applyBorder="1" applyAlignment="1" applyProtection="1">
      <alignment horizontal="right" vertical="center"/>
    </xf>
    <xf numFmtId="10" fontId="17" fillId="55" borderId="2" xfId="268" applyNumberFormat="1" applyFont="1" applyFill="1" applyBorder="1" applyAlignment="1" applyProtection="1">
      <alignment horizontal="right" vertical="center"/>
    </xf>
    <xf numFmtId="10" fontId="17" fillId="55" borderId="39" xfId="268" applyNumberFormat="1" applyFont="1" applyFill="1" applyBorder="1" applyAlignment="1" applyProtection="1">
      <alignment horizontal="right" vertical="center"/>
    </xf>
    <xf numFmtId="2" fontId="24" fillId="60" borderId="26" xfId="1" applyNumberFormat="1" applyFont="1" applyFill="1" applyBorder="1" applyAlignment="1">
      <alignment horizontal="center" vertical="center"/>
    </xf>
    <xf numFmtId="0" fontId="24" fillId="60" borderId="26" xfId="1" applyFont="1" applyFill="1" applyBorder="1" applyAlignment="1">
      <alignment horizontal="center" vertical="center"/>
    </xf>
    <xf numFmtId="43" fontId="0" fillId="0" borderId="0" xfId="0" applyNumberFormat="1"/>
    <xf numFmtId="0" fontId="99" fillId="60" borderId="0" xfId="0" applyFont="1" applyFill="1" applyAlignment="1">
      <alignment horizontal="center" vertical="center" wrapText="1"/>
    </xf>
    <xf numFmtId="10" fontId="24" fillId="60" borderId="28" xfId="0" applyNumberFormat="1" applyFont="1" applyFill="1" applyBorder="1" applyAlignment="1">
      <alignment horizontal="center" vertical="center"/>
    </xf>
    <xf numFmtId="0" fontId="99" fillId="60" borderId="0" xfId="0" applyFont="1" applyFill="1" applyAlignment="1">
      <alignment horizontal="center" vertical="center"/>
    </xf>
    <xf numFmtId="0" fontId="88" fillId="3" borderId="24" xfId="3" applyFont="1" applyFill="1" applyBorder="1" applyAlignment="1">
      <alignment horizontal="center"/>
    </xf>
  </cellXfs>
  <cellStyles count="341">
    <cellStyle name=" 1" xfId="4" xr:uid="{00000000-0005-0000-0000-000000000000}"/>
    <cellStyle name=" 1 2" xfId="5" xr:uid="{00000000-0005-0000-0000-000001000000}"/>
    <cellStyle name=" 1_29(d) - Gas extensions -tariffs" xfId="6" xr:uid="{00000000-0005-0000-0000-000002000000}"/>
    <cellStyle name="_Capex" xfId="7" xr:uid="{00000000-0005-0000-0000-000003000000}"/>
    <cellStyle name="_Capex 2" xfId="8" xr:uid="{00000000-0005-0000-0000-000004000000}"/>
    <cellStyle name="_Capex_29(d) - Gas extensions -tariffs" xfId="9" xr:uid="{00000000-0005-0000-0000-000005000000}"/>
    <cellStyle name="_UED AMP 2009-14 Final 250309 Less PU" xfId="10" xr:uid="{00000000-0005-0000-0000-000006000000}"/>
    <cellStyle name="_UED AMP 2009-14 Final 250309 Less PU_1011 monthly" xfId="11" xr:uid="{00000000-0005-0000-0000-000007000000}"/>
    <cellStyle name="20% - Accent1 2" xfId="12" xr:uid="{00000000-0005-0000-0000-000008000000}"/>
    <cellStyle name="20% - Accent1 2 2" xfId="292" xr:uid="{00000000-0005-0000-0000-000009000000}"/>
    <cellStyle name="20% - Accent2 2" xfId="13" xr:uid="{00000000-0005-0000-0000-00000A000000}"/>
    <cellStyle name="20% - Accent3 2" xfId="14" xr:uid="{00000000-0005-0000-0000-00000B000000}"/>
    <cellStyle name="20% - Accent4 2" xfId="15" xr:uid="{00000000-0005-0000-0000-00000C000000}"/>
    <cellStyle name="20% - Accent5 2" xfId="16" xr:uid="{00000000-0005-0000-0000-00000D000000}"/>
    <cellStyle name="20% - Accent6 2" xfId="17" xr:uid="{00000000-0005-0000-0000-00000E000000}"/>
    <cellStyle name="40% - Accent1 2" xfId="18" xr:uid="{00000000-0005-0000-0000-00000F000000}"/>
    <cellStyle name="40% - Accent2 2" xfId="19" xr:uid="{00000000-0005-0000-0000-000010000000}"/>
    <cellStyle name="40% - Accent3 2" xfId="20" xr:uid="{00000000-0005-0000-0000-000011000000}"/>
    <cellStyle name="40% - Accent4 2" xfId="21" xr:uid="{00000000-0005-0000-0000-000012000000}"/>
    <cellStyle name="40% - Accent5 2" xfId="22" xr:uid="{00000000-0005-0000-0000-000013000000}"/>
    <cellStyle name="40% - Accent6 2" xfId="23" xr:uid="{00000000-0005-0000-0000-000014000000}"/>
    <cellStyle name="60% - Accent1 2" xfId="24" xr:uid="{00000000-0005-0000-0000-000015000000}"/>
    <cellStyle name="60% - Accent2 2" xfId="25" xr:uid="{00000000-0005-0000-0000-000016000000}"/>
    <cellStyle name="60% - Accent3 2" xfId="26" xr:uid="{00000000-0005-0000-0000-000017000000}"/>
    <cellStyle name="60% - Accent4 2" xfId="27" xr:uid="{00000000-0005-0000-0000-000018000000}"/>
    <cellStyle name="60% - Accent5 2" xfId="28" xr:uid="{00000000-0005-0000-0000-000019000000}"/>
    <cellStyle name="60% - Accent6 2" xfId="29" xr:uid="{00000000-0005-0000-0000-00001A000000}"/>
    <cellStyle name="Accent1 - 20%" xfId="30" xr:uid="{00000000-0005-0000-0000-00001B000000}"/>
    <cellStyle name="Accent1 - 40%" xfId="31" xr:uid="{00000000-0005-0000-0000-00001C000000}"/>
    <cellStyle name="Accent1 - 60%" xfId="32" xr:uid="{00000000-0005-0000-0000-00001D000000}"/>
    <cellStyle name="Accent1 2" xfId="33" xr:uid="{00000000-0005-0000-0000-00001E000000}"/>
    <cellStyle name="Accent2 - 20%" xfId="34" xr:uid="{00000000-0005-0000-0000-00001F000000}"/>
    <cellStyle name="Accent2 - 40%" xfId="35" xr:uid="{00000000-0005-0000-0000-000020000000}"/>
    <cellStyle name="Accent2 - 60%" xfId="36" xr:uid="{00000000-0005-0000-0000-000021000000}"/>
    <cellStyle name="Accent2 2" xfId="37" xr:uid="{00000000-0005-0000-0000-000022000000}"/>
    <cellStyle name="Accent3 - 20%" xfId="38" xr:uid="{00000000-0005-0000-0000-000023000000}"/>
    <cellStyle name="Accent3 - 40%" xfId="39" xr:uid="{00000000-0005-0000-0000-000024000000}"/>
    <cellStyle name="Accent3 - 60%" xfId="40" xr:uid="{00000000-0005-0000-0000-000025000000}"/>
    <cellStyle name="Accent3 2" xfId="41" xr:uid="{00000000-0005-0000-0000-000026000000}"/>
    <cellStyle name="Accent4 - 20%" xfId="42" xr:uid="{00000000-0005-0000-0000-000027000000}"/>
    <cellStyle name="Accent4 - 40%" xfId="43" xr:uid="{00000000-0005-0000-0000-000028000000}"/>
    <cellStyle name="Accent4 - 60%" xfId="44" xr:uid="{00000000-0005-0000-0000-000029000000}"/>
    <cellStyle name="Accent4 2" xfId="45" xr:uid="{00000000-0005-0000-0000-00002A000000}"/>
    <cellStyle name="Accent5 - 20%" xfId="46" xr:uid="{00000000-0005-0000-0000-00002B000000}"/>
    <cellStyle name="Accent5 - 40%" xfId="47" xr:uid="{00000000-0005-0000-0000-00002C000000}"/>
    <cellStyle name="Accent5 - 60%" xfId="48" xr:uid="{00000000-0005-0000-0000-00002D000000}"/>
    <cellStyle name="Accent5 2" xfId="49" xr:uid="{00000000-0005-0000-0000-00002E000000}"/>
    <cellStyle name="Accent6 - 20%" xfId="50" xr:uid="{00000000-0005-0000-0000-00002F000000}"/>
    <cellStyle name="Accent6 - 40%" xfId="51" xr:uid="{00000000-0005-0000-0000-000030000000}"/>
    <cellStyle name="Accent6 - 60%" xfId="52" xr:uid="{00000000-0005-0000-0000-000031000000}"/>
    <cellStyle name="Accent6 2" xfId="53" xr:uid="{00000000-0005-0000-0000-000032000000}"/>
    <cellStyle name="Agara" xfId="54" xr:uid="{00000000-0005-0000-0000-000033000000}"/>
    <cellStyle name="Assumptions Right Number" xfId="55" xr:uid="{00000000-0005-0000-0000-000034000000}"/>
    <cellStyle name="Assumptions Right Number 2" xfId="273" xr:uid="{00000000-0005-0000-0000-000035000000}"/>
    <cellStyle name="B79812_.wvu.PrintTitlest" xfId="56" xr:uid="{00000000-0005-0000-0000-000036000000}"/>
    <cellStyle name="Bad 2" xfId="57" xr:uid="{00000000-0005-0000-0000-000037000000}"/>
    <cellStyle name="Black" xfId="58" xr:uid="{00000000-0005-0000-0000-000038000000}"/>
    <cellStyle name="Blockout" xfId="59" xr:uid="{00000000-0005-0000-0000-000039000000}"/>
    <cellStyle name="Blockout 2" xfId="60" xr:uid="{00000000-0005-0000-0000-00003A000000}"/>
    <cellStyle name="Blockout 2 2" xfId="306" xr:uid="{00000000-0005-0000-0000-00003B000000}"/>
    <cellStyle name="Blockout 3" xfId="305" xr:uid="{00000000-0005-0000-0000-00003C000000}"/>
    <cellStyle name="Blue" xfId="61" xr:uid="{00000000-0005-0000-0000-00003D000000}"/>
    <cellStyle name="Calcs_Divider" xfId="62" xr:uid="{00000000-0005-0000-0000-00003E000000}"/>
    <cellStyle name="Calculation 2" xfId="63" xr:uid="{00000000-0005-0000-0000-00003F000000}"/>
    <cellStyle name="Calculation 2 2" xfId="275" xr:uid="{00000000-0005-0000-0000-000040000000}"/>
    <cellStyle name="Check" xfId="64" xr:uid="{00000000-0005-0000-0000-000041000000}"/>
    <cellStyle name="Check 2" xfId="280" xr:uid="{00000000-0005-0000-0000-000042000000}"/>
    <cellStyle name="Check Cell 2" xfId="65" xr:uid="{00000000-0005-0000-0000-000043000000}"/>
    <cellStyle name="Column_Heading_1" xfId="66" xr:uid="{00000000-0005-0000-0000-000044000000}"/>
    <cellStyle name="Comma" xfId="304" builtinId="3"/>
    <cellStyle name="Comma [0]7Z_87C" xfId="67" xr:uid="{00000000-0005-0000-0000-000046000000}"/>
    <cellStyle name="Comma 0" xfId="68" xr:uid="{00000000-0005-0000-0000-000047000000}"/>
    <cellStyle name="Comma 1" xfId="69" xr:uid="{00000000-0005-0000-0000-000048000000}"/>
    <cellStyle name="Comma 1 2" xfId="70" xr:uid="{00000000-0005-0000-0000-000049000000}"/>
    <cellStyle name="Comma 10" xfId="274" xr:uid="{00000000-0005-0000-0000-00004A000000}"/>
    <cellStyle name="Comma 10 2" xfId="334" xr:uid="{00000000-0005-0000-0000-00004B000000}"/>
    <cellStyle name="Comma 11" xfId="269" xr:uid="{00000000-0005-0000-0000-00004C000000}"/>
    <cellStyle name="Comma 11 2" xfId="333" xr:uid="{00000000-0005-0000-0000-00004D000000}"/>
    <cellStyle name="Comma 12" xfId="337" xr:uid="{00000000-0005-0000-0000-00004E000000}"/>
    <cellStyle name="Comma 13" xfId="338" xr:uid="{00000000-0005-0000-0000-00004F000000}"/>
    <cellStyle name="Comma 2" xfId="71" xr:uid="{00000000-0005-0000-0000-000050000000}"/>
    <cellStyle name="Comma 2 2" xfId="72" xr:uid="{00000000-0005-0000-0000-000051000000}"/>
    <cellStyle name="Comma 2 2 2" xfId="308" xr:uid="{00000000-0005-0000-0000-000052000000}"/>
    <cellStyle name="Comma 2 3" xfId="73" xr:uid="{00000000-0005-0000-0000-000053000000}"/>
    <cellStyle name="Comma 2 3 2" xfId="74" xr:uid="{00000000-0005-0000-0000-000054000000}"/>
    <cellStyle name="Comma 2 3 2 2" xfId="310" xr:uid="{00000000-0005-0000-0000-000055000000}"/>
    <cellStyle name="Comma 2 3 3" xfId="309" xr:uid="{00000000-0005-0000-0000-000056000000}"/>
    <cellStyle name="Comma 2 4" xfId="75" xr:uid="{00000000-0005-0000-0000-000057000000}"/>
    <cellStyle name="Comma 2 4 2" xfId="311" xr:uid="{00000000-0005-0000-0000-000058000000}"/>
    <cellStyle name="Comma 2 5" xfId="76" xr:uid="{00000000-0005-0000-0000-000059000000}"/>
    <cellStyle name="Comma 2 5 2" xfId="312" xr:uid="{00000000-0005-0000-0000-00005A000000}"/>
    <cellStyle name="Comma 2 6" xfId="307" xr:uid="{00000000-0005-0000-0000-00005B000000}"/>
    <cellStyle name="Comma 3" xfId="77" xr:uid="{00000000-0005-0000-0000-00005C000000}"/>
    <cellStyle name="Comma 3 2" xfId="78" xr:uid="{00000000-0005-0000-0000-00005D000000}"/>
    <cellStyle name="Comma 3 3" xfId="79" xr:uid="{00000000-0005-0000-0000-00005E000000}"/>
    <cellStyle name="Comma 3 3 2" xfId="313" xr:uid="{00000000-0005-0000-0000-00005F000000}"/>
    <cellStyle name="Comma 4" xfId="80" xr:uid="{00000000-0005-0000-0000-000060000000}"/>
    <cellStyle name="Comma 4 2" xfId="314" xr:uid="{00000000-0005-0000-0000-000061000000}"/>
    <cellStyle name="Comma 5" xfId="81" xr:uid="{00000000-0005-0000-0000-000062000000}"/>
    <cellStyle name="Comma 5 2" xfId="315" xr:uid="{00000000-0005-0000-0000-000063000000}"/>
    <cellStyle name="Comma 6" xfId="82" xr:uid="{00000000-0005-0000-0000-000064000000}"/>
    <cellStyle name="Comma 6 2" xfId="316" xr:uid="{00000000-0005-0000-0000-000065000000}"/>
    <cellStyle name="Comma 7" xfId="83" xr:uid="{00000000-0005-0000-0000-000066000000}"/>
    <cellStyle name="Comma 7 2" xfId="317" xr:uid="{00000000-0005-0000-0000-000067000000}"/>
    <cellStyle name="Comma 8" xfId="84" xr:uid="{00000000-0005-0000-0000-000068000000}"/>
    <cellStyle name="Comma 8 2" xfId="318" xr:uid="{00000000-0005-0000-0000-000069000000}"/>
    <cellStyle name="Comma 9" xfId="267" xr:uid="{00000000-0005-0000-0000-00006A000000}"/>
    <cellStyle name="Comma 9 2" xfId="332" xr:uid="{00000000-0005-0000-0000-00006B000000}"/>
    <cellStyle name="Comma0" xfId="85" xr:uid="{00000000-0005-0000-0000-00006C000000}"/>
    <cellStyle name="Currency 11" xfId="86" xr:uid="{00000000-0005-0000-0000-00006D000000}"/>
    <cellStyle name="Currency 11 2" xfId="87" xr:uid="{00000000-0005-0000-0000-00006E000000}"/>
    <cellStyle name="Currency 11 2 2" xfId="320" xr:uid="{00000000-0005-0000-0000-00006F000000}"/>
    <cellStyle name="Currency 11 3" xfId="319" xr:uid="{00000000-0005-0000-0000-000070000000}"/>
    <cellStyle name="Currency 2" xfId="88" xr:uid="{00000000-0005-0000-0000-000071000000}"/>
    <cellStyle name="Currency 2 2" xfId="89" xr:uid="{00000000-0005-0000-0000-000072000000}"/>
    <cellStyle name="Currency 2 2 2" xfId="322" xr:uid="{00000000-0005-0000-0000-000073000000}"/>
    <cellStyle name="Currency 2 3" xfId="321" xr:uid="{00000000-0005-0000-0000-000074000000}"/>
    <cellStyle name="Currency 3" xfId="90" xr:uid="{00000000-0005-0000-0000-000075000000}"/>
    <cellStyle name="Currency 3 2" xfId="91" xr:uid="{00000000-0005-0000-0000-000076000000}"/>
    <cellStyle name="Currency 3 2 2" xfId="324" xr:uid="{00000000-0005-0000-0000-000077000000}"/>
    <cellStyle name="Currency 3 3" xfId="323" xr:uid="{00000000-0005-0000-0000-000078000000}"/>
    <cellStyle name="Currency 4" xfId="92" xr:uid="{00000000-0005-0000-0000-000079000000}"/>
    <cellStyle name="Currency 4 2" xfId="93" xr:uid="{00000000-0005-0000-0000-00007A000000}"/>
    <cellStyle name="Currency 4 2 2" xfId="326" xr:uid="{00000000-0005-0000-0000-00007B000000}"/>
    <cellStyle name="Currency 4 3" xfId="325" xr:uid="{00000000-0005-0000-0000-00007C000000}"/>
    <cellStyle name="Currency 5" xfId="94" xr:uid="{00000000-0005-0000-0000-00007D000000}"/>
    <cellStyle name="Currency 5 2" xfId="284" xr:uid="{00000000-0005-0000-0000-00007E000000}"/>
    <cellStyle name="Currency 5 2 2" xfId="335" xr:uid="{00000000-0005-0000-0000-00007F000000}"/>
    <cellStyle name="Currency 5 3" xfId="327" xr:uid="{00000000-0005-0000-0000-000080000000}"/>
    <cellStyle name="D4_B8B1_005004B79812_.wvu.PrintTitlest" xfId="95" xr:uid="{00000000-0005-0000-0000-000081000000}"/>
    <cellStyle name="Date" xfId="96" xr:uid="{00000000-0005-0000-0000-000082000000}"/>
    <cellStyle name="Date 2" xfId="97" xr:uid="{00000000-0005-0000-0000-000083000000}"/>
    <cellStyle name="Emphasis 1" xfId="98" xr:uid="{00000000-0005-0000-0000-000084000000}"/>
    <cellStyle name="Emphasis 2" xfId="99" xr:uid="{00000000-0005-0000-0000-000085000000}"/>
    <cellStyle name="Emphasis 3" xfId="100" xr:uid="{00000000-0005-0000-0000-000086000000}"/>
    <cellStyle name="Empty_Cell" xfId="101" xr:uid="{00000000-0005-0000-0000-000087000000}"/>
    <cellStyle name="Euro" xfId="102" xr:uid="{00000000-0005-0000-0000-000088000000}"/>
    <cellStyle name="Explanatory Text 2" xfId="103" xr:uid="{00000000-0005-0000-0000-000089000000}"/>
    <cellStyle name="Fixed" xfId="104" xr:uid="{00000000-0005-0000-0000-00008A000000}"/>
    <cellStyle name="Fixed 2" xfId="105" xr:uid="{00000000-0005-0000-0000-00008B000000}"/>
    <cellStyle name="Gilsans" xfId="106" xr:uid="{00000000-0005-0000-0000-00008C000000}"/>
    <cellStyle name="Gilsansl" xfId="107" xr:uid="{00000000-0005-0000-0000-00008D000000}"/>
    <cellStyle name="Good 2" xfId="108" xr:uid="{00000000-0005-0000-0000-00008E000000}"/>
    <cellStyle name="Header1" xfId="109" xr:uid="{00000000-0005-0000-0000-00008F000000}"/>
    <cellStyle name="Header2" xfId="110" xr:uid="{00000000-0005-0000-0000-000090000000}"/>
    <cellStyle name="Header3" xfId="111" xr:uid="{00000000-0005-0000-0000-000091000000}"/>
    <cellStyle name="Header4" xfId="112" xr:uid="{00000000-0005-0000-0000-000092000000}"/>
    <cellStyle name="Header5" xfId="113" xr:uid="{00000000-0005-0000-0000-000093000000}"/>
    <cellStyle name="Heading 1 2" xfId="114" xr:uid="{00000000-0005-0000-0000-000094000000}"/>
    <cellStyle name="Heading 1 2 2" xfId="115" xr:uid="{00000000-0005-0000-0000-000095000000}"/>
    <cellStyle name="Heading 1 3" xfId="116" xr:uid="{00000000-0005-0000-0000-000096000000}"/>
    <cellStyle name="Heading 2 2" xfId="117" xr:uid="{00000000-0005-0000-0000-000097000000}"/>
    <cellStyle name="Heading 2 2 2" xfId="118" xr:uid="{00000000-0005-0000-0000-000098000000}"/>
    <cellStyle name="Heading 2 3" xfId="119" xr:uid="{00000000-0005-0000-0000-000099000000}"/>
    <cellStyle name="Heading 3 2" xfId="120" xr:uid="{00000000-0005-0000-0000-00009A000000}"/>
    <cellStyle name="Heading 3 2 2" xfId="121" xr:uid="{00000000-0005-0000-0000-00009B000000}"/>
    <cellStyle name="Heading 3 3" xfId="122" xr:uid="{00000000-0005-0000-0000-00009C000000}"/>
    <cellStyle name="Heading 4 2" xfId="123" xr:uid="{00000000-0005-0000-0000-00009D000000}"/>
    <cellStyle name="Heading 4 2 2" xfId="124" xr:uid="{00000000-0005-0000-0000-00009E000000}"/>
    <cellStyle name="Heading 4 3" xfId="125" xr:uid="{00000000-0005-0000-0000-00009F000000}"/>
    <cellStyle name="Heading(4)" xfId="126" xr:uid="{00000000-0005-0000-0000-0000A0000000}"/>
    <cellStyle name="Hyperlink" xfId="2" builtinId="8"/>
    <cellStyle name="Hyperlink 2" xfId="127" xr:uid="{00000000-0005-0000-0000-0000A2000000}"/>
    <cellStyle name="Hyperlink 3" xfId="263" xr:uid="{00000000-0005-0000-0000-0000A3000000}"/>
    <cellStyle name="Hyperlink 4" xfId="282" xr:uid="{00000000-0005-0000-0000-0000A4000000}"/>
    <cellStyle name="Hyperlink Arrow" xfId="128" xr:uid="{00000000-0005-0000-0000-0000A5000000}"/>
    <cellStyle name="Hyperlink Text" xfId="129" xr:uid="{00000000-0005-0000-0000-0000A6000000}"/>
    <cellStyle name="import" xfId="293" xr:uid="{00000000-0005-0000-0000-0000A7000000}"/>
    <cellStyle name="import%" xfId="294" xr:uid="{00000000-0005-0000-0000-0000A8000000}"/>
    <cellStyle name="import_ICRC Electricity model 1-1  (1 Feb 2003) " xfId="295" xr:uid="{00000000-0005-0000-0000-0000A9000000}"/>
    <cellStyle name="Input" xfId="1" builtinId="20"/>
    <cellStyle name="Input 2" xfId="130" xr:uid="{00000000-0005-0000-0000-0000AB000000}"/>
    <cellStyle name="Input 2 2" xfId="276" xr:uid="{00000000-0005-0000-0000-0000AC000000}"/>
    <cellStyle name="Input|Date" xfId="131" xr:uid="{00000000-0005-0000-0000-0000AD000000}"/>
    <cellStyle name="Input1" xfId="132" xr:uid="{00000000-0005-0000-0000-0000AE000000}"/>
    <cellStyle name="Input1 2" xfId="133" xr:uid="{00000000-0005-0000-0000-0000AF000000}"/>
    <cellStyle name="Input1 2 2" xfId="329" xr:uid="{00000000-0005-0000-0000-0000B0000000}"/>
    <cellStyle name="Input1 3" xfId="296" xr:uid="{00000000-0005-0000-0000-0000B1000000}"/>
    <cellStyle name="Input1 3 2" xfId="336" xr:uid="{00000000-0005-0000-0000-0000B2000000}"/>
    <cellStyle name="Input1 4" xfId="328" xr:uid="{00000000-0005-0000-0000-0000B3000000}"/>
    <cellStyle name="Input1%" xfId="297" xr:uid="{00000000-0005-0000-0000-0000B4000000}"/>
    <cellStyle name="Input1_ICRC Electricity model 1-1  (1 Feb 2003) " xfId="298" xr:uid="{00000000-0005-0000-0000-0000B5000000}"/>
    <cellStyle name="Input1default" xfId="299" xr:uid="{00000000-0005-0000-0000-0000B6000000}"/>
    <cellStyle name="Input1default%" xfId="300" xr:uid="{00000000-0005-0000-0000-0000B7000000}"/>
    <cellStyle name="Input2" xfId="134" xr:uid="{00000000-0005-0000-0000-0000B8000000}"/>
    <cellStyle name="Input2 2" xfId="135" xr:uid="{00000000-0005-0000-0000-0000B9000000}"/>
    <cellStyle name="Input3" xfId="136" xr:uid="{00000000-0005-0000-0000-0000BA000000}"/>
    <cellStyle name="Input3 2" xfId="137" xr:uid="{00000000-0005-0000-0000-0000BB000000}"/>
    <cellStyle name="Input3 2 2" xfId="331" xr:uid="{00000000-0005-0000-0000-0000BC000000}"/>
    <cellStyle name="Input3 3" xfId="330" xr:uid="{00000000-0005-0000-0000-0000BD000000}"/>
    <cellStyle name="Inputs_Divider" xfId="138" xr:uid="{00000000-0005-0000-0000-0000BE000000}"/>
    <cellStyle name="InSheet" xfId="139" xr:uid="{00000000-0005-0000-0000-0000BF000000}"/>
    <cellStyle name="key result" xfId="301" xr:uid="{00000000-0005-0000-0000-0000C0000000}"/>
    <cellStyle name="Lines" xfId="140" xr:uid="{00000000-0005-0000-0000-0000C1000000}"/>
    <cellStyle name="Linked Cell 2" xfId="141" xr:uid="{00000000-0005-0000-0000-0000C2000000}"/>
    <cellStyle name="Local import" xfId="302" xr:uid="{00000000-0005-0000-0000-0000C3000000}"/>
    <cellStyle name="Local import %" xfId="303" xr:uid="{00000000-0005-0000-0000-0000C4000000}"/>
    <cellStyle name="Mine" xfId="142" xr:uid="{00000000-0005-0000-0000-0000C5000000}"/>
    <cellStyle name="Model Name" xfId="143" xr:uid="{00000000-0005-0000-0000-0000C6000000}"/>
    <cellStyle name="Neutral 2" xfId="144" xr:uid="{00000000-0005-0000-0000-0000C7000000}"/>
    <cellStyle name="Normal" xfId="0" builtinId="0"/>
    <cellStyle name="Normal - Style1" xfId="145" xr:uid="{00000000-0005-0000-0000-0000C9000000}"/>
    <cellStyle name="Normal 10" xfId="146" xr:uid="{00000000-0005-0000-0000-0000CA000000}"/>
    <cellStyle name="Normal 10 2" xfId="285" xr:uid="{00000000-0005-0000-0000-0000CB000000}"/>
    <cellStyle name="Normal 11" xfId="265" xr:uid="{00000000-0005-0000-0000-0000CC000000}"/>
    <cellStyle name="Normal 12" xfId="281" xr:uid="{00000000-0005-0000-0000-0000CD000000}"/>
    <cellStyle name="Normal 13" xfId="147" xr:uid="{00000000-0005-0000-0000-0000CE000000}"/>
    <cellStyle name="Normal 13 2" xfId="148" xr:uid="{00000000-0005-0000-0000-0000CF000000}"/>
    <cellStyle name="Normal 13_29(d) - Gas extensions -tariffs" xfId="149" xr:uid="{00000000-0005-0000-0000-0000D0000000}"/>
    <cellStyle name="Normal 14" xfId="271" xr:uid="{00000000-0005-0000-0000-0000D1000000}"/>
    <cellStyle name="Normal 15" xfId="150" xr:uid="{00000000-0005-0000-0000-0000D2000000}"/>
    <cellStyle name="Normal 16" xfId="151" xr:uid="{00000000-0005-0000-0000-0000D3000000}"/>
    <cellStyle name="Normal 2" xfId="3" xr:uid="{00000000-0005-0000-0000-0000D4000000}"/>
    <cellStyle name="Normal 2 2" xfId="152" xr:uid="{00000000-0005-0000-0000-0000D5000000}"/>
    <cellStyle name="Normal 2 2 2" xfId="153" xr:uid="{00000000-0005-0000-0000-0000D6000000}"/>
    <cellStyle name="Normal 2 3" xfId="154" xr:uid="{00000000-0005-0000-0000-0000D7000000}"/>
    <cellStyle name="Normal 2 3 2" xfId="155" xr:uid="{00000000-0005-0000-0000-0000D8000000}"/>
    <cellStyle name="Normal 2 3_29(d) - Gas extensions -tariffs" xfId="156" xr:uid="{00000000-0005-0000-0000-0000D9000000}"/>
    <cellStyle name="Normal 2 4" xfId="157" xr:uid="{00000000-0005-0000-0000-0000DA000000}"/>
    <cellStyle name="Normal 2 5" xfId="158" xr:uid="{00000000-0005-0000-0000-0000DB000000}"/>
    <cellStyle name="Normal 2 6" xfId="283" xr:uid="{00000000-0005-0000-0000-0000DC000000}"/>
    <cellStyle name="Normal 2 7" xfId="340" xr:uid="{0C425CBE-2BDC-441D-976A-46D3A53055D0}"/>
    <cellStyle name="Normal 2_29(d) - Gas extensions -tariffs" xfId="159" xr:uid="{00000000-0005-0000-0000-0000DD000000}"/>
    <cellStyle name="Normal 3" xfId="160" xr:uid="{00000000-0005-0000-0000-0000DE000000}"/>
    <cellStyle name="Normal 3 2" xfId="161" xr:uid="{00000000-0005-0000-0000-0000DF000000}"/>
    <cellStyle name="Normal 3 3" xfId="290" xr:uid="{00000000-0005-0000-0000-0000E0000000}"/>
    <cellStyle name="Normal 3 4" xfId="339" xr:uid="{FF8D50DD-4E79-4128-A000-A74D3894EF1E}"/>
    <cellStyle name="Normal 3_29(d) - Gas extensions -tariffs" xfId="162" xr:uid="{00000000-0005-0000-0000-0000E1000000}"/>
    <cellStyle name="Normal 34" xfId="270" xr:uid="{00000000-0005-0000-0000-0000E2000000}"/>
    <cellStyle name="Normal 38" xfId="163" xr:uid="{00000000-0005-0000-0000-0000E3000000}"/>
    <cellStyle name="Normal 38 2" xfId="164" xr:uid="{00000000-0005-0000-0000-0000E4000000}"/>
    <cellStyle name="Normal 38_29(d) - Gas extensions -tariffs" xfId="165" xr:uid="{00000000-0005-0000-0000-0000E5000000}"/>
    <cellStyle name="Normal 4" xfId="166" xr:uid="{00000000-0005-0000-0000-0000E6000000}"/>
    <cellStyle name="Normal 4 2" xfId="167" xr:uid="{00000000-0005-0000-0000-0000E7000000}"/>
    <cellStyle name="Normal 4 3" xfId="168" xr:uid="{00000000-0005-0000-0000-0000E8000000}"/>
    <cellStyle name="Normal 4 3 2" xfId="286" xr:uid="{00000000-0005-0000-0000-0000E9000000}"/>
    <cellStyle name="Normal 4_29(d) - Gas extensions -tariffs" xfId="169" xr:uid="{00000000-0005-0000-0000-0000EA000000}"/>
    <cellStyle name="Normal 40" xfId="170" xr:uid="{00000000-0005-0000-0000-0000EB000000}"/>
    <cellStyle name="Normal 40 2" xfId="171" xr:uid="{00000000-0005-0000-0000-0000EC000000}"/>
    <cellStyle name="Normal 40_29(d) - Gas extensions -tariffs" xfId="172" xr:uid="{00000000-0005-0000-0000-0000ED000000}"/>
    <cellStyle name="Normal 5" xfId="173" xr:uid="{00000000-0005-0000-0000-0000EE000000}"/>
    <cellStyle name="Normal 5 2" xfId="174" xr:uid="{00000000-0005-0000-0000-0000EF000000}"/>
    <cellStyle name="Normal 6" xfId="175" xr:uid="{00000000-0005-0000-0000-0000F0000000}"/>
    <cellStyle name="Normal 6 2" xfId="176" xr:uid="{00000000-0005-0000-0000-0000F1000000}"/>
    <cellStyle name="Normal 7" xfId="177" xr:uid="{00000000-0005-0000-0000-0000F2000000}"/>
    <cellStyle name="Normal 7 2" xfId="178" xr:uid="{00000000-0005-0000-0000-0000F3000000}"/>
    <cellStyle name="Normal 7 2 2" xfId="287" xr:uid="{00000000-0005-0000-0000-0000F4000000}"/>
    <cellStyle name="Normal 8" xfId="179" xr:uid="{00000000-0005-0000-0000-0000F5000000}"/>
    <cellStyle name="Normal 9" xfId="180" xr:uid="{00000000-0005-0000-0000-0000F6000000}"/>
    <cellStyle name="Note 2" xfId="181" xr:uid="{00000000-0005-0000-0000-0000F7000000}"/>
    <cellStyle name="Note 2 2" xfId="277" xr:uid="{00000000-0005-0000-0000-0000F8000000}"/>
    <cellStyle name="OffSheet" xfId="182" xr:uid="{00000000-0005-0000-0000-0000F9000000}"/>
    <cellStyle name="Output 2" xfId="183" xr:uid="{00000000-0005-0000-0000-0000FA000000}"/>
    <cellStyle name="Output 2 2" xfId="278" xr:uid="{00000000-0005-0000-0000-0000FB000000}"/>
    <cellStyle name="Percent" xfId="268" builtinId="5"/>
    <cellStyle name="Percent [2]" xfId="184" xr:uid="{00000000-0005-0000-0000-0000FD000000}"/>
    <cellStyle name="Percent [2] 2" xfId="185" xr:uid="{00000000-0005-0000-0000-0000FE000000}"/>
    <cellStyle name="Percent [2]_29(d) - Gas extensions -tariffs" xfId="186" xr:uid="{00000000-0005-0000-0000-0000FF000000}"/>
    <cellStyle name="Percent 10" xfId="272" xr:uid="{00000000-0005-0000-0000-000000010000}"/>
    <cellStyle name="Percent 2" xfId="187" xr:uid="{00000000-0005-0000-0000-000001010000}"/>
    <cellStyle name="Percent 2 2" xfId="188" xr:uid="{00000000-0005-0000-0000-000002010000}"/>
    <cellStyle name="Percent 2 3" xfId="291" xr:uid="{00000000-0005-0000-0000-000003010000}"/>
    <cellStyle name="Percent 3" xfId="189" xr:uid="{00000000-0005-0000-0000-000004010000}"/>
    <cellStyle name="Percent 3 2" xfId="190" xr:uid="{00000000-0005-0000-0000-000005010000}"/>
    <cellStyle name="Percent 4" xfId="191" xr:uid="{00000000-0005-0000-0000-000006010000}"/>
    <cellStyle name="Percent 5" xfId="192" xr:uid="{00000000-0005-0000-0000-000007010000}"/>
    <cellStyle name="Percent 5 2" xfId="288" xr:uid="{00000000-0005-0000-0000-000008010000}"/>
    <cellStyle name="Percent 6" xfId="264" xr:uid="{00000000-0005-0000-0000-000009010000}"/>
    <cellStyle name="Percent 7" xfId="193" xr:uid="{00000000-0005-0000-0000-00000A010000}"/>
    <cellStyle name="Percent 8" xfId="266" xr:uid="{00000000-0005-0000-0000-00000B010000}"/>
    <cellStyle name="Percent 9" xfId="289" xr:uid="{00000000-0005-0000-0000-00000C010000}"/>
    <cellStyle name="Percentage" xfId="194" xr:uid="{00000000-0005-0000-0000-00000D010000}"/>
    <cellStyle name="Period Title" xfId="195" xr:uid="{00000000-0005-0000-0000-00000E010000}"/>
    <cellStyle name="PSChar" xfId="196" xr:uid="{00000000-0005-0000-0000-00000F010000}"/>
    <cellStyle name="PSDate" xfId="197" xr:uid="{00000000-0005-0000-0000-000010010000}"/>
    <cellStyle name="PSDec" xfId="198" xr:uid="{00000000-0005-0000-0000-000011010000}"/>
    <cellStyle name="PSDetail" xfId="199" xr:uid="{00000000-0005-0000-0000-000012010000}"/>
    <cellStyle name="PSHeading" xfId="200" xr:uid="{00000000-0005-0000-0000-000013010000}"/>
    <cellStyle name="PSInt" xfId="201" xr:uid="{00000000-0005-0000-0000-000014010000}"/>
    <cellStyle name="PSSpacer" xfId="202" xr:uid="{00000000-0005-0000-0000-000015010000}"/>
    <cellStyle name="Ratio" xfId="203" xr:uid="{00000000-0005-0000-0000-000016010000}"/>
    <cellStyle name="Ratio 2" xfId="204" xr:uid="{00000000-0005-0000-0000-000017010000}"/>
    <cellStyle name="Ratio_29(d) - Gas extensions -tariffs" xfId="205" xr:uid="{00000000-0005-0000-0000-000018010000}"/>
    <cellStyle name="Right Date" xfId="206" xr:uid="{00000000-0005-0000-0000-000019010000}"/>
    <cellStyle name="Right Number" xfId="207" xr:uid="{00000000-0005-0000-0000-00001A010000}"/>
    <cellStyle name="Right Year" xfId="208" xr:uid="{00000000-0005-0000-0000-00001B010000}"/>
    <cellStyle name="SAPError" xfId="209" xr:uid="{00000000-0005-0000-0000-00001C010000}"/>
    <cellStyle name="SAPError 2" xfId="210" xr:uid="{00000000-0005-0000-0000-00001D010000}"/>
    <cellStyle name="SAPKey" xfId="211" xr:uid="{00000000-0005-0000-0000-00001E010000}"/>
    <cellStyle name="SAPKey 2" xfId="212" xr:uid="{00000000-0005-0000-0000-00001F010000}"/>
    <cellStyle name="SAPLocked" xfId="213" xr:uid="{00000000-0005-0000-0000-000020010000}"/>
    <cellStyle name="SAPLocked 2" xfId="214" xr:uid="{00000000-0005-0000-0000-000021010000}"/>
    <cellStyle name="SAPOutput" xfId="215" xr:uid="{00000000-0005-0000-0000-000022010000}"/>
    <cellStyle name="SAPOutput 2" xfId="216" xr:uid="{00000000-0005-0000-0000-000023010000}"/>
    <cellStyle name="SAPSpace" xfId="217" xr:uid="{00000000-0005-0000-0000-000024010000}"/>
    <cellStyle name="SAPSpace 2" xfId="218" xr:uid="{00000000-0005-0000-0000-000025010000}"/>
    <cellStyle name="SAPText" xfId="219" xr:uid="{00000000-0005-0000-0000-000026010000}"/>
    <cellStyle name="SAPText 2" xfId="220" xr:uid="{00000000-0005-0000-0000-000027010000}"/>
    <cellStyle name="SAPUnLocked" xfId="221" xr:uid="{00000000-0005-0000-0000-000028010000}"/>
    <cellStyle name="SAPUnLocked 2" xfId="222" xr:uid="{00000000-0005-0000-0000-000029010000}"/>
    <cellStyle name="Sheet Title" xfId="223" xr:uid="{00000000-0005-0000-0000-00002A010000}"/>
    <cellStyle name="SheetHeader1" xfId="224" xr:uid="{00000000-0005-0000-0000-00002B010000}"/>
    <cellStyle name="SheetHeader2" xfId="225" xr:uid="{00000000-0005-0000-0000-00002C010000}"/>
    <cellStyle name="SheetHeader3" xfId="226" xr:uid="{00000000-0005-0000-0000-00002D010000}"/>
    <cellStyle name="Style 1" xfId="227" xr:uid="{00000000-0005-0000-0000-00002E010000}"/>
    <cellStyle name="Style 1 2" xfId="228" xr:uid="{00000000-0005-0000-0000-00002F010000}"/>
    <cellStyle name="Style 1_29(d) - Gas extensions -tariffs" xfId="229" xr:uid="{00000000-0005-0000-0000-000030010000}"/>
    <cellStyle name="Style2" xfId="230" xr:uid="{00000000-0005-0000-0000-000031010000}"/>
    <cellStyle name="Style3" xfId="231" xr:uid="{00000000-0005-0000-0000-000032010000}"/>
    <cellStyle name="Style4" xfId="232" xr:uid="{00000000-0005-0000-0000-000033010000}"/>
    <cellStyle name="Style4 2" xfId="233" xr:uid="{00000000-0005-0000-0000-000034010000}"/>
    <cellStyle name="Style4_29(d) - Gas extensions -tariffs" xfId="234" xr:uid="{00000000-0005-0000-0000-000035010000}"/>
    <cellStyle name="Style5" xfId="235" xr:uid="{00000000-0005-0000-0000-000036010000}"/>
    <cellStyle name="Style5 2" xfId="236" xr:uid="{00000000-0005-0000-0000-000037010000}"/>
    <cellStyle name="Style5_29(d) - Gas extensions -tariffs" xfId="237" xr:uid="{00000000-0005-0000-0000-000038010000}"/>
    <cellStyle name="Table Head Green" xfId="238" xr:uid="{00000000-0005-0000-0000-000039010000}"/>
    <cellStyle name="Table Head_pldt" xfId="239" xr:uid="{00000000-0005-0000-0000-00003A010000}"/>
    <cellStyle name="Table Source" xfId="240" xr:uid="{00000000-0005-0000-0000-00003B010000}"/>
    <cellStyle name="Table Units" xfId="241" xr:uid="{00000000-0005-0000-0000-00003C010000}"/>
    <cellStyle name="Table_Heading" xfId="242" xr:uid="{00000000-0005-0000-0000-00003D010000}"/>
    <cellStyle name="Technical_Input" xfId="243" xr:uid="{00000000-0005-0000-0000-00003E010000}"/>
    <cellStyle name="Text" xfId="244" xr:uid="{00000000-0005-0000-0000-00003F010000}"/>
    <cellStyle name="Text 2" xfId="245" xr:uid="{00000000-0005-0000-0000-000040010000}"/>
    <cellStyle name="Text 3" xfId="246" xr:uid="{00000000-0005-0000-0000-000041010000}"/>
    <cellStyle name="Text Head 1" xfId="247" xr:uid="{00000000-0005-0000-0000-000042010000}"/>
    <cellStyle name="Text Head 2" xfId="248" xr:uid="{00000000-0005-0000-0000-000043010000}"/>
    <cellStyle name="Text Indent 2" xfId="249" xr:uid="{00000000-0005-0000-0000-000044010000}"/>
    <cellStyle name="Theirs" xfId="250" xr:uid="{00000000-0005-0000-0000-000045010000}"/>
    <cellStyle name="Title 2" xfId="251" xr:uid="{00000000-0005-0000-0000-000046010000}"/>
    <cellStyle name="TOC 1" xfId="252" xr:uid="{00000000-0005-0000-0000-000047010000}"/>
    <cellStyle name="TOC 2" xfId="253" xr:uid="{00000000-0005-0000-0000-000048010000}"/>
    <cellStyle name="TOC 3" xfId="254" xr:uid="{00000000-0005-0000-0000-000049010000}"/>
    <cellStyle name="Total 2" xfId="255" xr:uid="{00000000-0005-0000-0000-00004A010000}"/>
    <cellStyle name="Total 2 2" xfId="279" xr:uid="{00000000-0005-0000-0000-00004B010000}"/>
    <cellStyle name="Totals" xfId="256" xr:uid="{00000000-0005-0000-0000-00004C010000}"/>
    <cellStyle name="unit" xfId="257" xr:uid="{00000000-0005-0000-0000-00004D010000}"/>
    <cellStyle name="User_Input" xfId="258" xr:uid="{00000000-0005-0000-0000-00004E010000}"/>
    <cellStyle name="Warning Text 2" xfId="259" xr:uid="{00000000-0005-0000-0000-00004F010000}"/>
    <cellStyle name="year" xfId="260" xr:uid="{00000000-0005-0000-0000-000050010000}"/>
    <cellStyle name="year 2" xfId="261" xr:uid="{00000000-0005-0000-0000-000051010000}"/>
    <cellStyle name="year_29(d) - Gas extensions -tariffs" xfId="262" xr:uid="{00000000-0005-0000-0000-000052010000}"/>
  </cellStyles>
  <dxfs count="7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rgb="FFFFFFFF"/>
        </patternFill>
      </fill>
      <border>
        <left/>
        <right/>
        <top/>
        <bottom/>
        <vertical/>
        <horizontal/>
      </border>
    </dxf>
  </dxfs>
  <tableStyles count="1" defaultTableStyle="TableStyleMedium2" defaultPivotStyle="PivotStyleLight16">
    <tableStyle name="Invisible" pivot="0" table="0" count="0" xr9:uid="{473E95F1-9661-4895-8634-6E7ED97719E4}"/>
  </tableStyles>
  <colors>
    <mruColors>
      <color rgb="FFFFFF99"/>
      <color rgb="FFDAEEF3"/>
      <color rgb="FFFF00FF"/>
      <color rgb="FF0000FF"/>
      <color rgb="FF006100"/>
      <color rgb="FFC6EFCE"/>
      <color rgb="FFFFCC99"/>
      <color rgb="FFCCFFCC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>
    <tabColor theme="1"/>
    <pageSetUpPr autoPageBreaks="0"/>
  </sheetPr>
  <dimension ref="A1:AB16"/>
  <sheetViews>
    <sheetView zoomScale="130" zoomScaleNormal="130" workbookViewId="0"/>
  </sheetViews>
  <sheetFormatPr defaultColWidth="0" defaultRowHeight="18" customHeight="1" zeroHeight="1"/>
  <cols>
    <col min="1" max="2" width="1.33203125" style="2" customWidth="1"/>
    <col min="3" max="3" width="26.44140625" style="1" customWidth="1"/>
    <col min="4" max="4" width="79.33203125" style="1" customWidth="1"/>
    <col min="5" max="5" width="2.6640625" style="1" customWidth="1"/>
    <col min="6" max="6" width="2.6640625" style="2" customWidth="1"/>
    <col min="7" max="28" width="12.6640625" style="2" hidden="1" customWidth="1"/>
    <col min="29" max="16384" width="9.33203125" style="2" hidden="1"/>
  </cols>
  <sheetData>
    <row r="1" spans="2:4" s="5" customFormat="1" ht="18" customHeight="1">
      <c r="B1" s="3" t="str">
        <f>'Input | General'!$B$1</f>
        <v>CitiPower 2026-31 Revised proposal - Capital expenditure sharing scheme model</v>
      </c>
      <c r="D1" s="4"/>
    </row>
    <row r="2" spans="2:4" ht="18" customHeight="1">
      <c r="B2" s="28" t="s">
        <v>32</v>
      </c>
    </row>
    <row r="3" spans="2:4" ht="18" customHeight="1">
      <c r="B3" s="28"/>
    </row>
    <row r="4" spans="2:4" ht="18" customHeight="1">
      <c r="B4" s="166"/>
      <c r="C4" s="167" t="s">
        <v>143</v>
      </c>
      <c r="D4" s="167"/>
    </row>
    <row r="5" spans="2:4" ht="14.7" customHeight="1">
      <c r="C5" s="2"/>
    </row>
    <row r="6" spans="2:4" s="8" customFormat="1" ht="12.75" customHeight="1">
      <c r="C6" s="23" t="s">
        <v>33</v>
      </c>
      <c r="D6" s="7"/>
    </row>
    <row r="7" spans="2:4" ht="11.25" customHeight="1"/>
    <row r="8" spans="2:4" ht="11.25" customHeight="1">
      <c r="C8" s="25" t="s">
        <v>34</v>
      </c>
      <c r="D8" s="25" t="s">
        <v>35</v>
      </c>
    </row>
    <row r="9" spans="2:4" ht="11.25" customHeight="1">
      <c r="C9" s="93" t="s">
        <v>37</v>
      </c>
      <c r="D9" s="26" t="s">
        <v>48</v>
      </c>
    </row>
    <row r="10" spans="2:4" ht="11.25" customHeight="1">
      <c r="C10" s="93" t="s">
        <v>105</v>
      </c>
      <c r="D10" s="26" t="s">
        <v>104</v>
      </c>
    </row>
    <row r="11" spans="2:4" ht="11.25" customHeight="1">
      <c r="C11" s="93" t="s">
        <v>79</v>
      </c>
      <c r="D11" s="26" t="s">
        <v>40</v>
      </c>
    </row>
    <row r="12" spans="2:4" ht="11.25" customHeight="1">
      <c r="C12" s="93" t="s">
        <v>82</v>
      </c>
      <c r="D12" s="26" t="s">
        <v>41</v>
      </c>
    </row>
    <row r="13" spans="2:4" ht="11.25" customHeight="1">
      <c r="C13" s="93" t="s">
        <v>106</v>
      </c>
      <c r="D13" s="26" t="s">
        <v>78</v>
      </c>
    </row>
    <row r="14" spans="2:4" ht="11.25" customHeight="1">
      <c r="C14" s="93" t="s">
        <v>107</v>
      </c>
      <c r="D14" s="26" t="s">
        <v>83</v>
      </c>
    </row>
    <row r="15" spans="2:4" ht="12.75" customHeight="1"/>
    <row r="16" spans="2:4" s="8" customFormat="1" ht="12.75" customHeight="1">
      <c r="C16" s="23" t="s">
        <v>36</v>
      </c>
      <c r="D16" s="7"/>
    </row>
  </sheetData>
  <hyperlinks>
    <hyperlink ref="C9" location="'Input | General'!A1" display="Input | General" xr:uid="{00000000-0004-0000-0000-000000000000}"/>
    <hyperlink ref="C11" location="'Input | Reported Capex'!A1" display="Input | Reported Capex" xr:uid="{00000000-0004-0000-0000-000001000000}"/>
    <hyperlink ref="C10" location="'Input | Inflation and Disc Rate'!A1" display="Input | Inflation and Disc Rate" xr:uid="{00000000-0004-0000-0000-000002000000}"/>
    <hyperlink ref="C12" location="'Calc | CESS Revenue Increments'!A1" display="Calc | CESS Revenue Increments" xr:uid="{00000000-0004-0000-0000-000003000000}"/>
    <hyperlink ref="C13" location="Index!A1" display="Output | Models" xr:uid="{00000000-0004-0000-0000-000004000000}"/>
    <hyperlink ref="C14" location="Index!A1" display="Lookup | Tables" xr:uid="{00000000-0004-0000-0000-000005000000}"/>
  </hyperlinks>
  <pageMargins left="0.7" right="0.7" top="0.75" bottom="0.75" header="0.3" footer="0.3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99"/>
  </sheetPr>
  <dimension ref="A1:V21"/>
  <sheetViews>
    <sheetView zoomScale="130" zoomScaleNormal="130" workbookViewId="0">
      <selection activeCell="J1" sqref="J1"/>
    </sheetView>
  </sheetViews>
  <sheetFormatPr defaultColWidth="0" defaultRowHeight="0" customHeight="1" zeroHeight="1"/>
  <cols>
    <col min="1" max="2" width="1.33203125" style="11" customWidth="1"/>
    <col min="3" max="3" width="56.6640625" style="12" customWidth="1"/>
    <col min="4" max="4" width="14.6640625" style="11" customWidth="1"/>
    <col min="5" max="8" width="12.6640625" style="11" customWidth="1"/>
    <col min="9" max="10" width="9.33203125" style="11" customWidth="1"/>
    <col min="11" max="12" width="2.6640625" style="11" customWidth="1"/>
    <col min="13" max="22" width="9.33203125" style="11" hidden="1" customWidth="1"/>
    <col min="23" max="16384" width="12.6640625" style="11" hidden="1"/>
  </cols>
  <sheetData>
    <row r="1" spans="2:10" s="2" customFormat="1" ht="18" customHeight="1">
      <c r="B1" s="3" t="str">
        <f>$D$6&amp;" "&amp;$D$8&amp;" "&amp;D7&amp;" - "&amp;"Capital expenditure sharing scheme model"</f>
        <v>CitiPower 2026-31 Revised proposal - Capital expenditure sharing scheme model</v>
      </c>
      <c r="F1" s="90"/>
      <c r="G1" s="91" t="s">
        <v>49</v>
      </c>
      <c r="H1" s="123" t="s">
        <v>50</v>
      </c>
      <c r="I1" s="156" t="s">
        <v>136</v>
      </c>
      <c r="J1" s="209" t="s">
        <v>170</v>
      </c>
    </row>
    <row r="2" spans="2:10" s="2" customFormat="1" ht="18" customHeight="1">
      <c r="B2" s="10" t="s">
        <v>37</v>
      </c>
    </row>
    <row r="3" spans="2:10" s="2" customFormat="1" ht="3" customHeight="1">
      <c r="B3" s="1"/>
    </row>
    <row r="4" spans="2:10" s="58" customFormat="1" ht="12.75" customHeight="1">
      <c r="B4" s="23" t="s">
        <v>37</v>
      </c>
    </row>
    <row r="5" spans="2:10" s="24" customFormat="1" ht="11.25" customHeight="1">
      <c r="C5" s="25"/>
    </row>
    <row r="6" spans="2:10" s="66" customFormat="1" ht="11.25" customHeight="1">
      <c r="C6" s="65" t="s">
        <v>0</v>
      </c>
      <c r="D6" s="124" t="s">
        <v>169</v>
      </c>
      <c r="J6" s="74"/>
    </row>
    <row r="7" spans="2:10" s="66" customFormat="1" ht="11.25" customHeight="1">
      <c r="C7" s="65" t="s">
        <v>115</v>
      </c>
      <c r="D7" s="124" t="s">
        <v>139</v>
      </c>
      <c r="I7" s="74"/>
      <c r="J7" s="157" t="s">
        <v>137</v>
      </c>
    </row>
    <row r="8" spans="2:10" s="66" customFormat="1" ht="11.25" customHeight="1">
      <c r="C8" s="65" t="s">
        <v>116</v>
      </c>
      <c r="D8" s="124" t="s">
        <v>141</v>
      </c>
      <c r="J8" s="157" t="s">
        <v>138</v>
      </c>
    </row>
    <row r="9" spans="2:10" s="66" customFormat="1" ht="11.25" customHeight="1">
      <c r="C9" s="65" t="s">
        <v>126</v>
      </c>
      <c r="D9" s="138" t="s">
        <v>142</v>
      </c>
      <c r="J9" s="157" t="s">
        <v>139</v>
      </c>
    </row>
    <row r="10" spans="2:10" s="66" customFormat="1" ht="11.25" customHeight="1">
      <c r="C10" s="65"/>
      <c r="J10" s="157" t="s">
        <v>140</v>
      </c>
    </row>
    <row r="11" spans="2:10" s="66" customFormat="1" ht="11.25" customHeight="1">
      <c r="C11" s="83" t="s">
        <v>114</v>
      </c>
      <c r="J11" s="74"/>
    </row>
    <row r="12" spans="2:10" s="66" customFormat="1" ht="11.25" customHeight="1">
      <c r="C12" s="65"/>
      <c r="D12" s="67" t="s">
        <v>90</v>
      </c>
      <c r="E12" s="67" t="s">
        <v>91</v>
      </c>
      <c r="F12" s="67" t="s">
        <v>92</v>
      </c>
      <c r="G12" s="67" t="s">
        <v>93</v>
      </c>
      <c r="H12" s="67" t="s">
        <v>94</v>
      </c>
      <c r="J12" s="74"/>
    </row>
    <row r="13" spans="2:10" s="66" customFormat="1" ht="11.25" customHeight="1">
      <c r="C13" s="65" t="s">
        <v>88</v>
      </c>
      <c r="D13" s="139" t="str">
        <f t="shared" ref="D13:F13" si="0">IF(LEN(E13)&gt;4,CONCATENATE(LEFT(E13,4)-1&amp;"–"&amp;IF(RIGHT(E13,2)="00","99",IF(RIGHT(E13,2)-1&lt;10,"0","")&amp;RIGHT(E13,2)-1)),E13-1)</f>
        <v>2021–22</v>
      </c>
      <c r="E13" s="139" t="str">
        <f t="shared" si="0"/>
        <v>2022–23</v>
      </c>
      <c r="F13" s="139" t="str">
        <f t="shared" si="0"/>
        <v>2023–24</v>
      </c>
      <c r="G13" s="139" t="str">
        <f>IF(LEN(H13)&gt;4,CONCATENATE(LEFT(H13,4)-1&amp;"–"&amp;IF(RIGHT(H13,2)="00","99",IF(RIGHT(H13,2)-1&lt;10,"0","")&amp;RIGHT(H13,2)-1)),H13-1)</f>
        <v>2024–25</v>
      </c>
      <c r="H13" s="139" t="str">
        <f>IF(LEN(D9)&gt;4,CONCATENATE(LEFT(D9,4)-1&amp;"–"&amp;IF(RIGHT(D9,2)="00","99",IF(RIGHT(D9,2)-1&lt;10,"0","")&amp;RIGHT(D9,2)-1)),D9-1)</f>
        <v>2025–26</v>
      </c>
      <c r="J13" s="74"/>
    </row>
    <row r="14" spans="2:10" s="66" customFormat="1" ht="11.25" customHeight="1">
      <c r="C14" s="65" t="s">
        <v>1</v>
      </c>
      <c r="D14" s="124" t="s">
        <v>7</v>
      </c>
      <c r="E14" s="124" t="s">
        <v>7</v>
      </c>
      <c r="F14" s="124" t="s">
        <v>7</v>
      </c>
      <c r="G14" s="124" t="s">
        <v>7</v>
      </c>
      <c r="H14" s="124" t="s">
        <v>7</v>
      </c>
      <c r="J14" s="74"/>
    </row>
    <row r="15" spans="2:10" s="66" customFormat="1" ht="11.25" customHeight="1">
      <c r="C15" s="65" t="s">
        <v>2</v>
      </c>
      <c r="D15" s="124" t="s">
        <v>6</v>
      </c>
      <c r="E15" s="124" t="s">
        <v>6</v>
      </c>
      <c r="F15" s="124" t="s">
        <v>6</v>
      </c>
      <c r="G15" s="207" t="s">
        <v>6</v>
      </c>
      <c r="H15" s="124" t="s">
        <v>30</v>
      </c>
      <c r="J15" s="74"/>
    </row>
    <row r="17" spans="2:8" s="66" customFormat="1" ht="11.25" customHeight="1">
      <c r="C17" s="65"/>
      <c r="D17" s="67" t="s">
        <v>90</v>
      </c>
      <c r="E17" s="67" t="s">
        <v>91</v>
      </c>
      <c r="F17" s="67" t="s">
        <v>92</v>
      </c>
      <c r="G17" s="67" t="s">
        <v>93</v>
      </c>
      <c r="H17" s="67" t="s">
        <v>94</v>
      </c>
    </row>
    <row r="18" spans="2:8" s="66" customFormat="1" ht="11.25" customHeight="1">
      <c r="C18" s="65" t="s">
        <v>89</v>
      </c>
      <c r="D18" s="139" t="str">
        <f>D9</f>
        <v>2026-27</v>
      </c>
      <c r="E18" s="139" t="str">
        <f>IF(LEN(D18)&gt;4,CONCATENATE(LEFT(D18,4)+1&amp;"–"&amp;IF(RIGHT(D18,2)+1&gt;9,"","0")&amp;RIGHT(D18,2)+1),D18+1)</f>
        <v>2027–28</v>
      </c>
      <c r="F18" s="139" t="str">
        <f t="shared" ref="F18:H18" si="1">IF(LEN(E18)&gt;4,CONCATENATE(LEFT(E18,4)+1&amp;"–"&amp;IF(RIGHT(E18,2)+1&gt;9,"","0")&amp;RIGHT(E18,2)+1),E18+1)</f>
        <v>2028–29</v>
      </c>
      <c r="G18" s="139" t="str">
        <f t="shared" si="1"/>
        <v>2029–30</v>
      </c>
      <c r="H18" s="139" t="str">
        <f t="shared" si="1"/>
        <v>2030–31</v>
      </c>
    </row>
    <row r="19" spans="2:8" s="66" customFormat="1" ht="11.25" customHeight="1">
      <c r="C19" s="74"/>
      <c r="D19" s="74"/>
      <c r="E19" s="74"/>
      <c r="F19" s="74"/>
      <c r="G19" s="74"/>
      <c r="H19" s="74"/>
    </row>
    <row r="20" spans="2:8" s="66" customFormat="1" ht="11.25" customHeight="1"/>
    <row r="21" spans="2:8" s="58" customFormat="1" ht="12.75" customHeight="1">
      <c r="B21" s="23" t="s">
        <v>36</v>
      </c>
    </row>
  </sheetData>
  <dataValidations count="2">
    <dataValidation type="list" allowBlank="1" showInputMessage="1" showErrorMessage="1" sqref="D14:H14" xr:uid="{00000000-0002-0000-0100-000000000000}">
      <formula1>"Yes, No, N/A"</formula1>
    </dataValidation>
    <dataValidation type="list" allowBlank="1" showInputMessage="1" showErrorMessage="1" sqref="D7" xr:uid="{677B27E1-3997-42E9-A7BA-A593F80049F5}">
      <formula1>$J$7:$J$10</formula1>
    </dataValidation>
  </dataValidations>
  <pageMargins left="0.7" right="0.7" top="0.75" bottom="0.75" header="0.3" footer="0.3"/>
  <pageSetup paperSize="9" scale="53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2000000}">
          <x14:formula1>
            <xm:f>'Lookup | Tables'!$E$11:$E$13</xm:f>
          </x14:formula1>
          <xm:sqref>D15:H15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FFFF99"/>
  </sheetPr>
  <dimension ref="A1:AF24"/>
  <sheetViews>
    <sheetView showGridLines="0" zoomScaleNormal="100" workbookViewId="0">
      <selection activeCell="M18" sqref="M18"/>
    </sheetView>
  </sheetViews>
  <sheetFormatPr defaultColWidth="0" defaultRowHeight="18" customHeight="1" zeroHeight="1"/>
  <cols>
    <col min="1" max="2" width="1.33203125" style="19" customWidth="1"/>
    <col min="3" max="3" width="36.6640625" style="19" customWidth="1"/>
    <col min="4" max="5" width="22.6640625" style="19" customWidth="1"/>
    <col min="6" max="6" width="12.6640625" style="19" customWidth="1"/>
    <col min="7" max="12" width="12.6640625" style="2" customWidth="1"/>
    <col min="13" max="13" width="12.5546875" style="17" customWidth="1"/>
    <col min="14" max="16" width="12.6640625" style="19" customWidth="1"/>
    <col min="17" max="18" width="2.6640625" style="19" customWidth="1"/>
    <col min="19" max="32" width="12.6640625" style="19" hidden="1" customWidth="1"/>
    <col min="33" max="16384" width="9.33203125" style="19" hidden="1"/>
  </cols>
  <sheetData>
    <row r="1" spans="2:16" s="2" customFormat="1" ht="18" customHeight="1">
      <c r="B1" s="3" t="str">
        <f>'Input | General'!$B$1</f>
        <v>CitiPower 2026-31 Revised proposal - Capital expenditure sharing scheme model</v>
      </c>
      <c r="D1" s="3"/>
      <c r="E1" s="3"/>
      <c r="F1" s="3"/>
      <c r="G1" s="90"/>
      <c r="H1" s="91" t="s">
        <v>49</v>
      </c>
      <c r="I1" s="123" t="s">
        <v>50</v>
      </c>
      <c r="J1" s="156" t="s">
        <v>136</v>
      </c>
      <c r="K1" s="209" t="s">
        <v>170</v>
      </c>
      <c r="N1" s="92"/>
      <c r="O1" s="74"/>
      <c r="P1" s="74"/>
    </row>
    <row r="2" spans="2:16" s="2" customFormat="1" ht="18" customHeight="1">
      <c r="C2" s="10" t="s">
        <v>117</v>
      </c>
      <c r="D2" s="10"/>
      <c r="E2" s="10"/>
      <c r="F2" s="10"/>
    </row>
    <row r="3" spans="2:16" s="2" customFormat="1" ht="3" customHeight="1">
      <c r="C3" s="1"/>
      <c r="D3" s="1"/>
      <c r="E3" s="1"/>
      <c r="F3" s="1"/>
      <c r="M3" s="17"/>
    </row>
    <row r="4" spans="2:16" s="76" customFormat="1" ht="12.75" customHeight="1">
      <c r="C4" s="23" t="s">
        <v>45</v>
      </c>
      <c r="D4" s="77"/>
      <c r="E4" s="77"/>
      <c r="F4" s="77"/>
      <c r="M4" s="78"/>
    </row>
    <row r="5" spans="2:16" ht="11.25" customHeight="1">
      <c r="B5" s="2"/>
      <c r="C5" s="13"/>
      <c r="D5" s="74"/>
      <c r="E5" s="74"/>
      <c r="F5" s="74"/>
      <c r="N5" s="2"/>
    </row>
    <row r="6" spans="2:16" ht="11.25" customHeight="1">
      <c r="B6" s="2"/>
      <c r="C6" s="13"/>
      <c r="D6" s="70" t="s">
        <v>5</v>
      </c>
      <c r="E6" s="70" t="s">
        <v>61</v>
      </c>
      <c r="F6" s="70"/>
      <c r="N6" s="2"/>
    </row>
    <row r="7" spans="2:16" ht="11.25" customHeight="1">
      <c r="B7" s="2"/>
      <c r="C7" s="13"/>
      <c r="D7" s="74"/>
      <c r="E7" s="74"/>
      <c r="F7" s="168" t="str">
        <f>IF(LEN(G7)&gt;4,CONCATENATE(LEFT(G7,4)-1&amp;"–"&amp;IF(RIGHT(G7,2)="00","99",IF(RIGHT(G7,2)-1&lt;10,"0","")&amp;RIGHT(G7,2)-1)),G7-1)</f>
        <v>2020–21</v>
      </c>
      <c r="G7" s="137" t="str">
        <f>'Input | General'!D13</f>
        <v>2021–22</v>
      </c>
      <c r="H7" s="137" t="str">
        <f>'Input | General'!E13</f>
        <v>2022–23</v>
      </c>
      <c r="I7" s="137" t="str">
        <f>'Input | General'!F13</f>
        <v>2023–24</v>
      </c>
      <c r="J7" s="137" t="str">
        <f>'Input | General'!G13</f>
        <v>2024–25</v>
      </c>
      <c r="K7" s="137" t="str">
        <f>'Input | General'!H13</f>
        <v>2025–26</v>
      </c>
      <c r="L7" s="137" t="str">
        <f>'Input | General'!D18</f>
        <v>2026-27</v>
      </c>
      <c r="M7" s="137" t="str">
        <f>'Input | General'!E18</f>
        <v>2027–28</v>
      </c>
      <c r="N7" s="137" t="str">
        <f>'Input | General'!F18</f>
        <v>2028–29</v>
      </c>
      <c r="O7" s="137" t="str">
        <f>'Input | General'!G18</f>
        <v>2029–30</v>
      </c>
      <c r="P7" s="137" t="str">
        <f>'Input | General'!H18</f>
        <v>2030–31</v>
      </c>
    </row>
    <row r="8" spans="2:16" ht="11.25" customHeight="1">
      <c r="B8" s="2"/>
      <c r="C8" s="75" t="s">
        <v>108</v>
      </c>
      <c r="D8" s="73" t="s">
        <v>130</v>
      </c>
      <c r="E8" s="73" t="s">
        <v>60</v>
      </c>
      <c r="F8" s="73"/>
      <c r="G8" s="125">
        <v>8.6058519793459354E-3</v>
      </c>
      <c r="H8" s="125">
        <v>3.4982935153583528E-2</v>
      </c>
      <c r="I8" s="125">
        <v>7.8318219291014124E-2</v>
      </c>
      <c r="J8" s="125">
        <v>4.0519877675840865E-2</v>
      </c>
      <c r="K8" s="125">
        <v>2.4246877296105973E-2</v>
      </c>
      <c r="L8" s="81"/>
      <c r="M8" s="81"/>
      <c r="N8" s="81"/>
      <c r="O8" s="81"/>
      <c r="P8" s="81"/>
    </row>
    <row r="9" spans="2:16" ht="11.25" customHeight="1">
      <c r="B9" s="2"/>
      <c r="C9" s="75" t="s">
        <v>109</v>
      </c>
      <c r="D9" s="73" t="s">
        <v>130</v>
      </c>
      <c r="E9" s="73" t="s">
        <v>60</v>
      </c>
      <c r="F9" s="73"/>
      <c r="G9" s="109"/>
      <c r="H9" s="109"/>
      <c r="I9" s="109"/>
      <c r="J9" s="109"/>
      <c r="K9" s="109"/>
      <c r="L9" s="125">
        <v>2.5499939054115517E-2</v>
      </c>
      <c r="M9" s="201">
        <f>L9</f>
        <v>2.5499939054115517E-2</v>
      </c>
      <c r="N9" s="201">
        <f t="shared" ref="N9:P9" si="0">M9</f>
        <v>2.5499939054115517E-2</v>
      </c>
      <c r="O9" s="201">
        <f t="shared" si="0"/>
        <v>2.5499939054115517E-2</v>
      </c>
      <c r="P9" s="201">
        <f t="shared" si="0"/>
        <v>2.5499939054115517E-2</v>
      </c>
    </row>
    <row r="10" spans="2:16" ht="11.25" customHeight="1">
      <c r="B10" s="2"/>
      <c r="C10" s="113" t="str">
        <f>"CPI Index (base year "&amp;F7&amp;")"</f>
        <v>CPI Index (base year 2020–21)</v>
      </c>
      <c r="D10" s="73" t="s">
        <v>130</v>
      </c>
      <c r="E10" s="73" t="s">
        <v>32</v>
      </c>
      <c r="F10" s="141">
        <v>1</v>
      </c>
      <c r="G10" s="142">
        <f>IF(G7&lt;&gt;"",(F10*(1+G8)),"")</f>
        <v>1.0086058519793459</v>
      </c>
      <c r="H10" s="142">
        <f>IF(H7&lt;&gt;"",(G10*(1+H8)),"")</f>
        <v>1.0438898450946643</v>
      </c>
      <c r="I10" s="142">
        <f>IF(I7&lt;&gt;"",(H10*(1+I8)),"")</f>
        <v>1.1256454388984509</v>
      </c>
      <c r="J10" s="142">
        <f>IF(J7&lt;&gt;"",(I10*(1+J8)),"")</f>
        <v>1.1712564543889843</v>
      </c>
      <c r="K10" s="142">
        <f>IF(K7&lt;&gt;"",(J10*(1+K8)),"")</f>
        <v>1.1996557659208262</v>
      </c>
      <c r="L10" s="142">
        <f t="shared" ref="L10:P10" si="1">IF(L7&lt;&gt;"",(K10*(1+L9)),"")</f>
        <v>1.2302469148377255</v>
      </c>
      <c r="M10" s="142">
        <f t="shared" si="1"/>
        <v>1.2616181361876011</v>
      </c>
      <c r="N10" s="142">
        <f t="shared" si="1"/>
        <v>1.2937893217699517</v>
      </c>
      <c r="O10" s="142">
        <f t="shared" si="1"/>
        <v>1.3267808706239508</v>
      </c>
      <c r="P10" s="142">
        <f t="shared" si="1"/>
        <v>1.3606137019630278</v>
      </c>
    </row>
    <row r="11" spans="2:16" ht="11.25" customHeight="1">
      <c r="B11" s="2"/>
      <c r="C11" s="75"/>
      <c r="D11" s="73"/>
      <c r="E11" s="73"/>
      <c r="F11" s="73"/>
      <c r="G11" s="81"/>
      <c r="H11" s="81"/>
      <c r="I11" s="81"/>
      <c r="J11" s="81"/>
      <c r="K11" s="110"/>
      <c r="L11" s="110"/>
      <c r="M11" s="110"/>
      <c r="N11" s="110"/>
      <c r="O11" s="110"/>
      <c r="P11" s="110"/>
    </row>
    <row r="12" spans="2:16" ht="11.25" customHeight="1">
      <c r="B12" s="2"/>
      <c r="C12" s="75"/>
      <c r="D12" s="73"/>
      <c r="E12" s="73"/>
      <c r="F12" s="73"/>
      <c r="G12" s="108"/>
      <c r="H12" s="108"/>
      <c r="I12" s="108"/>
      <c r="J12" s="108"/>
      <c r="K12" s="19"/>
      <c r="L12" s="19"/>
      <c r="M12" s="19"/>
    </row>
    <row r="13" spans="2:16" ht="11.25" customHeight="1">
      <c r="B13" s="2"/>
      <c r="C13" s="75" t="s">
        <v>108</v>
      </c>
      <c r="D13" s="73" t="s">
        <v>54</v>
      </c>
      <c r="E13" s="73" t="s">
        <v>60</v>
      </c>
      <c r="F13" s="73"/>
      <c r="G13" s="125">
        <f>G8</f>
        <v>8.6058519793459354E-3</v>
      </c>
      <c r="H13" s="125">
        <f t="shared" ref="H13:K13" si="2">H8</f>
        <v>3.4982935153583528E-2</v>
      </c>
      <c r="I13" s="125">
        <f t="shared" si="2"/>
        <v>7.8318219291014124E-2</v>
      </c>
      <c r="J13" s="125">
        <f t="shared" si="2"/>
        <v>4.0519877675840865E-2</v>
      </c>
      <c r="K13" s="125">
        <f t="shared" si="2"/>
        <v>2.4246877296105973E-2</v>
      </c>
      <c r="L13" s="108"/>
      <c r="M13" s="108"/>
      <c r="N13" s="108"/>
      <c r="O13" s="108"/>
      <c r="P13" s="108"/>
    </row>
    <row r="14" spans="2:16" ht="11.25" customHeight="1">
      <c r="B14" s="2"/>
      <c r="C14" s="75" t="s">
        <v>109</v>
      </c>
      <c r="D14" s="73" t="s">
        <v>54</v>
      </c>
      <c r="E14" s="73" t="s">
        <v>60</v>
      </c>
      <c r="F14" s="73"/>
      <c r="G14" s="81"/>
      <c r="H14" s="81"/>
      <c r="I14" s="81"/>
      <c r="J14" s="81"/>
      <c r="K14" s="81"/>
      <c r="L14" s="210">
        <v>2.6198992109813357E-2</v>
      </c>
      <c r="M14" s="210">
        <v>2.6198992109813357E-2</v>
      </c>
      <c r="N14" s="210">
        <v>2.6198992109813357E-2</v>
      </c>
      <c r="O14" s="210">
        <v>2.6198992109813357E-2</v>
      </c>
      <c r="P14" s="210">
        <v>2.6198992109813357E-2</v>
      </c>
    </row>
    <row r="15" spans="2:16" ht="11.25" customHeight="1">
      <c r="B15" s="2"/>
      <c r="C15" s="113" t="str">
        <f>"CPI Index (base year "&amp;F7&amp;")"</f>
        <v>CPI Index (base year 2020–21)</v>
      </c>
      <c r="D15" s="73" t="s">
        <v>54</v>
      </c>
      <c r="E15" s="73" t="s">
        <v>32</v>
      </c>
      <c r="F15" s="141">
        <v>1</v>
      </c>
      <c r="G15" s="142">
        <f>IF(G7&lt;&gt;"",(F15*(1+G13)),"")</f>
        <v>1.0086058519793459</v>
      </c>
      <c r="H15" s="142">
        <f>IF(H7&lt;&gt;"",(G15*(1+H13)),"")</f>
        <v>1.0438898450946643</v>
      </c>
      <c r="I15" s="142">
        <f>IF(I7&lt;&gt;"",(H15*(1+I13)),"")</f>
        <v>1.1256454388984509</v>
      </c>
      <c r="J15" s="142">
        <f>IF(J7&lt;&gt;"",(I15*(1+J13)),"")</f>
        <v>1.1712564543889843</v>
      </c>
      <c r="K15" s="142">
        <f>IF(K7&lt;&gt;"",(J15*(1+K13)),"")</f>
        <v>1.1996557659208262</v>
      </c>
      <c r="L15" s="142">
        <f t="shared" ref="L15:P15" si="3">IF(L7&lt;&gt;"",(K15*(1+L14)),"")</f>
        <v>1.2310855378666781</v>
      </c>
      <c r="M15" s="142">
        <f t="shared" si="3"/>
        <v>1.2633387381597525</v>
      </c>
      <c r="N15" s="142">
        <f t="shared" si="3"/>
        <v>1.2964369397928215</v>
      </c>
      <c r="O15" s="142">
        <f t="shared" si="3"/>
        <v>1.3304022809493241</v>
      </c>
      <c r="P15" s="142">
        <f t="shared" si="3"/>
        <v>1.365257479810793</v>
      </c>
    </row>
    <row r="17" spans="2:16" s="76" customFormat="1" ht="12.75" customHeight="1">
      <c r="C17" s="23" t="s">
        <v>95</v>
      </c>
      <c r="D17" s="77"/>
      <c r="E17" s="77"/>
      <c r="F17" s="77"/>
      <c r="M17" s="78"/>
    </row>
    <row r="18" spans="2:16" ht="11.25" customHeight="1">
      <c r="B18" s="74"/>
      <c r="C18" s="74"/>
      <c r="D18" s="74"/>
      <c r="E18" s="74"/>
      <c r="F18" s="70"/>
      <c r="N18" s="2"/>
    </row>
    <row r="19" spans="2:16" ht="11.25" customHeight="1">
      <c r="C19" s="13"/>
      <c r="D19" s="70" t="s">
        <v>5</v>
      </c>
      <c r="E19" s="70" t="s">
        <v>61</v>
      </c>
      <c r="F19" s="74"/>
      <c r="G19" s="80" t="str">
        <f>G7</f>
        <v>2021–22</v>
      </c>
      <c r="H19" s="80" t="str">
        <f t="shared" ref="H19:P19" si="4">H7</f>
        <v>2022–23</v>
      </c>
      <c r="I19" s="80" t="str">
        <f t="shared" si="4"/>
        <v>2023–24</v>
      </c>
      <c r="J19" s="80" t="str">
        <f t="shared" si="4"/>
        <v>2024–25</v>
      </c>
      <c r="K19" s="80" t="str">
        <f t="shared" si="4"/>
        <v>2025–26</v>
      </c>
      <c r="L19" s="80" t="str">
        <f t="shared" si="4"/>
        <v>2026-27</v>
      </c>
      <c r="M19" s="80" t="str">
        <f t="shared" si="4"/>
        <v>2027–28</v>
      </c>
      <c r="N19" s="80" t="str">
        <f t="shared" si="4"/>
        <v>2028–29</v>
      </c>
      <c r="O19" s="80" t="str">
        <f t="shared" si="4"/>
        <v>2029–30</v>
      </c>
      <c r="P19" s="80" t="str">
        <f t="shared" si="4"/>
        <v>2030–31</v>
      </c>
    </row>
    <row r="20" spans="2:16" ht="11.25" customHeight="1">
      <c r="C20" s="75" t="s">
        <v>10</v>
      </c>
      <c r="D20" s="73" t="s">
        <v>131</v>
      </c>
      <c r="E20" s="73" t="s">
        <v>60</v>
      </c>
      <c r="F20" s="74"/>
      <c r="G20" s="125">
        <v>2.6738665770133618E-2</v>
      </c>
      <c r="H20" s="125">
        <v>2.5850627726693887E-2</v>
      </c>
      <c r="I20" s="125">
        <v>2.6341556182575498E-2</v>
      </c>
      <c r="J20" s="125">
        <v>2.6530125069218702E-2</v>
      </c>
      <c r="K20" s="125">
        <v>2.6721537837025799E-2</v>
      </c>
      <c r="L20" s="81"/>
      <c r="M20" s="81"/>
      <c r="N20" s="81"/>
      <c r="O20" s="81"/>
      <c r="P20" s="81"/>
    </row>
    <row r="21" spans="2:16" ht="11.25" customHeight="1">
      <c r="C21" s="121" t="s">
        <v>122</v>
      </c>
      <c r="D21" s="73" t="s">
        <v>131</v>
      </c>
      <c r="E21" s="73" t="s">
        <v>60</v>
      </c>
      <c r="F21" s="74"/>
      <c r="G21" s="74"/>
      <c r="H21" s="74"/>
      <c r="I21" s="74"/>
      <c r="J21" s="74"/>
      <c r="K21" s="74"/>
      <c r="L21" s="210">
        <v>3.4254730550546154E-2</v>
      </c>
      <c r="M21" s="210">
        <v>3.5108838183828039E-2</v>
      </c>
      <c r="N21" s="210">
        <v>3.5951749804522891E-2</v>
      </c>
      <c r="O21" s="210">
        <v>3.727456386856174E-2</v>
      </c>
      <c r="P21" s="210">
        <v>3.9224606675552075E-2</v>
      </c>
    </row>
    <row r="22" spans="2:16" ht="11.25" customHeight="1">
      <c r="C22" s="75" t="s">
        <v>96</v>
      </c>
      <c r="D22" s="73" t="s">
        <v>85</v>
      </c>
      <c r="E22" s="73" t="s">
        <v>60</v>
      </c>
      <c r="F22" s="74"/>
      <c r="G22" s="140">
        <f>IF(AND(G13&lt;&gt;"",G20&lt;&gt;""),((1+G20)*(1+G13)-1),"")</f>
        <v>3.5574626749222515E-2</v>
      </c>
      <c r="H22" s="140">
        <f>IF(AND(H13&lt;&gt;"",H20&lt;&gt;""),((1+H20)*(1+H13)-1),"")</f>
        <v>6.1737893713719849E-2</v>
      </c>
      <c r="I22" s="140">
        <f>IF(AND(I13&lt;&gt;"",I20&lt;&gt;""),((1+I20)*(1+I13)-1),"")</f>
        <v>0.1067227992471631</v>
      </c>
      <c r="J22" s="140">
        <f>IF(AND(J13&lt;&gt;"",J20&lt;&gt;""),((1+J20)*(1+J13)-1),"")</f>
        <v>6.8125000167589045E-2</v>
      </c>
      <c r="K22" s="140">
        <f>IF(AND(K13&lt;&gt;"",K20&lt;&gt;""),((1+K20)*(1+K13)-1),"")</f>
        <v>5.1616328982229343E-2</v>
      </c>
      <c r="L22" s="140">
        <f>IF(AND(L14&lt;&gt;"",L21&lt;&gt;""),((1+L21)*(1+L14)-1),"")</f>
        <v>6.1351162075776955E-2</v>
      </c>
      <c r="M22" s="140">
        <f t="shared" ref="M22:P22" si="5">IF(AND(M14&lt;&gt;"",M21&lt;&gt;""),((1+M21)*(1+M14)-1),"")</f>
        <v>6.2227646468204112E-2</v>
      </c>
      <c r="N22" s="140">
        <f t="shared" si="5"/>
        <v>6.309264152379912E-2</v>
      </c>
      <c r="O22" s="140">
        <f t="shared" si="5"/>
        <v>6.4450111983064273E-2</v>
      </c>
      <c r="P22" s="140">
        <f t="shared" si="5"/>
        <v>6.6451243946168859E-2</v>
      </c>
    </row>
    <row r="23" spans="2:16" ht="11.25" customHeight="1">
      <c r="B23" s="2"/>
      <c r="C23" s="75"/>
      <c r="D23" s="73"/>
      <c r="E23" s="73"/>
      <c r="F23" s="74"/>
      <c r="G23" s="81"/>
      <c r="H23" s="16"/>
      <c r="I23" s="16"/>
      <c r="J23" s="16"/>
      <c r="K23" s="16"/>
      <c r="N23" s="2"/>
    </row>
    <row r="24" spans="2:16" s="58" customFormat="1" ht="12.75" customHeight="1">
      <c r="B24" s="23" t="s">
        <v>36</v>
      </c>
      <c r="D24" s="59"/>
      <c r="E24" s="59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FFFF99"/>
  </sheetPr>
  <dimension ref="A1:W34"/>
  <sheetViews>
    <sheetView topLeftCell="C1" workbookViewId="0">
      <selection activeCell="H32" sqref="H32:L32"/>
    </sheetView>
  </sheetViews>
  <sheetFormatPr defaultColWidth="0" defaultRowHeight="18" customHeight="1" zeroHeight="1"/>
  <cols>
    <col min="1" max="2" width="1.33203125" style="2" customWidth="1"/>
    <col min="3" max="3" width="49.6640625" style="13" customWidth="1"/>
    <col min="4" max="4" width="23.6640625" style="13" customWidth="1"/>
    <col min="5" max="5" width="13.44140625" style="13" customWidth="1"/>
    <col min="6" max="6" width="20.5546875" style="13" customWidth="1"/>
    <col min="7" max="7" width="2.6640625" style="13" customWidth="1"/>
    <col min="8" max="12" width="13.6640625" style="2" bestFit="1" customWidth="1"/>
    <col min="13" max="14" width="2.6640625" style="2" customWidth="1"/>
    <col min="15" max="23" width="0" style="2" hidden="1" customWidth="1"/>
    <col min="24" max="16384" width="12.6640625" style="2" hidden="1"/>
  </cols>
  <sheetData>
    <row r="1" spans="2:12" ht="18" customHeight="1">
      <c r="B1" s="3" t="str">
        <f>'Input | General'!$B$1</f>
        <v>CitiPower 2026-31 Revised proposal - Capital expenditure sharing scheme model</v>
      </c>
      <c r="D1" s="3"/>
      <c r="E1" s="3"/>
      <c r="F1" s="3"/>
      <c r="G1" s="3"/>
      <c r="H1" s="90"/>
      <c r="I1" s="91" t="s">
        <v>49</v>
      </c>
      <c r="J1" s="123" t="s">
        <v>50</v>
      </c>
      <c r="K1" s="156" t="s">
        <v>136</v>
      </c>
      <c r="L1" s="211" t="s">
        <v>170</v>
      </c>
    </row>
    <row r="2" spans="2:12" ht="18" customHeight="1">
      <c r="B2" s="10" t="s">
        <v>39</v>
      </c>
      <c r="D2" s="10"/>
      <c r="E2" s="10"/>
      <c r="F2" s="10"/>
      <c r="G2" s="10"/>
    </row>
    <row r="3" spans="2:12" ht="3" customHeight="1">
      <c r="C3" s="1"/>
      <c r="D3" s="1"/>
      <c r="E3" s="1"/>
      <c r="F3" s="1"/>
      <c r="G3" s="1"/>
    </row>
    <row r="4" spans="2:12" s="8" customFormat="1" ht="12.75" customHeight="1">
      <c r="B4" s="23" t="s">
        <v>42</v>
      </c>
      <c r="D4" s="6"/>
      <c r="E4" s="6"/>
      <c r="F4" s="6"/>
      <c r="G4" s="6"/>
    </row>
    <row r="5" spans="2:12" ht="10.5" customHeight="1">
      <c r="D5" s="64"/>
      <c r="E5" s="64"/>
      <c r="F5" s="64"/>
      <c r="G5" s="64"/>
    </row>
    <row r="6" spans="2:12" s="64" customFormat="1" ht="10.5" customHeight="1">
      <c r="D6" s="70" t="s">
        <v>5</v>
      </c>
      <c r="E6" s="70" t="s">
        <v>61</v>
      </c>
      <c r="F6" s="70" t="s">
        <v>3</v>
      </c>
      <c r="G6" s="60"/>
      <c r="H6" s="80" t="str">
        <f>IF('Input | General'!D14="Yes",'Input | General'!D13,"n/a")</f>
        <v>2021–22</v>
      </c>
      <c r="I6" s="80" t="str">
        <f>IF('Input | General'!E14="Yes",'Input | General'!E13,"n/a")</f>
        <v>2022–23</v>
      </c>
      <c r="J6" s="80" t="str">
        <f>IF('Input | General'!F14="Yes",'Input | General'!F13,"n/a")</f>
        <v>2023–24</v>
      </c>
      <c r="K6" s="80" t="str">
        <f>IF('Input | General'!G14="Yes",'Input | General'!G13,"n/a")</f>
        <v>2024–25</v>
      </c>
      <c r="L6" s="80" t="str">
        <f>IF('Input | General'!H14="Yes",'Input | General'!H13,"n/a")</f>
        <v>2025–26</v>
      </c>
    </row>
    <row r="7" spans="2:12" s="64" customFormat="1" ht="10.5" customHeight="1"/>
    <row r="8" spans="2:12" ht="10.5" customHeight="1">
      <c r="C8" s="75" t="s">
        <v>127</v>
      </c>
      <c r="D8" s="73" t="s">
        <v>54</v>
      </c>
      <c r="E8" s="73" t="s">
        <v>59</v>
      </c>
      <c r="F8" s="73" t="str">
        <f>'Input | Inflation and Disc Rate'!$F$7</f>
        <v>2020–21</v>
      </c>
      <c r="G8" s="64"/>
      <c r="H8" s="126">
        <v>185.07498434530609</v>
      </c>
      <c r="I8" s="126">
        <v>187.00767407993729</v>
      </c>
      <c r="J8" s="126">
        <v>172.05211608845477</v>
      </c>
      <c r="K8" s="206">
        <v>160.45053844546248</v>
      </c>
      <c r="L8" s="206">
        <v>156.60811179292912</v>
      </c>
    </row>
    <row r="9" spans="2:12" ht="10.5" customHeight="1">
      <c r="C9" s="75" t="s">
        <v>125</v>
      </c>
      <c r="D9" s="73" t="s">
        <v>54</v>
      </c>
      <c r="E9" s="73" t="s">
        <v>59</v>
      </c>
      <c r="F9" s="73" t="str">
        <f>'Input | Inflation and Disc Rate'!$F$7</f>
        <v>2020–21</v>
      </c>
      <c r="G9" s="64"/>
      <c r="H9" s="126">
        <v>56.969877866118516</v>
      </c>
      <c r="I9" s="126">
        <v>57.522530766287254</v>
      </c>
      <c r="J9" s="126">
        <v>49.987035136120681</v>
      </c>
      <c r="K9" s="126">
        <v>48.671669452237957</v>
      </c>
      <c r="L9" s="126">
        <v>49.143656836034523</v>
      </c>
    </row>
    <row r="10" spans="2:12" ht="10.5" customHeight="1">
      <c r="C10" s="75" t="s">
        <v>118</v>
      </c>
      <c r="D10" s="73" t="s">
        <v>54</v>
      </c>
      <c r="E10" s="73" t="s">
        <v>59</v>
      </c>
      <c r="F10" s="73" t="str">
        <f>'Input | Inflation and Disc Rate'!$F$7</f>
        <v>2020–21</v>
      </c>
      <c r="G10" s="64"/>
      <c r="H10" s="126">
        <v>0.43577231873097599</v>
      </c>
      <c r="I10" s="126">
        <v>0.43577231873097599</v>
      </c>
      <c r="J10" s="126">
        <v>0.43577231873097599</v>
      </c>
      <c r="K10" s="126">
        <v>0.43577231873097599</v>
      </c>
      <c r="L10" s="126">
        <v>0.43577231873097599</v>
      </c>
    </row>
    <row r="11" spans="2:12" s="64" customFormat="1" ht="10.5" customHeight="1">
      <c r="H11" s="62"/>
      <c r="I11" s="62"/>
      <c r="J11" s="62"/>
      <c r="K11" s="62"/>
      <c r="L11" s="62"/>
    </row>
    <row r="12" spans="2:12" ht="10.5" customHeight="1">
      <c r="C12" s="72" t="s">
        <v>4</v>
      </c>
      <c r="D12" s="71" t="s">
        <v>85</v>
      </c>
      <c r="E12" s="155" t="s">
        <v>59</v>
      </c>
      <c r="F12" s="144" t="str">
        <f>'Input | Inflation and Disc Rate'!$F$7</f>
        <v>2020–21</v>
      </c>
      <c r="G12" s="64"/>
      <c r="H12" s="202">
        <f>IF(H6="", "", H8-H9-H10)</f>
        <v>127.6693341604566</v>
      </c>
      <c r="I12" s="202">
        <f t="shared" ref="I12:L12" si="0">IF(I6="", "", I8-I9-I10)</f>
        <v>129.04937099491906</v>
      </c>
      <c r="J12" s="202">
        <f t="shared" si="0"/>
        <v>121.6293086336031</v>
      </c>
      <c r="K12" s="202">
        <f t="shared" si="0"/>
        <v>111.34309667449355</v>
      </c>
      <c r="L12" s="202">
        <f t="shared" si="0"/>
        <v>107.02868263816362</v>
      </c>
    </row>
    <row r="13" spans="2:12" ht="10.5" customHeight="1">
      <c r="D13" s="64"/>
      <c r="E13" s="64"/>
      <c r="F13" s="64"/>
      <c r="G13" s="64"/>
    </row>
    <row r="14" spans="2:12" s="8" customFormat="1" ht="12.75" customHeight="1">
      <c r="B14" s="69" t="s">
        <v>43</v>
      </c>
      <c r="D14" s="15"/>
      <c r="E14" s="15"/>
      <c r="F14" s="15"/>
      <c r="G14" s="15"/>
    </row>
    <row r="15" spans="2:12" ht="10.5" customHeight="1">
      <c r="B15" s="68"/>
      <c r="C15" s="2"/>
    </row>
    <row r="16" spans="2:12" ht="10.5" customHeight="1">
      <c r="B16" s="68"/>
      <c r="C16" s="64"/>
      <c r="D16" s="70" t="s">
        <v>5</v>
      </c>
      <c r="E16" s="70" t="s">
        <v>61</v>
      </c>
      <c r="F16" s="70" t="s">
        <v>3</v>
      </c>
      <c r="G16" s="60"/>
      <c r="H16" s="80" t="str">
        <f>H6</f>
        <v>2021–22</v>
      </c>
      <c r="I16" s="80" t="str">
        <f t="shared" ref="I16:L16" si="1">I6</f>
        <v>2022–23</v>
      </c>
      <c r="J16" s="80" t="str">
        <f t="shared" si="1"/>
        <v>2023–24</v>
      </c>
      <c r="K16" s="80" t="str">
        <f t="shared" si="1"/>
        <v>2024–25</v>
      </c>
      <c r="L16" s="80" t="str">
        <f t="shared" si="1"/>
        <v>2025–26</v>
      </c>
    </row>
    <row r="18" spans="2:12" ht="10.5" customHeight="1">
      <c r="B18" s="68"/>
      <c r="C18" s="75" t="s">
        <v>128</v>
      </c>
      <c r="D18" s="73" t="s">
        <v>54</v>
      </c>
      <c r="E18" s="73" t="s">
        <v>59</v>
      </c>
      <c r="F18" s="73" t="s">
        <v>63</v>
      </c>
      <c r="G18" s="64"/>
      <c r="H18" s="126">
        <v>139.42427501999998</v>
      </c>
      <c r="I18" s="126">
        <v>189.32262496000004</v>
      </c>
      <c r="J18" s="126">
        <v>200.23125386999999</v>
      </c>
      <c r="K18" s="126">
        <v>225.18336600000001</v>
      </c>
      <c r="L18" s="126">
        <v>288.12011018479421</v>
      </c>
    </row>
    <row r="19" spans="2:12" ht="10.5" customHeight="1">
      <c r="B19" s="68"/>
      <c r="C19" s="75" t="s">
        <v>125</v>
      </c>
      <c r="D19" s="73" t="s">
        <v>54</v>
      </c>
      <c r="E19" s="73" t="s">
        <v>59</v>
      </c>
      <c r="F19" s="73" t="s">
        <v>63</v>
      </c>
      <c r="G19" s="64"/>
      <c r="H19" s="126">
        <v>51.451129119999997</v>
      </c>
      <c r="I19" s="126">
        <v>79.828646270000007</v>
      </c>
      <c r="J19" s="126">
        <v>80.963087489999992</v>
      </c>
      <c r="K19" s="126">
        <v>61.838242999999999</v>
      </c>
      <c r="L19" s="126">
        <v>86.431136539241706</v>
      </c>
    </row>
    <row r="20" spans="2:12" ht="10.5" customHeight="1">
      <c r="B20" s="68"/>
      <c r="C20" s="114" t="s">
        <v>118</v>
      </c>
      <c r="D20" s="73" t="s">
        <v>54</v>
      </c>
      <c r="E20" s="73" t="s">
        <v>59</v>
      </c>
      <c r="F20" s="73" t="s">
        <v>63</v>
      </c>
      <c r="G20" s="115"/>
      <c r="H20" s="127">
        <v>0.19838412999999999</v>
      </c>
      <c r="I20" s="126">
        <v>14.323628959999999</v>
      </c>
      <c r="J20" s="126">
        <v>28.05239259</v>
      </c>
      <c r="K20" s="126">
        <v>0.63893299999999997</v>
      </c>
      <c r="L20" s="126">
        <v>49.405292893438151</v>
      </c>
    </row>
    <row r="21" spans="2:12" ht="10.5" customHeight="1">
      <c r="B21" s="68"/>
      <c r="C21" s="122" t="s">
        <v>123</v>
      </c>
      <c r="D21" s="73" t="s">
        <v>54</v>
      </c>
      <c r="E21" s="73" t="s">
        <v>59</v>
      </c>
      <c r="F21" s="73" t="s">
        <v>63</v>
      </c>
      <c r="G21" s="115"/>
      <c r="H21" s="127"/>
      <c r="I21" s="126"/>
      <c r="J21" s="126"/>
      <c r="K21" s="126"/>
      <c r="L21" s="126"/>
    </row>
    <row r="22" spans="2:12" ht="10.5" customHeight="1">
      <c r="B22" s="68"/>
      <c r="C22" s="64"/>
      <c r="D22" s="64"/>
      <c r="E22" s="64"/>
      <c r="F22" s="64"/>
      <c r="G22" s="64"/>
      <c r="H22" s="62"/>
      <c r="I22" s="62"/>
      <c r="J22" s="62"/>
      <c r="K22" s="62"/>
      <c r="L22" s="62"/>
    </row>
    <row r="23" spans="2:12" ht="10.5" customHeight="1">
      <c r="B23" s="68"/>
      <c r="C23" s="72" t="s">
        <v>103</v>
      </c>
      <c r="D23" s="71" t="s">
        <v>85</v>
      </c>
      <c r="E23" s="155" t="s">
        <v>59</v>
      </c>
      <c r="F23" s="155" t="s">
        <v>63</v>
      </c>
      <c r="G23" s="64"/>
      <c r="H23" s="202">
        <f>IF(H16="", "", H18-H19-H20-H21)</f>
        <v>87.774761769999998</v>
      </c>
      <c r="I23" s="202">
        <f>IF(I16="", "", I18-I19-I20-I21)</f>
        <v>95.170349730000041</v>
      </c>
      <c r="J23" s="202">
        <f t="shared" ref="J23:L23" si="2">IF(J16="", "", J18-J19-J20-J21)</f>
        <v>91.21577379</v>
      </c>
      <c r="K23" s="202">
        <f t="shared" si="2"/>
        <v>162.70618999999999</v>
      </c>
      <c r="L23" s="202">
        <f t="shared" si="2"/>
        <v>152.28368075211435</v>
      </c>
    </row>
    <row r="24" spans="2:12" ht="10.5" customHeight="1">
      <c r="B24" s="68"/>
      <c r="C24" s="72" t="s">
        <v>103</v>
      </c>
      <c r="D24" s="71" t="s">
        <v>85</v>
      </c>
      <c r="E24" s="155" t="s">
        <v>59</v>
      </c>
      <c r="F24" s="144" t="str">
        <f>'Input | Inflation and Disc Rate'!$F$7</f>
        <v>2020–21</v>
      </c>
      <c r="G24" s="64"/>
      <c r="H24" s="202">
        <f>H23/'Input | Inflation and Disc Rate'!G15</f>
        <v>87.025830355580197</v>
      </c>
      <c r="I24" s="202">
        <f>I23/'Input | Inflation and Disc Rate'!H15</f>
        <v>91.168958273915962</v>
      </c>
      <c r="J24" s="202">
        <f>J23/'Input | Inflation and Disc Rate'!I15</f>
        <v>81.03419659325688</v>
      </c>
      <c r="K24" s="202">
        <f>K23/'Input | Inflation and Disc Rate'!J15</f>
        <v>138.91593885378401</v>
      </c>
      <c r="L24" s="202">
        <f>L23/'Input | Inflation and Disc Rate'!K15</f>
        <v>126.93948137299631</v>
      </c>
    </row>
    <row r="25" spans="2:12" ht="10.5" customHeight="1">
      <c r="B25" s="68"/>
      <c r="C25" s="2"/>
    </row>
    <row r="26" spans="2:12" s="8" customFormat="1" ht="12.75" customHeight="1">
      <c r="B26" s="69" t="s">
        <v>44</v>
      </c>
      <c r="D26" s="15"/>
      <c r="E26" s="15"/>
      <c r="F26" s="15"/>
      <c r="G26" s="15"/>
    </row>
    <row r="27" spans="2:12" ht="10.5" customHeight="1">
      <c r="D27" s="64"/>
      <c r="E27" s="64"/>
      <c r="F27" s="64"/>
      <c r="G27" s="64"/>
    </row>
    <row r="28" spans="2:12" ht="10.5" customHeight="1">
      <c r="D28" s="64"/>
      <c r="E28" s="64"/>
      <c r="F28" s="64"/>
      <c r="G28" s="64"/>
      <c r="H28" s="63" t="str">
        <f>'Input | General'!D18</f>
        <v>2026-27</v>
      </c>
      <c r="I28" s="63" t="str">
        <f>'Input | General'!E18</f>
        <v>2027–28</v>
      </c>
      <c r="J28" s="63" t="str">
        <f>'Input | General'!F18</f>
        <v>2028–29</v>
      </c>
      <c r="K28" s="63" t="str">
        <f>'Input | General'!G18</f>
        <v>2029–30</v>
      </c>
      <c r="L28" s="63" t="str">
        <f>'Input | General'!H18</f>
        <v>2030–31</v>
      </c>
    </row>
    <row r="29" spans="2:12" s="14" customFormat="1" ht="10.5" customHeight="1">
      <c r="C29" s="13"/>
      <c r="D29" s="64"/>
      <c r="E29" s="64"/>
      <c r="F29" s="64"/>
      <c r="G29" s="64"/>
    </row>
    <row r="30" spans="2:12" ht="11.25" customHeight="1">
      <c r="C30" s="79" t="s">
        <v>111</v>
      </c>
      <c r="D30" s="73" t="s">
        <v>130</v>
      </c>
      <c r="E30" s="73" t="s">
        <v>59</v>
      </c>
      <c r="F30" s="73" t="s">
        <v>63</v>
      </c>
      <c r="G30" s="64"/>
      <c r="H30" s="126">
        <v>0</v>
      </c>
      <c r="I30" s="126">
        <v>0</v>
      </c>
      <c r="J30" s="126">
        <v>0</v>
      </c>
      <c r="K30" s="126">
        <v>0</v>
      </c>
      <c r="L30" s="126">
        <v>0</v>
      </c>
    </row>
    <row r="31" spans="2:12" ht="11.25" customHeight="1">
      <c r="C31" s="79" t="s">
        <v>111</v>
      </c>
      <c r="D31" s="61" t="s">
        <v>85</v>
      </c>
      <c r="E31" s="73" t="s">
        <v>59</v>
      </c>
      <c r="F31" s="144" t="str">
        <f>F24</f>
        <v>2020–21</v>
      </c>
      <c r="G31" s="64"/>
      <c r="H31" s="143">
        <f>IF(H30&lt;&gt;"",H30/('Input | Inflation and Disc Rate'!K10*(1+'Input | Inflation and Disc Rate'!L9)^0.5),"")</f>
        <v>0</v>
      </c>
      <c r="I31" s="143">
        <f>IF(I30&lt;&gt;"",I30/('Input | Inflation and Disc Rate'!L10*(1+'Input | Inflation and Disc Rate'!M9)^0.5),"")</f>
        <v>0</v>
      </c>
      <c r="J31" s="143">
        <f>IF(J30&lt;&gt;"",J30/('Input | Inflation and Disc Rate'!M10*(1+'Input | Inflation and Disc Rate'!N9)^0.5),"")</f>
        <v>0</v>
      </c>
      <c r="K31" s="143">
        <f>IF(K30&lt;&gt;"",K30/('Input | Inflation and Disc Rate'!N10*(1+'Input | Inflation and Disc Rate'!O9)^0.5),"")</f>
        <v>0</v>
      </c>
      <c r="L31" s="143">
        <f>IF(L30&lt;&gt;"",L30/('Input | Inflation and Disc Rate'!O10*(1+'Input | Inflation and Disc Rate'!P9)^0.5),"")</f>
        <v>0</v>
      </c>
    </row>
    <row r="32" spans="2:12" ht="11.25" customHeight="1">
      <c r="C32" s="79" t="s">
        <v>111</v>
      </c>
      <c r="D32" s="61" t="s">
        <v>54</v>
      </c>
      <c r="E32" s="73" t="s">
        <v>59</v>
      </c>
      <c r="F32" s="73" t="s">
        <v>63</v>
      </c>
      <c r="G32" s="64"/>
      <c r="H32" s="206">
        <v>27.316129995469957</v>
      </c>
      <c r="I32" s="206">
        <v>20.505636682564802</v>
      </c>
      <c r="J32" s="206">
        <v>0.75506402453854815</v>
      </c>
      <c r="K32" s="206">
        <v>5.1427235211505993</v>
      </c>
      <c r="L32" s="206">
        <v>1.8722654716830294</v>
      </c>
    </row>
    <row r="34" spans="2:2" s="58" customFormat="1" ht="12.75" customHeight="1">
      <c r="B34" s="23" t="s">
        <v>36</v>
      </c>
    </row>
  </sheetData>
  <phoneticPr fontId="106" type="noConversion"/>
  <conditionalFormatting sqref="H20:H21">
    <cfRule type="expression" dxfId="6" priority="8">
      <formula>IF($H$6&lt;&gt;"","FALSE","TRUE")</formula>
    </cfRule>
  </conditionalFormatting>
  <conditionalFormatting sqref="H8:L10">
    <cfRule type="expression" dxfId="5" priority="4">
      <formula>IF($H$6&lt;&gt;"","FALSE","TRUE")</formula>
    </cfRule>
  </conditionalFormatting>
  <conditionalFormatting sqref="H18:L19">
    <cfRule type="expression" dxfId="4" priority="13">
      <formula>IF($H$6&lt;&gt;"","FALSE","TRUE")</formula>
    </cfRule>
  </conditionalFormatting>
  <conditionalFormatting sqref="H30:L30">
    <cfRule type="expression" dxfId="3" priority="1">
      <formula>IF($H$6&lt;&gt;"","FALSE","TRUE")</formula>
    </cfRule>
  </conditionalFormatting>
  <conditionalFormatting sqref="I20:L21">
    <cfRule type="expression" dxfId="2" priority="3">
      <formula>IF($H$6&lt;&gt;"","FALSE","TRUE")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CCFFCC"/>
    <pageSetUpPr autoPageBreaks="0"/>
  </sheetPr>
  <dimension ref="A1:XFC50"/>
  <sheetViews>
    <sheetView tabSelected="1" zoomScaleNormal="100" workbookViewId="0">
      <selection activeCell="K15" sqref="K15"/>
    </sheetView>
  </sheetViews>
  <sheetFormatPr defaultColWidth="0" defaultRowHeight="0" customHeight="1" zeroHeight="1"/>
  <cols>
    <col min="1" max="2" width="1.33203125" style="2" customWidth="1"/>
    <col min="3" max="3" width="73.6640625" style="9" customWidth="1"/>
    <col min="4" max="8" width="12.6640625" style="2" customWidth="1"/>
    <col min="9" max="9" width="2.33203125" style="2" customWidth="1"/>
    <col min="10" max="10" width="12.6640625" style="1" customWidth="1"/>
    <col min="11" max="12" width="12.6640625" style="2" customWidth="1"/>
    <col min="13" max="13" width="13.5546875" style="2" customWidth="1"/>
    <col min="14" max="14" width="12.6640625" style="2" customWidth="1"/>
    <col min="15" max="16" width="2.6640625" style="2" customWidth="1"/>
    <col min="17" max="16383" width="0" style="2" hidden="1"/>
    <col min="16384" max="16384" width="12.6640625" style="2" hidden="1"/>
  </cols>
  <sheetData>
    <row r="1" spans="2:13" ht="18" customHeight="1">
      <c r="B1" s="3" t="str">
        <f>'Input | General'!$B$1</f>
        <v>CitiPower 2026-31 Revised proposal - Capital expenditure sharing scheme model</v>
      </c>
      <c r="C1" s="2"/>
      <c r="J1" s="107"/>
      <c r="K1" s="91" t="s">
        <v>49</v>
      </c>
      <c r="L1" s="123" t="s">
        <v>50</v>
      </c>
      <c r="M1" s="156" t="s">
        <v>136</v>
      </c>
    </row>
    <row r="2" spans="2:13" ht="18" customHeight="1">
      <c r="B2" s="10" t="s">
        <v>110</v>
      </c>
      <c r="C2" s="2"/>
      <c r="J2" s="17"/>
      <c r="K2" s="17"/>
      <c r="L2" s="17"/>
    </row>
    <row r="3" spans="2:13" ht="3" customHeight="1">
      <c r="C3" s="1"/>
      <c r="J3" s="17"/>
      <c r="K3" s="17"/>
    </row>
    <row r="4" spans="2:13" s="8" customFormat="1" ht="12" customHeight="1">
      <c r="B4" s="23" t="s">
        <v>46</v>
      </c>
      <c r="J4" s="18"/>
      <c r="K4" s="18"/>
    </row>
    <row r="5" spans="2:13" ht="11.25" customHeight="1">
      <c r="C5" s="84"/>
      <c r="D5" s="84"/>
      <c r="E5" s="84"/>
      <c r="F5" s="84"/>
      <c r="G5" s="84"/>
      <c r="H5" s="84"/>
      <c r="I5" s="74"/>
      <c r="J5" s="74"/>
      <c r="K5" s="74"/>
      <c r="L5" s="74"/>
      <c r="M5" s="74"/>
    </row>
    <row r="6" spans="2:13" ht="11.25" customHeight="1">
      <c r="C6" s="104" t="s">
        <v>12</v>
      </c>
      <c r="D6" s="105"/>
      <c r="E6" s="106"/>
      <c r="F6" s="106"/>
      <c r="G6" s="106"/>
      <c r="H6" s="106"/>
      <c r="I6" s="86"/>
    </row>
    <row r="7" spans="2:13" ht="11.25" customHeight="1">
      <c r="C7" s="103" t="s">
        <v>9</v>
      </c>
      <c r="D7" s="80" t="str">
        <f>IF('Input | General'!D14="Yes",'Input | General'!D13,"n/a")</f>
        <v>2021–22</v>
      </c>
      <c r="E7" s="80" t="str">
        <f>IF('Input | General'!E14="Yes",'Input | General'!E13,"n/a")</f>
        <v>2022–23</v>
      </c>
      <c r="F7" s="80" t="str">
        <f>IF('Input | General'!F14="Yes",'Input | General'!F13,"n/a")</f>
        <v>2023–24</v>
      </c>
      <c r="G7" s="80" t="str">
        <f>IF('Input | General'!G14="Yes",'Input | General'!G13,"n/a")</f>
        <v>2024–25</v>
      </c>
      <c r="H7" s="116" t="str">
        <f>IF('Input | General'!H14="Yes",'Input | General'!H13,"n/a")</f>
        <v>2025–26</v>
      </c>
      <c r="I7" s="86"/>
    </row>
    <row r="8" spans="2:13" ht="11.25" customHeight="1">
      <c r="C8" s="101" t="s">
        <v>120</v>
      </c>
      <c r="D8" s="203">
        <f>'Input | Inflation and Disc Rate'!G20</f>
        <v>2.6738665770133618E-2</v>
      </c>
      <c r="E8" s="204">
        <f>'Input | Inflation and Disc Rate'!H20</f>
        <v>2.5850627726693887E-2</v>
      </c>
      <c r="F8" s="204">
        <f>'Input | Inflation and Disc Rate'!I20</f>
        <v>2.6341556182575498E-2</v>
      </c>
      <c r="G8" s="204">
        <f>'Input | Inflation and Disc Rate'!J20</f>
        <v>2.6530125069218702E-2</v>
      </c>
      <c r="H8" s="205">
        <f>'Input | Inflation and Disc Rate'!K20</f>
        <v>2.6721537837025799E-2</v>
      </c>
      <c r="I8" s="86"/>
      <c r="J8" s="74"/>
      <c r="K8" s="74"/>
    </row>
    <row r="9" spans="2:13" ht="11.25" customHeight="1">
      <c r="C9" s="119" t="s">
        <v>121</v>
      </c>
      <c r="D9" s="204">
        <f>'Input | Inflation and Disc Rate'!G22</f>
        <v>3.5574626749222515E-2</v>
      </c>
      <c r="E9" s="204">
        <f>'Input | Inflation and Disc Rate'!H22</f>
        <v>6.1737893713719849E-2</v>
      </c>
      <c r="F9" s="204">
        <f>'Input | Inflation and Disc Rate'!I22</f>
        <v>0.1067227992471631</v>
      </c>
      <c r="G9" s="204">
        <f>'Input | Inflation and Disc Rate'!J22</f>
        <v>6.8125000167589045E-2</v>
      </c>
      <c r="H9" s="205">
        <f>'Input | Inflation and Disc Rate'!K22</f>
        <v>5.1616328982229343E-2</v>
      </c>
      <c r="I9" s="86"/>
      <c r="J9" s="74"/>
      <c r="K9" s="74"/>
    </row>
    <row r="10" spans="2:13" ht="11.25" customHeight="1">
      <c r="C10" s="99" t="s">
        <v>14</v>
      </c>
      <c r="D10" s="131">
        <f>'Input | Reported Capex'!H$12*'Input | Inflation and Disc Rate'!G$15*(1+'Input | Inflation and Disc Rate'!G$20)^0.5</f>
        <v>130.47822370192952</v>
      </c>
      <c r="E10" s="132">
        <f>'Input | Reported Capex'!I$12*'Input | Inflation and Disc Rate'!H$15*(1+'Input | Inflation and Disc Rate'!H$20)^0.5</f>
        <v>136.44343022449209</v>
      </c>
      <c r="F10" s="132">
        <f>'Input | Reported Capex'!J$12*'Input | Inflation and Disc Rate'!I$15*(1+'Input | Inflation and Disc Rate'!I$20)^0.5</f>
        <v>138.70298607367877</v>
      </c>
      <c r="G10" s="132">
        <f>'Input | Reported Capex'!K$12*'Input | Inflation and Disc Rate'!J$15*(1+'Input | Inflation and Disc Rate'!J$20)^0.5</f>
        <v>132.12991096599328</v>
      </c>
      <c r="H10" s="133">
        <f>'Input | Reported Capex'!L$12*'Input | Inflation and Disc Rate'!K$15*(1+'Input | Inflation and Disc Rate'!K$20)^0.5</f>
        <v>130.10175706257502</v>
      </c>
      <c r="I10" s="86"/>
      <c r="J10" s="74"/>
      <c r="K10" s="74"/>
    </row>
    <row r="11" spans="2:13" ht="11.25" customHeight="1">
      <c r="C11" s="99" t="s">
        <v>16</v>
      </c>
      <c r="D11" s="134">
        <f>'Input | Reported Capex'!H23*(1+D$9)^0.5</f>
        <v>89.322395127415604</v>
      </c>
      <c r="E11" s="132">
        <f>'Input | Reported Capex'!I23*(1+E$9)^0.5</f>
        <v>98.064162600005886</v>
      </c>
      <c r="F11" s="132">
        <f>'Input | Reported Capex'!J23*(1+F$9)^0.5</f>
        <v>95.959809036868307</v>
      </c>
      <c r="G11" s="132">
        <f>'Input | Reported Capex'!K23*(1+G$9)^0.5</f>
        <v>168.15706384734261</v>
      </c>
      <c r="H11" s="133">
        <f>'Input | Reported Capex'!L23*(1+H$9)^0.5</f>
        <v>156.16439600617576</v>
      </c>
      <c r="I11" s="86"/>
      <c r="J11" s="74"/>
      <c r="K11" s="74"/>
    </row>
    <row r="12" spans="2:13" s="14" customFormat="1" ht="11.25" customHeight="1">
      <c r="C12" s="99" t="s">
        <v>18</v>
      </c>
      <c r="D12" s="158">
        <f>(D10-D11)</f>
        <v>41.155828574513919</v>
      </c>
      <c r="E12" s="159">
        <f>(E10-E11)</f>
        <v>38.379267624486204</v>
      </c>
      <c r="F12" s="159">
        <f t="shared" ref="F12:H12" si="0">(F10-F11)</f>
        <v>42.743177036810465</v>
      </c>
      <c r="G12" s="159">
        <f t="shared" si="0"/>
        <v>-36.027152881349338</v>
      </c>
      <c r="H12" s="160">
        <f t="shared" si="0"/>
        <v>-26.062638943600746</v>
      </c>
      <c r="I12" s="86"/>
      <c r="J12" s="74"/>
      <c r="K12" s="74"/>
    </row>
    <row r="13" spans="2:13" ht="11.25" customHeight="1">
      <c r="C13" s="99" t="s">
        <v>98</v>
      </c>
      <c r="D13" s="82"/>
      <c r="E13" s="159">
        <f>$D$12*$E$8</f>
        <v>1.06390400326339</v>
      </c>
      <c r="F13" s="159">
        <f>$D$12*$F$8*(1+'Input | Inflation and Disc Rate'!H13)</f>
        <v>1.1220338704620081</v>
      </c>
      <c r="G13" s="159">
        <f>$D$12*$G$8*(1+'Input | Inflation and Disc Rate'!H13)*(1+'Input | Inflation and Disc Rate'!I13)</f>
        <v>1.2185708340163877</v>
      </c>
      <c r="H13" s="160">
        <f>$D$12*$H$8*(1+'Input | Inflation and Disc Rate'!H13)*(1+'Input | Inflation and Disc Rate'!I13)*(1+'Input | Inflation and Disc Rate'!J13)</f>
        <v>1.2770953143916184</v>
      </c>
      <c r="I13" s="86"/>
      <c r="J13" s="74"/>
      <c r="K13" s="74"/>
      <c r="L13" s="85"/>
      <c r="M13" s="85"/>
    </row>
    <row r="14" spans="2:13" ht="11.25" customHeight="1">
      <c r="C14" s="99" t="s">
        <v>99</v>
      </c>
      <c r="D14" s="82"/>
      <c r="E14" s="118"/>
      <c r="F14" s="159">
        <f>$E$12*F$8</f>
        <v>1.0109696343765042</v>
      </c>
      <c r="G14" s="159">
        <f>$E$12*G$8*(1+'Input | Inflation and Disc Rate'!I13)</f>
        <v>1.0979509112502612</v>
      </c>
      <c r="H14" s="160">
        <f>$E$12*H$8*(1+'Input | Inflation and Disc Rate'!I13)*(1+'Input | Inflation and Disc Rate'!J13)</f>
        <v>1.1506823608834702</v>
      </c>
      <c r="I14" s="86"/>
      <c r="J14" s="74"/>
      <c r="K14" s="74"/>
      <c r="L14" s="85"/>
      <c r="M14" s="85"/>
    </row>
    <row r="15" spans="2:13" ht="11.25" customHeight="1">
      <c r="C15" s="99" t="s">
        <v>100</v>
      </c>
      <c r="D15" s="82"/>
      <c r="E15" s="117"/>
      <c r="F15" s="117"/>
      <c r="G15" s="159">
        <f>$F$12*G$8</f>
        <v>1.1339818326423385</v>
      </c>
      <c r="H15" s="160">
        <f>$F$12*$H$8*(1+'Input | Inflation and Disc Rate'!J13)</f>
        <v>1.1884437446278768</v>
      </c>
      <c r="I15" s="86"/>
      <c r="J15" s="74"/>
      <c r="K15" s="74"/>
      <c r="L15" s="85"/>
      <c r="M15" s="85"/>
    </row>
    <row r="16" spans="2:13" ht="11.25" customHeight="1">
      <c r="C16" s="99" t="s">
        <v>101</v>
      </c>
      <c r="D16" s="82"/>
      <c r="E16" s="117"/>
      <c r="F16" s="117"/>
      <c r="G16" s="117"/>
      <c r="H16" s="160">
        <f>$G$12*$H$8</f>
        <v>-0.96270092887928937</v>
      </c>
      <c r="I16" s="86"/>
      <c r="J16" s="74"/>
      <c r="K16" s="74"/>
      <c r="L16" s="85"/>
      <c r="M16" s="85"/>
    </row>
    <row r="17" spans="3:8" ht="11.25" customHeight="1">
      <c r="C17" s="99" t="s">
        <v>102</v>
      </c>
      <c r="D17" s="82"/>
      <c r="E17" s="117"/>
      <c r="F17" s="117"/>
      <c r="G17" s="117"/>
      <c r="H17" s="120"/>
    </row>
    <row r="18" spans="3:8" s="14" customFormat="1" ht="11.25" customHeight="1">
      <c r="C18" s="100" t="s">
        <v>20</v>
      </c>
      <c r="D18" s="161">
        <f>SUM(D13:D17)</f>
        <v>0</v>
      </c>
      <c r="E18" s="162">
        <f>SUM(E13:E17)</f>
        <v>1.06390400326339</v>
      </c>
      <c r="F18" s="162">
        <f t="shared" ref="F18:H18" si="1">SUM(F13:F17)</f>
        <v>2.1330035048385123</v>
      </c>
      <c r="G18" s="162">
        <f t="shared" si="1"/>
        <v>3.4505035779089877</v>
      </c>
      <c r="H18" s="163">
        <f t="shared" si="1"/>
        <v>2.6535204910236758</v>
      </c>
    </row>
    <row r="19" spans="3:8" ht="11.25" customHeight="1">
      <c r="C19" s="101" t="s">
        <v>119</v>
      </c>
      <c r="D19" s="161">
        <f>E19*(1+E$9)</f>
        <v>1.3198834268143864</v>
      </c>
      <c r="E19" s="162">
        <f>F19*(1+F$9)</f>
        <v>1.243134896690681</v>
      </c>
      <c r="F19" s="162">
        <f>G19*(1+G$9)</f>
        <v>1.1232576915703831</v>
      </c>
      <c r="G19" s="162">
        <f>H19*(1+H$9)</f>
        <v>1.0516163289822293</v>
      </c>
      <c r="H19" s="164">
        <v>1</v>
      </c>
    </row>
    <row r="20" spans="3:8" s="14" customFormat="1" ht="11.25" customHeight="1">
      <c r="C20" s="99" t="s">
        <v>21</v>
      </c>
      <c r="D20" s="158">
        <f>D12*D19</f>
        <v>54.320896052314872</v>
      </c>
      <c r="E20" s="159">
        <f>E12*E19</f>
        <v>47.710606893429656</v>
      </c>
      <c r="F20" s="159">
        <f t="shared" ref="F20:H20" si="2">F12*F19</f>
        <v>48.01160236875193</v>
      </c>
      <c r="G20" s="159">
        <f t="shared" si="2"/>
        <v>-37.886742256766134</v>
      </c>
      <c r="H20" s="160">
        <f t="shared" si="2"/>
        <v>-26.062638943600746</v>
      </c>
    </row>
    <row r="21" spans="3:8" s="14" customFormat="1" ht="11.25" customHeight="1">
      <c r="C21" s="100" t="s">
        <v>22</v>
      </c>
      <c r="D21" s="161">
        <f>D18*D19</f>
        <v>0</v>
      </c>
      <c r="E21" s="162">
        <f>E18*E19</f>
        <v>1.3225761931856361</v>
      </c>
      <c r="F21" s="162">
        <f t="shared" ref="F21:H21" si="3">F18*F19</f>
        <v>2.395912592956444</v>
      </c>
      <c r="G21" s="162">
        <f t="shared" si="3"/>
        <v>3.6286059057406974</v>
      </c>
      <c r="H21" s="163">
        <f t="shared" si="3"/>
        <v>2.6535204910236758</v>
      </c>
    </row>
    <row r="22" spans="3:8" s="74" customFormat="1" ht="11.25" customHeight="1"/>
    <row r="23" spans="3:8" ht="11.25" customHeight="1">
      <c r="C23" s="104" t="s">
        <v>13</v>
      </c>
      <c r="D23" s="105"/>
      <c r="E23" s="106"/>
      <c r="F23" s="106"/>
      <c r="G23" s="106"/>
      <c r="H23" s="106"/>
    </row>
    <row r="24" spans="3:8" ht="11.25" customHeight="1">
      <c r="C24" s="98" t="s">
        <v>9</v>
      </c>
      <c r="D24" s="95" t="str">
        <f>'Input | General'!$D$18</f>
        <v>2026-27</v>
      </c>
      <c r="E24" s="95" t="str">
        <f>'Input | General'!$E$18</f>
        <v>2027–28</v>
      </c>
      <c r="F24" s="95" t="str">
        <f>'Input | General'!$F$18</f>
        <v>2028–29</v>
      </c>
      <c r="G24" s="95" t="str">
        <f>'Input | General'!$G$18</f>
        <v>2029–30</v>
      </c>
      <c r="H24" s="96" t="str">
        <f>'Input | General'!$H$18</f>
        <v>2030–31</v>
      </c>
    </row>
    <row r="25" spans="3:8" ht="11.25" customHeight="1">
      <c r="C25" s="102" t="s">
        <v>97</v>
      </c>
      <c r="D25" s="135">
        <f>'Input | Inflation and Disc Rate'!L$22</f>
        <v>6.1351162075776955E-2</v>
      </c>
      <c r="E25" s="135">
        <f>'Input | Inflation and Disc Rate'!M$22</f>
        <v>6.2227646468204112E-2</v>
      </c>
      <c r="F25" s="135">
        <f>'Input | Inflation and Disc Rate'!N$22</f>
        <v>6.309264152379912E-2</v>
      </c>
      <c r="G25" s="135">
        <f>'Input | Inflation and Disc Rate'!O$22</f>
        <v>6.4450111983064273E-2</v>
      </c>
      <c r="H25" s="136">
        <f>'Input | Inflation and Disc Rate'!P$22</f>
        <v>6.6451243946168859E-2</v>
      </c>
    </row>
    <row r="26" spans="3:8" ht="11.25" customHeight="1">
      <c r="C26" s="103" t="s">
        <v>15</v>
      </c>
      <c r="D26" s="132">
        <f>'Input | Reported Capex'!H32</f>
        <v>27.316129995469957</v>
      </c>
      <c r="E26" s="132">
        <f>'Input | Reported Capex'!I32</f>
        <v>20.505636682564802</v>
      </c>
      <c r="F26" s="132">
        <f>'Input | Reported Capex'!J32</f>
        <v>0.75506402453854815</v>
      </c>
      <c r="G26" s="132">
        <f>'Input | Reported Capex'!K32</f>
        <v>5.1427235211505993</v>
      </c>
      <c r="H26" s="133">
        <f>'Input | Reported Capex'!L32</f>
        <v>1.8722654716830294</v>
      </c>
    </row>
    <row r="27" spans="3:8" ht="11.25" customHeight="1">
      <c r="C27" s="103" t="s">
        <v>17</v>
      </c>
      <c r="D27" s="159">
        <f>1/(1+D25)^(0.5)</f>
        <v>0.97066741362221687</v>
      </c>
      <c r="E27" s="159">
        <f>1/((1+E25)^(0.5)*(1+D25))</f>
        <v>0.91418080873217966</v>
      </c>
      <c r="F27" s="159">
        <f>1/((1+F25)^(0.5)*(1+E25)*(1+D25))</f>
        <v>0.86027587428779451</v>
      </c>
      <c r="G27" s="159">
        <f>1/((1+G25)^(0.5)*(1+F25)*(1+E25)*(1+D25))</f>
        <v>0.80870388901020884</v>
      </c>
      <c r="H27" s="160">
        <f>1/((1+H25)^(0.5)*(1+G25)*(1+F25)*(1+E25)*(1+D25))</f>
        <v>0.75902551130549345</v>
      </c>
    </row>
    <row r="28" spans="3:8" ht="11.25" customHeight="1">
      <c r="C28" s="98" t="s">
        <v>19</v>
      </c>
      <c r="D28" s="162">
        <f>D26*D27</f>
        <v>26.514877252871081</v>
      </c>
      <c r="E28" s="162">
        <f t="shared" ref="E28:G28" si="4">E26*E27</f>
        <v>18.745859526035339</v>
      </c>
      <c r="F28" s="162">
        <f t="shared" si="4"/>
        <v>0.64956336385316027</v>
      </c>
      <c r="G28" s="162">
        <f t="shared" si="4"/>
        <v>4.1589405116587645</v>
      </c>
      <c r="H28" s="163">
        <f>H26*H27</f>
        <v>1.4210972569438323</v>
      </c>
    </row>
    <row r="29" spans="3:8" ht="11.25" customHeight="1">
      <c r="C29" s="85"/>
      <c r="D29" s="87"/>
      <c r="E29" s="87"/>
      <c r="F29" s="87"/>
      <c r="G29" s="87"/>
      <c r="H29" s="87"/>
    </row>
    <row r="30" spans="3:8" ht="11.25" customHeight="1">
      <c r="C30" s="97" t="s">
        <v>23</v>
      </c>
      <c r="D30" s="85"/>
      <c r="E30" s="85"/>
      <c r="F30" s="85"/>
      <c r="G30" s="85"/>
      <c r="H30" s="85"/>
    </row>
    <row r="31" spans="3:8" ht="11.25" customHeight="1">
      <c r="C31" s="99" t="s">
        <v>134</v>
      </c>
      <c r="D31" s="145">
        <f>SUM('Input | Reported Capex'!H12:L12)</f>
        <v>596.71979310163601</v>
      </c>
      <c r="E31" s="85"/>
      <c r="F31" s="85"/>
      <c r="G31" s="85"/>
      <c r="H31" s="85"/>
    </row>
    <row r="32" spans="3:8" ht="11.25" customHeight="1">
      <c r="C32" s="99" t="s">
        <v>16</v>
      </c>
      <c r="D32" s="146">
        <f>SUM('Input | Reported Capex'!H24:L24)</f>
        <v>525.08440544953328</v>
      </c>
      <c r="E32" s="87"/>
      <c r="F32" s="85"/>
      <c r="G32" s="85"/>
      <c r="H32" s="85"/>
    </row>
    <row r="33" spans="2:8" ht="11.25" customHeight="1">
      <c r="C33" s="99" t="s">
        <v>135</v>
      </c>
      <c r="D33" s="165">
        <f>(D31-D32)/D31</f>
        <v>0.12004861993894256</v>
      </c>
      <c r="E33" s="85"/>
      <c r="F33" s="85"/>
      <c r="G33" s="85"/>
      <c r="H33" s="85"/>
    </row>
    <row r="34" spans="2:8" ht="11.25" customHeight="1">
      <c r="C34" s="99" t="s">
        <v>25</v>
      </c>
      <c r="D34" s="89">
        <v>0.3</v>
      </c>
      <c r="E34" s="85"/>
      <c r="F34" s="85"/>
      <c r="G34" s="85"/>
      <c r="H34" s="85"/>
    </row>
    <row r="35" spans="2:8" ht="11.25" customHeight="1">
      <c r="C35" s="99" t="s">
        <v>24</v>
      </c>
      <c r="D35" s="145">
        <f>SUM(D20:H20)-SUM(D28:H28)</f>
        <v>34.603386202767425</v>
      </c>
      <c r="E35" s="85"/>
      <c r="F35" s="85"/>
      <c r="G35" s="85"/>
      <c r="H35" s="85"/>
    </row>
    <row r="36" spans="2:8" ht="11.25" customHeight="1">
      <c r="C36" s="99" t="s">
        <v>26</v>
      </c>
      <c r="D36" s="146">
        <f>D35-D37</f>
        <v>24.2223703419372</v>
      </c>
      <c r="E36" s="85"/>
      <c r="F36" s="85"/>
      <c r="G36" s="85"/>
      <c r="H36" s="85"/>
    </row>
    <row r="37" spans="2:8" ht="11.25" customHeight="1">
      <c r="C37" s="99" t="s">
        <v>27</v>
      </c>
      <c r="D37" s="146">
        <f>D34*D35</f>
        <v>10.381015860830226</v>
      </c>
      <c r="E37" s="85"/>
      <c r="F37" s="85"/>
      <c r="G37" s="85"/>
      <c r="H37" s="85"/>
    </row>
    <row r="38" spans="2:8" ht="11.25" customHeight="1">
      <c r="C38" s="99" t="s">
        <v>28</v>
      </c>
      <c r="D38" s="146">
        <f>SUM(D21:H21)</f>
        <v>10.000615182906452</v>
      </c>
      <c r="E38" s="85"/>
      <c r="F38" s="85"/>
      <c r="G38" s="85"/>
      <c r="H38" s="85"/>
    </row>
    <row r="39" spans="2:8" ht="11.25" customHeight="1">
      <c r="C39" s="100" t="s">
        <v>29</v>
      </c>
      <c r="D39" s="147">
        <f>D37-D38</f>
        <v>0.38040067792377386</v>
      </c>
      <c r="E39" s="85"/>
      <c r="F39" s="85"/>
      <c r="G39" s="85"/>
      <c r="H39" s="85"/>
    </row>
    <row r="40" spans="2:8" ht="11.25" customHeight="1">
      <c r="D40" s="20"/>
    </row>
    <row r="41" spans="2:8" s="8" customFormat="1" ht="12" customHeight="1">
      <c r="B41" s="23" t="s">
        <v>47</v>
      </c>
    </row>
    <row r="42" spans="2:8" s="21" customFormat="1" ht="11.25" customHeight="1">
      <c r="H42" s="22"/>
    </row>
    <row r="43" spans="2:8" s="24" customFormat="1" ht="11.25" customHeight="1">
      <c r="C43" s="83"/>
      <c r="D43" s="94" t="str">
        <f>'Input | General'!D18</f>
        <v>2026-27</v>
      </c>
      <c r="E43" s="94" t="str">
        <f>'Input | General'!E18</f>
        <v>2027–28</v>
      </c>
      <c r="F43" s="94" t="str">
        <f>'Input | General'!F18</f>
        <v>2028–29</v>
      </c>
      <c r="G43" s="94" t="str">
        <f>'Input | General'!G18</f>
        <v>2029–30</v>
      </c>
      <c r="H43" s="94" t="str">
        <f>'Input | General'!H18</f>
        <v>2030–31</v>
      </c>
    </row>
    <row r="44" spans="2:8" s="24" customFormat="1" ht="11.25" customHeight="1">
      <c r="C44" s="88" t="s">
        <v>133</v>
      </c>
      <c r="D44" s="153">
        <f>1/(1+'Input | Inflation and Disc Rate'!L21)</f>
        <v>0.96687979320886275</v>
      </c>
      <c r="E44" s="152">
        <f>D44/(1+'Input | Inflation and Disc Rate'!M21)</f>
        <v>0.9340851488673616</v>
      </c>
      <c r="F44" s="152">
        <f>E44/(1+'Input | Inflation and Disc Rate'!N21)</f>
        <v>0.90166858547573969</v>
      </c>
      <c r="G44" s="152">
        <f>F44/(1+'Input | Inflation and Disc Rate'!O21)</f>
        <v>0.8692670358298642</v>
      </c>
      <c r="H44" s="152">
        <f>G44/(1+'Input | Inflation and Disc Rate'!P21)</f>
        <v>0.83645732620845359</v>
      </c>
    </row>
    <row r="45" spans="2:8" s="24" customFormat="1" ht="11.25" customHeight="1">
      <c r="C45" s="88" t="str">
        <f>CONCATENATE("CESS Payment Per Year ($", 'Output | Models'!F4," million)")</f>
        <v>CESS Payment Per Year ($2025-26 million)</v>
      </c>
      <c r="D45" s="148">
        <f>D39/(SUM(D44:H44))</f>
        <v>8.4376770265313733E-2</v>
      </c>
      <c r="E45" s="148">
        <f>D45</f>
        <v>8.4376770265313733E-2</v>
      </c>
      <c r="F45" s="148">
        <f t="shared" ref="F45:H45" si="5">E45</f>
        <v>8.4376770265313733E-2</v>
      </c>
      <c r="G45" s="148">
        <f t="shared" si="5"/>
        <v>8.4376770265313733E-2</v>
      </c>
      <c r="H45" s="149">
        <f t="shared" si="5"/>
        <v>8.4376770265313733E-2</v>
      </c>
    </row>
    <row r="46" spans="2:8" s="74" customFormat="1" ht="11.25" customHeight="1"/>
    <row r="47" spans="2:8" s="24" customFormat="1" ht="11.25" customHeight="1">
      <c r="C47" s="88" t="str">
        <f>CONCATENATE("Total CESS Payment ($", 'Output | Models'!$F$4," million)")</f>
        <v>Total CESS Payment ($2025-26 million)</v>
      </c>
      <c r="D47" s="150">
        <f>SUM(D45:H45)</f>
        <v>0.42188385132656869</v>
      </c>
      <c r="E47" s="66"/>
      <c r="F47" s="66"/>
      <c r="G47" s="66"/>
      <c r="H47" s="66"/>
    </row>
    <row r="50" spans="2:2" ht="12" customHeight="1">
      <c r="B50" s="23" t="s">
        <v>36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3" tint="0.59999389629810485"/>
  </sheetPr>
  <dimension ref="B1:X11"/>
  <sheetViews>
    <sheetView workbookViewId="0">
      <selection activeCell="J8" sqref="J8:N8"/>
    </sheetView>
  </sheetViews>
  <sheetFormatPr defaultColWidth="0" defaultRowHeight="11.25" customHeight="1" zeroHeight="1"/>
  <cols>
    <col min="1" max="2" width="1.33203125" style="41" customWidth="1"/>
    <col min="3" max="3" width="36" style="41" customWidth="1"/>
    <col min="4" max="4" width="23.6640625" style="43" customWidth="1"/>
    <col min="5" max="5" width="13.5546875" style="43" customWidth="1"/>
    <col min="6" max="6" width="9.33203125" style="43" customWidth="1"/>
    <col min="7" max="9" width="2.6640625" style="43" customWidth="1"/>
    <col min="10" max="15" width="9.33203125" style="41" customWidth="1"/>
    <col min="16" max="17" width="3" style="41" customWidth="1"/>
    <col min="18" max="24" width="9.33203125" style="41" hidden="1" customWidth="1"/>
    <col min="25" max="48" width="0" style="41" hidden="1" customWidth="1"/>
    <col min="49" max="16384" width="0" style="41" hidden="1"/>
  </cols>
  <sheetData>
    <row r="1" spans="2:20" s="29" customFormat="1" ht="19.2">
      <c r="B1" s="3" t="str">
        <f>'Input | General'!$B$1</f>
        <v>CitiPower 2026-31 Revised proposal - Capital expenditure sharing scheme model</v>
      </c>
      <c r="C1" s="30"/>
      <c r="D1" s="30"/>
      <c r="E1" s="30"/>
      <c r="F1" s="31"/>
      <c r="G1" s="31"/>
      <c r="H1" s="31"/>
      <c r="I1" s="31"/>
      <c r="J1" s="90"/>
      <c r="K1" s="91" t="s">
        <v>49</v>
      </c>
      <c r="L1" s="123" t="s">
        <v>50</v>
      </c>
      <c r="M1" s="156" t="s">
        <v>136</v>
      </c>
      <c r="R1" s="92"/>
      <c r="S1" s="74"/>
      <c r="T1" s="74"/>
    </row>
    <row r="2" spans="2:20" s="47" customFormat="1" ht="13.8" thickBot="1">
      <c r="B2" s="48" t="s">
        <v>106</v>
      </c>
      <c r="C2" s="48"/>
      <c r="D2" s="48"/>
      <c r="E2" s="48"/>
      <c r="F2" s="49"/>
      <c r="G2" s="49"/>
      <c r="H2" s="49"/>
      <c r="I2" s="49"/>
    </row>
    <row r="3" spans="2:20" s="50" customFormat="1" ht="10.199999999999999">
      <c r="D3" s="51"/>
      <c r="E3" s="51"/>
      <c r="F3" s="51"/>
      <c r="G3" s="51"/>
      <c r="H3" s="51"/>
      <c r="I3" s="51"/>
      <c r="J3" s="212"/>
      <c r="K3" s="212"/>
      <c r="L3" s="212"/>
      <c r="M3" s="51"/>
      <c r="N3" s="212"/>
      <c r="O3" s="212"/>
      <c r="P3" s="212"/>
      <c r="Q3" s="212"/>
      <c r="R3" s="212"/>
      <c r="S3" s="212"/>
      <c r="T3" s="212"/>
    </row>
    <row r="4" spans="2:20" s="40" customFormat="1" ht="13.2">
      <c r="B4" s="35" t="s">
        <v>80</v>
      </c>
      <c r="C4" s="34"/>
      <c r="D4" s="34"/>
      <c r="E4" s="128" t="s">
        <v>59</v>
      </c>
      <c r="F4" s="128" t="s">
        <v>132</v>
      </c>
      <c r="G4" s="36"/>
      <c r="H4" s="36"/>
      <c r="I4" s="36"/>
      <c r="J4" s="52" t="s">
        <v>81</v>
      </c>
      <c r="K4" s="38"/>
      <c r="L4" s="37"/>
      <c r="M4" s="38"/>
      <c r="N4" s="37"/>
      <c r="O4" s="37"/>
      <c r="P4" s="37"/>
      <c r="Q4" s="37"/>
      <c r="R4" s="37"/>
      <c r="S4" s="37"/>
      <c r="T4" s="37"/>
    </row>
    <row r="5" spans="2:20" ht="11.25" customHeight="1">
      <c r="M5" s="53"/>
      <c r="N5" s="53"/>
      <c r="O5" s="53"/>
      <c r="P5" s="53"/>
      <c r="Q5" s="74"/>
      <c r="R5" s="74"/>
      <c r="S5" s="74"/>
      <c r="T5" s="74"/>
    </row>
    <row r="6" spans="2:20" ht="11.25" customHeight="1">
      <c r="C6" s="54" t="s">
        <v>84</v>
      </c>
      <c r="D6" s="55" t="s">
        <v>5</v>
      </c>
      <c r="E6" s="55" t="s">
        <v>61</v>
      </c>
      <c r="F6" s="55" t="s">
        <v>3</v>
      </c>
      <c r="H6" s="55"/>
      <c r="I6" s="55"/>
      <c r="J6" s="56" t="str">
        <f>'Calc | CESS Revenue Increments'!D43</f>
        <v>2026-27</v>
      </c>
      <c r="K6" s="56" t="str">
        <f>'Calc | CESS Revenue Increments'!E43</f>
        <v>2027–28</v>
      </c>
      <c r="L6" s="56" t="str">
        <f>'Calc | CESS Revenue Increments'!F43</f>
        <v>2028–29</v>
      </c>
      <c r="M6" s="56" t="str">
        <f>'Calc | CESS Revenue Increments'!G43</f>
        <v>2029–30</v>
      </c>
      <c r="N6" s="56" t="str">
        <f>'Calc | CESS Revenue Increments'!H43</f>
        <v>2030–31</v>
      </c>
      <c r="O6" s="56" t="s">
        <v>112</v>
      </c>
      <c r="P6" s="45"/>
      <c r="Q6" s="74"/>
      <c r="R6" s="74"/>
      <c r="S6" s="74"/>
      <c r="T6" s="74"/>
    </row>
    <row r="7" spans="2:20" ht="11.25" customHeight="1">
      <c r="C7" s="54"/>
      <c r="D7" s="55"/>
      <c r="E7" s="55"/>
      <c r="F7" s="55"/>
      <c r="H7" s="55"/>
      <c r="I7" s="55"/>
      <c r="O7" s="74"/>
      <c r="P7" s="74"/>
      <c r="Q7" s="74"/>
      <c r="R7" s="74"/>
      <c r="S7" s="74"/>
      <c r="T7" s="74"/>
    </row>
    <row r="8" spans="2:20" ht="11.25" customHeight="1">
      <c r="C8" s="46" t="s">
        <v>129</v>
      </c>
      <c r="D8" s="27" t="s">
        <v>82</v>
      </c>
      <c r="E8" s="43" t="str">
        <f>$E$4</f>
        <v>$millions</v>
      </c>
      <c r="F8" s="43" t="str">
        <f>$F$4</f>
        <v>2025-26</v>
      </c>
      <c r="H8" s="55"/>
      <c r="I8" s="55"/>
      <c r="J8" s="143">
        <f>'Calc | CESS Revenue Increments'!D45</f>
        <v>8.4376770265313733E-2</v>
      </c>
      <c r="K8" s="143">
        <f>'Calc | CESS Revenue Increments'!E45</f>
        <v>8.4376770265313733E-2</v>
      </c>
      <c r="L8" s="143">
        <f>'Calc | CESS Revenue Increments'!F45</f>
        <v>8.4376770265313733E-2</v>
      </c>
      <c r="M8" s="143">
        <f>'Calc | CESS Revenue Increments'!G45</f>
        <v>8.4376770265313733E-2</v>
      </c>
      <c r="N8" s="143">
        <f>'Calc | CESS Revenue Increments'!H45</f>
        <v>8.4376770265313733E-2</v>
      </c>
      <c r="O8" s="151">
        <f>SUM(J8:N8)</f>
        <v>0.42188385132656869</v>
      </c>
      <c r="P8" s="112"/>
      <c r="Q8" s="74"/>
      <c r="R8" s="74"/>
      <c r="S8" s="74"/>
      <c r="T8" s="74"/>
    </row>
    <row r="9" spans="2:20" ht="11.25" customHeight="1">
      <c r="C9" s="46"/>
      <c r="D9" s="57"/>
      <c r="H9" s="55"/>
      <c r="I9" s="55"/>
      <c r="Q9" s="74"/>
      <c r="R9" s="74"/>
      <c r="S9" s="74"/>
      <c r="T9" s="74"/>
    </row>
    <row r="10" spans="2:20" ht="11.25" customHeight="1">
      <c r="D10" s="57"/>
      <c r="H10" s="55"/>
      <c r="I10" s="55"/>
      <c r="J10" s="111"/>
      <c r="K10" s="111"/>
      <c r="L10" s="111"/>
      <c r="M10" s="111"/>
      <c r="N10" s="111"/>
      <c r="Q10" s="74"/>
      <c r="R10" s="74"/>
      <c r="S10" s="74"/>
      <c r="T10" s="74"/>
    </row>
    <row r="11" spans="2:20" s="40" customFormat="1" ht="13.2">
      <c r="B11" s="35" t="s">
        <v>36</v>
      </c>
      <c r="C11" s="34"/>
      <c r="D11" s="34"/>
      <c r="E11" s="34"/>
      <c r="F11" s="36"/>
      <c r="G11" s="36"/>
      <c r="H11" s="36"/>
      <c r="I11" s="36"/>
      <c r="J11" s="37"/>
      <c r="K11" s="38"/>
      <c r="L11" s="37"/>
      <c r="M11" s="38"/>
      <c r="N11" s="37"/>
      <c r="O11" s="37"/>
      <c r="P11" s="37"/>
      <c r="Q11" s="37"/>
      <c r="R11" s="37"/>
      <c r="S11" s="37"/>
      <c r="T11" s="37"/>
    </row>
  </sheetData>
  <mergeCells count="2">
    <mergeCell ref="J3:L3"/>
    <mergeCell ref="N3:T3"/>
  </mergeCells>
  <dataValidations count="2">
    <dataValidation type="list" allowBlank="1" showInputMessage="1" showErrorMessage="1" sqref="F8" xr:uid="{00000000-0002-0000-0500-000000000000}">
      <formula1>$G$13:$G$19</formula1>
    </dataValidation>
    <dataValidation type="list" allowBlank="1" showInputMessage="1" showErrorMessage="1" sqref="F9:F10" xr:uid="{00000000-0002-0000-0500-000001000000}">
      <formula1>#REF!</formula1>
    </dataValidation>
  </dataValidations>
  <hyperlinks>
    <hyperlink ref="D8" location="'Calc | CESS Payments'!A1" display="Calc | CESS Revenue Increments" xr:uid="{00000000-0004-0000-0500-000000000000}"/>
  </hyperlinks>
  <pageMargins left="0.7" right="0.7" top="0.75" bottom="0.75" header="0.3" footer="0.3"/>
  <pageSetup paperSize="9" orientation="portrait" verticalDpi="4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'Lookup | Tables'!$E$19:$E$39</xm:f>
          </x14:formula1>
          <xm:sqref>F4</xm:sqref>
        </x14:dataValidation>
        <x14:dataValidation type="list" allowBlank="1" showInputMessage="1" showErrorMessage="1" xr:uid="{00000000-0002-0000-0500-000003000000}">
          <x14:formula1>
            <xm:f>'Lookup | Tables'!$E$7:$E$9</xm:f>
          </x14:formula1>
          <xm:sqref>E4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F1466-9798-4D56-B0EB-E3362FCBFCC1}">
  <sheetPr codeName="Sheet8">
    <tabColor rgb="FF8DB4E2"/>
  </sheetPr>
  <dimension ref="A1:S37"/>
  <sheetViews>
    <sheetView zoomScale="90" zoomScaleNormal="90" workbookViewId="0">
      <selection activeCell="H8" sqref="H8"/>
    </sheetView>
  </sheetViews>
  <sheetFormatPr defaultColWidth="0" defaultRowHeight="0" customHeight="1" zeroHeight="1"/>
  <cols>
    <col min="1" max="1" width="2.6640625" customWidth="1"/>
    <col min="2" max="2" width="1.5546875" customWidth="1"/>
    <col min="3" max="3" width="40.6640625" customWidth="1"/>
    <col min="4" max="4" width="40.33203125" customWidth="1"/>
    <col min="5" max="5" width="9.5546875" customWidth="1"/>
    <col min="6" max="7" width="9.33203125" customWidth="1"/>
    <col min="8" max="8" width="11.33203125" customWidth="1"/>
    <col min="9" max="11" width="9.33203125" customWidth="1"/>
    <col min="12" max="12" width="10.44140625" customWidth="1"/>
    <col min="13" max="19" width="9.33203125" customWidth="1"/>
    <col min="20" max="16384" width="9.33203125" hidden="1"/>
  </cols>
  <sheetData>
    <row r="1" spans="2:19" ht="38.4">
      <c r="B1" s="3" t="s">
        <v>144</v>
      </c>
      <c r="C1" s="74"/>
      <c r="D1" s="3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91" t="s">
        <v>49</v>
      </c>
      <c r="Q1" s="123" t="s">
        <v>50</v>
      </c>
      <c r="R1" s="130" t="s">
        <v>38</v>
      </c>
      <c r="S1" s="169" t="s">
        <v>145</v>
      </c>
    </row>
    <row r="2" spans="2:19" ht="15.6">
      <c r="B2" s="74"/>
      <c r="C2" s="74"/>
      <c r="D2" s="74"/>
      <c r="E2" s="3"/>
      <c r="F2" s="3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</row>
    <row r="3" spans="2:19" ht="14.4">
      <c r="B3" s="23" t="s">
        <v>146</v>
      </c>
      <c r="C3" s="8"/>
      <c r="D3" s="23"/>
      <c r="E3" s="8"/>
      <c r="F3" s="8"/>
      <c r="G3" s="8"/>
      <c r="H3" s="8"/>
      <c r="I3" s="8"/>
      <c r="J3" s="8"/>
      <c r="K3" s="8"/>
      <c r="L3" s="8"/>
      <c r="M3" s="8"/>
      <c r="N3" s="18"/>
      <c r="O3" s="18"/>
      <c r="P3" s="18"/>
      <c r="Q3" s="18"/>
      <c r="R3" s="18"/>
      <c r="S3" s="18"/>
    </row>
    <row r="4" spans="2:19" ht="14.4">
      <c r="B4" s="74"/>
      <c r="C4" s="170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</row>
    <row r="5" spans="2:19" ht="14.4">
      <c r="B5" s="74"/>
      <c r="C5" s="74"/>
      <c r="D5" s="70" t="s">
        <v>5</v>
      </c>
      <c r="E5" s="70" t="s">
        <v>61</v>
      </c>
      <c r="F5" s="70" t="s">
        <v>3</v>
      </c>
      <c r="G5" s="171"/>
      <c r="H5" s="137" t="s">
        <v>75</v>
      </c>
      <c r="I5" s="137" t="s">
        <v>76</v>
      </c>
      <c r="J5" s="137" t="s">
        <v>77</v>
      </c>
      <c r="K5" s="137" t="s">
        <v>124</v>
      </c>
      <c r="L5" s="137" t="s">
        <v>132</v>
      </c>
      <c r="M5" s="172" t="s">
        <v>142</v>
      </c>
      <c r="N5" s="172" t="s">
        <v>147</v>
      </c>
      <c r="O5" s="172" t="s">
        <v>148</v>
      </c>
      <c r="P5" s="172" t="s">
        <v>149</v>
      </c>
      <c r="Q5" s="172" t="s">
        <v>150</v>
      </c>
      <c r="R5" s="74"/>
      <c r="S5" s="74"/>
    </row>
    <row r="6" spans="2:19" ht="14.4">
      <c r="B6" s="74"/>
      <c r="C6" s="173" t="s">
        <v>151</v>
      </c>
      <c r="D6" s="173" t="s">
        <v>152</v>
      </c>
      <c r="E6" s="73" t="s">
        <v>60</v>
      </c>
      <c r="F6" s="74"/>
      <c r="G6" s="74"/>
      <c r="H6" s="174">
        <f>'Input | Inflation and Disc Rate'!G20</f>
        <v>2.6738665770133618E-2</v>
      </c>
      <c r="I6" s="174">
        <f>'Input | Inflation and Disc Rate'!H20</f>
        <v>2.5850627726693887E-2</v>
      </c>
      <c r="J6" s="174">
        <f>'Input | Inflation and Disc Rate'!I20</f>
        <v>2.6341556182575498E-2</v>
      </c>
      <c r="K6" s="174">
        <f>'Input | Inflation and Disc Rate'!J20</f>
        <v>2.6530125069218702E-2</v>
      </c>
      <c r="L6" s="174">
        <f>'Input | Inflation and Disc Rate'!K20</f>
        <v>2.6721537837025799E-2</v>
      </c>
      <c r="M6" s="175"/>
      <c r="N6" s="175"/>
      <c r="O6" s="175"/>
      <c r="P6" s="175"/>
      <c r="Q6" s="175"/>
      <c r="R6" s="74"/>
      <c r="S6" s="74"/>
    </row>
    <row r="7" spans="2:19" ht="14.4">
      <c r="B7" s="74"/>
      <c r="C7" s="173" t="s">
        <v>153</v>
      </c>
      <c r="D7" s="173"/>
      <c r="E7" s="73" t="s">
        <v>60</v>
      </c>
      <c r="F7" s="74"/>
      <c r="G7" s="74"/>
      <c r="H7" s="175"/>
      <c r="I7" s="175"/>
      <c r="J7" s="175"/>
      <c r="K7" s="175"/>
      <c r="L7" s="175"/>
      <c r="M7" s="174">
        <f>'Input | Inflation and Disc Rate'!L21</f>
        <v>3.4254730550546154E-2</v>
      </c>
      <c r="N7" s="174">
        <f>'Input | Inflation and Disc Rate'!M21</f>
        <v>3.5108838183828039E-2</v>
      </c>
      <c r="O7" s="174">
        <f>'Input | Inflation and Disc Rate'!N21</f>
        <v>3.5951749804522891E-2</v>
      </c>
      <c r="P7" s="174">
        <f>'Input | Inflation and Disc Rate'!O21</f>
        <v>3.727456386856174E-2</v>
      </c>
      <c r="Q7" s="174">
        <f>'Input | Inflation and Disc Rate'!P21</f>
        <v>3.9224606675552075E-2</v>
      </c>
      <c r="R7" s="74"/>
      <c r="S7" s="74"/>
    </row>
    <row r="8" spans="2:19" ht="14.4">
      <c r="B8" s="74"/>
      <c r="C8" s="173" t="s">
        <v>154</v>
      </c>
      <c r="D8" s="173" t="s">
        <v>155</v>
      </c>
      <c r="E8" s="73" t="s">
        <v>60</v>
      </c>
      <c r="F8" s="74"/>
      <c r="G8" s="176"/>
      <c r="H8" s="174">
        <f>'Input | Inflation and Disc Rate'!G13</f>
        <v>8.6058519793459354E-3</v>
      </c>
      <c r="I8" s="174">
        <f>'Input | Inflation and Disc Rate'!H13</f>
        <v>3.4982935153583528E-2</v>
      </c>
      <c r="J8" s="174">
        <f>'Input | Inflation and Disc Rate'!I13</f>
        <v>7.8318219291014124E-2</v>
      </c>
      <c r="K8" s="174">
        <f>'Input | Inflation and Disc Rate'!J13</f>
        <v>4.0519877675840865E-2</v>
      </c>
      <c r="L8" s="174">
        <f>'Input | Inflation and Disc Rate'!K13</f>
        <v>2.4246877296105973E-2</v>
      </c>
      <c r="M8" s="177"/>
      <c r="N8" s="177"/>
      <c r="O8" s="177"/>
      <c r="P8" s="177"/>
      <c r="Q8" s="177"/>
      <c r="R8" s="74"/>
      <c r="S8" s="74"/>
    </row>
    <row r="9" spans="2:19" ht="14.4">
      <c r="B9" s="74"/>
      <c r="C9" s="173" t="s">
        <v>156</v>
      </c>
      <c r="D9" s="173"/>
      <c r="E9" s="73" t="s">
        <v>32</v>
      </c>
      <c r="F9" s="74"/>
      <c r="G9" s="178"/>
      <c r="H9" s="179">
        <f>(1+H8)</f>
        <v>1.0086058519793459</v>
      </c>
      <c r="I9" s="179">
        <f>H9*(1+I8)</f>
        <v>1.0438898450946643</v>
      </c>
      <c r="J9" s="179">
        <f t="shared" ref="J9:L9" si="0">I9*(1+J8)</f>
        <v>1.1256454388984509</v>
      </c>
      <c r="K9" s="179">
        <f t="shared" si="0"/>
        <v>1.1712564543889843</v>
      </c>
      <c r="L9" s="179">
        <f t="shared" si="0"/>
        <v>1.1996557659208262</v>
      </c>
      <c r="M9" s="175"/>
      <c r="N9" s="175"/>
      <c r="O9" s="175"/>
      <c r="P9" s="175"/>
      <c r="Q9" s="175"/>
      <c r="R9" s="74"/>
      <c r="S9" s="74"/>
    </row>
    <row r="10" spans="2:19" ht="14.4">
      <c r="B10" s="74"/>
      <c r="C10" s="173" t="s">
        <v>157</v>
      </c>
      <c r="D10" s="173"/>
      <c r="E10" s="73" t="s">
        <v>60</v>
      </c>
      <c r="F10" s="74"/>
      <c r="G10" s="74"/>
      <c r="H10" s="180">
        <f>(1+H6)*(1+H8)-1</f>
        <v>3.5574626749222515E-2</v>
      </c>
      <c r="I10" s="180">
        <f t="shared" ref="I10:L10" si="1">(1+I6)*(1+I8)-1</f>
        <v>6.1737893713719849E-2</v>
      </c>
      <c r="J10" s="180">
        <f t="shared" si="1"/>
        <v>0.1067227992471631</v>
      </c>
      <c r="K10" s="180">
        <f t="shared" si="1"/>
        <v>6.8125000167589045E-2</v>
      </c>
      <c r="L10" s="180">
        <f t="shared" si="1"/>
        <v>5.1616328982229343E-2</v>
      </c>
      <c r="M10" s="175"/>
      <c r="N10" s="175"/>
      <c r="O10" s="175"/>
      <c r="P10" s="175"/>
      <c r="Q10" s="175"/>
      <c r="R10" s="74"/>
      <c r="S10" s="74"/>
    </row>
    <row r="11" spans="2:19" ht="14.4">
      <c r="B11" s="74"/>
      <c r="C11" s="74"/>
      <c r="D11" s="74"/>
      <c r="E11" s="173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</row>
    <row r="12" spans="2:19" ht="14.4">
      <c r="B12" s="74"/>
      <c r="C12" s="173" t="s">
        <v>158</v>
      </c>
      <c r="D12" s="73" t="s">
        <v>159</v>
      </c>
      <c r="E12" s="73" t="s">
        <v>59</v>
      </c>
      <c r="F12" s="73" t="s">
        <v>160</v>
      </c>
      <c r="G12" s="74"/>
      <c r="H12" s="181">
        <v>13.651595014998703</v>
      </c>
      <c r="I12" s="181">
        <v>13.651595014998703</v>
      </c>
      <c r="J12" s="181">
        <v>13.651595014998703</v>
      </c>
      <c r="K12" s="181">
        <v>13.651595014998703</v>
      </c>
      <c r="L12" s="181">
        <v>13.651595014998703</v>
      </c>
      <c r="M12" s="74"/>
      <c r="N12" s="74"/>
      <c r="O12" s="74"/>
      <c r="P12" s="74"/>
      <c r="Q12" s="74"/>
      <c r="R12" s="74"/>
      <c r="S12" s="74"/>
    </row>
    <row r="13" spans="2:19" ht="14.4">
      <c r="B13" s="74"/>
      <c r="C13" s="173" t="s">
        <v>158</v>
      </c>
      <c r="D13" s="73" t="s">
        <v>161</v>
      </c>
      <c r="E13" s="73" t="s">
        <v>59</v>
      </c>
      <c r="F13" s="73" t="s">
        <v>160</v>
      </c>
      <c r="G13" s="74"/>
      <c r="H13" s="181">
        <v>14.010499983031814</v>
      </c>
      <c r="I13" s="181">
        <v>14.010499983031814</v>
      </c>
      <c r="J13" s="181">
        <v>14.010499983031814</v>
      </c>
      <c r="K13" s="181">
        <v>14.010499983031814</v>
      </c>
      <c r="L13" s="181">
        <v>14.010499983031814</v>
      </c>
      <c r="M13" s="74"/>
      <c r="N13" s="74"/>
      <c r="O13" s="74"/>
      <c r="P13" s="74"/>
      <c r="Q13" s="74"/>
      <c r="R13" s="74"/>
      <c r="S13" s="74"/>
    </row>
    <row r="14" spans="2:19" ht="14.4">
      <c r="B14" s="74"/>
      <c r="C14" s="173"/>
      <c r="D14" s="173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</row>
    <row r="15" spans="2:19" ht="14.4">
      <c r="B15" s="74"/>
      <c r="C15" s="173" t="s">
        <v>162</v>
      </c>
      <c r="D15" s="73"/>
      <c r="E15" s="73" t="s">
        <v>59</v>
      </c>
      <c r="F15" s="73" t="s">
        <v>160</v>
      </c>
      <c r="G15" s="74"/>
      <c r="H15" s="182">
        <f>H13-H12</f>
        <v>0.35890496803311045</v>
      </c>
      <c r="I15" s="183">
        <f t="shared" ref="I15:L15" si="2">I13-I12</f>
        <v>0.35890496803311045</v>
      </c>
      <c r="J15" s="183">
        <f t="shared" si="2"/>
        <v>0.35890496803311045</v>
      </c>
      <c r="K15" s="183">
        <f t="shared" si="2"/>
        <v>0.35890496803311045</v>
      </c>
      <c r="L15" s="183">
        <f t="shared" si="2"/>
        <v>0.35890496803311045</v>
      </c>
      <c r="M15" s="74"/>
      <c r="N15" s="74"/>
      <c r="O15" s="74"/>
      <c r="P15" s="74"/>
      <c r="Q15" s="74"/>
      <c r="R15" s="74"/>
      <c r="S15" s="74"/>
    </row>
    <row r="16" spans="2:19" ht="14.4">
      <c r="B16" s="74"/>
      <c r="C16" s="173" t="s">
        <v>162</v>
      </c>
      <c r="D16" s="73"/>
      <c r="E16" s="184" t="s">
        <v>59</v>
      </c>
      <c r="F16" s="184" t="s">
        <v>63</v>
      </c>
      <c r="G16" s="74"/>
      <c r="H16" s="182">
        <f>H15*H9</f>
        <v>0.3619936510626553</v>
      </c>
      <c r="I16" s="183">
        <f>I15*I9</f>
        <v>0.37465725148378909</v>
      </c>
      <c r="J16" s="183">
        <f>J15*J9</f>
        <v>0.40399974026446511</v>
      </c>
      <c r="K16" s="183">
        <f>K15*K9</f>
        <v>0.42036976032105272</v>
      </c>
      <c r="L16" s="183">
        <f>L15*L9</f>
        <v>0.43056241431855075</v>
      </c>
      <c r="M16" s="74"/>
      <c r="N16" s="74"/>
      <c r="O16" s="74"/>
      <c r="P16" s="74"/>
      <c r="Q16" s="74"/>
      <c r="R16" s="74"/>
      <c r="S16" s="74"/>
    </row>
    <row r="17" spans="3:13" ht="14.4">
      <c r="C17" s="173" t="s">
        <v>98</v>
      </c>
      <c r="D17" s="173"/>
      <c r="E17" s="184"/>
      <c r="F17" s="184"/>
      <c r="G17" s="74"/>
      <c r="H17" s="183"/>
      <c r="I17" s="183">
        <f>$H$16*I$6</f>
        <v>9.3577631130474289E-3</v>
      </c>
      <c r="J17" s="183">
        <f>$H$16*I$9/$H$9*J$6</f>
        <v>9.8690550391695477E-3</v>
      </c>
      <c r="K17" s="183">
        <f>$H$16*J$9/$H$9*K$6</f>
        <v>1.071816363714813E-2</v>
      </c>
      <c r="L17" s="183">
        <f>$H$16*K$9/$H$9*L$6</f>
        <v>1.1232926455960477E-2</v>
      </c>
      <c r="M17" s="74"/>
    </row>
    <row r="18" spans="3:13" ht="14.4">
      <c r="C18" s="173" t="s">
        <v>99</v>
      </c>
      <c r="D18" s="173"/>
      <c r="E18" s="184"/>
      <c r="F18" s="184"/>
      <c r="G18" s="74"/>
      <c r="H18" s="183"/>
      <c r="I18" s="183"/>
      <c r="J18" s="183">
        <f>$I$16*J$6</f>
        <v>9.8690550391695477E-3</v>
      </c>
      <c r="K18" s="183">
        <f>$I$16*J$9/$I$9*K$6</f>
        <v>1.0718163637148129E-2</v>
      </c>
      <c r="L18" s="183">
        <f>$I$16*K$9/$I$9*L$6</f>
        <v>1.1232926455960475E-2</v>
      </c>
      <c r="M18" s="74"/>
    </row>
    <row r="19" spans="3:13" ht="14.4">
      <c r="C19" s="173" t="s">
        <v>100</v>
      </c>
      <c r="D19" s="173"/>
      <c r="E19" s="184"/>
      <c r="F19" s="184"/>
      <c r="G19" s="74"/>
      <c r="H19" s="183"/>
      <c r="I19" s="183"/>
      <c r="J19" s="183"/>
      <c r="K19" s="183">
        <f>$J$16*K$6</f>
        <v>1.071816363714813E-2</v>
      </c>
      <c r="L19" s="183">
        <f>$J$16*K$9/$J$9*L$6</f>
        <v>1.1232926455960477E-2</v>
      </c>
      <c r="M19" s="74"/>
    </row>
    <row r="20" spans="3:13" ht="14.4">
      <c r="C20" s="173" t="s">
        <v>101</v>
      </c>
      <c r="D20" s="173"/>
      <c r="E20" s="184"/>
      <c r="F20" s="184"/>
      <c r="G20" s="74"/>
      <c r="H20" s="183"/>
      <c r="I20" s="183"/>
      <c r="J20" s="183"/>
      <c r="K20" s="183"/>
      <c r="L20" s="183">
        <f>$K$16*L$6</f>
        <v>1.1232926455960477E-2</v>
      </c>
      <c r="M20" s="74"/>
    </row>
    <row r="21" spans="3:13" ht="14.4">
      <c r="C21" s="173" t="s">
        <v>102</v>
      </c>
      <c r="D21" s="173"/>
      <c r="E21" s="184"/>
      <c r="F21" s="184"/>
      <c r="G21" s="74"/>
      <c r="H21" s="185"/>
      <c r="I21" s="185"/>
      <c r="J21" s="185"/>
      <c r="K21" s="185"/>
      <c r="L21" s="185"/>
      <c r="M21" s="74"/>
    </row>
    <row r="22" spans="3:13" ht="14.4">
      <c r="C22" s="173" t="s">
        <v>20</v>
      </c>
      <c r="D22" s="73"/>
      <c r="E22" s="184" t="s">
        <v>59</v>
      </c>
      <c r="F22" s="184"/>
      <c r="G22" s="74"/>
      <c r="H22" s="183">
        <f>SUM(H17:H21)</f>
        <v>0</v>
      </c>
      <c r="I22" s="183">
        <f>SUM(I17:I21)</f>
        <v>9.3577631130474289E-3</v>
      </c>
      <c r="J22" s="183">
        <f t="shared" ref="J22:L22" si="3">SUM(J17:J21)</f>
        <v>1.9738110078339095E-2</v>
      </c>
      <c r="K22" s="183">
        <f t="shared" si="3"/>
        <v>3.2154490911444386E-2</v>
      </c>
      <c r="L22" s="183">
        <f t="shared" si="3"/>
        <v>4.49317058238419E-2</v>
      </c>
      <c r="M22" s="74"/>
    </row>
    <row r="23" spans="3:13" ht="14.4">
      <c r="C23" s="173"/>
      <c r="D23" s="173"/>
      <c r="E23" s="184"/>
      <c r="F23" s="184"/>
      <c r="G23" s="74"/>
      <c r="H23" s="185"/>
      <c r="I23" s="185"/>
      <c r="J23" s="185"/>
      <c r="K23" s="185"/>
      <c r="L23" s="185"/>
      <c r="M23" s="74"/>
    </row>
    <row r="24" spans="3:13" ht="14.4">
      <c r="C24" s="173" t="s">
        <v>119</v>
      </c>
      <c r="D24" s="173"/>
      <c r="E24" s="184"/>
      <c r="F24" s="184"/>
      <c r="G24" s="74"/>
      <c r="H24" s="183">
        <f>I24*(1+I10)</f>
        <v>1.3198834268143864</v>
      </c>
      <c r="I24" s="183">
        <f>J24*(1+J10)</f>
        <v>1.243134896690681</v>
      </c>
      <c r="J24" s="183">
        <f>K24*(1+K10)</f>
        <v>1.1232576915703831</v>
      </c>
      <c r="K24" s="186">
        <f>L24*(1+L10)</f>
        <v>1.0516163289822293</v>
      </c>
      <c r="L24" s="183">
        <v>1</v>
      </c>
      <c r="M24" s="74"/>
    </row>
    <row r="25" spans="3:13" ht="14.4">
      <c r="C25" s="173" t="s">
        <v>163</v>
      </c>
      <c r="D25" s="173"/>
      <c r="E25" s="184" t="s">
        <v>59</v>
      </c>
      <c r="F25" s="184"/>
      <c r="G25" s="74"/>
      <c r="H25" s="183">
        <f>H16*H24</f>
        <v>0.4777894206496287</v>
      </c>
      <c r="I25" s="183">
        <f t="shared" ref="I25:L25" si="4">I16*I24</f>
        <v>0.46574950361771467</v>
      </c>
      <c r="J25" s="183">
        <f t="shared" si="4"/>
        <v>0.45379581564449745</v>
      </c>
      <c r="K25" s="183">
        <f t="shared" si="4"/>
        <v>0.44206770416396507</v>
      </c>
      <c r="L25" s="183">
        <f t="shared" si="4"/>
        <v>0.43056241431855075</v>
      </c>
      <c r="M25" s="74"/>
    </row>
    <row r="26" spans="3:13" ht="14.4">
      <c r="C26" s="173" t="s">
        <v>22</v>
      </c>
      <c r="D26" s="173"/>
      <c r="E26" s="184" t="s">
        <v>59</v>
      </c>
      <c r="F26" s="184"/>
      <c r="G26" s="74"/>
      <c r="H26" s="187">
        <f>H22*H24</f>
        <v>0</v>
      </c>
      <c r="I26" s="187">
        <f t="shared" ref="I26:L26" si="5">I22*I24</f>
        <v>1.1632961880794081E-2</v>
      </c>
      <c r="J26" s="187">
        <f t="shared" si="5"/>
        <v>2.2170983962557286E-2</v>
      </c>
      <c r="K26" s="187">
        <f t="shared" si="5"/>
        <v>3.3814187692585602E-2</v>
      </c>
      <c r="L26" s="187">
        <f t="shared" si="5"/>
        <v>4.49317058238419E-2</v>
      </c>
      <c r="M26" s="74"/>
    </row>
    <row r="27" spans="3:13" ht="14.4">
      <c r="C27" s="72" t="s">
        <v>164</v>
      </c>
      <c r="D27" s="188"/>
      <c r="E27" s="189" t="s">
        <v>59</v>
      </c>
      <c r="F27" s="190"/>
      <c r="G27" s="74"/>
      <c r="H27" s="72"/>
      <c r="I27" s="72"/>
      <c r="J27" s="72"/>
      <c r="K27" s="191"/>
      <c r="L27" s="192">
        <f>SUM(H25:L26)</f>
        <v>2.3825146977541358</v>
      </c>
      <c r="M27" s="74"/>
    </row>
    <row r="28" spans="3:13" ht="14.4">
      <c r="C28" s="74"/>
      <c r="D28" s="74"/>
      <c r="E28" s="74"/>
      <c r="F28" s="74"/>
      <c r="G28" s="74"/>
      <c r="H28" s="193"/>
      <c r="I28" s="193"/>
      <c r="J28" s="193"/>
      <c r="K28" s="193"/>
      <c r="L28" s="74"/>
      <c r="M28" s="74"/>
    </row>
    <row r="29" spans="3:13" ht="14.4">
      <c r="C29" s="195" t="s">
        <v>80</v>
      </c>
      <c r="D29" s="196"/>
      <c r="E29" s="196"/>
      <c r="F29" s="197" t="s">
        <v>81</v>
      </c>
      <c r="G29" s="197"/>
      <c r="H29" s="194"/>
      <c r="I29" s="194"/>
      <c r="J29" s="194"/>
      <c r="K29" s="198"/>
      <c r="L29" s="198"/>
      <c r="M29" s="198"/>
    </row>
    <row r="30" spans="3:13" ht="14.4">
      <c r="C30" s="199" t="s">
        <v>165</v>
      </c>
      <c r="D30" s="74"/>
      <c r="E30" s="70" t="s">
        <v>61</v>
      </c>
      <c r="F30" s="70" t="s">
        <v>3</v>
      </c>
      <c r="G30" s="74"/>
      <c r="H30" s="172" t="str">
        <f>M5</f>
        <v>2026-27</v>
      </c>
      <c r="I30" s="172" t="str">
        <f t="shared" ref="I30:L30" si="6">N5</f>
        <v>2027–28</v>
      </c>
      <c r="J30" s="172" t="str">
        <f t="shared" si="6"/>
        <v>2028–29</v>
      </c>
      <c r="K30" s="172" t="str">
        <f t="shared" si="6"/>
        <v>2029–30</v>
      </c>
      <c r="L30" s="172" t="str">
        <f t="shared" si="6"/>
        <v>2030–31</v>
      </c>
      <c r="M30" s="172" t="s">
        <v>112</v>
      </c>
    </row>
    <row r="31" spans="3:13" ht="14.4">
      <c r="C31" s="173" t="s">
        <v>133</v>
      </c>
      <c r="D31" s="74"/>
      <c r="E31" s="73"/>
      <c r="F31" s="73"/>
      <c r="G31" s="74"/>
      <c r="H31" s="183">
        <f>1/(1+M7)</f>
        <v>0.96687979320886275</v>
      </c>
      <c r="I31" s="183">
        <f>H31/(1+N7)</f>
        <v>0.9340851488673616</v>
      </c>
      <c r="J31" s="183">
        <f>I31/(1+O7)</f>
        <v>0.90166858547573969</v>
      </c>
      <c r="K31" s="183">
        <f>J31/(1+P7)</f>
        <v>0.8692670358298642</v>
      </c>
      <c r="L31" s="183">
        <f>K31/(1+Q7)</f>
        <v>0.83645732620845359</v>
      </c>
      <c r="M31" s="74"/>
    </row>
    <row r="33" spans="2:14" ht="14.4">
      <c r="B33" s="74"/>
      <c r="C33" s="173" t="s">
        <v>166</v>
      </c>
      <c r="D33" s="74"/>
      <c r="E33" s="73" t="s">
        <v>59</v>
      </c>
      <c r="F33" s="73" t="s">
        <v>167</v>
      </c>
      <c r="G33" s="74"/>
      <c r="H33" s="191">
        <f>$L$27/SUM($H$31:$L$31)</f>
        <v>0.52846618571593884</v>
      </c>
      <c r="I33" s="191">
        <f>H33</f>
        <v>0.52846618571593884</v>
      </c>
      <c r="J33" s="191">
        <f t="shared" ref="J33:L33" si="7">I33</f>
        <v>0.52846618571593884</v>
      </c>
      <c r="K33" s="191">
        <f t="shared" si="7"/>
        <v>0.52846618571593884</v>
      </c>
      <c r="L33" s="191">
        <f t="shared" si="7"/>
        <v>0.52846618571593884</v>
      </c>
      <c r="M33" s="191">
        <f>SUM(H33:L33)</f>
        <v>2.6423309285796943</v>
      </c>
      <c r="N33" s="208"/>
    </row>
    <row r="34" spans="2:14" ht="14.4">
      <c r="B34" s="74"/>
      <c r="C34" s="173" t="s">
        <v>168</v>
      </c>
      <c r="D34" s="74"/>
      <c r="E34" s="73" t="s">
        <v>59</v>
      </c>
      <c r="F34" s="73" t="s">
        <v>63</v>
      </c>
      <c r="G34" s="74"/>
      <c r="H34" s="191">
        <f>H33*'Input | Inflation and Disc Rate'!L10/'Input | Inflation and Disc Rate'!$K10</f>
        <v>0.54194204124385614</v>
      </c>
      <c r="I34" s="191">
        <f>I33*'Input | Inflation and Disc Rate'!M10/'Input | Inflation and Disc Rate'!$K10</f>
        <v>0.55576153026643749</v>
      </c>
      <c r="J34" s="191">
        <f>J33*'Input | Inflation and Disc Rate'!N10/'Input | Inflation and Disc Rate'!$K10</f>
        <v>0.56993341541685349</v>
      </c>
      <c r="K34" s="191">
        <f>K33*'Input | Inflation and Disc Rate'!O10/'Input | Inflation and Disc Rate'!$K10</f>
        <v>0.58446668277488723</v>
      </c>
      <c r="L34" s="191">
        <f>L33*'Input | Inflation and Disc Rate'!P10/'Input | Inflation and Disc Rate'!$K10</f>
        <v>0.59937054756480779</v>
      </c>
      <c r="M34" s="191">
        <f>SUM(H34:L34)</f>
        <v>2.8514742172668419</v>
      </c>
    </row>
    <row r="35" spans="2:14" ht="14.4">
      <c r="B35" s="74"/>
      <c r="C35" s="173"/>
      <c r="D35" s="74"/>
      <c r="E35" s="74"/>
      <c r="F35" s="74"/>
      <c r="G35" s="74"/>
      <c r="H35" s="74"/>
      <c r="I35" s="200"/>
      <c r="J35" s="200"/>
      <c r="K35" s="200"/>
      <c r="L35" s="200"/>
      <c r="M35" s="74"/>
    </row>
    <row r="36" spans="2:14" ht="14.4">
      <c r="B36" s="74"/>
      <c r="C36" s="74"/>
      <c r="D36" s="74"/>
      <c r="E36" s="74"/>
      <c r="F36" s="74"/>
      <c r="G36" s="74"/>
      <c r="H36" s="74"/>
      <c r="I36" s="193"/>
      <c r="J36" s="74"/>
      <c r="K36" s="74"/>
      <c r="L36" s="74"/>
      <c r="M36" s="74"/>
    </row>
    <row r="37" spans="2:14" ht="14.4">
      <c r="B37" s="23" t="s">
        <v>36</v>
      </c>
      <c r="C37" s="23"/>
      <c r="D37" s="59"/>
      <c r="E37" s="59"/>
      <c r="F37" s="59"/>
      <c r="G37" s="59"/>
      <c r="H37" s="59"/>
      <c r="I37" s="58"/>
      <c r="J37" s="58"/>
      <c r="K37" s="58"/>
      <c r="L37" s="58"/>
      <c r="M37" s="58"/>
    </row>
  </sheetData>
  <pageMargins left="0.7" right="0.7" top="0.75" bottom="0.75" header="0.3" footer="0.3"/>
  <pageSetup paperSize="9" orientation="portrait" r:id="rId1"/>
  <headerFooter>
    <oddFooter>&amp;L&amp;1#&amp;"Calibri"&amp;8&amp;K000000For Official use only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1"/>
  </sheetPr>
  <dimension ref="B1:XER40"/>
  <sheetViews>
    <sheetView workbookViewId="0"/>
  </sheetViews>
  <sheetFormatPr defaultColWidth="0" defaultRowHeight="11.25" customHeight="1" zeroHeight="1"/>
  <cols>
    <col min="1" max="2" width="1.33203125" style="41" customWidth="1"/>
    <col min="3" max="3" width="56.44140625" style="41" customWidth="1"/>
    <col min="4" max="4" width="9.33203125" style="42" customWidth="1"/>
    <col min="5" max="5" width="14.33203125" style="43" customWidth="1"/>
    <col min="6" max="7" width="4.5546875" style="41" customWidth="1"/>
    <col min="8" max="12" width="9.33203125" style="41" customWidth="1"/>
    <col min="13" max="14" width="2.6640625" style="41" customWidth="1"/>
    <col min="15" max="22" width="9.33203125" style="41" hidden="1" customWidth="1"/>
    <col min="23" max="310" width="9" style="41" hidden="1" customWidth="1"/>
    <col min="311" max="16372" width="9" style="41" hidden="1"/>
    <col min="16373" max="16384" width="0" style="41" hidden="1"/>
  </cols>
  <sheetData>
    <row r="1" spans="2:11" s="29" customFormat="1" ht="15.6">
      <c r="B1" s="3" t="str">
        <f>'Input | General'!$B$1</f>
        <v>CitiPower 2026-31 Revised proposal - Capital expenditure sharing scheme model</v>
      </c>
      <c r="C1" s="30"/>
      <c r="D1" s="31"/>
      <c r="E1" s="31"/>
      <c r="F1" s="31"/>
      <c r="G1" s="31"/>
      <c r="H1" s="90"/>
      <c r="I1" s="91" t="s">
        <v>49</v>
      </c>
      <c r="J1" s="123" t="s">
        <v>50</v>
      </c>
      <c r="K1" s="130" t="s">
        <v>38</v>
      </c>
    </row>
    <row r="2" spans="2:11" s="29" customFormat="1" ht="13.2">
      <c r="B2" s="32" t="s">
        <v>107</v>
      </c>
      <c r="C2" s="32"/>
      <c r="D2" s="33"/>
      <c r="E2" s="33"/>
      <c r="F2" s="33"/>
      <c r="G2" s="33"/>
    </row>
    <row r="3" spans="2:11" s="39" customFormat="1" ht="3" customHeight="1"/>
    <row r="4" spans="2:11" s="40" customFormat="1" ht="13.2">
      <c r="B4" s="35" t="s">
        <v>51</v>
      </c>
      <c r="C4" s="34"/>
      <c r="D4" s="36"/>
      <c r="E4" s="36"/>
      <c r="F4" s="36"/>
      <c r="G4" s="36"/>
      <c r="H4" s="37"/>
      <c r="I4" s="38"/>
      <c r="J4" s="37"/>
      <c r="K4" s="38"/>
    </row>
    <row r="5" spans="2:11" ht="10.199999999999999"/>
    <row r="6" spans="2:11" ht="10.199999999999999">
      <c r="C6" s="44" t="s">
        <v>113</v>
      </c>
      <c r="D6" s="45"/>
      <c r="E6" s="45" t="s">
        <v>52</v>
      </c>
      <c r="F6" s="45"/>
    </row>
    <row r="7" spans="2:11" ht="10.199999999999999">
      <c r="C7" s="46" t="s">
        <v>53</v>
      </c>
      <c r="D7" s="43"/>
      <c r="E7" s="129" t="s">
        <v>55</v>
      </c>
    </row>
    <row r="8" spans="2:11" ht="10.199999999999999">
      <c r="C8" s="46" t="s">
        <v>56</v>
      </c>
      <c r="D8" s="43"/>
      <c r="E8" s="129" t="s">
        <v>57</v>
      </c>
    </row>
    <row r="9" spans="2:11" ht="10.199999999999999">
      <c r="C9" s="46" t="s">
        <v>58</v>
      </c>
      <c r="D9" s="43"/>
      <c r="E9" s="129" t="s">
        <v>59</v>
      </c>
    </row>
    <row r="10" spans="2:11" ht="10.199999999999999">
      <c r="D10" s="41"/>
      <c r="E10" s="41"/>
    </row>
    <row r="11" spans="2:11" ht="10.199999999999999">
      <c r="C11" s="46" t="s">
        <v>6</v>
      </c>
      <c r="D11" s="43"/>
      <c r="E11" s="129" t="s">
        <v>6</v>
      </c>
    </row>
    <row r="12" spans="2:11" ht="10.199999999999999">
      <c r="C12" s="46" t="s">
        <v>30</v>
      </c>
      <c r="D12" s="43"/>
      <c r="E12" s="129" t="s">
        <v>30</v>
      </c>
    </row>
    <row r="13" spans="2:11" ht="10.199999999999999">
      <c r="C13" s="46" t="s">
        <v>87</v>
      </c>
      <c r="D13" s="43"/>
      <c r="E13" s="129" t="s">
        <v>86</v>
      </c>
    </row>
    <row r="14" spans="2:11" ht="10.199999999999999">
      <c r="C14" s="46"/>
      <c r="D14" s="43"/>
      <c r="E14" s="41"/>
    </row>
    <row r="15" spans="2:11" ht="10.199999999999999">
      <c r="C15" s="46"/>
      <c r="D15" s="43"/>
      <c r="E15" s="41"/>
    </row>
    <row r="16" spans="2:11" s="40" customFormat="1" ht="13.2">
      <c r="B16" s="35" t="s">
        <v>62</v>
      </c>
      <c r="C16" s="34"/>
      <c r="D16" s="36"/>
      <c r="E16" s="36"/>
      <c r="F16" s="36"/>
      <c r="G16" s="36"/>
      <c r="H16" s="37"/>
      <c r="I16" s="38"/>
      <c r="J16" s="37"/>
      <c r="K16" s="38"/>
    </row>
    <row r="18" spans="3:5" ht="10.199999999999999">
      <c r="C18" s="44" t="str">
        <f>B16</f>
        <v>Years</v>
      </c>
      <c r="D18" s="45"/>
      <c r="E18" s="45" t="s">
        <v>52</v>
      </c>
    </row>
    <row r="19" spans="3:5" ht="10.199999999999999">
      <c r="C19" s="46" t="s">
        <v>87</v>
      </c>
      <c r="D19" s="45"/>
      <c r="E19" s="129" t="s">
        <v>86</v>
      </c>
    </row>
    <row r="20" spans="3:5" ht="10.199999999999999">
      <c r="C20" s="46" t="s">
        <v>63</v>
      </c>
      <c r="D20" s="43"/>
      <c r="E20" s="129" t="s">
        <v>63</v>
      </c>
    </row>
    <row r="21" spans="3:5" ht="10.199999999999999">
      <c r="C21" s="46" t="s">
        <v>64</v>
      </c>
      <c r="D21" s="43"/>
      <c r="E21" s="129" t="s">
        <v>64</v>
      </c>
    </row>
    <row r="22" spans="3:5" ht="10.199999999999999">
      <c r="C22" s="46" t="s">
        <v>65</v>
      </c>
      <c r="D22" s="43"/>
      <c r="E22" s="129" t="s">
        <v>65</v>
      </c>
    </row>
    <row r="23" spans="3:5" ht="10.199999999999999">
      <c r="C23" s="46" t="s">
        <v>66</v>
      </c>
      <c r="D23" s="43"/>
      <c r="E23" s="129" t="s">
        <v>66</v>
      </c>
    </row>
    <row r="24" spans="3:5" ht="10.199999999999999">
      <c r="C24" s="46" t="s">
        <v>67</v>
      </c>
      <c r="D24" s="43"/>
      <c r="E24" s="129" t="s">
        <v>67</v>
      </c>
    </row>
    <row r="25" spans="3:5" ht="10.199999999999999">
      <c r="C25" s="46" t="s">
        <v>68</v>
      </c>
      <c r="D25" s="43"/>
      <c r="E25" s="129" t="s">
        <v>68</v>
      </c>
    </row>
    <row r="26" spans="3:5" ht="10.199999999999999">
      <c r="C26" s="46" t="s">
        <v>69</v>
      </c>
      <c r="D26" s="43"/>
      <c r="E26" s="129" t="s">
        <v>69</v>
      </c>
    </row>
    <row r="27" spans="3:5" ht="10.199999999999999">
      <c r="C27" s="46" t="s">
        <v>31</v>
      </c>
      <c r="D27" s="43"/>
      <c r="E27" s="129" t="s">
        <v>31</v>
      </c>
    </row>
    <row r="28" spans="3:5" ht="10.199999999999999">
      <c r="C28" s="46" t="s">
        <v>8</v>
      </c>
      <c r="D28" s="43"/>
      <c r="E28" s="129" t="s">
        <v>8</v>
      </c>
    </row>
    <row r="29" spans="3:5" ht="10.199999999999999">
      <c r="C29" s="46" t="s">
        <v>70</v>
      </c>
      <c r="D29" s="43"/>
      <c r="E29" s="129" t="s">
        <v>70</v>
      </c>
    </row>
    <row r="30" spans="3:5" ht="10.199999999999999">
      <c r="C30" s="46" t="s">
        <v>71</v>
      </c>
      <c r="D30" s="43"/>
      <c r="E30" s="129" t="s">
        <v>71</v>
      </c>
    </row>
    <row r="31" spans="3:5" ht="10.199999999999999">
      <c r="C31" s="46" t="s">
        <v>72</v>
      </c>
      <c r="D31" s="43"/>
      <c r="E31" s="129" t="s">
        <v>72</v>
      </c>
    </row>
    <row r="32" spans="3:5" ht="10.199999999999999">
      <c r="C32" s="46" t="s">
        <v>11</v>
      </c>
      <c r="D32" s="43"/>
      <c r="E32" s="129" t="s">
        <v>11</v>
      </c>
    </row>
    <row r="33" spans="2:5" ht="10.199999999999999">
      <c r="C33" s="46" t="s">
        <v>73</v>
      </c>
      <c r="D33" s="43"/>
      <c r="E33" s="129" t="s">
        <v>73</v>
      </c>
    </row>
    <row r="34" spans="2:5" ht="10.199999999999999">
      <c r="C34" s="46" t="s">
        <v>74</v>
      </c>
      <c r="D34" s="43"/>
      <c r="E34" s="129" t="s">
        <v>74</v>
      </c>
    </row>
    <row r="35" spans="2:5" ht="10.199999999999999">
      <c r="C35" s="46" t="s">
        <v>75</v>
      </c>
      <c r="D35" s="43"/>
      <c r="E35" s="129" t="s">
        <v>75</v>
      </c>
    </row>
    <row r="36" spans="2:5" ht="10.199999999999999">
      <c r="C36" s="46" t="s">
        <v>76</v>
      </c>
      <c r="D36" s="43"/>
      <c r="E36" s="129" t="s">
        <v>76</v>
      </c>
    </row>
    <row r="37" spans="2:5" ht="10.199999999999999">
      <c r="C37" s="46" t="s">
        <v>77</v>
      </c>
      <c r="D37" s="43"/>
      <c r="E37" s="129" t="s">
        <v>77</v>
      </c>
    </row>
    <row r="38" spans="2:5" ht="10.199999999999999">
      <c r="C38" s="46" t="s">
        <v>124</v>
      </c>
      <c r="D38" s="43"/>
      <c r="E38" s="129" t="s">
        <v>124</v>
      </c>
    </row>
    <row r="39" spans="2:5" ht="10.199999999999999">
      <c r="C39" s="46" t="s">
        <v>132</v>
      </c>
      <c r="D39" s="43"/>
      <c r="E39" s="154" t="s">
        <v>132</v>
      </c>
    </row>
    <row r="40" spans="2:5" s="40" customFormat="1" ht="13.2">
      <c r="B40" s="35" t="s">
        <v>36</v>
      </c>
      <c r="C40" s="34"/>
      <c r="D40" s="36"/>
      <c r="E40" s="36"/>
    </row>
  </sheetData>
  <conditionalFormatting sqref="O11:P15">
    <cfRule type="expression" dxfId="1" priority="8" stopIfTrue="1">
      <formula>#REF!="Actual"</formula>
    </cfRule>
  </conditionalFormatting>
  <conditionalFormatting sqref="O38:P39">
    <cfRule type="expression" dxfId="0" priority="6" stopIfTrue="1">
      <formula>#REF!="Actual"</formula>
    </cfRule>
  </conditionalFormatting>
  <pageMargins left="0.7" right="0.7" top="0.75" bottom="0.75" header="0.3" footer="0.3"/>
  <pageSetup paperSize="9" orientation="portrait" verticalDpi="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Index</vt:lpstr>
      <vt:lpstr>Input | General</vt:lpstr>
      <vt:lpstr>Input | Inflation and Disc Rate</vt:lpstr>
      <vt:lpstr>Input | Reported Capex</vt:lpstr>
      <vt:lpstr>Calc | CESS Revenue Increments</vt:lpstr>
      <vt:lpstr>Output | Models</vt:lpstr>
      <vt:lpstr>Output|Final year true-up</vt:lpstr>
      <vt:lpstr>Lookup | Tables</vt:lpstr>
      <vt:lpstr>dollars</vt:lpstr>
      <vt:lpstr>millions</vt:lpstr>
      <vt:lpstr>thousands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AER – SCS CESS Model - Final decision - CitiPower distribution determination 2026-31 - April 2026</dc:title>
  <dc:subject>202403 - Preliminary RIN - based on Qld_SA 2026-30</dc:subject>
  <dc:creator>AER</dc:creator>
  <cp:keywords>DNSP; CESS; 2027-31</cp:keywords>
  <cp:lastModifiedBy>Anisha Aery</cp:lastModifiedBy>
  <dcterms:created xsi:type="dcterms:W3CDTF">2017-09-22T02:00:05Z</dcterms:created>
  <dcterms:modified xsi:type="dcterms:W3CDTF">2026-04-10T01:56:11Z</dcterms:modified>
  <cp:category>DNSP;CESS;2027-31</cp:category>
  <cp:contentStatus>202403 - Preliminary RIN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URI">
    <vt:lpwstr>8952110</vt:lpwstr>
  </property>
  <property fmtid="{D5CDD505-2E9C-101B-9397-08002B2CF9AE}" pid="3" name="MSIP_Label_d9d5a995-dfdf-4407-9a97-edbbc68c9f53_Enabled">
    <vt:lpwstr>true</vt:lpwstr>
  </property>
  <property fmtid="{D5CDD505-2E9C-101B-9397-08002B2CF9AE}" pid="4" name="MSIP_Label_d9d5a995-dfdf-4407-9a97-edbbc68c9f53_SetDate">
    <vt:lpwstr>2024-07-17T02:32:51Z</vt:lpwstr>
  </property>
  <property fmtid="{D5CDD505-2E9C-101B-9397-08002B2CF9AE}" pid="5" name="MSIP_Label_d9d5a995-dfdf-4407-9a97-edbbc68c9f53_Method">
    <vt:lpwstr>Privileged</vt:lpwstr>
  </property>
  <property fmtid="{D5CDD505-2E9C-101B-9397-08002B2CF9AE}" pid="6" name="MSIP_Label_d9d5a995-dfdf-4407-9a97-edbbc68c9f53_Name">
    <vt:lpwstr>OFFICIAL</vt:lpwstr>
  </property>
  <property fmtid="{D5CDD505-2E9C-101B-9397-08002B2CF9AE}" pid="7" name="MSIP_Label_d9d5a995-dfdf-4407-9a97-edbbc68c9f53_SiteId">
    <vt:lpwstr>b33e9e1a-e443-4edd-9789-24bed26d38d6</vt:lpwstr>
  </property>
  <property fmtid="{D5CDD505-2E9C-101B-9397-08002B2CF9AE}" pid="8" name="MSIP_Label_d9d5a995-dfdf-4407-9a97-edbbc68c9f53_ActionId">
    <vt:lpwstr>f6907b70-0483-4f98-a717-bb0b137ae254</vt:lpwstr>
  </property>
  <property fmtid="{D5CDD505-2E9C-101B-9397-08002B2CF9AE}" pid="9" name="MSIP_Label_d9d5a995-dfdf-4407-9a97-edbbc68c9f53_ContentBits">
    <vt:lpwstr>0</vt:lpwstr>
  </property>
</Properties>
</file>