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T:\AER\Opex modelling\AER opex models\31. VICTORIA 2026-31\Powercor\4. Final decision\"/>
    </mc:Choice>
  </mc:AlternateContent>
  <xr:revisionPtr revIDLastSave="0" documentId="13_ncr:1_{BE622F0D-8BED-4FB3-B053-ABF4C4F13F07}" xr6:coauthVersionLast="47" xr6:coauthVersionMax="47" xr10:uidLastSave="{00000000-0000-0000-0000-000000000000}"/>
  <bookViews>
    <workbookView xWindow="-120" yWindow="-120" windowWidth="29040" windowHeight="15720" tabRatio="804" xr2:uid="{00000000-000D-0000-FFFF-FFFF00000000}"/>
  </bookViews>
  <sheets>
    <sheet name="Index" sheetId="1" r:id="rId1"/>
    <sheet name="Input|General" sheetId="54" r:id="rId2"/>
    <sheet name="Input|Inflation" sheetId="55" r:id="rId3"/>
    <sheet name="Input|Reported opex" sheetId="58" r:id="rId4"/>
    <sheet name="Input|Rate of change" sheetId="2" r:id="rId5"/>
    <sheet name="Input|Step changes" sheetId="53" r:id="rId6"/>
    <sheet name="Calc|Opex forecast" sheetId="42" r:id="rId7"/>
    <sheet name="Output|Models" sheetId="44" r:id="rId8"/>
    <sheet name="Lookup|Tables" sheetId="4" r:id="rId9"/>
    <sheet name="Check|List" sheetId="16" r:id="rId10"/>
  </sheets>
  <definedNames>
    <definedName name="BaseYear">'Input|General'!$G$11</definedName>
    <definedName name="dollars">'Lookup|Tables'!$G$17</definedName>
    <definedName name="factor">'Lookup|Tables'!$G$24</definedName>
    <definedName name="FPFirstYear">'Input|General'!$G$13</definedName>
    <definedName name="FPLastYear">'Input|General'!$G$14</definedName>
    <definedName name="FRCP_1to5">"2015-16 to 2019-20"</definedName>
    <definedName name="millions">'Lookup|Tables'!$G$19</definedName>
    <definedName name="month">'Input|General'!$G$9</definedName>
    <definedName name="Nominal_to_Real">'Lookup|Tables'!$H$72:$H$78</definedName>
    <definedName name="NSP">'Input|General'!$G$7</definedName>
    <definedName name="number">'Lookup|Tables'!$G$23</definedName>
    <definedName name="percent">'Lookup|Tables'!$G$21</definedName>
    <definedName name="PPFirstYear">'Input|General'!$G$10</definedName>
    <definedName name="PPLastYear">'Input|General'!$G$12</definedName>
    <definedName name="RCP_1to5">"2015-16 to 2019-20"</definedName>
    <definedName name="Real_to_Nominal">'Lookup|Tables'!$H$72:$H$77</definedName>
    <definedName name="thousands">'Lookup|Tables'!$G$18</definedName>
    <definedName name="unit">'Lookup|Tables'!$G$22</definedName>
    <definedName name="units">'Input|General'!$G$15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1" i="55" l="1"/>
  <c r="F22" i="55"/>
  <c r="F23" i="55"/>
  <c r="F24" i="55"/>
  <c r="F25" i="55"/>
  <c r="F26" i="55"/>
  <c r="F27" i="55"/>
  <c r="F28" i="55"/>
  <c r="F29" i="55"/>
  <c r="F30" i="55"/>
  <c r="F31" i="55"/>
  <c r="F32" i="55"/>
  <c r="F33" i="55"/>
  <c r="F34" i="55"/>
  <c r="F35" i="55"/>
  <c r="F36" i="55"/>
  <c r="F37" i="55"/>
  <c r="F38" i="55"/>
  <c r="F39" i="55"/>
  <c r="F40" i="55"/>
  <c r="F41" i="55"/>
  <c r="F42" i="55"/>
  <c r="F43" i="55"/>
  <c r="F44" i="55"/>
  <c r="F45" i="55"/>
  <c r="F46" i="55"/>
  <c r="F47" i="55"/>
  <c r="F48" i="55"/>
  <c r="F49" i="55"/>
  <c r="F50" i="55"/>
  <c r="F51" i="55"/>
  <c r="F52" i="55"/>
  <c r="F53" i="55"/>
  <c r="F54" i="55"/>
  <c r="F55" i="55"/>
  <c r="F56" i="55"/>
  <c r="F57" i="55"/>
  <c r="F58" i="55"/>
  <c r="F59" i="55"/>
  <c r="F60" i="55"/>
  <c r="F61" i="55"/>
  <c r="F62" i="55"/>
  <c r="F63" i="55"/>
  <c r="F64" i="55"/>
  <c r="F65" i="55"/>
  <c r="F66" i="55"/>
  <c r="F67" i="55"/>
  <c r="F68" i="55"/>
  <c r="F69" i="55"/>
  <c r="F70" i="55"/>
  <c r="F71" i="55"/>
  <c r="F72" i="55"/>
  <c r="F73" i="55"/>
  <c r="F74" i="55"/>
  <c r="F75" i="55"/>
  <c r="F76" i="55"/>
  <c r="F77" i="55"/>
  <c r="F78" i="55"/>
  <c r="F79" i="55"/>
  <c r="F80" i="55"/>
  <c r="F81" i="55"/>
  <c r="F82" i="55"/>
  <c r="F83" i="55"/>
  <c r="H84" i="55" l="1"/>
  <c r="H88" i="55" s="1"/>
  <c r="G49" i="4" l="1"/>
  <c r="G50" i="4" s="1"/>
  <c r="G51" i="4" s="1"/>
  <c r="G52" i="4" s="1"/>
  <c r="G53" i="4" s="1"/>
  <c r="G54" i="4" s="1"/>
  <c r="G55" i="4" s="1"/>
  <c r="G56" i="4" s="1"/>
  <c r="G57" i="4" s="1"/>
  <c r="G58" i="4" s="1"/>
  <c r="G59" i="4" s="1"/>
  <c r="G60" i="4" s="1"/>
  <c r="G61" i="4" s="1"/>
  <c r="G62" i="4" s="1"/>
  <c r="G63" i="4" s="1"/>
  <c r="G64" i="4" s="1"/>
  <c r="G65" i="4" s="1"/>
  <c r="G66" i="4" s="1"/>
  <c r="G67" i="4" s="1"/>
  <c r="K93" i="2"/>
  <c r="L93" i="2"/>
  <c r="M93" i="2"/>
  <c r="J93" i="2"/>
  <c r="X93" i="2" l="1"/>
  <c r="V87" i="55" l="1"/>
  <c r="V88" i="55"/>
  <c r="W32" i="53" l="1"/>
  <c r="W31" i="53"/>
  <c r="V64" i="58"/>
  <c r="V65" i="58"/>
  <c r="V66" i="58"/>
  <c r="V67" i="58"/>
  <c r="V55" i="58"/>
  <c r="V54" i="58" l="1"/>
  <c r="V45" i="58"/>
  <c r="V44" i="58"/>
  <c r="V22" i="58"/>
  <c r="V23" i="58"/>
  <c r="V24" i="58"/>
  <c r="V25" i="58"/>
  <c r="V26" i="58"/>
  <c r="V27" i="58"/>
  <c r="B2" i="55"/>
  <c r="T40" i="2" l="1"/>
  <c r="S40" i="2"/>
  <c r="R40" i="2"/>
  <c r="Q40" i="2"/>
  <c r="P40" i="2"/>
  <c r="V9" i="55" l="1"/>
  <c r="V10" i="55"/>
  <c r="V11" i="55"/>
  <c r="V12" i="55"/>
  <c r="V13" i="55"/>
  <c r="V14" i="55"/>
  <c r="V15" i="55"/>
  <c r="V16" i="55"/>
  <c r="V17" i="55"/>
  <c r="V18" i="55"/>
  <c r="V19" i="55"/>
  <c r="V20" i="55"/>
  <c r="V21" i="55"/>
  <c r="V22" i="55"/>
  <c r="V23" i="55"/>
  <c r="V25" i="55"/>
  <c r="V26" i="55"/>
  <c r="V27" i="55"/>
  <c r="V28" i="55"/>
  <c r="V29" i="55"/>
  <c r="V24" i="55"/>
  <c r="K97" i="2"/>
  <c r="L97" i="2"/>
  <c r="M97" i="2"/>
  <c r="K98" i="2"/>
  <c r="L98" i="2"/>
  <c r="M98" i="2"/>
  <c r="K99" i="2"/>
  <c r="L99" i="2"/>
  <c r="M99" i="2"/>
  <c r="K100" i="2"/>
  <c r="L100" i="2"/>
  <c r="M100" i="2"/>
  <c r="K101" i="2"/>
  <c r="L101" i="2"/>
  <c r="M101" i="2"/>
  <c r="K102" i="2"/>
  <c r="L102" i="2"/>
  <c r="M102" i="2"/>
  <c r="J98" i="2"/>
  <c r="J99" i="2"/>
  <c r="J100" i="2"/>
  <c r="J101" i="2"/>
  <c r="J102" i="2"/>
  <c r="J97" i="2"/>
  <c r="E102" i="2"/>
  <c r="E101" i="2"/>
  <c r="E100" i="2"/>
  <c r="E99" i="2"/>
  <c r="E98" i="2"/>
  <c r="E97" i="2"/>
  <c r="C87" i="2"/>
  <c r="C88" i="2"/>
  <c r="C89" i="2"/>
  <c r="C90" i="2"/>
  <c r="C91" i="2"/>
  <c r="C86" i="2"/>
  <c r="K95" i="2"/>
  <c r="L95" i="2"/>
  <c r="M95" i="2"/>
  <c r="J95" i="2"/>
  <c r="T115" i="2" l="1"/>
  <c r="S67" i="42" s="1"/>
  <c r="S115" i="2"/>
  <c r="R67" i="42" s="1"/>
  <c r="R115" i="2"/>
  <c r="Q67" i="42" s="1"/>
  <c r="Q115" i="2"/>
  <c r="P67" i="42" s="1"/>
  <c r="C7" i="4"/>
  <c r="S15" i="54"/>
  <c r="F40" i="53"/>
  <c r="E32" i="53"/>
  <c r="E31" i="53"/>
  <c r="E30" i="53"/>
  <c r="E29" i="53"/>
  <c r="E28" i="53"/>
  <c r="F32" i="53"/>
  <c r="F31" i="53"/>
  <c r="F30" i="53"/>
  <c r="F29" i="53"/>
  <c r="F28" i="53"/>
  <c r="E20" i="53"/>
  <c r="E19" i="53"/>
  <c r="E18" i="53"/>
  <c r="E17" i="53"/>
  <c r="E16" i="53"/>
  <c r="E15" i="53"/>
  <c r="E14" i="53"/>
  <c r="E13" i="53"/>
  <c r="E12" i="53"/>
  <c r="F20" i="53"/>
  <c r="F19" i="53"/>
  <c r="F18" i="53"/>
  <c r="F17" i="53"/>
  <c r="F16" i="53"/>
  <c r="F15" i="53"/>
  <c r="F14" i="53"/>
  <c r="F13" i="53"/>
  <c r="F12" i="53"/>
  <c r="F13" i="58"/>
  <c r="F24" i="58" s="1"/>
  <c r="F69" i="58"/>
  <c r="F28" i="42" s="1"/>
  <c r="F67" i="58"/>
  <c r="F49" i="42" s="1"/>
  <c r="F66" i="58"/>
  <c r="F46" i="42" s="1"/>
  <c r="F65" i="58"/>
  <c r="F43" i="42" s="1"/>
  <c r="F64" i="58"/>
  <c r="F40" i="42" s="1"/>
  <c r="F63" i="58"/>
  <c r="F37" i="42" s="1"/>
  <c r="E69" i="58"/>
  <c r="E28" i="42" s="1"/>
  <c r="E67" i="58"/>
  <c r="E49" i="42" s="1"/>
  <c r="E66" i="58"/>
  <c r="E46" i="42" s="1"/>
  <c r="E65" i="58"/>
  <c r="E43" i="42" s="1"/>
  <c r="E64" i="58"/>
  <c r="E40" i="42" s="1"/>
  <c r="E63" i="58"/>
  <c r="E37" i="42" s="1"/>
  <c r="E57" i="58"/>
  <c r="E12" i="42" s="1"/>
  <c r="E47" i="58"/>
  <c r="E55" i="58"/>
  <c r="E54" i="58"/>
  <c r="E53" i="58"/>
  <c r="E52" i="58"/>
  <c r="E51" i="58"/>
  <c r="E45" i="58"/>
  <c r="E44" i="58"/>
  <c r="E43" i="58"/>
  <c r="E42" i="58"/>
  <c r="E41" i="58"/>
  <c r="E37" i="58"/>
  <c r="E29" i="58"/>
  <c r="E27" i="58"/>
  <c r="E26" i="58"/>
  <c r="E25" i="58"/>
  <c r="E24" i="58"/>
  <c r="E23" i="58"/>
  <c r="E22" i="58"/>
  <c r="E23" i="42" s="1"/>
  <c r="E21" i="58"/>
  <c r="E20" i="58"/>
  <c r="E19" i="58"/>
  <c r="E13" i="58"/>
  <c r="E15" i="58" s="1"/>
  <c r="J4" i="42"/>
  <c r="J49" i="42" s="1"/>
  <c r="K4" i="42"/>
  <c r="K103" i="42" s="1"/>
  <c r="L4" i="42"/>
  <c r="L103" i="42" s="1"/>
  <c r="M4" i="42"/>
  <c r="M91" i="42" s="1"/>
  <c r="N4" i="42"/>
  <c r="N103" i="42" s="1"/>
  <c r="O4" i="42"/>
  <c r="O103" i="42" s="1"/>
  <c r="P4" i="42"/>
  <c r="P58" i="42" s="1"/>
  <c r="Q4" i="42"/>
  <c r="Q103" i="42" s="1"/>
  <c r="R4" i="42"/>
  <c r="R103" i="42" s="1"/>
  <c r="S4" i="42"/>
  <c r="S103" i="42" s="1"/>
  <c r="T4" i="42"/>
  <c r="T91" i="42" s="1"/>
  <c r="J4" i="58"/>
  <c r="J10" i="58" s="1"/>
  <c r="F8" i="42"/>
  <c r="F24" i="42" s="1"/>
  <c r="E18" i="44"/>
  <c r="C18" i="44"/>
  <c r="C96" i="42"/>
  <c r="E96" i="42"/>
  <c r="C97" i="42"/>
  <c r="E97" i="42"/>
  <c r="E16" i="44"/>
  <c r="C15" i="44"/>
  <c r="C16" i="44"/>
  <c r="C17" i="44"/>
  <c r="C95" i="42"/>
  <c r="C94" i="42"/>
  <c r="T4" i="44"/>
  <c r="T11" i="44" s="1"/>
  <c r="T18" i="44" s="1"/>
  <c r="T64" i="42"/>
  <c r="T67" i="42"/>
  <c r="U80" i="2"/>
  <c r="U4" i="2"/>
  <c r="U104" i="2" s="1"/>
  <c r="U107" i="2" s="1"/>
  <c r="H78" i="4"/>
  <c r="G78" i="4" s="1"/>
  <c r="T4" i="53"/>
  <c r="T38" i="53" s="1"/>
  <c r="T42" i="53" s="1"/>
  <c r="T4" i="58"/>
  <c r="U78" i="2"/>
  <c r="C16" i="16"/>
  <c r="D16" i="16" s="1"/>
  <c r="C15" i="16"/>
  <c r="D15" i="16" s="1"/>
  <c r="C14" i="16"/>
  <c r="D14" i="16" s="1"/>
  <c r="C13" i="16"/>
  <c r="D13" i="16" s="1"/>
  <c r="C12" i="16"/>
  <c r="D12" i="16" s="1"/>
  <c r="C11" i="16"/>
  <c r="D11" i="16" s="1"/>
  <c r="H72" i="4"/>
  <c r="G72" i="4" s="1"/>
  <c r="U77" i="2"/>
  <c r="N47" i="58"/>
  <c r="O47" i="58"/>
  <c r="P47" i="58"/>
  <c r="Q47" i="58"/>
  <c r="R47" i="58"/>
  <c r="S47" i="58"/>
  <c r="C106" i="2" a="1"/>
  <c r="C109" i="2" s="1"/>
  <c r="C102" i="2"/>
  <c r="C101" i="2"/>
  <c r="C100" i="2"/>
  <c r="C99" i="2"/>
  <c r="C98" i="2"/>
  <c r="C97" i="2"/>
  <c r="F19" i="42"/>
  <c r="F8" i="44"/>
  <c r="F18" i="44" s="1"/>
  <c r="E24" i="42"/>
  <c r="E22" i="42"/>
  <c r="E20" i="42"/>
  <c r="O29" i="58"/>
  <c r="P29" i="58"/>
  <c r="Q29" i="58"/>
  <c r="R29" i="58"/>
  <c r="S29" i="58"/>
  <c r="D15" i="58"/>
  <c r="O15" i="58"/>
  <c r="P15" i="58"/>
  <c r="Q15" i="58"/>
  <c r="R15" i="58"/>
  <c r="S15" i="58"/>
  <c r="E29" i="42"/>
  <c r="C29" i="42"/>
  <c r="E35" i="42"/>
  <c r="N57" i="58"/>
  <c r="O57" i="58"/>
  <c r="P57" i="58"/>
  <c r="Q57" i="58"/>
  <c r="R57" i="58"/>
  <c r="S57" i="58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48" i="4"/>
  <c r="H77" i="4"/>
  <c r="G77" i="4" s="1"/>
  <c r="H76" i="4"/>
  <c r="G76" i="4" s="1"/>
  <c r="H75" i="4"/>
  <c r="G75" i="4" s="1"/>
  <c r="H74" i="4"/>
  <c r="G74" i="4" s="1"/>
  <c r="H83" i="4"/>
  <c r="G83" i="4" s="1"/>
  <c r="H82" i="4"/>
  <c r="G82" i="4" s="1"/>
  <c r="H81" i="4"/>
  <c r="G81" i="4" s="1"/>
  <c r="H80" i="4"/>
  <c r="G80" i="4" s="1"/>
  <c r="H79" i="4"/>
  <c r="H73" i="4"/>
  <c r="G73" i="4" s="1"/>
  <c r="C47" i="4"/>
  <c r="E31" i="42"/>
  <c r="E26" i="42"/>
  <c r="S4" i="44"/>
  <c r="S11" i="44" s="1"/>
  <c r="R4" i="44"/>
  <c r="R11" i="44" s="1"/>
  <c r="Q4" i="44"/>
  <c r="Q11" i="44" s="1"/>
  <c r="P4" i="44"/>
  <c r="P11" i="44" s="1"/>
  <c r="O4" i="44"/>
  <c r="O11" i="44" s="1"/>
  <c r="N4" i="44"/>
  <c r="N11" i="44" s="1"/>
  <c r="M4" i="44"/>
  <c r="M11" i="44" s="1"/>
  <c r="L4" i="44"/>
  <c r="L11" i="44" s="1"/>
  <c r="K4" i="44"/>
  <c r="K11" i="44" s="1"/>
  <c r="K17" i="44" s="1"/>
  <c r="J4" i="44"/>
  <c r="J11" i="44" s="1"/>
  <c r="J16" i="44" s="1"/>
  <c r="S4" i="53"/>
  <c r="S10" i="53" s="1"/>
  <c r="R4" i="53"/>
  <c r="R38" i="53" s="1"/>
  <c r="R42" i="53" s="1"/>
  <c r="Q4" i="53"/>
  <c r="Q38" i="53" s="1"/>
  <c r="Q42" i="53" s="1"/>
  <c r="P4" i="53"/>
  <c r="O4" i="53"/>
  <c r="O38" i="53" s="1"/>
  <c r="O42" i="53" s="1"/>
  <c r="N4" i="53"/>
  <c r="N10" i="53" s="1"/>
  <c r="N22" i="53" s="1"/>
  <c r="M4" i="53"/>
  <c r="M38" i="53" s="1"/>
  <c r="M42" i="53" s="1"/>
  <c r="L4" i="53"/>
  <c r="L38" i="53" s="1"/>
  <c r="L42" i="53" s="1"/>
  <c r="K4" i="53"/>
  <c r="J4" i="53"/>
  <c r="J38" i="53" s="1"/>
  <c r="J42" i="53" s="1"/>
  <c r="J4" i="2"/>
  <c r="J104" i="2" s="1"/>
  <c r="J106" i="2" s="1"/>
  <c r="T4" i="2"/>
  <c r="T75" i="2" s="1"/>
  <c r="S4" i="2"/>
  <c r="S64" i="2" s="1"/>
  <c r="R4" i="2"/>
  <c r="R49" i="2" s="1"/>
  <c r="R60" i="2" s="1"/>
  <c r="Q4" i="2"/>
  <c r="Q104" i="2" s="1"/>
  <c r="P4" i="2"/>
  <c r="P10" i="2" s="1"/>
  <c r="P12" i="2" s="1"/>
  <c r="O4" i="2"/>
  <c r="O64" i="2" s="1"/>
  <c r="N4" i="2"/>
  <c r="M4" i="2"/>
  <c r="M104" i="2" s="1"/>
  <c r="M106" i="2" s="1"/>
  <c r="L4" i="2"/>
  <c r="L113" i="2" s="1"/>
  <c r="L117" i="2" s="1"/>
  <c r="K4" i="2"/>
  <c r="S4" i="58"/>
  <c r="S34" i="58" s="1"/>
  <c r="R4" i="58"/>
  <c r="R61" i="58" s="1"/>
  <c r="Q4" i="58"/>
  <c r="Q10" i="58" s="1"/>
  <c r="P4" i="58"/>
  <c r="O4" i="58"/>
  <c r="N4" i="58"/>
  <c r="N61" i="58" s="1"/>
  <c r="M4" i="58"/>
  <c r="M61" i="58" s="1"/>
  <c r="L4" i="58"/>
  <c r="K4" i="58"/>
  <c r="K34" i="58" s="1"/>
  <c r="J78" i="2"/>
  <c r="K78" i="2"/>
  <c r="L78" i="2"/>
  <c r="M78" i="2"/>
  <c r="N78" i="2"/>
  <c r="O78" i="2"/>
  <c r="P78" i="2"/>
  <c r="Q78" i="2"/>
  <c r="R78" i="2"/>
  <c r="S78" i="2"/>
  <c r="T78" i="2"/>
  <c r="J79" i="2"/>
  <c r="K79" i="2"/>
  <c r="L79" i="2"/>
  <c r="M79" i="2"/>
  <c r="N79" i="2"/>
  <c r="O79" i="2"/>
  <c r="J80" i="2"/>
  <c r="K80" i="2"/>
  <c r="L80" i="2"/>
  <c r="M80" i="2"/>
  <c r="N80" i="2"/>
  <c r="O80" i="2"/>
  <c r="P80" i="2"/>
  <c r="Q80" i="2"/>
  <c r="R80" i="2"/>
  <c r="S80" i="2"/>
  <c r="T80" i="2"/>
  <c r="J81" i="2"/>
  <c r="K81" i="2"/>
  <c r="L81" i="2"/>
  <c r="M81" i="2"/>
  <c r="N81" i="2"/>
  <c r="O81" i="2"/>
  <c r="P81" i="2"/>
  <c r="Q81" i="2"/>
  <c r="R81" i="2"/>
  <c r="S81" i="2"/>
  <c r="T81" i="2"/>
  <c r="J82" i="2"/>
  <c r="K82" i="2"/>
  <c r="L82" i="2"/>
  <c r="M82" i="2"/>
  <c r="N82" i="2"/>
  <c r="O82" i="2"/>
  <c r="P82" i="2"/>
  <c r="Q82" i="2"/>
  <c r="R82" i="2"/>
  <c r="S82" i="2"/>
  <c r="T82" i="2"/>
  <c r="J77" i="2"/>
  <c r="K77" i="2"/>
  <c r="L77" i="2"/>
  <c r="M77" i="2"/>
  <c r="O77" i="2"/>
  <c r="P77" i="2"/>
  <c r="Q77" i="2"/>
  <c r="R77" i="2"/>
  <c r="S77" i="2"/>
  <c r="T77" i="2"/>
  <c r="N77" i="2"/>
  <c r="S8" i="54"/>
  <c r="C49" i="42"/>
  <c r="C50" i="42" s="1"/>
  <c r="C46" i="42"/>
  <c r="C47" i="42" s="1"/>
  <c r="C43" i="42"/>
  <c r="C44" i="42" s="1"/>
  <c r="C40" i="42"/>
  <c r="C41" i="42" s="1"/>
  <c r="C37" i="42"/>
  <c r="C38" i="42" s="1"/>
  <c r="F12" i="42"/>
  <c r="V75" i="2"/>
  <c r="C2" i="58"/>
  <c r="C1" i="58"/>
  <c r="E17" i="44"/>
  <c r="E15" i="44"/>
  <c r="E14" i="44"/>
  <c r="C13" i="44"/>
  <c r="C14" i="44"/>
  <c r="E105" i="42"/>
  <c r="C31" i="4"/>
  <c r="S9" i="54"/>
  <c r="E50" i="42"/>
  <c r="E47" i="42"/>
  <c r="E44" i="42"/>
  <c r="E41" i="42"/>
  <c r="E38" i="42"/>
  <c r="E87" i="42"/>
  <c r="E107" i="42"/>
  <c r="C78" i="42"/>
  <c r="C79" i="42"/>
  <c r="C80" i="42"/>
  <c r="C81" i="42"/>
  <c r="C82" i="42"/>
  <c r="C83" i="42"/>
  <c r="C84" i="42"/>
  <c r="C85" i="42"/>
  <c r="C93" i="42"/>
  <c r="E54" i="42"/>
  <c r="E52" i="42"/>
  <c r="E13" i="42"/>
  <c r="E15" i="42"/>
  <c r="E13" i="44"/>
  <c r="E106" i="42"/>
  <c r="E17" i="42"/>
  <c r="E77" i="42"/>
  <c r="E78" i="42"/>
  <c r="E79" i="42"/>
  <c r="E80" i="42"/>
  <c r="E81" i="42"/>
  <c r="E82" i="42"/>
  <c r="E83" i="42"/>
  <c r="E84" i="42"/>
  <c r="E85" i="42"/>
  <c r="E93" i="42"/>
  <c r="E94" i="42"/>
  <c r="E95" i="42"/>
  <c r="E99" i="42"/>
  <c r="E33" i="42"/>
  <c r="S11" i="54"/>
  <c r="S14" i="54"/>
  <c r="G15" i="16"/>
  <c r="G16" i="16"/>
  <c r="B1" i="55"/>
  <c r="E12" i="2"/>
  <c r="O64" i="42"/>
  <c r="O67" i="42"/>
  <c r="J64" i="42"/>
  <c r="J67" i="42"/>
  <c r="K64" i="42"/>
  <c r="K67" i="42"/>
  <c r="L64" i="42"/>
  <c r="L67" i="42"/>
  <c r="M64" i="42"/>
  <c r="M67" i="42"/>
  <c r="N64" i="42"/>
  <c r="N67" i="42"/>
  <c r="P64" i="42"/>
  <c r="Q64" i="42"/>
  <c r="R64" i="42"/>
  <c r="S64" i="42"/>
  <c r="C77" i="42"/>
  <c r="C78" i="2"/>
  <c r="C79" i="2"/>
  <c r="C80" i="2"/>
  <c r="C81" i="2"/>
  <c r="C82" i="2"/>
  <c r="C77" i="2"/>
  <c r="S7" i="54"/>
  <c r="S10" i="54"/>
  <c r="S12" i="54"/>
  <c r="S13" i="54"/>
  <c r="C10" i="16"/>
  <c r="D10" i="16" s="1"/>
  <c r="C52" i="2"/>
  <c r="C53" i="2"/>
  <c r="C54" i="2"/>
  <c r="C55" i="2"/>
  <c r="C56" i="2"/>
  <c r="C57" i="2"/>
  <c r="C58" i="2"/>
  <c r="C51" i="2"/>
  <c r="E58" i="2"/>
  <c r="E57" i="2"/>
  <c r="E56" i="2"/>
  <c r="E55" i="2"/>
  <c r="E54" i="2"/>
  <c r="E53" i="2"/>
  <c r="E52" i="2"/>
  <c r="E51" i="2"/>
  <c r="B2" i="53"/>
  <c r="B1" i="53"/>
  <c r="E115" i="2"/>
  <c r="B2" i="2"/>
  <c r="B1" i="2"/>
  <c r="C71" i="4"/>
  <c r="B2" i="54"/>
  <c r="B1" i="54"/>
  <c r="E44" i="2"/>
  <c r="E45" i="2"/>
  <c r="B2" i="44"/>
  <c r="B2" i="42"/>
  <c r="B1" i="44"/>
  <c r="B1" i="42"/>
  <c r="E43" i="2"/>
  <c r="E42" i="2"/>
  <c r="E41" i="2"/>
  <c r="E40" i="2"/>
  <c r="E39" i="2"/>
  <c r="E38" i="2"/>
  <c r="B2" i="16"/>
  <c r="B1" i="16"/>
  <c r="C16" i="4"/>
  <c r="B2" i="4"/>
  <c r="B1" i="4"/>
  <c r="M31" i="42"/>
  <c r="M47" i="58"/>
  <c r="M57" i="58"/>
  <c r="L49" i="42" l="1"/>
  <c r="L106" i="42"/>
  <c r="M12" i="42"/>
  <c r="K106" i="42"/>
  <c r="K12" i="42"/>
  <c r="K19" i="42"/>
  <c r="K16" i="42"/>
  <c r="K49" i="42"/>
  <c r="T75" i="42"/>
  <c r="P16" i="42"/>
  <c r="S19" i="42"/>
  <c r="T107" i="42"/>
  <c r="T105" i="42"/>
  <c r="T106" i="42"/>
  <c r="K107" i="42"/>
  <c r="K105" i="42"/>
  <c r="K91" i="42"/>
  <c r="K40" i="42"/>
  <c r="K31" i="42"/>
  <c r="S91" i="42"/>
  <c r="S10" i="42"/>
  <c r="R31" i="42"/>
  <c r="R46" i="42"/>
  <c r="P43" i="42"/>
  <c r="R91" i="42"/>
  <c r="P14" i="42"/>
  <c r="E21" i="42"/>
  <c r="R23" i="42"/>
  <c r="P21" i="42"/>
  <c r="P23" i="42"/>
  <c r="S75" i="42"/>
  <c r="S43" i="42"/>
  <c r="S40" i="42"/>
  <c r="S49" i="42"/>
  <c r="S37" i="42"/>
  <c r="S12" i="42"/>
  <c r="S16" i="42"/>
  <c r="S33" i="42"/>
  <c r="S14" i="42"/>
  <c r="S21" i="42"/>
  <c r="S23" i="42"/>
  <c r="S46" i="42"/>
  <c r="S31" i="42"/>
  <c r="F17" i="44"/>
  <c r="J34" i="58"/>
  <c r="L75" i="42"/>
  <c r="L40" i="42"/>
  <c r="L43" i="42"/>
  <c r="L12" i="42"/>
  <c r="L105" i="42"/>
  <c r="L91" i="42"/>
  <c r="M43" i="42"/>
  <c r="L37" i="42"/>
  <c r="L107" i="42"/>
  <c r="L16" i="42"/>
  <c r="L10" i="42"/>
  <c r="L23" i="42"/>
  <c r="L46" i="42"/>
  <c r="S35" i="42"/>
  <c r="R10" i="53"/>
  <c r="R43" i="42"/>
  <c r="R33" i="42"/>
  <c r="J91" i="42"/>
  <c r="R16" i="42"/>
  <c r="R14" i="42"/>
  <c r="R40" i="42"/>
  <c r="R10" i="42"/>
  <c r="R12" i="42"/>
  <c r="R19" i="42"/>
  <c r="R75" i="42"/>
  <c r="R37" i="42"/>
  <c r="R49" i="42"/>
  <c r="R21" i="42"/>
  <c r="O21" i="42"/>
  <c r="O43" i="42"/>
  <c r="O12" i="42"/>
  <c r="P75" i="42"/>
  <c r="M49" i="2"/>
  <c r="M60" i="2" s="1"/>
  <c r="R26" i="53"/>
  <c r="R34" i="53" s="1"/>
  <c r="P12" i="42"/>
  <c r="P91" i="42"/>
  <c r="P40" i="42"/>
  <c r="M24" i="2"/>
  <c r="J10" i="53"/>
  <c r="P49" i="42"/>
  <c r="Q91" i="42"/>
  <c r="E19" i="42"/>
  <c r="P10" i="42"/>
  <c r="J26" i="53"/>
  <c r="J34" i="53" s="1"/>
  <c r="Q40" i="42"/>
  <c r="P46" i="42"/>
  <c r="M75" i="2"/>
  <c r="J75" i="2"/>
  <c r="P33" i="42"/>
  <c r="P35" i="42"/>
  <c r="P37" i="42"/>
  <c r="J49" i="2"/>
  <c r="J60" i="2" s="1"/>
  <c r="Q16" i="42"/>
  <c r="P31" i="42"/>
  <c r="P19" i="42"/>
  <c r="O91" i="42"/>
  <c r="O46" i="42"/>
  <c r="O37" i="42"/>
  <c r="O19" i="42"/>
  <c r="O49" i="42"/>
  <c r="O23" i="42"/>
  <c r="O16" i="42"/>
  <c r="T24" i="2"/>
  <c r="O75" i="42"/>
  <c r="O14" i="42"/>
  <c r="O40" i="42"/>
  <c r="O10" i="42"/>
  <c r="F78" i="42"/>
  <c r="F54" i="42"/>
  <c r="F87" i="42"/>
  <c r="N75" i="42"/>
  <c r="F105" i="42"/>
  <c r="F19" i="58"/>
  <c r="F41" i="42"/>
  <c r="F20" i="58"/>
  <c r="F13" i="42"/>
  <c r="F15" i="42"/>
  <c r="N91" i="42"/>
  <c r="F79" i="42"/>
  <c r="F93" i="42"/>
  <c r="P49" i="2"/>
  <c r="P60" i="2" s="1"/>
  <c r="P75" i="2"/>
  <c r="N12" i="42"/>
  <c r="F35" i="42"/>
  <c r="L21" i="42"/>
  <c r="F96" i="42"/>
  <c r="F94" i="42"/>
  <c r="N40" i="42"/>
  <c r="F97" i="42"/>
  <c r="F17" i="42"/>
  <c r="F80" i="42"/>
  <c r="N46" i="42"/>
  <c r="Q34" i="58"/>
  <c r="F33" i="42"/>
  <c r="F81" i="42"/>
  <c r="F95" i="42"/>
  <c r="F44" i="42"/>
  <c r="F47" i="42"/>
  <c r="F82" i="42"/>
  <c r="F99" i="42"/>
  <c r="N10" i="42"/>
  <c r="N19" i="42"/>
  <c r="F26" i="42"/>
  <c r="F29" i="42"/>
  <c r="F20" i="42"/>
  <c r="F13" i="44"/>
  <c r="F83" i="42"/>
  <c r="F106" i="42"/>
  <c r="N21" i="42"/>
  <c r="F21" i="58"/>
  <c r="N49" i="42"/>
  <c r="F38" i="42"/>
  <c r="F50" i="42"/>
  <c r="F84" i="42"/>
  <c r="F107" i="42"/>
  <c r="F14" i="44"/>
  <c r="N43" i="42"/>
  <c r="F31" i="42"/>
  <c r="L14" i="42"/>
  <c r="F52" i="42"/>
  <c r="N14" i="42"/>
  <c r="F77" i="42"/>
  <c r="F85" i="42"/>
  <c r="F15" i="44"/>
  <c r="M10" i="53"/>
  <c r="M22" i="53" s="1"/>
  <c r="M26" i="53"/>
  <c r="M34" i="53" s="1"/>
  <c r="N26" i="53"/>
  <c r="N34" i="53" s="1"/>
  <c r="S24" i="2"/>
  <c r="S10" i="2"/>
  <c r="S12" i="2" s="1"/>
  <c r="O10" i="53"/>
  <c r="T10" i="53"/>
  <c r="T22" i="53" s="1"/>
  <c r="O26" i="53"/>
  <c r="O34" i="53" s="1"/>
  <c r="F16" i="44"/>
  <c r="T12" i="42"/>
  <c r="L58" i="42"/>
  <c r="L68" i="42" s="1" a="1"/>
  <c r="L68" i="42" s="1"/>
  <c r="F23" i="58"/>
  <c r="S58" i="42"/>
  <c r="S65" i="42" s="1" a="1"/>
  <c r="S65" i="42" s="1"/>
  <c r="S36" i="2"/>
  <c r="S47" i="2" s="1"/>
  <c r="J14" i="42"/>
  <c r="J43" i="42"/>
  <c r="J31" i="42"/>
  <c r="J33" i="42"/>
  <c r="G79" i="4"/>
  <c r="J58" i="42"/>
  <c r="J75" i="42"/>
  <c r="M113" i="2"/>
  <c r="M117" i="2" s="1"/>
  <c r="J14" i="2"/>
  <c r="L14" i="2"/>
  <c r="N10" i="58"/>
  <c r="N28" i="42" s="1"/>
  <c r="Q12" i="42"/>
  <c r="J103" i="42"/>
  <c r="Q46" i="42"/>
  <c r="J46" i="42"/>
  <c r="J10" i="42"/>
  <c r="J19" i="42"/>
  <c r="F22" i="42"/>
  <c r="J107" i="42"/>
  <c r="M36" i="2"/>
  <c r="M47" i="2" s="1"/>
  <c r="J10" i="2"/>
  <c r="J12" i="42"/>
  <c r="Q19" i="42"/>
  <c r="J21" i="42"/>
  <c r="J61" i="58"/>
  <c r="J106" i="42"/>
  <c r="Q10" i="42"/>
  <c r="J40" i="42"/>
  <c r="Q31" i="42"/>
  <c r="L49" i="2"/>
  <c r="L60" i="2" s="1"/>
  <c r="Q21" i="42"/>
  <c r="J23" i="42"/>
  <c r="F25" i="58"/>
  <c r="J105" i="42"/>
  <c r="J13" i="44"/>
  <c r="Q43" i="42"/>
  <c r="Q37" i="42"/>
  <c r="J16" i="42"/>
  <c r="J36" i="2"/>
  <c r="J47" i="2" s="1"/>
  <c r="T36" i="2"/>
  <c r="T47" i="2" s="1"/>
  <c r="J64" i="2"/>
  <c r="J73" i="2" s="1"/>
  <c r="Q33" i="42"/>
  <c r="J35" i="42"/>
  <c r="J37" i="42"/>
  <c r="Q75" i="42"/>
  <c r="Q14" i="42"/>
  <c r="J24" i="2"/>
  <c r="E16" i="42"/>
  <c r="E14" i="42"/>
  <c r="P103" i="42"/>
  <c r="M34" i="58"/>
  <c r="M14" i="2"/>
  <c r="Q23" i="42"/>
  <c r="N34" i="58"/>
  <c r="N58" i="42"/>
  <c r="F29" i="58"/>
  <c r="O58" i="42"/>
  <c r="O65" i="42" s="1" a="1"/>
  <c r="O65" i="42" s="1"/>
  <c r="M10" i="2"/>
  <c r="Q49" i="42"/>
  <c r="Q35" i="42"/>
  <c r="C106" i="2"/>
  <c r="P64" i="2"/>
  <c r="Q49" i="2"/>
  <c r="Q60" i="2" s="1"/>
  <c r="R10" i="2"/>
  <c r="R12" i="2" s="1"/>
  <c r="M108" i="2"/>
  <c r="P14" i="2"/>
  <c r="C107" i="2"/>
  <c r="T13" i="44"/>
  <c r="T14" i="44"/>
  <c r="T17" i="44"/>
  <c r="T16" i="44"/>
  <c r="T15" i="44"/>
  <c r="K15" i="44"/>
  <c r="L16" i="44"/>
  <c r="L15" i="44"/>
  <c r="L18" i="44"/>
  <c r="L17" i="44"/>
  <c r="L14" i="44"/>
  <c r="L13" i="44"/>
  <c r="F26" i="58"/>
  <c r="J17" i="44"/>
  <c r="L36" i="2"/>
  <c r="L47" i="2" s="1"/>
  <c r="L10" i="53"/>
  <c r="L22" i="53" s="1"/>
  <c r="T64" i="2"/>
  <c r="J113" i="2"/>
  <c r="J117" i="2" s="1"/>
  <c r="O10" i="2"/>
  <c r="K21" i="42"/>
  <c r="U113" i="2"/>
  <c r="U117" i="2" s="1"/>
  <c r="Q58" i="42"/>
  <c r="Q65" i="42" s="1" a="1"/>
  <c r="Q65" i="42" s="1"/>
  <c r="F27" i="58"/>
  <c r="K75" i="42"/>
  <c r="J15" i="44"/>
  <c r="K43" i="42"/>
  <c r="K37" i="42"/>
  <c r="P36" i="2"/>
  <c r="P47" i="2" s="1"/>
  <c r="Q75" i="2"/>
  <c r="M64" i="2"/>
  <c r="M73" i="2" s="1"/>
  <c r="K23" i="42"/>
  <c r="J107" i="2"/>
  <c r="N38" i="53"/>
  <c r="N42" i="53" s="1"/>
  <c r="K35" i="42"/>
  <c r="U75" i="2"/>
  <c r="K58" i="42"/>
  <c r="K61" i="42" s="1"/>
  <c r="R58" i="42"/>
  <c r="R65" i="42" s="1" a="1"/>
  <c r="R65" i="42" s="1"/>
  <c r="T103" i="42"/>
  <c r="Q36" i="2"/>
  <c r="Q47" i="2" s="1"/>
  <c r="Q64" i="2"/>
  <c r="R10" i="58"/>
  <c r="R28" i="42" s="1"/>
  <c r="F15" i="58"/>
  <c r="K13" i="44"/>
  <c r="S26" i="53"/>
  <c r="S34" i="53" s="1"/>
  <c r="R35" i="42"/>
  <c r="T58" i="42"/>
  <c r="T71" i="42" s="1" a="1"/>
  <c r="T71" i="42" s="1"/>
  <c r="F22" i="58"/>
  <c r="K14" i="44"/>
  <c r="K46" i="42"/>
  <c r="Q113" i="2"/>
  <c r="Q117" i="2" s="1"/>
  <c r="S38" i="53"/>
  <c r="S42" i="53" s="1"/>
  <c r="O75" i="2"/>
  <c r="K33" i="42"/>
  <c r="R34" i="58"/>
  <c r="L26" i="53"/>
  <c r="L34" i="53" s="1"/>
  <c r="K14" i="42"/>
  <c r="K18" i="44"/>
  <c r="K10" i="42"/>
  <c r="Q24" i="2"/>
  <c r="Q10" i="2"/>
  <c r="Q12" i="2" s="1"/>
  <c r="Q14" i="2"/>
  <c r="O61" i="58"/>
  <c r="O10" i="58"/>
  <c r="O34" i="58"/>
  <c r="P38" i="53"/>
  <c r="P42" i="53" s="1"/>
  <c r="P10" i="53"/>
  <c r="P26" i="53"/>
  <c r="P34" i="53" s="1"/>
  <c r="N104" i="2"/>
  <c r="N64" i="2"/>
  <c r="N73" i="2" s="1"/>
  <c r="N24" i="2"/>
  <c r="N113" i="2"/>
  <c r="N117" i="2" s="1"/>
  <c r="N75" i="2"/>
  <c r="N14" i="2"/>
  <c r="N10" i="2"/>
  <c r="N49" i="2"/>
  <c r="N60" i="2" s="1"/>
  <c r="N36" i="2"/>
  <c r="N47" i="2" s="1"/>
  <c r="P10" i="58"/>
  <c r="P34" i="58"/>
  <c r="P61" i="58"/>
  <c r="K26" i="53"/>
  <c r="K34" i="53" s="1"/>
  <c r="K10" i="53"/>
  <c r="K22" i="53" s="1"/>
  <c r="K38" i="53"/>
  <c r="K42" i="53" s="1"/>
  <c r="U109" i="2"/>
  <c r="U106" i="2"/>
  <c r="U108" i="2"/>
  <c r="P68" i="42" a="1"/>
  <c r="P68" i="42" s="1"/>
  <c r="S1" i="54"/>
  <c r="G10" i="16" s="1"/>
  <c r="K61" i="58"/>
  <c r="K10" i="58"/>
  <c r="V21" i="58" s="1"/>
  <c r="S61" i="58"/>
  <c r="S10" i="58"/>
  <c r="R104" i="2"/>
  <c r="R64" i="2"/>
  <c r="R24" i="2"/>
  <c r="R113" i="2"/>
  <c r="R117" i="2" s="1"/>
  <c r="R75" i="2"/>
  <c r="R14" i="2"/>
  <c r="R36" i="2"/>
  <c r="R47" i="2" s="1"/>
  <c r="L10" i="58"/>
  <c r="L34" i="58"/>
  <c r="L61" i="58"/>
  <c r="K10" i="2"/>
  <c r="K14" i="2"/>
  <c r="K24" i="2"/>
  <c r="K64" i="2"/>
  <c r="K73" i="2" s="1"/>
  <c r="K113" i="2"/>
  <c r="K117" i="2" s="1"/>
  <c r="K36" i="2"/>
  <c r="K47" i="2" s="1"/>
  <c r="K75" i="2"/>
  <c r="K49" i="2"/>
  <c r="K60" i="2" s="1"/>
  <c r="K104" i="2"/>
  <c r="M103" i="42"/>
  <c r="M40" i="42"/>
  <c r="M75" i="42"/>
  <c r="M35" i="42"/>
  <c r="M16" i="42"/>
  <c r="M33" i="42"/>
  <c r="M23" i="42"/>
  <c r="M46" i="42"/>
  <c r="M37" i="42"/>
  <c r="M58" i="42"/>
  <c r="M19" i="42"/>
  <c r="M10" i="42"/>
  <c r="M49" i="42"/>
  <c r="P65" i="42" a="1"/>
  <c r="P65" i="42" s="1"/>
  <c r="M107" i="2"/>
  <c r="M109" i="2"/>
  <c r="J109" i="2"/>
  <c r="J108" i="2"/>
  <c r="S113" i="2"/>
  <c r="S117" i="2" s="1"/>
  <c r="O49" i="2"/>
  <c r="O60" i="2" s="1"/>
  <c r="S75" i="2"/>
  <c r="O104" i="2"/>
  <c r="S104" i="2"/>
  <c r="C108" i="2"/>
  <c r="U36" i="2"/>
  <c r="U47" i="2" s="1"/>
  <c r="T26" i="53"/>
  <c r="T34" i="53" s="1"/>
  <c r="J14" i="44"/>
  <c r="O113" i="2"/>
  <c r="O117" i="2" s="1"/>
  <c r="L10" i="2"/>
  <c r="M10" i="58"/>
  <c r="M28" i="42" s="1"/>
  <c r="Q61" i="58"/>
  <c r="Q28" i="42" s="1"/>
  <c r="L104" i="2"/>
  <c r="P104" i="2"/>
  <c r="T104" i="2"/>
  <c r="O24" i="2"/>
  <c r="S14" i="2"/>
  <c r="U64" i="2"/>
  <c r="U73" i="2" s="1"/>
  <c r="Q10" i="53"/>
  <c r="T113" i="2"/>
  <c r="T117" i="2" s="1"/>
  <c r="P24" i="2"/>
  <c r="T10" i="2"/>
  <c r="T12" i="2" s="1"/>
  <c r="L75" i="2"/>
  <c r="O14" i="2"/>
  <c r="K16" i="44"/>
  <c r="J18" i="44"/>
  <c r="O36" i="2"/>
  <c r="O47" i="2" s="1"/>
  <c r="Q26" i="53"/>
  <c r="Q34" i="53" s="1"/>
  <c r="P113" i="2"/>
  <c r="P117" i="2" s="1"/>
  <c r="L24" i="2"/>
  <c r="T14" i="2"/>
  <c r="L64" i="2"/>
  <c r="L73" i="2" s="1"/>
  <c r="U49" i="2"/>
  <c r="U60" i="2" s="1"/>
  <c r="S49" i="2"/>
  <c r="S60" i="2" s="1"/>
  <c r="T49" i="2"/>
  <c r="T60" i="2" s="1"/>
  <c r="J28" i="42" l="1"/>
  <c r="W30" i="53"/>
  <c r="J22" i="53"/>
  <c r="W29" i="53"/>
  <c r="W28" i="53"/>
  <c r="W18" i="53"/>
  <c r="W14" i="53"/>
  <c r="W15" i="53"/>
  <c r="W16" i="53"/>
  <c r="W17" i="53"/>
  <c r="W12" i="53"/>
  <c r="V53" i="58"/>
  <c r="J68" i="42" a="1"/>
  <c r="J68" i="42" s="1"/>
  <c r="J61" i="42"/>
  <c r="J70" i="42" s="1"/>
  <c r="L61" i="42"/>
  <c r="L70" i="42" s="1"/>
  <c r="N68" i="42" a="1"/>
  <c r="N68" i="42" s="1"/>
  <c r="T20" i="42"/>
  <c r="S68" i="42" a="1"/>
  <c r="S68" i="42" s="1"/>
  <c r="V37" i="58"/>
  <c r="J62" i="42" a="1"/>
  <c r="J62" i="42" s="1"/>
  <c r="T13" i="42"/>
  <c r="J65" i="42" a="1"/>
  <c r="J65" i="42" s="1"/>
  <c r="J71" i="42" a="1"/>
  <c r="J71" i="42" s="1"/>
  <c r="V41" i="58"/>
  <c r="L62" i="42" a="1"/>
  <c r="L62" i="42" s="1"/>
  <c r="L65" i="42" a="1"/>
  <c r="L65" i="42" s="1"/>
  <c r="L71" i="42" a="1"/>
  <c r="L71" i="42" s="1"/>
  <c r="T62" i="42" a="1"/>
  <c r="T62" i="42" s="1"/>
  <c r="T68" i="42" a="1"/>
  <c r="T68" i="42" s="1"/>
  <c r="V42" i="58"/>
  <c r="O68" i="42" a="1"/>
  <c r="O68" i="42" s="1"/>
  <c r="V71" i="58"/>
  <c r="V69" i="58"/>
  <c r="W34" i="53"/>
  <c r="Q68" i="42" a="1"/>
  <c r="Q68" i="42" s="1"/>
  <c r="N65" i="42" a="1"/>
  <c r="N65" i="42" s="1"/>
  <c r="T61" i="42"/>
  <c r="T70" i="42" s="1"/>
  <c r="L28" i="42"/>
  <c r="T65" i="42" a="1"/>
  <c r="T65" i="42" s="1"/>
  <c r="F23" i="42"/>
  <c r="F21" i="42"/>
  <c r="R68" i="42" a="1"/>
  <c r="R68" i="42" s="1"/>
  <c r="P28" i="42"/>
  <c r="S28" i="42"/>
  <c r="K28" i="42"/>
  <c r="K62" i="42" a="1"/>
  <c r="K62" i="42" s="1"/>
  <c r="K70" i="42"/>
  <c r="K71" i="42" a="1"/>
  <c r="K71" i="42" s="1"/>
  <c r="K65" i="42" a="1"/>
  <c r="K65" i="42" s="1"/>
  <c r="K68" i="42" a="1"/>
  <c r="K68" i="42" s="1"/>
  <c r="F16" i="42"/>
  <c r="F14" i="42"/>
  <c r="W42" i="53"/>
  <c r="X60" i="2"/>
  <c r="L106" i="2"/>
  <c r="L108" i="2"/>
  <c r="L109" i="2"/>
  <c r="L107" i="2"/>
  <c r="O28" i="42"/>
  <c r="K108" i="2"/>
  <c r="K107" i="2"/>
  <c r="K106" i="2"/>
  <c r="K109" i="2"/>
  <c r="C16" i="2" a="1"/>
  <c r="C26" i="2" a="1"/>
  <c r="X47" i="2"/>
  <c r="N107" i="2"/>
  <c r="N108" i="2"/>
  <c r="N109" i="2"/>
  <c r="N106" i="2"/>
  <c r="M61" i="42" s="1"/>
  <c r="M62" i="42" s="1" a="1"/>
  <c r="M62" i="42" s="1"/>
  <c r="O109" i="2"/>
  <c r="O107" i="2"/>
  <c r="O108" i="2"/>
  <c r="O106" i="2"/>
  <c r="N61" i="42" s="1"/>
  <c r="M65" i="42" a="1"/>
  <c r="M65" i="42" s="1"/>
  <c r="M68" i="42" a="1"/>
  <c r="M68" i="42" s="1"/>
  <c r="X117" i="2"/>
  <c r="N70" i="42" l="1"/>
  <c r="N62" i="42" a="1"/>
  <c r="N62" i="42" s="1"/>
  <c r="C31" i="2"/>
  <c r="C27" i="2"/>
  <c r="C26" i="2"/>
  <c r="C29" i="2"/>
  <c r="C32" i="2"/>
  <c r="C30" i="2"/>
  <c r="C28" i="2"/>
  <c r="M70" i="42"/>
  <c r="M71" i="42" s="1" a="1"/>
  <c r="M71" i="42" s="1"/>
  <c r="C16" i="2"/>
  <c r="C17" i="2"/>
  <c r="C18" i="2"/>
  <c r="C21" i="2"/>
  <c r="C19" i="2"/>
  <c r="C20" i="2"/>
  <c r="C22" i="2"/>
  <c r="N71" i="42" l="1" a="1"/>
  <c r="N71" i="42" s="1"/>
  <c r="Q27" i="2"/>
  <c r="T27" i="2"/>
  <c r="E27" i="2"/>
  <c r="D27" i="2"/>
  <c r="S27" i="2"/>
  <c r="R27" i="2"/>
  <c r="O21" i="2"/>
  <c r="E21" i="2"/>
  <c r="D21" i="2"/>
  <c r="P21" i="2"/>
  <c r="E31" i="2"/>
  <c r="T31" i="2"/>
  <c r="D31" i="2"/>
  <c r="Q31" i="2"/>
  <c r="S31" i="2"/>
  <c r="R31" i="2"/>
  <c r="P31" i="2"/>
  <c r="D18" i="2"/>
  <c r="L18" i="2"/>
  <c r="E18" i="2"/>
  <c r="K17" i="2"/>
  <c r="E17" i="2"/>
  <c r="D17" i="2"/>
  <c r="Q28" i="2"/>
  <c r="T28" i="2"/>
  <c r="S28" i="2"/>
  <c r="E28" i="2"/>
  <c r="D28" i="2"/>
  <c r="R28" i="2"/>
  <c r="J16" i="2"/>
  <c r="E16" i="2"/>
  <c r="D16" i="2"/>
  <c r="Q30" i="2"/>
  <c r="T30" i="2"/>
  <c r="E30" i="2"/>
  <c r="D30" i="2"/>
  <c r="S30" i="2"/>
  <c r="R30" i="2"/>
  <c r="E19" i="2"/>
  <c r="M19" i="2"/>
  <c r="D19" i="2"/>
  <c r="Q32" i="2"/>
  <c r="D32" i="2"/>
  <c r="E32" i="2"/>
  <c r="S32" i="2"/>
  <c r="T32" i="2"/>
  <c r="R32" i="2"/>
  <c r="D22" i="2"/>
  <c r="O22" i="2"/>
  <c r="E22" i="2"/>
  <c r="P22" i="2"/>
  <c r="P32" i="2" s="1"/>
  <c r="E29" i="2"/>
  <c r="D29" i="2"/>
  <c r="Q29" i="2"/>
  <c r="T29" i="2"/>
  <c r="S29" i="2"/>
  <c r="R29" i="2"/>
  <c r="N20" i="2"/>
  <c r="D20" i="2"/>
  <c r="E20" i="2"/>
  <c r="D26" i="2"/>
  <c r="E26" i="2"/>
  <c r="Q26" i="2"/>
  <c r="T26" i="2"/>
  <c r="S26" i="2"/>
  <c r="R26" i="2"/>
  <c r="K29" i="42" l="1"/>
  <c r="T83" i="42"/>
  <c r="J29" i="42"/>
  <c r="T29" i="42"/>
  <c r="Q47" i="42"/>
  <c r="J47" i="42"/>
  <c r="N97" i="42"/>
  <c r="N18" i="44" s="1"/>
  <c r="R83" i="42"/>
  <c r="O83" i="42"/>
  <c r="P83" i="42"/>
  <c r="K96" i="42"/>
  <c r="T47" i="42"/>
  <c r="N41" i="42"/>
  <c r="J77" i="42"/>
  <c r="N77" i="42"/>
  <c r="S80" i="42"/>
  <c r="O95" i="42"/>
  <c r="O16" i="44" s="1"/>
  <c r="O79" i="42"/>
  <c r="P29" i="42"/>
  <c r="L97" i="42"/>
  <c r="M82" i="42"/>
  <c r="R47" i="42"/>
  <c r="N79" i="42"/>
  <c r="J85" i="42"/>
  <c r="T38" i="42"/>
  <c r="K93" i="42"/>
  <c r="O41" i="42"/>
  <c r="S77" i="42"/>
  <c r="Q38" i="42"/>
  <c r="S82" i="42"/>
  <c r="S94" i="42"/>
  <c r="S15" i="44" s="1"/>
  <c r="L29" i="42"/>
  <c r="N47" i="42"/>
  <c r="Q29" i="42"/>
  <c r="P47" i="42"/>
  <c r="P97" i="42"/>
  <c r="P18" i="44" s="1"/>
  <c r="Q97" i="42"/>
  <c r="Q18" i="44" s="1"/>
  <c r="O82" i="42"/>
  <c r="O44" i="42"/>
  <c r="L44" i="42"/>
  <c r="M96" i="42"/>
  <c r="M17" i="44" s="1"/>
  <c r="L94" i="42"/>
  <c r="N78" i="42"/>
  <c r="L93" i="42"/>
  <c r="N84" i="42"/>
  <c r="J81" i="42"/>
  <c r="L41" i="42"/>
  <c r="N50" i="42"/>
  <c r="L50" i="42"/>
  <c r="N83" i="42"/>
  <c r="M83" i="42"/>
  <c r="N82" i="42"/>
  <c r="M38" i="42"/>
  <c r="R97" i="42"/>
  <c r="R18" i="44" s="1"/>
  <c r="J44" i="42"/>
  <c r="S50" i="42"/>
  <c r="S97" i="42"/>
  <c r="S18" i="44" s="1"/>
  <c r="K44" i="42"/>
  <c r="L82" i="42"/>
  <c r="L96" i="42"/>
  <c r="M78" i="42"/>
  <c r="T85" i="42"/>
  <c r="L78" i="42"/>
  <c r="P93" i="42"/>
  <c r="P14" i="44" s="1"/>
  <c r="S38" i="42"/>
  <c r="M29" i="42"/>
  <c r="R50" i="42"/>
  <c r="P94" i="42"/>
  <c r="P15" i="44" s="1"/>
  <c r="J82" i="42"/>
  <c r="K47" i="42"/>
  <c r="S29" i="42"/>
  <c r="T97" i="42"/>
  <c r="N29" i="42"/>
  <c r="R44" i="42"/>
  <c r="S44" i="42"/>
  <c r="Q82" i="42"/>
  <c r="R82" i="42"/>
  <c r="R94" i="42"/>
  <c r="R15" i="44" s="1"/>
  <c r="S79" i="42"/>
  <c r="K94" i="42"/>
  <c r="T96" i="42"/>
  <c r="R77" i="42"/>
  <c r="O96" i="42"/>
  <c r="O17" i="44" s="1"/>
  <c r="O29" i="42"/>
  <c r="J97" i="42"/>
  <c r="J78" i="42"/>
  <c r="P96" i="42"/>
  <c r="P17" i="44" s="1"/>
  <c r="J83" i="42"/>
  <c r="M94" i="42"/>
  <c r="M15" i="44" s="1"/>
  <c r="M47" i="42"/>
  <c r="M41" i="42"/>
  <c r="Q44" i="42"/>
  <c r="M97" i="42"/>
  <c r="M18" i="44" s="1"/>
  <c r="R29" i="42"/>
  <c r="N44" i="42"/>
  <c r="K97" i="42"/>
  <c r="K83" i="42"/>
  <c r="N81" i="42"/>
  <c r="J93" i="42"/>
  <c r="Q79" i="42"/>
  <c r="Q77" i="42"/>
  <c r="R79" i="42"/>
  <c r="T78" i="42"/>
  <c r="M50" i="42"/>
  <c r="L83" i="42"/>
  <c r="P82" i="42"/>
  <c r="M44" i="42"/>
  <c r="S83" i="42"/>
  <c r="O97" i="42"/>
  <c r="O18" i="44" s="1"/>
  <c r="P44" i="42"/>
  <c r="N94" i="42"/>
  <c r="N15" i="44" s="1"/>
  <c r="Q94" i="42"/>
  <c r="Q15" i="44" s="1"/>
  <c r="K81" i="42"/>
  <c r="N95" i="42"/>
  <c r="N16" i="44" s="1"/>
  <c r="K38" i="42"/>
  <c r="R96" i="42"/>
  <c r="R17" i="44" s="1"/>
  <c r="K80" i="42"/>
  <c r="S96" i="42"/>
  <c r="S17" i="44" s="1"/>
  <c r="N93" i="42"/>
  <c r="N14" i="44" s="1"/>
  <c r="L80" i="42"/>
  <c r="N96" i="42"/>
  <c r="N17" i="44" s="1"/>
  <c r="M79" i="42"/>
  <c r="S93" i="42"/>
  <c r="S14" i="44" s="1"/>
  <c r="T41" i="42"/>
  <c r="M84" i="42"/>
  <c r="R41" i="42"/>
  <c r="T50" i="42"/>
  <c r="L47" i="42"/>
  <c r="R93" i="42"/>
  <c r="R14" i="44" s="1"/>
  <c r="P80" i="42"/>
  <c r="R81" i="42"/>
  <c r="K50" i="42"/>
  <c r="Q95" i="42"/>
  <c r="Q16" i="44" s="1"/>
  <c r="O50" i="42"/>
  <c r="T79" i="42"/>
  <c r="Q80" i="42"/>
  <c r="K95" i="42"/>
  <c r="K78" i="42"/>
  <c r="T82" i="42"/>
  <c r="N85" i="42"/>
  <c r="S47" i="42"/>
  <c r="M93" i="42"/>
  <c r="M14" i="44" s="1"/>
  <c r="K84" i="42"/>
  <c r="M95" i="42"/>
  <c r="L85" i="42"/>
  <c r="O77" i="42"/>
  <c r="Q50" i="42"/>
  <c r="P79" i="42"/>
  <c r="R80" i="42"/>
  <c r="P77" i="42"/>
  <c r="O93" i="42"/>
  <c r="J38" i="42"/>
  <c r="S81" i="42"/>
  <c r="N80" i="42"/>
  <c r="Q96" i="42"/>
  <c r="Q17" i="44" s="1"/>
  <c r="J96" i="42"/>
  <c r="T77" i="42"/>
  <c r="S95" i="42"/>
  <c r="S16" i="44" s="1"/>
  <c r="O47" i="42"/>
  <c r="M77" i="42"/>
  <c r="J80" i="42"/>
  <c r="T44" i="42"/>
  <c r="T84" i="42"/>
  <c r="L81" i="42"/>
  <c r="L77" i="42"/>
  <c r="R38" i="42"/>
  <c r="P81" i="42"/>
  <c r="O38" i="42"/>
  <c r="P41" i="42"/>
  <c r="O80" i="42"/>
  <c r="T81" i="42"/>
  <c r="J94" i="42"/>
  <c r="O94" i="42"/>
  <c r="K82" i="42"/>
  <c r="Q93" i="42"/>
  <c r="Q14" i="44" s="1"/>
  <c r="J79" i="42"/>
  <c r="L79" i="42"/>
  <c r="K41" i="42"/>
  <c r="M85" i="42"/>
  <c r="T95" i="42"/>
  <c r="K79" i="42"/>
  <c r="T93" i="42"/>
  <c r="P50" i="42"/>
  <c r="L38" i="42"/>
  <c r="T80" i="42"/>
  <c r="O81" i="42"/>
  <c r="Q41" i="42"/>
  <c r="Q81" i="42"/>
  <c r="Q83" i="42"/>
  <c r="L84" i="42"/>
  <c r="M80" i="42"/>
  <c r="M81" i="42"/>
  <c r="J84" i="42"/>
  <c r="L95" i="42"/>
  <c r="K77" i="42"/>
  <c r="J95" i="42"/>
  <c r="K85" i="42"/>
  <c r="P95" i="42"/>
  <c r="P16" i="44" s="1"/>
  <c r="R95" i="42"/>
  <c r="R16" i="44" s="1"/>
  <c r="S41" i="42"/>
  <c r="J50" i="42"/>
  <c r="T94" i="42"/>
  <c r="P38" i="42"/>
  <c r="J41" i="42"/>
  <c r="R13" i="42"/>
  <c r="R26" i="42" s="1"/>
  <c r="R20" i="42"/>
  <c r="P20" i="42"/>
  <c r="P13" i="42"/>
  <c r="P26" i="42" s="1"/>
  <c r="O20" i="42"/>
  <c r="O13" i="42"/>
  <c r="O26" i="42" s="1"/>
  <c r="S13" i="42"/>
  <c r="S26" i="42" s="1"/>
  <c r="S20" i="42"/>
  <c r="Q20" i="42"/>
  <c r="Q13" i="42"/>
  <c r="Q26" i="42" s="1"/>
  <c r="O15" i="44" l="1"/>
  <c r="L99" i="42"/>
  <c r="Q99" i="42"/>
  <c r="S52" i="42"/>
  <c r="S54" i="42" s="1"/>
  <c r="P52" i="42"/>
  <c r="P54" i="42" s="1"/>
  <c r="T99" i="42"/>
  <c r="M52" i="42"/>
  <c r="M54" i="42" s="1"/>
  <c r="Q52" i="42"/>
  <c r="Q54" i="42" s="1"/>
  <c r="R52" i="42"/>
  <c r="R54" i="42" s="1"/>
  <c r="K52" i="42"/>
  <c r="K54" i="42" s="1"/>
  <c r="R99" i="42"/>
  <c r="N87" i="42"/>
  <c r="J99" i="42"/>
  <c r="J52" i="42"/>
  <c r="K99" i="42"/>
  <c r="N99" i="42"/>
  <c r="S99" i="42"/>
  <c r="O99" i="42"/>
  <c r="M99" i="42"/>
  <c r="M16" i="44"/>
  <c r="O14" i="44"/>
  <c r="M87" i="42"/>
  <c r="J87" i="42"/>
  <c r="L87" i="42"/>
  <c r="K87" i="42"/>
  <c r="T87" i="42"/>
  <c r="P99" i="42"/>
  <c r="J54" i="42" l="1"/>
  <c r="N22" i="2" l="1"/>
  <c r="O32" i="2"/>
  <c r="P20" i="2" l="1"/>
  <c r="P30" i="2" s="1"/>
  <c r="P18" i="2"/>
  <c r="P28" i="2" s="1"/>
  <c r="P17" i="2"/>
  <c r="P27" i="2" s="1"/>
  <c r="P19" i="2"/>
  <c r="P29" i="2" s="1"/>
  <c r="N32" i="2"/>
  <c r="M22" i="2"/>
  <c r="M32" i="2" l="1"/>
  <c r="L22" i="2"/>
  <c r="O31" i="42"/>
  <c r="L31" i="42"/>
  <c r="P16" i="2" l="1"/>
  <c r="P26" i="2" s="1"/>
  <c r="K22" i="2"/>
  <c r="L32" i="2"/>
  <c r="J22" i="2" l="1"/>
  <c r="J32" i="2" s="1"/>
  <c r="K32" i="2"/>
  <c r="L35" i="42" l="1"/>
  <c r="L33" i="42"/>
  <c r="L52" i="42" l="1"/>
  <c r="L54" i="42" s="1"/>
  <c r="M105" i="42" l="1"/>
  <c r="M13" i="44" s="1"/>
  <c r="N106" i="42"/>
  <c r="N107" i="42" s="1"/>
  <c r="N105" i="42"/>
  <c r="N13" i="44" s="1"/>
  <c r="M106" i="42"/>
  <c r="M107" i="42" s="1"/>
  <c r="O35" i="42" l="1"/>
  <c r="O33" i="42"/>
  <c r="O52" i="42" s="1"/>
  <c r="O54" i="42" l="1"/>
  <c r="K47" i="58" l="1"/>
  <c r="L47" i="58"/>
  <c r="V52" i="58" l="1"/>
  <c r="J57" i="58"/>
  <c r="V51" i="58"/>
  <c r="L57" i="58"/>
  <c r="L19" i="42" s="1"/>
  <c r="K57" i="58"/>
  <c r="J47" i="58"/>
  <c r="V43" i="58"/>
  <c r="T79" i="2" l="1"/>
  <c r="S73" i="2"/>
  <c r="R79" i="2"/>
  <c r="Q73" i="2"/>
  <c r="S79" i="2"/>
  <c r="R73" i="2"/>
  <c r="U79" i="2"/>
  <c r="T73" i="2"/>
  <c r="O73" i="2"/>
  <c r="P79" i="2"/>
  <c r="S108" i="2" l="1"/>
  <c r="S107" i="2"/>
  <c r="S106" i="2"/>
  <c r="S109" i="2"/>
  <c r="P108" i="2"/>
  <c r="P107" i="2"/>
  <c r="P109" i="2"/>
  <c r="P106" i="2"/>
  <c r="O61" i="42" s="1"/>
  <c r="R108" i="2"/>
  <c r="R107" i="2"/>
  <c r="R109" i="2"/>
  <c r="R106" i="2"/>
  <c r="Q79" i="2"/>
  <c r="P73" i="2"/>
  <c r="X73" i="2" s="1"/>
  <c r="T1" i="2" s="1"/>
  <c r="G13" i="16" s="1"/>
  <c r="T107" i="2"/>
  <c r="T109" i="2"/>
  <c r="T106" i="2"/>
  <c r="T108" i="2"/>
  <c r="S61" i="42" l="1"/>
  <c r="R61" i="42"/>
  <c r="Q61" i="42"/>
  <c r="Q108" i="2"/>
  <c r="Q107" i="2"/>
  <c r="Q109" i="2"/>
  <c r="Q106" i="2"/>
  <c r="O70" i="42"/>
  <c r="O62" i="42" a="1"/>
  <c r="O62" i="42" s="1"/>
  <c r="Q70" i="42" l="1"/>
  <c r="S70" i="42"/>
  <c r="R70" i="42"/>
  <c r="P61" i="42"/>
  <c r="O71" i="42" a="1"/>
  <c r="O71" i="42" s="1"/>
  <c r="O84" i="42" l="1"/>
  <c r="S62" i="42" a="1"/>
  <c r="S62" i="42" s="1"/>
  <c r="P62" i="42" a="1"/>
  <c r="P62" i="42" s="1"/>
  <c r="R62" i="42" a="1"/>
  <c r="R62" i="42" s="1"/>
  <c r="Q62" i="42" a="1"/>
  <c r="Q62" i="42" s="1"/>
  <c r="P70" i="42"/>
  <c r="R71" i="42" l="1" a="1"/>
  <c r="R71" i="42" s="1"/>
  <c r="P71" i="42" a="1"/>
  <c r="P71" i="42" s="1"/>
  <c r="S71" i="42" a="1"/>
  <c r="S71" i="42" s="1"/>
  <c r="Q71" i="42" a="1"/>
  <c r="Q71" i="42" s="1"/>
  <c r="Q84" i="42" l="1"/>
  <c r="S84" i="42"/>
  <c r="P84" i="42"/>
  <c r="R84" i="42"/>
  <c r="W19" i="53" l="1"/>
  <c r="I88" i="55" l="1"/>
  <c r="H83" i="55" l="1"/>
  <c r="H82" i="55"/>
  <c r="H86" i="55" s="1"/>
  <c r="H21" i="55"/>
  <c r="H22" i="55"/>
  <c r="H23" i="55"/>
  <c r="I27" i="55" s="1"/>
  <c r="H24" i="55"/>
  <c r="H25" i="55"/>
  <c r="H26" i="55"/>
  <c r="H27" i="55"/>
  <c r="H28" i="55"/>
  <c r="H29" i="55"/>
  <c r="H30" i="55"/>
  <c r="H31" i="55"/>
  <c r="H32" i="55"/>
  <c r="H33" i="55"/>
  <c r="H34" i="55"/>
  <c r="I34" i="55" s="1"/>
  <c r="V34" i="55" s="1"/>
  <c r="H35" i="55"/>
  <c r="H36" i="55"/>
  <c r="H37" i="55"/>
  <c r="H38" i="55"/>
  <c r="H39" i="55"/>
  <c r="H40" i="55"/>
  <c r="H41" i="55"/>
  <c r="H42" i="55"/>
  <c r="H43" i="55"/>
  <c r="H44" i="55"/>
  <c r="H45" i="55"/>
  <c r="I45" i="55" s="1"/>
  <c r="V45" i="55" s="1"/>
  <c r="H46" i="55"/>
  <c r="H47" i="55"/>
  <c r="H48" i="55"/>
  <c r="H49" i="55"/>
  <c r="I53" i="55" s="1"/>
  <c r="V53" i="55" s="1"/>
  <c r="H50" i="55"/>
  <c r="H51" i="55"/>
  <c r="H52" i="55"/>
  <c r="H53" i="55"/>
  <c r="H54" i="55"/>
  <c r="H55" i="55"/>
  <c r="H56" i="55"/>
  <c r="I56" i="55" s="1"/>
  <c r="V56" i="55" s="1"/>
  <c r="H57" i="55"/>
  <c r="I57" i="55" s="1"/>
  <c r="V57" i="55" s="1"/>
  <c r="H58" i="55"/>
  <c r="I58" i="55" s="1"/>
  <c r="V58" i="55" s="1"/>
  <c r="H59" i="55"/>
  <c r="H60" i="55"/>
  <c r="I60" i="55" s="1"/>
  <c r="V60" i="55" s="1"/>
  <c r="H61" i="55"/>
  <c r="H62" i="55"/>
  <c r="H63" i="55"/>
  <c r="H64" i="55"/>
  <c r="H65" i="55"/>
  <c r="H66" i="55"/>
  <c r="H67" i="55"/>
  <c r="H68" i="55"/>
  <c r="I68" i="55" s="1"/>
  <c r="V68" i="55" s="1"/>
  <c r="H69" i="55"/>
  <c r="I69" i="55" s="1"/>
  <c r="V69" i="55" s="1"/>
  <c r="H70" i="55"/>
  <c r="I70" i="55" s="1"/>
  <c r="H71" i="55"/>
  <c r="I75" i="55" s="1"/>
  <c r="V75" i="55" s="1"/>
  <c r="H72" i="55"/>
  <c r="I76" i="55" s="1"/>
  <c r="V76" i="55" s="1"/>
  <c r="H73" i="55"/>
  <c r="H74" i="55"/>
  <c r="H75" i="55"/>
  <c r="H76" i="55"/>
  <c r="H77" i="55"/>
  <c r="H78" i="55"/>
  <c r="H79" i="55"/>
  <c r="H80" i="55"/>
  <c r="H81" i="55"/>
  <c r="I81" i="55" s="1"/>
  <c r="V81" i="55" s="1"/>
  <c r="I33" i="55" l="1"/>
  <c r="V33" i="55" s="1"/>
  <c r="I32" i="55"/>
  <c r="V32" i="55" s="1"/>
  <c r="I67" i="55"/>
  <c r="V67" i="55" s="1"/>
  <c r="I55" i="55"/>
  <c r="V55" i="55" s="1"/>
  <c r="I31" i="55"/>
  <c r="V31" i="55" s="1"/>
  <c r="I43" i="55"/>
  <c r="V43" i="55" s="1"/>
  <c r="I26" i="55"/>
  <c r="I42" i="55"/>
  <c r="V42" i="55" s="1"/>
  <c r="I30" i="55"/>
  <c r="V30" i="55" s="1"/>
  <c r="I50" i="55"/>
  <c r="V50" i="55" s="1"/>
  <c r="I66" i="55"/>
  <c r="V66" i="55" s="1"/>
  <c r="I29" i="55"/>
  <c r="I78" i="55"/>
  <c r="V78" i="55" s="1"/>
  <c r="I28" i="55"/>
  <c r="I54" i="55"/>
  <c r="V54" i="55" s="1"/>
  <c r="I65" i="55"/>
  <c r="V65" i="55" s="1"/>
  <c r="H85" i="55"/>
  <c r="I85" i="55" s="1"/>
  <c r="V85" i="55" s="1"/>
  <c r="I86" i="55"/>
  <c r="I48" i="55"/>
  <c r="V48" i="55" s="1"/>
  <c r="I41" i="55"/>
  <c r="V41" i="55" s="1"/>
  <c r="I77" i="55"/>
  <c r="V77" i="55" s="1"/>
  <c r="I52" i="55"/>
  <c r="V52" i="55" s="1"/>
  <c r="I40" i="55"/>
  <c r="V40" i="55" s="1"/>
  <c r="I64" i="55"/>
  <c r="V64" i="55" s="1"/>
  <c r="I49" i="55"/>
  <c r="V49" i="55" s="1"/>
  <c r="I44" i="55"/>
  <c r="V44" i="55" s="1"/>
  <c r="I71" i="55"/>
  <c r="V71" i="55" s="1"/>
  <c r="I74" i="55"/>
  <c r="I62" i="55"/>
  <c r="V62" i="55" s="1"/>
  <c r="I38" i="55"/>
  <c r="V38" i="55" s="1"/>
  <c r="I73" i="55"/>
  <c r="V73" i="55" s="1"/>
  <c r="I61" i="55"/>
  <c r="V61" i="55" s="1"/>
  <c r="I25" i="55"/>
  <c r="H87" i="55"/>
  <c r="I87" i="55" s="1"/>
  <c r="I84" i="55"/>
  <c r="V84" i="55" s="1"/>
  <c r="I80" i="55"/>
  <c r="V80" i="55" s="1"/>
  <c r="I83" i="55"/>
  <c r="V83" i="55" s="1"/>
  <c r="I79" i="55"/>
  <c r="V79" i="55" s="1"/>
  <c r="I36" i="55"/>
  <c r="V36" i="55" s="1"/>
  <c r="I72" i="55"/>
  <c r="V72" i="55" s="1"/>
  <c r="I37" i="55"/>
  <c r="V37" i="55" s="1"/>
  <c r="I46" i="55"/>
  <c r="V46" i="55" s="1"/>
  <c r="I59" i="55"/>
  <c r="V59" i="55" s="1"/>
  <c r="I63" i="55"/>
  <c r="V63" i="55" s="1"/>
  <c r="I51" i="55"/>
  <c r="V51" i="55" s="1"/>
  <c r="I47" i="55"/>
  <c r="V47" i="55" s="1"/>
  <c r="I35" i="55"/>
  <c r="V35" i="55" s="1"/>
  <c r="I39" i="55"/>
  <c r="V39" i="55" s="1"/>
  <c r="V70" i="55"/>
  <c r="K12" i="2"/>
  <c r="I82" i="55"/>
  <c r="M12" i="2" l="1"/>
  <c r="M29" i="2" s="1"/>
  <c r="J12" i="2"/>
  <c r="J26" i="2" s="1"/>
  <c r="V86" i="55"/>
  <c r="O12" i="2"/>
  <c r="J17" i="2"/>
  <c r="K27" i="2"/>
  <c r="K16" i="2"/>
  <c r="V74" i="55"/>
  <c r="L12" i="2"/>
  <c r="V82" i="55"/>
  <c r="N12" i="2"/>
  <c r="M18" i="2" l="1"/>
  <c r="N18" i="2" s="1"/>
  <c r="L19" i="2"/>
  <c r="K19" i="2" s="1"/>
  <c r="J27" i="2"/>
  <c r="V1" i="55"/>
  <c r="G11" i="16" s="1"/>
  <c r="O20" i="2"/>
  <c r="O30" i="2" s="1"/>
  <c r="N21" i="2"/>
  <c r="N31" i="2" s="1"/>
  <c r="O31" i="2"/>
  <c r="K18" i="2"/>
  <c r="L28" i="2"/>
  <c r="L17" i="2"/>
  <c r="L29" i="2"/>
  <c r="K26" i="2"/>
  <c r="L16" i="2"/>
  <c r="M20" i="2"/>
  <c r="N19" i="2"/>
  <c r="N30" i="2"/>
  <c r="M21" i="2" l="1"/>
  <c r="M28" i="2"/>
  <c r="N37" i="42"/>
  <c r="N38" i="42" s="1"/>
  <c r="M20" i="42"/>
  <c r="M13" i="42"/>
  <c r="M26" i="42" s="1"/>
  <c r="N20" i="42"/>
  <c r="N13" i="42"/>
  <c r="N26" i="42" s="1"/>
  <c r="M16" i="2"/>
  <c r="L26" i="2"/>
  <c r="V63" i="58"/>
  <c r="O18" i="2"/>
  <c r="O28" i="2" s="1"/>
  <c r="N28" i="2"/>
  <c r="J19" i="2"/>
  <c r="J29" i="2" s="1"/>
  <c r="K29" i="2"/>
  <c r="M31" i="2"/>
  <c r="L21" i="2"/>
  <c r="M17" i="2"/>
  <c r="L27" i="2"/>
  <c r="J18" i="2"/>
  <c r="J28" i="2" s="1"/>
  <c r="K28" i="2"/>
  <c r="O19" i="2"/>
  <c r="O29" i="2" s="1"/>
  <c r="N29" i="2"/>
  <c r="L20" i="2"/>
  <c r="M30" i="2"/>
  <c r="L31" i="2" l="1"/>
  <c r="K21" i="2"/>
  <c r="L20" i="42"/>
  <c r="L13" i="42"/>
  <c r="L26" i="42" s="1"/>
  <c r="L30" i="2"/>
  <c r="K20" i="2"/>
  <c r="N17" i="2"/>
  <c r="M27" i="2"/>
  <c r="M26" i="2"/>
  <c r="N16" i="2"/>
  <c r="J20" i="2" l="1"/>
  <c r="J30" i="2" s="1"/>
  <c r="K30" i="2"/>
  <c r="O17" i="2"/>
  <c r="O27" i="2" s="1"/>
  <c r="N27" i="2"/>
  <c r="K31" i="2"/>
  <c r="J21" i="2"/>
  <c r="N26" i="2"/>
  <c r="O16" i="2"/>
  <c r="K13" i="42"/>
  <c r="K26" i="42" s="1"/>
  <c r="K20" i="42"/>
  <c r="J31" i="2" l="1"/>
  <c r="T17" i="42"/>
  <c r="O15" i="42"/>
  <c r="P17" i="42"/>
  <c r="J17" i="42"/>
  <c r="J24" i="42"/>
  <c r="S15" i="42"/>
  <c r="L17" i="42"/>
  <c r="T15" i="42"/>
  <c r="P22" i="42"/>
  <c r="Q17" i="42"/>
  <c r="O24" i="42"/>
  <c r="L22" i="42"/>
  <c r="R15" i="42"/>
  <c r="L24" i="42"/>
  <c r="J22" i="42"/>
  <c r="O22" i="42"/>
  <c r="R22" i="42"/>
  <c r="M17" i="42"/>
  <c r="Q15" i="42"/>
  <c r="K15" i="42"/>
  <c r="N22" i="42"/>
  <c r="S24" i="42"/>
  <c r="Q22" i="42"/>
  <c r="O17" i="42"/>
  <c r="Q24" i="42"/>
  <c r="K24" i="42"/>
  <c r="P15" i="42"/>
  <c r="M24" i="42"/>
  <c r="T24" i="42"/>
  <c r="S17" i="42"/>
  <c r="O26" i="2"/>
  <c r="N15" i="42"/>
  <c r="T22" i="42"/>
  <c r="J15" i="42"/>
  <c r="S22" i="42"/>
  <c r="P24" i="42"/>
  <c r="R17" i="42"/>
  <c r="K22" i="42"/>
  <c r="K17" i="42"/>
  <c r="L15" i="42"/>
  <c r="R24" i="42"/>
  <c r="J13" i="42"/>
  <c r="J26" i="42" s="1"/>
  <c r="J20" i="42"/>
  <c r="O85" i="42" l="1"/>
  <c r="P85" i="42" l="1"/>
  <c r="R85" i="42"/>
  <c r="S85" i="42"/>
  <c r="Q85" i="42"/>
  <c r="W20" i="53"/>
  <c r="O78" i="42" l="1"/>
  <c r="O22" i="53"/>
  <c r="P78" i="42" l="1"/>
  <c r="P87" i="42" s="1"/>
  <c r="P22" i="53"/>
  <c r="O87" i="42"/>
  <c r="R78" i="42" l="1"/>
  <c r="R87" i="42" s="1"/>
  <c r="R22" i="53"/>
  <c r="Q78" i="42"/>
  <c r="Q22" i="53"/>
  <c r="S78" i="42" l="1"/>
  <c r="S87" i="42" s="1"/>
  <c r="S22" i="53"/>
  <c r="W13" i="53"/>
  <c r="Q87" i="42"/>
  <c r="W22" i="53"/>
  <c r="S1" i="53" l="1"/>
  <c r="G14" i="16" s="1"/>
  <c r="V20" i="58" l="1"/>
  <c r="N29" i="58"/>
  <c r="N23" i="42" s="1"/>
  <c r="N24" i="42" s="1"/>
  <c r="L29" i="58"/>
  <c r="J29" i="58"/>
  <c r="V19" i="58"/>
  <c r="M29" i="58"/>
  <c r="M21" i="42" s="1"/>
  <c r="M22" i="42" s="1"/>
  <c r="K29" i="58"/>
  <c r="N35" i="42" l="1"/>
  <c r="K15" i="58" l="1"/>
  <c r="L15" i="58"/>
  <c r="M15" i="58"/>
  <c r="M14" i="42" s="1"/>
  <c r="M15" i="42" s="1"/>
  <c r="N15" i="58"/>
  <c r="N16" i="42" s="1"/>
  <c r="N17" i="42" s="1"/>
  <c r="N31" i="42" l="1"/>
  <c r="J15" i="58"/>
  <c r="V13" i="58"/>
  <c r="S1" i="58" s="1"/>
  <c r="G12" i="16" s="1"/>
  <c r="S1" i="16" s="1"/>
  <c r="N33" i="42"/>
  <c r="N52" i="42" l="1"/>
  <c r="N54" i="42" s="1"/>
  <c r="V1" i="58"/>
  <c r="V1" i="53"/>
  <c r="Y1" i="55"/>
  <c r="V1" i="54"/>
  <c r="V1" i="4"/>
  <c r="W1" i="44"/>
  <c r="W1" i="42"/>
  <c r="X1" i="2"/>
  <c r="P105" i="42" l="1"/>
  <c r="P13" i="44" s="1"/>
  <c r="O106" i="42"/>
  <c r="P106" i="42"/>
  <c r="P107" i="42" s="1"/>
  <c r="O105" i="42"/>
  <c r="R105" i="42"/>
  <c r="R13" i="44" s="1"/>
  <c r="R106" i="42"/>
  <c r="R107" i="42" s="1"/>
  <c r="Q105" i="42"/>
  <c r="Q13" i="44" s="1"/>
  <c r="S105" i="42"/>
  <c r="S13" i="44" s="1"/>
  <c r="Q106" i="42"/>
  <c r="Q107" i="42" s="1"/>
  <c r="S106" i="42"/>
  <c r="S107" i="42" s="1"/>
  <c r="O13" i="44" l="1"/>
  <c r="O107" i="42"/>
</calcChain>
</file>

<file path=xl/sharedStrings.xml><?xml version="1.0" encoding="utf-8"?>
<sst xmlns="http://schemas.openxmlformats.org/spreadsheetml/2006/main" count="760" uniqueCount="230">
  <si>
    <t>Sheet Name</t>
  </si>
  <si>
    <t>Sheet Description</t>
  </si>
  <si>
    <t>Back to Index</t>
  </si>
  <si>
    <t>Key:</t>
  </si>
  <si>
    <t>Input</t>
  </si>
  <si>
    <t>External Link</t>
  </si>
  <si>
    <t>Internal Link</t>
  </si>
  <si>
    <t>Source</t>
  </si>
  <si>
    <t>Unit</t>
  </si>
  <si>
    <t>Ref</t>
  </si>
  <si>
    <t>Dollars</t>
  </si>
  <si>
    <t>unit</t>
  </si>
  <si>
    <t>$dollars</t>
  </si>
  <si>
    <t>Thousands</t>
  </si>
  <si>
    <t>Millions</t>
  </si>
  <si>
    <t>$millions</t>
  </si>
  <si>
    <t>Percent</t>
  </si>
  <si>
    <t>Number</t>
  </si>
  <si>
    <t>number</t>
  </si>
  <si>
    <t>Unit Denominations</t>
  </si>
  <si>
    <t>$000</t>
  </si>
  <si>
    <t>End</t>
  </si>
  <si>
    <t>Basis</t>
  </si>
  <si>
    <t>Actual</t>
  </si>
  <si>
    <t>Overall Check:</t>
  </si>
  <si>
    <t>Check | List</t>
  </si>
  <si>
    <t>Check List</t>
  </si>
  <si>
    <t>Sheet</t>
  </si>
  <si>
    <t>Ok/Check</t>
  </si>
  <si>
    <t>Status</t>
  </si>
  <si>
    <t>Calculated</t>
  </si>
  <si>
    <t>Per cent</t>
  </si>
  <si>
    <t>Debt Raising Costs</t>
  </si>
  <si>
    <t>Inflation</t>
  </si>
  <si>
    <t>External</t>
  </si>
  <si>
    <t>Input | Inflation</t>
  </si>
  <si>
    <t>n/a</t>
  </si>
  <si>
    <t>Factor</t>
  </si>
  <si>
    <t>factor</t>
  </si>
  <si>
    <t>Debt raising costs</t>
  </si>
  <si>
    <t>Check</t>
  </si>
  <si>
    <t>Index</t>
  </si>
  <si>
    <t>Rate of change</t>
  </si>
  <si>
    <t>Weights</t>
  </si>
  <si>
    <t>Input | Debt raising costs</t>
  </si>
  <si>
    <t>Operating expenditure</t>
  </si>
  <si>
    <t>CPI indexes (nominal to real)</t>
  </si>
  <si>
    <t>Partial factor productivity</t>
  </si>
  <si>
    <t>Total step changes</t>
  </si>
  <si>
    <t>Input |Step changes</t>
  </si>
  <si>
    <t>Lookup | Tables</t>
  </si>
  <si>
    <t>Notes</t>
  </si>
  <si>
    <t>Inputs for Post Tax Revenue Model</t>
  </si>
  <si>
    <t>Note. The dollar base should be consistent with the post tax revenue model</t>
  </si>
  <si>
    <t>Input | Reported opex</t>
  </si>
  <si>
    <t>Includes the lookup tables used within this opex model.</t>
  </si>
  <si>
    <t>Input | Step changes</t>
  </si>
  <si>
    <t>Input | General</t>
  </si>
  <si>
    <t>Model index</t>
  </si>
  <si>
    <t>NSP name</t>
  </si>
  <si>
    <t>Forecast regulatory control period, first year</t>
  </si>
  <si>
    <t>Forecast regulatory control period, last year</t>
  </si>
  <si>
    <t>Value</t>
  </si>
  <si>
    <t>NSP</t>
  </si>
  <si>
    <t>AER</t>
  </si>
  <si>
    <t>Years</t>
  </si>
  <si>
    <t>Forecast base year</t>
  </si>
  <si>
    <t>PTRM</t>
  </si>
  <si>
    <t>Total opex</t>
  </si>
  <si>
    <t>Estimate</t>
  </si>
  <si>
    <t>RIN</t>
  </si>
  <si>
    <t>Cost category</t>
  </si>
  <si>
    <t>Input | Forecast price change</t>
  </si>
  <si>
    <t>Input | Forecast productivity</t>
  </si>
  <si>
    <t>Step change</t>
  </si>
  <si>
    <t>Forecast price change</t>
  </si>
  <si>
    <t>CPI</t>
  </si>
  <si>
    <t>Worksheet check:</t>
  </si>
  <si>
    <t>index</t>
  </si>
  <si>
    <t>Input | Forecast output growth</t>
  </si>
  <si>
    <t>Output measure</t>
  </si>
  <si>
    <t>Calc | Estimated final year expenditure</t>
  </si>
  <si>
    <t>Calc | Rate of change</t>
  </si>
  <si>
    <t>Growth rate</t>
  </si>
  <si>
    <t>Efficiency adjustment</t>
  </si>
  <si>
    <t>Calc | Step changes</t>
  </si>
  <si>
    <t>Calc | Total forecast operating expenditure</t>
  </si>
  <si>
    <t>Inputs|Reported opex</t>
  </si>
  <si>
    <t>Input | General inputs</t>
  </si>
  <si>
    <t>Inputs</t>
  </si>
  <si>
    <t>ABS</t>
  </si>
  <si>
    <t>Inputs inflation data.</t>
  </si>
  <si>
    <t>Index value, new base</t>
  </si>
  <si>
    <t>calculated</t>
  </si>
  <si>
    <t>CPI indexes (real to real)</t>
  </si>
  <si>
    <t>nominal</t>
  </si>
  <si>
    <t>external</t>
  </si>
  <si>
    <t>Step changes</t>
  </si>
  <si>
    <t>Calc | Opex forecast</t>
  </si>
  <si>
    <t>Estimated final year opex</t>
  </si>
  <si>
    <t>Total forecast opex, excluding debt raising costs</t>
  </si>
  <si>
    <t>Total forecast opex, including debt raising costs</t>
  </si>
  <si>
    <t>Category specific forecasts</t>
  </si>
  <si>
    <t>Expenditure related to category specific forecasts</t>
  </si>
  <si>
    <t>Input | Adjustments</t>
  </si>
  <si>
    <t>Adjustment</t>
  </si>
  <si>
    <t>Input | Category specifc forecasts</t>
  </si>
  <si>
    <t>Calc | Category specific forecasts</t>
  </si>
  <si>
    <t>Total category specific forecasts</t>
  </si>
  <si>
    <t>Year ending</t>
  </si>
  <si>
    <t>Months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</si>
  <si>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</si>
  <si>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</si>
  <si>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</si>
  <si>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</si>
  <si>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</si>
  <si>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</si>
  <si>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</si>
  <si>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</si>
  <si>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</si>
  <si>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</si>
  <si>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</si>
  <si>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</si>
  <si>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Percentage Change from Corresponding Quarter of Previous Year</t>
  </si>
  <si>
    <t>Total forecast opex, excluding category specific forecasts</t>
  </si>
  <si>
    <t>Decision stage</t>
  </si>
  <si>
    <t>Reported base year opex</t>
  </si>
  <si>
    <t>Forecast rate of change, year-on-year</t>
  </si>
  <si>
    <t>Forecast rate of change, cumulative</t>
  </si>
  <si>
    <t>Previous period year 1</t>
  </si>
  <si>
    <t>Previous period year 2</t>
  </si>
  <si>
    <t>Previous period year 3</t>
  </si>
  <si>
    <t>Previous period year 4</t>
  </si>
  <si>
    <t>Previous period year 5</t>
  </si>
  <si>
    <t>Forecast period year 1</t>
  </si>
  <si>
    <t>Forecast period year 2</t>
  </si>
  <si>
    <t>Forecast period year 3</t>
  </si>
  <si>
    <t>Forecast period year 4</t>
  </si>
  <si>
    <t>Forecast period year 5</t>
  </si>
  <si>
    <t>Regulatory years</t>
  </si>
  <si>
    <t>Year</t>
  </si>
  <si>
    <t>Year Ending</t>
  </si>
  <si>
    <t>Financial Year</t>
  </si>
  <si>
    <t>Calendar Year</t>
  </si>
  <si>
    <t>Add estimated change in opex between the base year and the final year</t>
  </si>
  <si>
    <t>Total opex, categories forecast specifically</t>
  </si>
  <si>
    <t>Add back non-recurrent efficiency gains in the base year</t>
  </si>
  <si>
    <t>Reported opex, total</t>
  </si>
  <si>
    <t>Reported opex, category specific forecasts</t>
  </si>
  <si>
    <t>Remove estimated final year opex for categories forecast specifically</t>
  </si>
  <si>
    <t>Adjusted final year opex</t>
  </si>
  <si>
    <t>Annual RIN for each year and/or reset RIN.</t>
  </si>
  <si>
    <t>Output weights</t>
  </si>
  <si>
    <t>Forecast output growth</t>
  </si>
  <si>
    <t>These inputs should be entered as positive values.</t>
  </si>
  <si>
    <t>Movement in provisions</t>
  </si>
  <si>
    <t>Total opex to be trended</t>
  </si>
  <si>
    <t>Non-recurrent efficiency gain in the base year</t>
  </si>
  <si>
    <t>These inputs should be entered as reported.</t>
  </si>
  <si>
    <t>Categories of opex to be excluded from forecast opex (excluding category specific forecasts)</t>
  </si>
  <si>
    <t>Previous period year 0</t>
  </si>
  <si>
    <t>Adjustments can be postive or negative.</t>
  </si>
  <si>
    <t>Previous period year 6</t>
  </si>
  <si>
    <t>Forecast output change, year-on-year</t>
  </si>
  <si>
    <t>Forecast price change, year-on-year</t>
  </si>
  <si>
    <t>Forecast productivity change, year-on-year</t>
  </si>
  <si>
    <t>Forecast output change, cumulative</t>
  </si>
  <si>
    <t>Forecast price change, cumulative</t>
  </si>
  <si>
    <t>Forecast productivity change, cumulative</t>
  </si>
  <si>
    <t>Input | Rate of change</t>
  </si>
  <si>
    <t>Calc | Opex Forecast</t>
  </si>
  <si>
    <t>Output | Models</t>
  </si>
  <si>
    <t>Units</t>
  </si>
  <si>
    <t>AER PTRM for the current control period.</t>
  </si>
  <si>
    <t>WPI - average</t>
  </si>
  <si>
    <t>Customer numbers (#)</t>
  </si>
  <si>
    <t>Circuit Length (km)</t>
  </si>
  <si>
    <t xml:space="preserve">Ratcheted maximum demand </t>
  </si>
  <si>
    <t>Stage</t>
  </si>
  <si>
    <t>Pre-submission</t>
  </si>
  <si>
    <t>Proposal</t>
  </si>
  <si>
    <t>Draft decision</t>
  </si>
  <si>
    <t>Network</t>
  </si>
  <si>
    <t>Revised proposal</t>
  </si>
  <si>
    <t>Final decision</t>
  </si>
  <si>
    <t>RBA</t>
  </si>
  <si>
    <t>Forecast annual CPI growth</t>
  </si>
  <si>
    <t>Forecast and actual index value</t>
  </si>
  <si>
    <t>Output elasticities</t>
  </si>
  <si>
    <t>DMIA</t>
  </si>
  <si>
    <t>Current regulatory control period, first year</t>
  </si>
  <si>
    <t>Current regulatory control period, last year</t>
  </si>
  <si>
    <t>Inputs NSP name, regulatory years for the current and forecast regulatory control periods etc.</t>
  </si>
  <si>
    <t>Inputs the inputs required to forecast input price growth, output growth and productivity growth.</t>
  </si>
  <si>
    <t>Inputs step changes, category specific forecasts and debt raising costs.</t>
  </si>
  <si>
    <t>Calculates the opex forecast.</t>
  </si>
  <si>
    <t>Outputs the forecasts needed as a post tax revenue model inputs.</t>
  </si>
  <si>
    <t>Shows a summary of the checks from each sheet within the model</t>
  </si>
  <si>
    <t>Enter zero if no adjustment is required.</t>
  </si>
  <si>
    <t>Enter zero if no adjustment is required. Must match the EBSS.</t>
  </si>
  <si>
    <r>
      <t>Inputs the reported operating expenditure (</t>
    </r>
    <r>
      <rPr>
        <b/>
        <sz val="8"/>
        <color indexed="8"/>
        <rFont val="Arial"/>
        <family val="2"/>
      </rPr>
      <t>opex</t>
    </r>
    <r>
      <rPr>
        <sz val="8"/>
        <color indexed="8"/>
        <rFont val="Arial"/>
        <family val="2"/>
      </rPr>
      <t>) from the current regulatory control period.</t>
    </r>
  </si>
  <si>
    <t>Input | Approved forecast opex</t>
  </si>
  <si>
    <t>Approved category specific forecasts</t>
  </si>
  <si>
    <t>Approved forecasts should be entered as positive values.</t>
  </si>
  <si>
    <t>Approved forecast opex, base year, total</t>
  </si>
  <si>
    <t>Approved forecast opex, final year, total</t>
  </si>
  <si>
    <t>Approved forecast opex, base year, category specific forecasts</t>
  </si>
  <si>
    <t>Approved forecast opex, final year, category specific forecasts</t>
  </si>
  <si>
    <t>AER opex model v2.4</t>
  </si>
  <si>
    <t>Note: Include a label for each output specification. Leave unused columns empty.</t>
  </si>
  <si>
    <t>GSL payments</t>
  </si>
  <si>
    <t>Licence fee</t>
  </si>
  <si>
    <t>WPI - Deloitte Access Economics</t>
  </si>
  <si>
    <t>WPI - BIS Oxford Economics</t>
  </si>
  <si>
    <t>Customer assistance package</t>
  </si>
  <si>
    <t>Vegetation management</t>
  </si>
  <si>
    <t>CER integration</t>
  </si>
  <si>
    <t>Cloud services</t>
  </si>
  <si>
    <t>ICT modernisation and new capability</t>
  </si>
  <si>
    <t>Network and community resilience</t>
  </si>
  <si>
    <t>Fleet electrification</t>
  </si>
  <si>
    <t>Network innovation fund</t>
  </si>
  <si>
    <t>Powercor</t>
  </si>
  <si>
    <t>Insurance</t>
  </si>
  <si>
    <t>Index value, Sep quarter 2025 = 100</t>
  </si>
  <si>
    <t>Flexible trading arrangements pass through</t>
  </si>
  <si>
    <t>SFA CD</t>
  </si>
  <si>
    <t>LSE CD</t>
  </si>
  <si>
    <t>LSE TLG</t>
  </si>
  <si>
    <t>Estimate: RBA, Statement on monetary policy (SoMP), February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</si>
</sst>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9"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(&quot;$&quot;* #,##0_);_(&quot;$&quot;* \(#,##0\);_(&quot;$&quot;* &quot;-&quot;_);_(@_)"/>
    <numFmt numFmtId="168" formatCode="_-* #,##0_-;\-* #,##0_-;_-* &quot;-&quot;??_-;_-@_-"/>
    <numFmt numFmtId="169" formatCode="dd\-mmm"/>
    <numFmt numFmtId="170" formatCode="dd/mmm"/>
    <numFmt numFmtId="171" formatCode="_(#,##0_);\(#,##0\);_(&quot;-&quot;_)"/>
    <numFmt numFmtId="172" formatCode="_(#,##0.00%_);\(#,##0.00%\);_(&quot;-&quot;_)"/>
    <numFmt numFmtId="173" formatCode="_(#,##0.000_);\(#,##0.000\);_(&quot;-&quot;_)"/>
    <numFmt numFmtId="174" formatCode="_(#,##0.00_);\(#,##0.00\);_(&quot;-&quot;_)"/>
    <numFmt numFmtId="175" formatCode="[$-C09]dd\-mmm\-yy;@"/>
    <numFmt numFmtId="176" formatCode="_-* #,##0.0000_-;\-* #,##0.0000_-;_-* &quot;-&quot;??_-;_-@_-"/>
    <numFmt numFmtId="177" formatCode="_(#,##0.0000_);\(#,##0.0000\);_(&quot;-&quot;_)"/>
    <numFmt numFmtId="178" formatCode="_-* #,##0.00_-;[Red]\(#,##0.00\)_-;_-* &quot;-&quot;??_-;_-@_-"/>
    <numFmt numFmtId="179" formatCode="mm/dd/yy"/>
    <numFmt numFmtId="180" formatCode="_([$€-2]* #,##0.00_);_([$€-2]* \(#,##0.00\);_([$€-2]* &quot;-&quot;??_)"/>
    <numFmt numFmtId="181" formatCode="0_);[Red]\(0\)"/>
    <numFmt numFmtId="182" formatCode="0.0%"/>
    <numFmt numFmtId="183" formatCode="_(* #,##0_);_(* \(#,##0\);_(* &quot;-&quot;?_);_(@_)"/>
    <numFmt numFmtId="184" formatCode="#,##0.0_);\(#,##0.0\)"/>
    <numFmt numFmtId="185" formatCode="#,##0_ ;\-#,##0\ "/>
    <numFmt numFmtId="186" formatCode="#,##0;[Red]\(#,##0.0\)"/>
    <numFmt numFmtId="187" formatCode="#,##0_ ;[Red]\(#,##0\)\ "/>
    <numFmt numFmtId="188" formatCode="#,##0.00;\(#,##0.00\)"/>
    <numFmt numFmtId="189" formatCode="_)d\-mmm\-yy_)"/>
    <numFmt numFmtId="190" formatCode="_(#,##0.0_);\(#,##0.0\);_(&quot;-&quot;_)"/>
    <numFmt numFmtId="191" formatCode="_(###0_);\(###0\);_(###0_)"/>
    <numFmt numFmtId="192" formatCode="#,##0.0000_);[Red]\(#,##0.0000\)"/>
    <numFmt numFmtId="193" formatCode="0.0"/>
    <numFmt numFmtId="194" formatCode=";;_(&quot;-&quot;_)"/>
    <numFmt numFmtId="195" formatCode="_-* #,##0.0_-;\-* #,##0.0_-;_-* &quot;-&quot;??_-;_-@_-"/>
    <numFmt numFmtId="196" formatCode="0.00;\-0.00;_(&quot;-&quot;_)"/>
    <numFmt numFmtId="197" formatCode="[$-C09]mmm\-yyyy;@"/>
    <numFmt numFmtId="198" formatCode="_-* #\ ##0.00_-;\-* #\ ##0.00_-;_-* &quot;-&quot;??_-;_-@_-"/>
    <numFmt numFmtId="199" formatCode="_(#\ ##0.00_);\(#\ ##0.00\);_(&quot;-&quot;_)"/>
    <numFmt numFmtId="200" formatCode="#\ ##0.00_ ;\-#\ ##0.00\ ;&quot;-&quot;"/>
    <numFmt numFmtId="201" formatCode="#\ ##0.00;\-#\ ##0.00;&quot;-&quot;"/>
    <numFmt numFmtId="202" formatCode="&quot;Warning&quot;;&quot;Warning&quot;;&quot;OK&quot;"/>
    <numFmt numFmtId="203" formatCode="mmmm"/>
    <numFmt numFmtId="204" formatCode="mmm\ yyyy"/>
    <numFmt numFmtId="205" formatCode="0.00_ ;\-0.00\ "/>
    <numFmt numFmtId="206" formatCode="0_ ;\-0\ "/>
    <numFmt numFmtId="207" formatCode="#,##0_);\(#,##0\);\-\-_)"/>
    <numFmt numFmtId="208" formatCode="0.000"/>
    <numFmt numFmtId="209" formatCode="0.00%;\–0.00%;&quot;–&quot;"/>
    <numFmt numFmtId="210" formatCode="0.0%;\–0.0%;&quot;–&quot;"/>
    <numFmt numFmtId="211" formatCode="0.0;\–0.0;&quot;–&quot;"/>
    <numFmt numFmtId="212" formatCode="#,##0.0_ ;\-#,##0.0\ "/>
  </numFmts>
  <fonts count="95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indexed="9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b/>
      <sz val="8"/>
      <color indexed="8"/>
      <name val="Arial"/>
      <family val="2"/>
    </font>
    <font>
      <i/>
      <u/>
      <sz val="10"/>
      <color indexed="12"/>
      <name val="Calibri"/>
      <family val="2"/>
    </font>
    <font>
      <b/>
      <sz val="8"/>
      <color indexed="9"/>
      <name val="Arial"/>
      <family val="2"/>
    </font>
    <font>
      <b/>
      <i/>
      <sz val="8"/>
      <color indexed="9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u/>
      <sz val="8"/>
      <color theme="10"/>
      <name val="Arial"/>
      <family val="2"/>
    </font>
    <font>
      <sz val="8"/>
      <name val="Arial"/>
      <family val="2"/>
    </font>
    <font>
      <sz val="11"/>
      <color indexed="8"/>
      <name val="Arial"/>
      <family val="2"/>
    </font>
    <font>
      <i/>
      <u/>
      <sz val="8"/>
      <color theme="10"/>
      <name val="Arial"/>
      <family val="2"/>
    </font>
    <font>
      <b/>
      <i/>
      <sz val="8"/>
      <color indexed="8"/>
      <name val="Arial"/>
      <family val="2"/>
    </font>
    <font>
      <b/>
      <i/>
      <sz val="8"/>
      <name val="Arial"/>
      <family val="2"/>
    </font>
    <font>
      <sz val="8"/>
      <color rgb="FFFF000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color theme="1"/>
      <name val="Arial"/>
      <family val="2"/>
    </font>
    <font>
      <b/>
      <sz val="10"/>
      <name val="Arial"/>
      <family val="2"/>
    </font>
    <font>
      <sz val="11"/>
      <color indexed="9"/>
      <name val="Calibri"/>
      <family val="2"/>
    </font>
    <font>
      <sz val="9"/>
      <name val="AGaramond"/>
    </font>
    <font>
      <sz val="10"/>
      <name val="Times New Roman"/>
      <family val="1"/>
    </font>
    <font>
      <sz val="11"/>
      <color indexed="20"/>
      <name val="Calibri"/>
      <family val="2"/>
    </font>
    <font>
      <sz val="10"/>
      <name val="Helvetica"/>
      <family val="2"/>
    </font>
    <font>
      <sz val="10"/>
      <color indexed="12"/>
      <name val="Helvetica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0"/>
      <name val="Verdana"/>
      <family val="2"/>
    </font>
    <font>
      <sz val="10"/>
      <color indexed="24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9"/>
      <name val="GillSans"/>
      <family val="2"/>
    </font>
    <font>
      <sz val="9"/>
      <name val="GillSans Light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9"/>
      <name val="Arial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8.5"/>
      <name val="Univers 65"/>
      <family val="2"/>
    </font>
    <font>
      <u/>
      <sz val="11"/>
      <color indexed="12"/>
      <name val="Calibri"/>
      <family val="2"/>
    </font>
    <font>
      <b/>
      <sz val="10"/>
      <color indexed="56"/>
      <name val="Wingdings"/>
      <charset val="2"/>
    </font>
    <font>
      <b/>
      <u/>
      <sz val="8"/>
      <color indexed="56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2"/>
      <color indexed="14"/>
      <name val="Arial"/>
      <family val="2"/>
    </font>
    <font>
      <b/>
      <sz val="12"/>
      <name val="Arial"/>
      <family val="2"/>
    </font>
    <font>
      <sz val="11"/>
      <color indexed="60"/>
      <name val="Calibri"/>
      <family val="2"/>
    </font>
    <font>
      <sz val="8"/>
      <name val="Palatino"/>
      <family val="1"/>
    </font>
    <font>
      <sz val="11"/>
      <color theme="1"/>
      <name val="Calibri"/>
      <family val="2"/>
      <scheme val="minor"/>
    </font>
    <font>
      <b/>
      <sz val="11"/>
      <color indexed="63"/>
      <name val="Calibri"/>
      <family val="2"/>
    </font>
    <font>
      <sz val="8.5"/>
      <name val="Univers 55"/>
      <family val="2"/>
    </font>
    <font>
      <sz val="10"/>
      <color indexed="18"/>
      <name val="Times New Roman"/>
      <family val="1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b/>
      <sz val="14"/>
      <name val="Arial"/>
      <family val="2"/>
    </font>
    <font>
      <sz val="9"/>
      <color indexed="21"/>
      <name val="Helvetica-Black"/>
    </font>
    <font>
      <b/>
      <sz val="9"/>
      <name val="Palatino"/>
      <family val="1"/>
    </font>
    <font>
      <sz val="7"/>
      <name val="Palatino"/>
      <family val="1"/>
    </font>
    <font>
      <sz val="12"/>
      <name val="Palatino"/>
      <family val="1"/>
    </font>
    <font>
      <sz val="11"/>
      <name val="Helvetica-Black"/>
    </font>
    <font>
      <sz val="12"/>
      <color indexed="12"/>
      <name val="Arial MT"/>
    </font>
    <font>
      <b/>
      <u/>
      <sz val="9.5"/>
      <color indexed="56"/>
      <name val="Arial"/>
      <family val="2"/>
    </font>
    <font>
      <u/>
      <sz val="8"/>
      <color indexed="56"/>
      <name val="Arial"/>
      <family val="2"/>
    </font>
    <font>
      <sz val="11"/>
      <color indexed="10"/>
      <name val="Calibri"/>
      <family val="2"/>
    </font>
    <font>
      <b/>
      <sz val="12"/>
      <color theme="1"/>
      <name val="Arial"/>
      <family val="2"/>
    </font>
    <font>
      <u/>
      <sz val="8"/>
      <color theme="1"/>
      <name val="Arial"/>
      <family val="2"/>
    </font>
    <font>
      <i/>
      <sz val="10"/>
      <color theme="1"/>
      <name val="Arial"/>
      <family val="2"/>
    </font>
    <font>
      <b/>
      <i/>
      <sz val="8"/>
      <color theme="1"/>
      <name val="Arial"/>
      <family val="2"/>
    </font>
    <font>
      <i/>
      <sz val="8"/>
      <color theme="1"/>
      <name val="Arial"/>
      <family val="2"/>
    </font>
    <font>
      <b/>
      <sz val="13"/>
      <color indexed="9"/>
      <name val="Arial"/>
      <family val="2"/>
    </font>
    <font>
      <sz val="10"/>
      <color indexed="55"/>
      <name val="Arial"/>
      <family val="2"/>
    </font>
    <font>
      <b/>
      <sz val="10"/>
      <color theme="1"/>
      <name val="Arial"/>
      <family val="2"/>
    </font>
    <font>
      <b/>
      <sz val="13"/>
      <color theme="4" tint="-0.24994659260841701"/>
      <name val="Arial"/>
      <family val="2"/>
    </font>
    <font>
      <b/>
      <sz val="12"/>
      <color indexed="8"/>
      <name val="Arial"/>
      <family val="2"/>
    </font>
    <font>
      <u/>
      <sz val="11"/>
      <name val="Arial"/>
      <family val="2"/>
    </font>
    <font>
      <i/>
      <sz val="11"/>
      <name val="Arial"/>
      <family val="2"/>
    </font>
    <font>
      <i/>
      <sz val="10"/>
      <color theme="1" tint="0.24994659260841701"/>
      <name val="Arial"/>
      <family val="2"/>
    </font>
    <font>
      <sz val="10"/>
      <color indexed="16"/>
      <name val="Arial"/>
      <family val="2"/>
    </font>
    <font>
      <b/>
      <sz val="16"/>
      <color indexed="9"/>
      <name val="Arial"/>
      <family val="2"/>
    </font>
    <font>
      <b/>
      <sz val="12"/>
      <color indexed="9"/>
      <name val="Arial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theme="1"/>
      <name val="Arial"/>
      <family val="2"/>
    </font>
    <font>
      <sz val="10"/>
      <color theme="5" tint="-0.499984740745262"/>
      <name val="Arial"/>
      <family val="2"/>
    </font>
    <font>
      <b/>
      <i/>
      <sz val="8"/>
      <color theme="0"/>
      <name val="Arial"/>
      <family val="2"/>
    </font>
    <font>
      <b/>
      <sz val="12"/>
      <color theme="0"/>
      <name val="Arial"/>
      <family val="2"/>
    </font>
    <font>
      <sz val="10"/>
      <color theme="1"/>
      <name val="Verdana"/>
      <family val="2"/>
    </font>
    <font>
      <sz val="8"/>
      <color theme="1"/>
      <name val="Calibri"/>
      <family val="2"/>
    </font>
  </fonts>
  <fills count="53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8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2"/>
      </patternFill>
    </fill>
    <fill>
      <patternFill patternType="solid">
        <fgColor indexed="27"/>
        <bgColor indexed="64"/>
      </patternFill>
    </fill>
    <fill>
      <patternFill patternType="mediumGray">
        <fgColor indexed="22"/>
      </patternFill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lightUp">
        <fgColor indexed="23"/>
        <bgColor auto="1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gray0625">
        <fgColor indexed="2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DAEEF3"/>
        <bgColor rgb="FF00FFFF"/>
      </patternFill>
    </fill>
    <fill>
      <patternFill patternType="solid">
        <fgColor rgb="FFFF000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ashed">
        <color rgb="FFFF0000"/>
      </left>
      <right style="dashed">
        <color rgb="FFFF0000"/>
      </right>
      <top style="dashed">
        <color rgb="FFFF0000"/>
      </top>
      <bottom style="dashed">
        <color rgb="FFFF0000"/>
      </bottom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8"/>
      </bottom>
      <diagonal/>
    </border>
    <border>
      <left/>
      <right/>
      <top/>
      <bottom style="medium">
        <color indexed="3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medium">
        <color indexed="9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hair">
        <color auto="1"/>
      </top>
      <bottom/>
      <diagonal/>
    </border>
  </borders>
  <cellStyleXfs count="306">
    <xf numFmtId="0" fontId="0" fillId="0" borderId="0"/>
    <xf numFmtId="170" fontId="6" fillId="7" borderId="0" applyProtection="0"/>
    <xf numFmtId="9" fontId="1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9" fontId="16" fillId="0" borderId="0" applyFont="0" applyFill="0" applyBorder="0" applyAlignment="0" applyProtection="0"/>
    <xf numFmtId="171" fontId="15" fillId="0" borderId="5">
      <alignment horizontal="right" vertical="center"/>
      <protection locked="0"/>
    </xf>
    <xf numFmtId="166" fontId="13" fillId="0" borderId="0" applyFont="0" applyFill="0" applyBorder="0" applyAlignment="0" applyProtection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8" fontId="15" fillId="0" borderId="0"/>
    <xf numFmtId="178" fontId="15" fillId="0" borderId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3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5" fillId="21" borderId="0" applyNumberFormat="0" applyBorder="0" applyAlignment="0" applyProtection="0"/>
    <xf numFmtId="0" fontId="25" fillId="25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6" borderId="0" applyNumberFormat="0" applyBorder="0" applyAlignment="0" applyProtection="0"/>
    <xf numFmtId="0" fontId="21" fillId="27" borderId="0" applyNumberFormat="0" applyBorder="0" applyAlignment="0" applyProtection="0"/>
    <xf numFmtId="0" fontId="21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6" fillId="0" borderId="0"/>
    <xf numFmtId="167" fontId="27" fillId="0" borderId="0" applyFont="0" applyFill="0" applyBorder="0" applyAlignment="0" applyProtection="0"/>
    <xf numFmtId="0" fontId="28" fillId="30" borderId="0" applyNumberFormat="0" applyBorder="0" applyAlignment="0" applyProtection="0"/>
    <xf numFmtId="0" fontId="29" fillId="0" borderId="0" applyNumberFormat="0" applyFill="0" applyBorder="0" applyAlignment="0"/>
    <xf numFmtId="164" fontId="22" fillId="4" borderId="0" applyNumberFormat="0" applyFont="0" applyBorder="0" applyAlignment="0">
      <alignment horizontal="right"/>
    </xf>
    <xf numFmtId="164" fontId="22" fillId="4" borderId="0" applyNumberFormat="0" applyFont="0" applyBorder="0" applyAlignment="0">
      <alignment horizontal="right"/>
    </xf>
    <xf numFmtId="0" fontId="30" fillId="0" borderId="0" applyNumberFormat="0" applyFill="0" applyBorder="0" applyAlignment="0">
      <protection locked="0"/>
    </xf>
    <xf numFmtId="0" fontId="31" fillId="14" borderId="11" applyNumberFormat="0" applyAlignment="0" applyProtection="0"/>
    <xf numFmtId="0" fontId="32" fillId="31" borderId="12" applyNumberFormat="0" applyAlignment="0" applyProtection="0"/>
    <xf numFmtId="164" fontId="22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3" fontId="35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6" fillId="34" borderId="0" applyNumberFormat="0" applyBorder="0" applyAlignment="0" applyProtection="0"/>
    <xf numFmtId="180" fontId="21" fillId="0" borderId="0" applyFont="0" applyFill="0" applyBorder="0" applyAlignment="0" applyProtection="0"/>
    <xf numFmtId="0" fontId="37" fillId="0" borderId="0" applyNumberForma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0" fontId="38" fillId="0" borderId="0"/>
    <xf numFmtId="0" fontId="39" fillId="0" borderId="0"/>
    <xf numFmtId="0" fontId="40" fillId="35" borderId="0" applyNumberFormat="0" applyBorder="0" applyAlignment="0" applyProtection="0"/>
    <xf numFmtId="0" fontId="24" fillId="0" borderId="0" applyFill="0" applyBorder="0">
      <alignment vertical="center"/>
    </xf>
    <xf numFmtId="0" fontId="41" fillId="0" borderId="13" applyNumberFormat="0" applyFill="0" applyAlignment="0" applyProtection="0"/>
    <xf numFmtId="0" fontId="24" fillId="0" borderId="0" applyFill="0" applyBorder="0">
      <alignment vertical="center"/>
    </xf>
    <xf numFmtId="0" fontId="42" fillId="0" borderId="0" applyFill="0" applyBorder="0">
      <alignment vertical="center"/>
    </xf>
    <xf numFmtId="0" fontId="43" fillId="0" borderId="14" applyNumberFormat="0" applyFill="0" applyAlignment="0" applyProtection="0"/>
    <xf numFmtId="0" fontId="42" fillId="0" borderId="0" applyFill="0" applyBorder="0">
      <alignment vertical="center"/>
    </xf>
    <xf numFmtId="0" fontId="12" fillId="0" borderId="0" applyFill="0" applyBorder="0">
      <alignment vertical="center"/>
    </xf>
    <xf numFmtId="0" fontId="44" fillId="0" borderId="15" applyNumberFormat="0" applyFill="0" applyAlignment="0" applyProtection="0"/>
    <xf numFmtId="0" fontId="12" fillId="0" borderId="0" applyFill="0" applyBorder="0">
      <alignment vertical="center"/>
    </xf>
    <xf numFmtId="0" fontId="15" fillId="0" borderId="0" applyFill="0" applyBorder="0">
      <alignment vertical="center"/>
    </xf>
    <xf numFmtId="0" fontId="44" fillId="0" borderId="0" applyNumberFormat="0" applyFill="0" applyBorder="0" applyAlignment="0" applyProtection="0"/>
    <xf numFmtId="0" fontId="15" fillId="0" borderId="0" applyFill="0" applyBorder="0">
      <alignment vertical="center"/>
    </xf>
    <xf numFmtId="182" fontId="45" fillId="0" borderId="0"/>
    <xf numFmtId="0" fontId="46" fillId="0" borderId="0" applyNumberFormat="0" applyFill="0" applyBorder="0" applyAlignment="0" applyProtection="0">
      <alignment vertical="top"/>
      <protection locked="0"/>
    </xf>
    <xf numFmtId="0" fontId="47" fillId="0" borderId="0" applyFill="0" applyBorder="0">
      <alignment horizontal="center" vertical="center"/>
      <protection locked="0"/>
    </xf>
    <xf numFmtId="0" fontId="48" fillId="0" borderId="0" applyFill="0" applyBorder="0">
      <alignment horizontal="left" vertical="center"/>
      <protection locked="0"/>
    </xf>
    <xf numFmtId="0" fontId="49" fillId="12" borderId="11" applyNumberFormat="0" applyAlignment="0" applyProtection="0"/>
    <xf numFmtId="164" fontId="22" fillId="36" borderId="0" applyFont="0" applyBorder="0" applyAlignment="0">
      <alignment horizontal="right"/>
      <protection locked="0"/>
    </xf>
    <xf numFmtId="164" fontId="22" fillId="36" borderId="0" applyFont="0" applyBorder="0" applyAlignment="0">
      <alignment horizontal="right"/>
      <protection locked="0"/>
    </xf>
    <xf numFmtId="183" fontId="22" fillId="6" borderId="0" applyFont="0" applyBorder="0">
      <alignment horizontal="right"/>
      <protection locked="0"/>
    </xf>
    <xf numFmtId="183" fontId="22" fillId="6" borderId="0" applyFont="0" applyBorder="0">
      <alignment horizontal="right"/>
      <protection locked="0"/>
    </xf>
    <xf numFmtId="164" fontId="22" fillId="10" borderId="0" applyFont="0" applyBorder="0">
      <alignment horizontal="right"/>
      <protection locked="0"/>
    </xf>
    <xf numFmtId="164" fontId="22" fillId="10" borderId="0" applyFont="0" applyBorder="0">
      <alignment horizontal="right"/>
      <protection locked="0"/>
    </xf>
    <xf numFmtId="0" fontId="15" fillId="4" borderId="0"/>
    <xf numFmtId="0" fontId="50" fillId="0" borderId="16" applyNumberFormat="0" applyFill="0" applyAlignment="0" applyProtection="0"/>
    <xf numFmtId="184" fontId="51" fillId="0" borderId="0"/>
    <xf numFmtId="0" fontId="52" fillId="0" borderId="0" applyFill="0" applyBorder="0">
      <alignment horizontal="left" vertical="center"/>
    </xf>
    <xf numFmtId="0" fontId="53" fillId="15" borderId="0" applyNumberFormat="0" applyBorder="0" applyAlignment="0" applyProtection="0"/>
    <xf numFmtId="185" fontId="5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3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0" fontId="27" fillId="0" borderId="0"/>
    <xf numFmtId="0" fontId="22" fillId="3" borderId="0"/>
    <xf numFmtId="0" fontId="55" fillId="0" borderId="0"/>
    <xf numFmtId="0" fontId="22" fillId="0" borderId="0"/>
    <xf numFmtId="0" fontId="22" fillId="0" borderId="0"/>
    <xf numFmtId="0" fontId="22" fillId="13" borderId="17" applyNumberFormat="0" applyFont="0" applyAlignment="0" applyProtection="0"/>
    <xf numFmtId="0" fontId="56" fillId="14" borderId="18" applyNumberFormat="0" applyAlignment="0" applyProtection="0"/>
    <xf numFmtId="186" fontId="22" fillId="0" borderId="0" applyFill="0" applyBorder="0"/>
    <xf numFmtId="186" fontId="22" fillId="0" borderId="0" applyFill="0" applyBorder="0"/>
    <xf numFmtId="186" fontId="22" fillId="0" borderId="0" applyFill="0" applyBorder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82" fontId="57" fillId="0" borderId="0"/>
    <xf numFmtId="0" fontId="12" fillId="0" borderId="0" applyFill="0" applyBorder="0">
      <alignment vertical="center"/>
    </xf>
    <xf numFmtId="0" fontId="33" fillId="0" borderId="0" applyNumberFormat="0" applyFont="0" applyFill="0" applyBorder="0" applyAlignment="0" applyProtection="0">
      <alignment horizontal="left"/>
    </xf>
    <xf numFmtId="15" fontId="33" fillId="0" borderId="0" applyFont="0" applyFill="0" applyBorder="0" applyAlignment="0" applyProtection="0"/>
    <xf numFmtId="4" fontId="33" fillId="0" borderId="0" applyFont="0" applyFill="0" applyBorder="0" applyAlignment="0" applyProtection="0"/>
    <xf numFmtId="187" fontId="58" fillId="0" borderId="19"/>
    <xf numFmtId="0" fontId="59" fillId="0" borderId="20">
      <alignment horizontal="center"/>
    </xf>
    <xf numFmtId="3" fontId="33" fillId="0" borderId="0" applyFont="0" applyFill="0" applyBorder="0" applyAlignment="0" applyProtection="0"/>
    <xf numFmtId="0" fontId="33" fillId="37" borderId="0" applyNumberFormat="0" applyFont="0" applyBorder="0" applyAlignment="0" applyProtection="0"/>
    <xf numFmtId="188" fontId="22" fillId="0" borderId="0"/>
    <xf numFmtId="188" fontId="22" fillId="0" borderId="0"/>
    <xf numFmtId="188" fontId="22" fillId="0" borderId="0"/>
    <xf numFmtId="189" fontId="15" fillId="0" borderId="0" applyFill="0" applyBorder="0">
      <alignment horizontal="right" vertical="center"/>
    </xf>
    <xf numFmtId="190" fontId="15" fillId="0" borderId="0" applyFill="0" applyBorder="0">
      <alignment horizontal="right" vertical="center"/>
    </xf>
    <xf numFmtId="191" fontId="15" fillId="0" borderId="0" applyFill="0" applyBorder="0">
      <alignment horizontal="right" vertical="center"/>
    </xf>
    <xf numFmtId="0" fontId="22" fillId="13" borderId="0" applyNumberFormat="0" applyFont="0" applyBorder="0" applyAlignment="0" applyProtection="0"/>
    <xf numFmtId="0" fontId="22" fillId="13" borderId="0" applyNumberFormat="0" applyFont="0" applyBorder="0" applyAlignment="0" applyProtection="0"/>
    <xf numFmtId="0" fontId="22" fillId="14" borderId="0" applyNumberFormat="0" applyFont="0" applyBorder="0" applyAlignment="0" applyProtection="0"/>
    <xf numFmtId="0" fontId="22" fillId="14" borderId="0" applyNumberFormat="0" applyFont="0" applyBorder="0" applyAlignment="0" applyProtection="0"/>
    <xf numFmtId="0" fontId="22" fillId="16" borderId="0" applyNumberFormat="0" applyFont="0" applyBorder="0" applyAlignment="0" applyProtection="0"/>
    <xf numFmtId="0" fontId="22" fillId="16" borderId="0" applyNumberFormat="0" applyFont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0" fontId="22" fillId="16" borderId="0" applyNumberFormat="0" applyFont="0" applyBorder="0" applyAlignment="0" applyProtection="0"/>
    <xf numFmtId="0" fontId="22" fillId="16" borderId="0" applyNumberFormat="0" applyFont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 applyNumberFormat="0" applyFont="0" applyBorder="0" applyAlignment="0" applyProtection="0"/>
    <xf numFmtId="0" fontId="22" fillId="0" borderId="0" applyNumberFormat="0" applyFont="0" applyBorder="0" applyAlignment="0" applyProtection="0"/>
    <xf numFmtId="0" fontId="60" fillId="0" borderId="0" applyNumberForma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52" fillId="0" borderId="0"/>
    <xf numFmtId="0" fontId="61" fillId="0" borderId="0"/>
    <xf numFmtId="15" fontId="22" fillId="0" borderId="0"/>
    <xf numFmtId="15" fontId="22" fillId="0" borderId="0"/>
    <xf numFmtId="15" fontId="22" fillId="0" borderId="0"/>
    <xf numFmtId="10" fontId="22" fillId="0" borderId="0"/>
    <xf numFmtId="10" fontId="22" fillId="0" borderId="0"/>
    <xf numFmtId="10" fontId="22" fillId="0" borderId="0"/>
    <xf numFmtId="0" fontId="62" fillId="9" borderId="7" applyBorder="0" applyProtection="0">
      <alignment horizontal="centerContinuous" vertical="center"/>
    </xf>
    <xf numFmtId="0" fontId="63" fillId="0" borderId="0" applyBorder="0" applyProtection="0">
      <alignment vertical="center"/>
    </xf>
    <xf numFmtId="0" fontId="64" fillId="0" borderId="0">
      <alignment horizontal="left"/>
    </xf>
    <xf numFmtId="0" fontId="64" fillId="0" borderId="10" applyFill="0" applyBorder="0" applyProtection="0">
      <alignment horizontal="left" vertical="top"/>
    </xf>
    <xf numFmtId="49" fontId="22" fillId="0" borderId="0" applyFont="0" applyFill="0" applyBorder="0" applyAlignment="0" applyProtection="0"/>
    <xf numFmtId="0" fontId="65" fillId="0" borderId="0"/>
    <xf numFmtId="49" fontId="22" fillId="0" borderId="0" applyFont="0" applyFill="0" applyBorder="0" applyAlignment="0" applyProtection="0"/>
    <xf numFmtId="0" fontId="66" fillId="0" borderId="0"/>
    <xf numFmtId="0" fontId="66" fillId="0" borderId="0"/>
    <xf numFmtId="0" fontId="65" fillId="0" borderId="0"/>
    <xf numFmtId="184" fontId="67" fillId="0" borderId="0"/>
    <xf numFmtId="0" fontId="60" fillId="0" borderId="0" applyNumberFormat="0" applyFill="0" applyBorder="0" applyAlignment="0" applyProtection="0"/>
    <xf numFmtId="0" fontId="68" fillId="0" borderId="0" applyFill="0" applyBorder="0">
      <alignment horizontal="left" vertical="center"/>
      <protection locked="0"/>
    </xf>
    <xf numFmtId="0" fontId="65" fillId="0" borderId="0"/>
    <xf numFmtId="0" fontId="69" fillId="0" borderId="0" applyFill="0" applyBorder="0">
      <alignment horizontal="left" vertical="center"/>
      <protection locked="0"/>
    </xf>
    <xf numFmtId="0" fontId="36" fillId="0" borderId="21" applyNumberFormat="0" applyFill="0" applyAlignment="0" applyProtection="0"/>
    <xf numFmtId="0" fontId="70" fillId="0" borderId="0" applyNumberFormat="0" applyFill="0" applyBorder="0" applyAlignment="0" applyProtection="0"/>
    <xf numFmtId="192" fontId="22" fillId="0" borderId="7" applyBorder="0" applyProtection="0">
      <alignment horizontal="right"/>
    </xf>
    <xf numFmtId="192" fontId="22" fillId="0" borderId="7" applyBorder="0" applyProtection="0">
      <alignment horizontal="right"/>
    </xf>
    <xf numFmtId="192" fontId="22" fillId="0" borderId="7" applyBorder="0" applyProtection="0">
      <alignment horizontal="right"/>
    </xf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76" fillId="42" borderId="0"/>
    <xf numFmtId="202" fontId="77" fillId="0" borderId="22">
      <alignment horizontal="center"/>
    </xf>
    <xf numFmtId="0" fontId="78" fillId="43" borderId="6">
      <alignment horizontal="center" vertical="center"/>
    </xf>
    <xf numFmtId="0" fontId="22" fillId="44" borderId="11"/>
    <xf numFmtId="0" fontId="79" fillId="0" borderId="0" applyFill="0" applyBorder="0"/>
    <xf numFmtId="0" fontId="80" fillId="0" borderId="0" applyNumberFormat="0" applyFill="0"/>
    <xf numFmtId="0" fontId="81" fillId="0" borderId="0" applyFill="0"/>
    <xf numFmtId="0" fontId="82" fillId="0" borderId="0" applyFill="0"/>
    <xf numFmtId="0" fontId="83" fillId="0" borderId="0" applyFill="0"/>
    <xf numFmtId="0" fontId="76" fillId="45" borderId="0"/>
    <xf numFmtId="0" fontId="22" fillId="38" borderId="23" applyNumberFormat="0" applyFont="0" applyAlignment="0"/>
    <xf numFmtId="0" fontId="84" fillId="7" borderId="24" applyNumberFormat="0"/>
    <xf numFmtId="0" fontId="85" fillId="46" borderId="0"/>
    <xf numFmtId="0" fontId="86" fillId="46" borderId="0" applyNumberFormat="0"/>
    <xf numFmtId="0" fontId="87" fillId="46" borderId="0"/>
    <xf numFmtId="0" fontId="88" fillId="47" borderId="6" applyNumberFormat="0">
      <alignment horizontal="center" vertical="center"/>
    </xf>
    <xf numFmtId="0" fontId="89" fillId="48" borderId="11" applyNumberFormat="0" applyAlignment="0">
      <alignment horizontal="right"/>
    </xf>
    <xf numFmtId="0" fontId="24" fillId="38" borderId="23" applyNumberFormat="0" applyAlignment="0"/>
    <xf numFmtId="0" fontId="77" fillId="0" borderId="0" applyNumberFormat="0" applyFill="0" applyBorder="0"/>
    <xf numFmtId="0" fontId="90" fillId="49" borderId="23" applyNumberFormat="0">
      <protection locked="0"/>
    </xf>
    <xf numFmtId="0" fontId="3" fillId="0" borderId="0"/>
    <xf numFmtId="0" fontId="92" fillId="50" borderId="27">
      <alignment vertical="center"/>
    </xf>
    <xf numFmtId="166" fontId="13" fillId="0" borderId="0" applyFont="0" applyFill="0" applyBorder="0" applyAlignment="0" applyProtection="0"/>
    <xf numFmtId="166" fontId="22" fillId="0" borderId="0" applyFont="0" applyFill="0" applyBorder="0" applyAlignment="0" applyProtection="0"/>
    <xf numFmtId="164" fontId="22" fillId="4" borderId="0" applyNumberFormat="0" applyFont="0" applyBorder="0" applyAlignment="0">
      <alignment horizontal="right"/>
    </xf>
    <xf numFmtId="164" fontId="22" fillId="4" borderId="0" applyNumberFormat="0" applyFont="0" applyBorder="0" applyAlignment="0">
      <alignment horizontal="right"/>
    </xf>
    <xf numFmtId="166" fontId="21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4" fontId="22" fillId="36" borderId="0" applyFont="0" applyBorder="0" applyAlignment="0">
      <alignment horizontal="right"/>
      <protection locked="0"/>
    </xf>
    <xf numFmtId="164" fontId="22" fillId="36" borderId="0" applyFont="0" applyBorder="0" applyAlignment="0">
      <alignment horizontal="right"/>
      <protection locked="0"/>
    </xf>
    <xf numFmtId="164" fontId="22" fillId="10" borderId="0" applyFont="0" applyBorder="0">
      <alignment horizontal="right"/>
      <protection locked="0"/>
    </xf>
    <xf numFmtId="164" fontId="22" fillId="10" borderId="0" applyFont="0" applyBorder="0">
      <alignment horizontal="right"/>
      <protection locked="0"/>
    </xf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3" fillId="0" borderId="0"/>
    <xf numFmtId="9" fontId="93" fillId="0" borderId="0" applyFont="0" applyFill="0" applyBorder="0" applyAlignment="0" applyProtection="0"/>
    <xf numFmtId="165" fontId="93" fillId="0" borderId="0" applyFont="0" applyFill="0" applyBorder="0" applyAlignment="0" applyProtection="0"/>
    <xf numFmtId="0" fontId="2" fillId="0" borderId="0"/>
    <xf numFmtId="166" fontId="93" fillId="0" borderId="0" applyFont="0" applyFill="0" applyBorder="0" applyAlignment="0" applyProtection="0"/>
    <xf numFmtId="0" fontId="93" fillId="0" borderId="0"/>
    <xf numFmtId="207" fontId="22" fillId="0" borderId="0" applyFill="0" applyBorder="0">
      <alignment vertical="center"/>
    </xf>
    <xf numFmtId="0" fontId="1" fillId="0" borderId="0"/>
  </cellStyleXfs>
  <cellXfs count="197">
    <xf numFmtId="0" fontId="0" fillId="0" borderId="0" xfId="0"/>
    <xf numFmtId="0" fontId="5" fillId="2" borderId="0" xfId="0" applyFont="1" applyFill="1"/>
    <xf numFmtId="0" fontId="5" fillId="2" borderId="0" xfId="0" applyFont="1" applyFill="1" applyAlignment="1">
      <alignment horizontal="right"/>
    </xf>
    <xf numFmtId="0" fontId="6" fillId="2" borderId="0" xfId="0" applyFont="1" applyFill="1" applyAlignment="1">
      <alignment horizontal="center"/>
    </xf>
    <xf numFmtId="0" fontId="6" fillId="2" borderId="0" xfId="0" applyFont="1" applyFill="1"/>
    <xf numFmtId="0" fontId="5" fillId="2" borderId="1" xfId="0" applyFont="1" applyFill="1" applyBorder="1"/>
    <xf numFmtId="168" fontId="6" fillId="3" borderId="0" xfId="0" applyNumberFormat="1" applyFont="1" applyFill="1"/>
    <xf numFmtId="168" fontId="7" fillId="0" borderId="0" xfId="0" applyNumberFormat="1" applyFont="1"/>
    <xf numFmtId="168" fontId="6" fillId="0" borderId="0" xfId="0" applyNumberFormat="1" applyFont="1"/>
    <xf numFmtId="168" fontId="8" fillId="0" borderId="0" xfId="0" applyNumberFormat="1" applyFont="1"/>
    <xf numFmtId="168" fontId="9" fillId="0" borderId="0" xfId="0" applyNumberFormat="1" applyFont="1"/>
    <xf numFmtId="0" fontId="6" fillId="5" borderId="0" xfId="0" applyFont="1" applyFill="1"/>
    <xf numFmtId="0" fontId="6" fillId="6" borderId="0" xfId="0" applyFont="1" applyFill="1"/>
    <xf numFmtId="168" fontId="12" fillId="0" borderId="0" xfId="0" applyNumberFormat="1" applyFont="1"/>
    <xf numFmtId="168" fontId="8" fillId="0" borderId="0" xfId="0" applyNumberFormat="1" applyFont="1" applyAlignment="1">
      <alignment horizontal="center"/>
    </xf>
    <xf numFmtId="168" fontId="6" fillId="0" borderId="0" xfId="0" applyNumberFormat="1" applyFont="1" applyAlignment="1">
      <alignment horizontal="left" indent="1"/>
    </xf>
    <xf numFmtId="168" fontId="7" fillId="0" borderId="0" xfId="0" applyNumberFormat="1" applyFont="1" applyAlignment="1">
      <alignment horizontal="center"/>
    </xf>
    <xf numFmtId="168" fontId="0" fillId="0" borderId="0" xfId="0" applyNumberFormat="1"/>
    <xf numFmtId="166" fontId="12" fillId="0" borderId="6" xfId="0" applyNumberFormat="1" applyFont="1" applyBorder="1" applyAlignment="1">
      <alignment horizontal="center"/>
    </xf>
    <xf numFmtId="168" fontId="7" fillId="3" borderId="0" xfId="0" applyNumberFormat="1" applyFont="1" applyFill="1"/>
    <xf numFmtId="168" fontId="18" fillId="0" borderId="0" xfId="0" applyNumberFormat="1" applyFont="1" applyAlignment="1">
      <alignment horizontal="center"/>
    </xf>
    <xf numFmtId="168" fontId="7" fillId="3" borderId="0" xfId="0" applyNumberFormat="1" applyFont="1" applyFill="1" applyAlignment="1">
      <alignment horizontal="center"/>
    </xf>
    <xf numFmtId="174" fontId="12" fillId="0" borderId="0" xfId="5" applyNumberFormat="1" applyFont="1" applyBorder="1" applyAlignment="1" applyProtection="1">
      <alignment horizontal="center" vertical="center"/>
    </xf>
    <xf numFmtId="175" fontId="6" fillId="0" borderId="0" xfId="0" applyNumberFormat="1" applyFont="1"/>
    <xf numFmtId="168" fontId="17" fillId="0" borderId="0" xfId="3" applyNumberFormat="1" applyFont="1" applyAlignment="1" applyProtection="1">
      <alignment horizontal="center"/>
    </xf>
    <xf numFmtId="0" fontId="71" fillId="38" borderId="0" xfId="0" applyFont="1" applyFill="1" applyAlignment="1">
      <alignment horizontal="left" vertical="center"/>
    </xf>
    <xf numFmtId="0" fontId="71" fillId="38" borderId="0" xfId="0" applyFont="1" applyFill="1" applyAlignment="1">
      <alignment horizontal="left" indent="9"/>
    </xf>
    <xf numFmtId="0" fontId="0" fillId="38" borderId="0" xfId="0" applyFill="1"/>
    <xf numFmtId="0" fontId="0" fillId="38" borderId="0" xfId="0" applyFill="1" applyAlignment="1">
      <alignment horizontal="right"/>
    </xf>
    <xf numFmtId="166" fontId="23" fillId="38" borderId="0" xfId="0" applyNumberFormat="1" applyFont="1" applyFill="1" applyAlignment="1">
      <alignment horizontal="center"/>
    </xf>
    <xf numFmtId="0" fontId="73" fillId="38" borderId="1" xfId="0" applyFont="1" applyFill="1" applyBorder="1" applyAlignment="1">
      <alignment horizontal="left"/>
    </xf>
    <xf numFmtId="0" fontId="0" fillId="38" borderId="1" xfId="0" applyFill="1" applyBorder="1"/>
    <xf numFmtId="0" fontId="0" fillId="39" borderId="4" xfId="0" applyFill="1" applyBorder="1"/>
    <xf numFmtId="0" fontId="24" fillId="39" borderId="4" xfId="0" applyFont="1" applyFill="1" applyBorder="1" applyAlignment="1">
      <alignment vertical="center"/>
    </xf>
    <xf numFmtId="0" fontId="0" fillId="39" borderId="4" xfId="0" applyFill="1" applyBorder="1" applyAlignment="1">
      <alignment wrapText="1"/>
    </xf>
    <xf numFmtId="165" fontId="24" fillId="39" borderId="4" xfId="0" applyNumberFormat="1" applyFont="1" applyFill="1" applyBorder="1" applyAlignment="1">
      <alignment horizontal="center" wrapText="1"/>
    </xf>
    <xf numFmtId="0" fontId="0" fillId="3" borderId="0" xfId="0" applyFill="1" applyAlignment="1">
      <alignment wrapText="1"/>
    </xf>
    <xf numFmtId="0" fontId="0" fillId="3" borderId="0" xfId="0" applyFill="1"/>
    <xf numFmtId="0" fontId="23" fillId="39" borderId="4" xfId="0" applyFont="1" applyFill="1" applyBorder="1"/>
    <xf numFmtId="169" fontId="6" fillId="41" borderId="3" xfId="0" applyNumberFormat="1" applyFont="1" applyFill="1" applyBorder="1" applyAlignment="1" applyProtection="1">
      <alignment horizontal="center"/>
      <protection locked="0"/>
    </xf>
    <xf numFmtId="0" fontId="75" fillId="39" borderId="4" xfId="0" applyFont="1" applyFill="1" applyBorder="1"/>
    <xf numFmtId="0" fontId="73" fillId="38" borderId="0" xfId="0" applyFont="1" applyFill="1" applyAlignment="1">
      <alignment horizontal="left"/>
    </xf>
    <xf numFmtId="0" fontId="73" fillId="38" borderId="0" xfId="0" applyFont="1" applyFill="1" applyAlignment="1">
      <alignment horizontal="left" indent="9"/>
    </xf>
    <xf numFmtId="0" fontId="0" fillId="3" borderId="8" xfId="0" applyFill="1" applyBorder="1" applyAlignment="1">
      <alignment wrapText="1"/>
    </xf>
    <xf numFmtId="0" fontId="0" fillId="3" borderId="8" xfId="0" applyFill="1" applyBorder="1"/>
    <xf numFmtId="0" fontId="0" fillId="0" borderId="8" xfId="0" applyBorder="1"/>
    <xf numFmtId="0" fontId="6" fillId="40" borderId="0" xfId="0" applyFont="1" applyFill="1" applyAlignment="1">
      <alignment horizontal="center"/>
    </xf>
    <xf numFmtId="168" fontId="18" fillId="0" borderId="0" xfId="0" applyNumberFormat="1" applyFont="1" applyAlignment="1">
      <alignment horizontal="center" wrapText="1"/>
    </xf>
    <xf numFmtId="193" fontId="6" fillId="41" borderId="3" xfId="0" applyNumberFormat="1" applyFont="1" applyFill="1" applyBorder="1" applyAlignment="1" applyProtection="1">
      <alignment horizontal="center"/>
      <protection locked="0"/>
    </xf>
    <xf numFmtId="197" fontId="6" fillId="0" borderId="0" xfId="0" applyNumberFormat="1" applyFont="1" applyAlignment="1">
      <alignment horizontal="left"/>
    </xf>
    <xf numFmtId="168" fontId="7" fillId="0" borderId="0" xfId="0" applyNumberFormat="1" applyFont="1" applyAlignment="1">
      <alignment horizontal="center" wrapText="1"/>
    </xf>
    <xf numFmtId="168" fontId="19" fillId="40" borderId="9" xfId="0" applyNumberFormat="1" applyFont="1" applyFill="1" applyBorder="1" applyAlignment="1" applyProtection="1">
      <alignment horizontal="center"/>
      <protection locked="0"/>
    </xf>
    <xf numFmtId="0" fontId="73" fillId="38" borderId="1" xfId="0" applyFont="1" applyFill="1" applyBorder="1" applyAlignment="1">
      <alignment horizontal="left" indent="9"/>
    </xf>
    <xf numFmtId="0" fontId="23" fillId="38" borderId="2" xfId="0" applyFont="1" applyFill="1" applyBorder="1"/>
    <xf numFmtId="0" fontId="74" fillId="38" borderId="2" xfId="0" applyFont="1" applyFill="1" applyBorder="1"/>
    <xf numFmtId="0" fontId="74" fillId="39" borderId="4" xfId="0" applyFont="1" applyFill="1" applyBorder="1"/>
    <xf numFmtId="0" fontId="74" fillId="39" borderId="4" xfId="0" applyFont="1" applyFill="1" applyBorder="1" applyAlignment="1">
      <alignment horizontal="center"/>
    </xf>
    <xf numFmtId="0" fontId="19" fillId="39" borderId="4" xfId="0" applyFont="1" applyFill="1" applyBorder="1" applyAlignment="1">
      <alignment horizontal="center" vertical="center"/>
    </xf>
    <xf numFmtId="0" fontId="19" fillId="39" borderId="4" xfId="0" applyFont="1" applyFill="1" applyBorder="1" applyAlignment="1">
      <alignment vertical="center"/>
    </xf>
    <xf numFmtId="0" fontId="74" fillId="39" borderId="4" xfId="0" applyFont="1" applyFill="1" applyBorder="1" applyAlignment="1">
      <alignment wrapText="1"/>
    </xf>
    <xf numFmtId="165" fontId="19" fillId="39" borderId="4" xfId="0" applyNumberFormat="1" applyFont="1" applyFill="1" applyBorder="1" applyAlignment="1">
      <alignment horizontal="center" wrapText="1"/>
    </xf>
    <xf numFmtId="0" fontId="74" fillId="3" borderId="0" xfId="0" applyFont="1" applyFill="1" applyAlignment="1">
      <alignment wrapText="1"/>
    </xf>
    <xf numFmtId="0" fontId="74" fillId="3" borderId="0" xfId="0" applyFont="1" applyFill="1"/>
    <xf numFmtId="0" fontId="74" fillId="0" borderId="0" xfId="0" applyFont="1"/>
    <xf numFmtId="168" fontId="6" fillId="0" borderId="0" xfId="0" applyNumberFormat="1" applyFont="1" applyAlignment="1">
      <alignment horizontal="center"/>
    </xf>
    <xf numFmtId="168" fontId="17" fillId="0" borderId="0" xfId="3" applyNumberFormat="1" applyFont="1" applyFill="1" applyAlignment="1" applyProtection="1">
      <alignment horizontal="center"/>
    </xf>
    <xf numFmtId="198" fontId="6" fillId="0" borderId="0" xfId="0" applyNumberFormat="1" applyFont="1" applyAlignment="1">
      <alignment horizontal="center"/>
    </xf>
    <xf numFmtId="168" fontId="7" fillId="0" borderId="7" xfId="0" applyNumberFormat="1" applyFont="1" applyBorder="1" applyAlignment="1">
      <alignment horizontal="center"/>
    </xf>
    <xf numFmtId="168" fontId="8" fillId="0" borderId="8" xfId="0" applyNumberFormat="1" applyFont="1" applyBorder="1" applyAlignment="1">
      <alignment horizontal="left" indent="1"/>
    </xf>
    <xf numFmtId="168" fontId="7" fillId="0" borderId="8" xfId="0" applyNumberFormat="1" applyFont="1" applyBorder="1" applyAlignment="1">
      <alignment horizontal="center"/>
    </xf>
    <xf numFmtId="198" fontId="8" fillId="0" borderId="0" xfId="0" applyNumberFormat="1" applyFont="1" applyAlignment="1">
      <alignment horizontal="center"/>
    </xf>
    <xf numFmtId="168" fontId="7" fillId="0" borderId="0" xfId="0" applyNumberFormat="1" applyFont="1" applyAlignment="1">
      <alignment horizontal="left"/>
    </xf>
    <xf numFmtId="10" fontId="6" fillId="0" borderId="0" xfId="2" applyNumberFormat="1" applyFont="1" applyAlignment="1" applyProtection="1">
      <alignment horizontal="center"/>
    </xf>
    <xf numFmtId="168" fontId="8" fillId="0" borderId="8" xfId="0" applyNumberFormat="1" applyFont="1" applyBorder="1"/>
    <xf numFmtId="176" fontId="6" fillId="0" borderId="0" xfId="0" applyNumberFormat="1" applyFont="1" applyAlignment="1">
      <alignment horizontal="center"/>
    </xf>
    <xf numFmtId="168" fontId="6" fillId="0" borderId="0" xfId="0" applyNumberFormat="1" applyFont="1" applyAlignment="1">
      <alignment horizontal="left" indent="2"/>
    </xf>
    <xf numFmtId="168" fontId="18" fillId="0" borderId="8" xfId="0" applyNumberFormat="1" applyFont="1" applyBorder="1" applyAlignment="1">
      <alignment horizontal="center"/>
    </xf>
    <xf numFmtId="168" fontId="8" fillId="0" borderId="0" xfId="0" applyNumberFormat="1" applyFont="1" applyAlignment="1">
      <alignment horizontal="left" indent="1"/>
    </xf>
    <xf numFmtId="195" fontId="8" fillId="0" borderId="0" xfId="0" applyNumberFormat="1" applyFont="1" applyAlignment="1">
      <alignment horizontal="center"/>
    </xf>
    <xf numFmtId="201" fontId="6" fillId="0" borderId="0" xfId="0" applyNumberFormat="1" applyFont="1" applyAlignment="1">
      <alignment horizontal="center"/>
    </xf>
    <xf numFmtId="201" fontId="8" fillId="0" borderId="0" xfId="0" applyNumberFormat="1" applyFont="1" applyAlignment="1">
      <alignment horizontal="center"/>
    </xf>
    <xf numFmtId="166" fontId="12" fillId="0" borderId="3" xfId="0" applyNumberFormat="1" applyFont="1" applyBorder="1" applyAlignment="1">
      <alignment horizontal="center"/>
    </xf>
    <xf numFmtId="166" fontId="12" fillId="0" borderId="0" xfId="0" applyNumberFormat="1" applyFont="1" applyAlignment="1">
      <alignment horizontal="center"/>
    </xf>
    <xf numFmtId="0" fontId="10" fillId="38" borderId="2" xfId="0" applyFont="1" applyFill="1" applyBorder="1"/>
    <xf numFmtId="0" fontId="11" fillId="38" borderId="2" xfId="0" applyFont="1" applyFill="1" applyBorder="1" applyAlignment="1">
      <alignment horizontal="center"/>
    </xf>
    <xf numFmtId="0" fontId="11" fillId="38" borderId="2" xfId="0" applyFont="1" applyFill="1" applyBorder="1"/>
    <xf numFmtId="168" fontId="8" fillId="0" borderId="7" xfId="0" applyNumberFormat="1" applyFont="1" applyBorder="1"/>
    <xf numFmtId="168" fontId="6" fillId="0" borderId="7" xfId="0" applyNumberFormat="1" applyFont="1" applyBorder="1"/>
    <xf numFmtId="10" fontId="6" fillId="0" borderId="0" xfId="2" applyNumberFormat="1" applyFont="1" applyBorder="1" applyAlignment="1" applyProtection="1">
      <alignment horizontal="center"/>
    </xf>
    <xf numFmtId="176" fontId="6" fillId="0" borderId="0" xfId="0" applyNumberFormat="1" applyFont="1"/>
    <xf numFmtId="200" fontId="8" fillId="0" borderId="0" xfId="0" applyNumberFormat="1" applyFont="1" applyAlignment="1">
      <alignment horizontal="center"/>
    </xf>
    <xf numFmtId="168" fontId="6" fillId="0" borderId="0" xfId="0" applyNumberFormat="1" applyFont="1" applyProtection="1">
      <protection locked="0"/>
    </xf>
    <xf numFmtId="203" fontId="6" fillId="41" borderId="3" xfId="0" applyNumberFormat="1" applyFont="1" applyFill="1" applyBorder="1" applyAlignment="1" applyProtection="1">
      <alignment horizontal="center"/>
      <protection locked="0"/>
    </xf>
    <xf numFmtId="1" fontId="6" fillId="41" borderId="3" xfId="0" applyNumberFormat="1" applyFont="1" applyFill="1" applyBorder="1" applyAlignment="1" applyProtection="1">
      <alignment horizontal="center"/>
      <protection locked="0"/>
    </xf>
    <xf numFmtId="204" fontId="74" fillId="39" borderId="4" xfId="0" applyNumberFormat="1" applyFont="1" applyFill="1" applyBorder="1" applyAlignment="1">
      <alignment horizontal="center" wrapText="1"/>
    </xf>
    <xf numFmtId="204" fontId="91" fillId="38" borderId="2" xfId="0" applyNumberFormat="1" applyFont="1" applyFill="1" applyBorder="1" applyAlignment="1">
      <alignment horizontal="center"/>
    </xf>
    <xf numFmtId="204" fontId="74" fillId="38" borderId="2" xfId="0" applyNumberFormat="1" applyFont="1" applyFill="1" applyBorder="1" applyAlignment="1">
      <alignment horizontal="left"/>
    </xf>
    <xf numFmtId="204" fontId="6" fillId="0" borderId="0" xfId="0" applyNumberFormat="1" applyFont="1" applyAlignment="1">
      <alignment horizontal="left" indent="1"/>
    </xf>
    <xf numFmtId="204" fontId="7" fillId="0" borderId="0" xfId="0" applyNumberFormat="1" applyFont="1" applyAlignment="1">
      <alignment horizontal="center"/>
    </xf>
    <xf numFmtId="204" fontId="8" fillId="0" borderId="0" xfId="0" applyNumberFormat="1" applyFont="1" applyAlignment="1">
      <alignment horizontal="center"/>
    </xf>
    <xf numFmtId="0" fontId="74" fillId="38" borderId="25" xfId="0" applyFont="1" applyFill="1" applyBorder="1"/>
    <xf numFmtId="204" fontId="18" fillId="0" borderId="0" xfId="0" applyNumberFormat="1" applyFont="1" applyAlignment="1">
      <alignment horizontal="center"/>
    </xf>
    <xf numFmtId="168" fontId="8" fillId="0" borderId="7" xfId="0" applyNumberFormat="1" applyFont="1" applyBorder="1" applyAlignment="1">
      <alignment horizontal="left" indent="1"/>
    </xf>
    <xf numFmtId="204" fontId="7" fillId="0" borderId="7" xfId="0" applyNumberFormat="1" applyFont="1" applyBorder="1" applyAlignment="1">
      <alignment horizontal="center"/>
    </xf>
    <xf numFmtId="205" fontId="6" fillId="0" borderId="0" xfId="2" applyNumberFormat="1" applyFont="1" applyFill="1" applyBorder="1" applyAlignment="1" applyProtection="1">
      <alignment horizontal="center"/>
    </xf>
    <xf numFmtId="0" fontId="74" fillId="38" borderId="2" xfId="0" applyFont="1" applyFill="1" applyBorder="1" applyAlignment="1">
      <alignment horizontal="center"/>
    </xf>
    <xf numFmtId="0" fontId="6" fillId="0" borderId="3" xfId="0" applyFont="1" applyBorder="1" applyAlignment="1" applyProtection="1">
      <alignment horizontal="center"/>
      <protection locked="0"/>
    </xf>
    <xf numFmtId="204" fontId="6" fillId="0" borderId="3" xfId="0" applyNumberFormat="1" applyFont="1" applyBorder="1" applyAlignment="1" applyProtection="1">
      <alignment horizontal="center"/>
      <protection locked="0"/>
    </xf>
    <xf numFmtId="195" fontId="6" fillId="0" borderId="0" xfId="0" applyNumberFormat="1" applyFont="1" applyProtection="1">
      <protection locked="0"/>
    </xf>
    <xf numFmtId="195" fontId="8" fillId="0" borderId="0" xfId="0" applyNumberFormat="1" applyFont="1" applyProtection="1">
      <protection locked="0"/>
    </xf>
    <xf numFmtId="182" fontId="6" fillId="0" borderId="0" xfId="2" applyNumberFormat="1" applyFont="1" applyFill="1" applyBorder="1" applyAlignment="1" applyProtection="1">
      <alignment horizontal="center"/>
      <protection locked="0"/>
    </xf>
    <xf numFmtId="204" fontId="19" fillId="8" borderId="9" xfId="0" applyNumberFormat="1" applyFont="1" applyFill="1" applyBorder="1" applyAlignment="1" applyProtection="1">
      <alignment horizontal="center"/>
      <protection locked="0"/>
    </xf>
    <xf numFmtId="206" fontId="6" fillId="0" borderId="0" xfId="0" applyNumberFormat="1" applyFont="1" applyProtection="1">
      <protection locked="0"/>
    </xf>
    <xf numFmtId="1" fontId="6" fillId="0" borderId="0" xfId="0" applyNumberFormat="1" applyFont="1" applyAlignment="1" applyProtection="1">
      <alignment horizontal="center"/>
      <protection locked="0"/>
    </xf>
    <xf numFmtId="204" fontId="6" fillId="0" borderId="0" xfId="0" applyNumberFormat="1" applyFont="1" applyAlignment="1" applyProtection="1">
      <alignment horizontal="center"/>
      <protection locked="0"/>
    </xf>
    <xf numFmtId="195" fontId="20" fillId="0" borderId="0" xfId="0" applyNumberFormat="1" applyFont="1" applyProtection="1">
      <protection locked="0"/>
    </xf>
    <xf numFmtId="195" fontId="14" fillId="0" borderId="0" xfId="3" applyNumberFormat="1" applyProtection="1">
      <protection locked="0"/>
    </xf>
    <xf numFmtId="193" fontId="6" fillId="0" borderId="0" xfId="0" applyNumberFormat="1" applyFont="1" applyAlignment="1" applyProtection="1">
      <alignment horizontal="center"/>
      <protection locked="0"/>
    </xf>
    <xf numFmtId="0" fontId="78" fillId="39" borderId="4" xfId="0" applyFont="1" applyFill="1" applyBorder="1" applyAlignment="1">
      <alignment vertical="center"/>
    </xf>
    <xf numFmtId="165" fontId="78" fillId="39" borderId="4" xfId="0" applyNumberFormat="1" applyFont="1" applyFill="1" applyBorder="1" applyAlignment="1">
      <alignment horizontal="center" wrapText="1"/>
    </xf>
    <xf numFmtId="168" fontId="75" fillId="0" borderId="0" xfId="0" applyNumberFormat="1" applyFont="1" applyAlignment="1">
      <alignment horizontal="center"/>
    </xf>
    <xf numFmtId="168" fontId="74" fillId="0" borderId="0" xfId="0" applyNumberFormat="1" applyFont="1" applyAlignment="1">
      <alignment horizontal="center"/>
    </xf>
    <xf numFmtId="168" fontId="23" fillId="0" borderId="0" xfId="0" applyNumberFormat="1" applyFont="1"/>
    <xf numFmtId="204" fontId="23" fillId="0" borderId="7" xfId="0" applyNumberFormat="1" applyFont="1" applyBorder="1" applyAlignment="1">
      <alignment horizontal="center"/>
    </xf>
    <xf numFmtId="168" fontId="23" fillId="0" borderId="7" xfId="0" applyNumberFormat="1" applyFont="1" applyBorder="1"/>
    <xf numFmtId="168" fontId="0" fillId="0" borderId="0" xfId="0" applyNumberFormat="1" applyAlignment="1">
      <alignment horizontal="left" indent="1"/>
    </xf>
    <xf numFmtId="174" fontId="23" fillId="0" borderId="0" xfId="5" applyNumberFormat="1" applyFont="1" applyBorder="1" applyAlignment="1" applyProtection="1">
      <alignment horizontal="center" vertical="center"/>
    </xf>
    <xf numFmtId="49" fontId="0" fillId="41" borderId="3" xfId="0" applyNumberFormat="1" applyFill="1" applyBorder="1" applyAlignment="1" applyProtection="1">
      <alignment horizontal="left" indent="1"/>
      <protection locked="0"/>
    </xf>
    <xf numFmtId="204" fontId="0" fillId="0" borderId="0" xfId="2" applyNumberFormat="1" applyFont="1" applyFill="1" applyBorder="1" applyAlignment="1" applyProtection="1">
      <alignment horizontal="center"/>
      <protection locked="0"/>
    </xf>
    <xf numFmtId="2" fontId="0" fillId="0" borderId="0" xfId="0" applyNumberFormat="1" applyAlignment="1" applyProtection="1">
      <alignment horizontal="center"/>
      <protection locked="0"/>
    </xf>
    <xf numFmtId="168" fontId="23" fillId="0" borderId="4" xfId="0" applyNumberFormat="1" applyFont="1" applyBorder="1" applyAlignment="1">
      <alignment horizontal="left"/>
    </xf>
    <xf numFmtId="168" fontId="75" fillId="0" borderId="4" xfId="0" applyNumberFormat="1" applyFont="1" applyBorder="1" applyAlignment="1">
      <alignment horizontal="center"/>
    </xf>
    <xf numFmtId="204" fontId="75" fillId="0" borderId="4" xfId="0" applyNumberFormat="1" applyFont="1" applyBorder="1" applyAlignment="1">
      <alignment horizontal="center"/>
    </xf>
    <xf numFmtId="199" fontId="23" fillId="0" borderId="4" xfId="5" applyNumberFormat="1" applyFont="1" applyBorder="1" applyAlignment="1" applyProtection="1">
      <alignment horizontal="center" vertical="center"/>
    </xf>
    <xf numFmtId="204" fontId="75" fillId="0" borderId="0" xfId="0" applyNumberFormat="1" applyFont="1" applyAlignment="1">
      <alignment horizontal="center"/>
    </xf>
    <xf numFmtId="49" fontId="75" fillId="0" borderId="4" xfId="0" applyNumberFormat="1" applyFont="1" applyBorder="1" applyAlignment="1">
      <alignment horizontal="center"/>
    </xf>
    <xf numFmtId="166" fontId="0" fillId="0" borderId="0" xfId="0" applyNumberFormat="1"/>
    <xf numFmtId="2" fontId="23" fillId="0" borderId="4" xfId="5" applyNumberFormat="1" applyFont="1" applyBorder="1" applyAlignment="1" applyProtection="1">
      <alignment horizontal="center" vertical="center"/>
    </xf>
    <xf numFmtId="204" fontId="23" fillId="0" borderId="0" xfId="0" applyNumberFormat="1" applyFont="1" applyAlignment="1">
      <alignment horizontal="center"/>
    </xf>
    <xf numFmtId="204" fontId="0" fillId="0" borderId="0" xfId="2" applyNumberFormat="1" applyFont="1" applyFill="1" applyBorder="1" applyAlignment="1" applyProtection="1">
      <alignment horizontal="center"/>
    </xf>
    <xf numFmtId="49" fontId="0" fillId="0" borderId="28" xfId="0" applyNumberFormat="1" applyBorder="1" applyAlignment="1">
      <alignment horizontal="left" indent="1"/>
    </xf>
    <xf numFmtId="168" fontId="0" fillId="0" borderId="0" xfId="0" applyNumberFormat="1" applyAlignment="1" applyProtection="1">
      <alignment horizontal="center"/>
      <protection locked="0"/>
    </xf>
    <xf numFmtId="49" fontId="0" fillId="0" borderId="0" xfId="0" applyNumberFormat="1" applyAlignment="1">
      <alignment horizontal="left" indent="1"/>
    </xf>
    <xf numFmtId="182" fontId="0" fillId="0" borderId="0" xfId="2" applyNumberFormat="1" applyFont="1" applyFill="1" applyBorder="1" applyAlignment="1" applyProtection="1">
      <alignment horizontal="center"/>
      <protection locked="0"/>
    </xf>
    <xf numFmtId="0" fontId="74" fillId="39" borderId="4" xfId="0" applyFont="1" applyFill="1" applyBorder="1" applyAlignment="1">
      <alignment horizontal="center" vertical="center"/>
    </xf>
    <xf numFmtId="0" fontId="74" fillId="39" borderId="4" xfId="0" applyFont="1" applyFill="1" applyBorder="1" applyAlignment="1">
      <alignment vertical="center"/>
    </xf>
    <xf numFmtId="168" fontId="0" fillId="3" borderId="0" xfId="0" applyNumberFormat="1" applyFill="1"/>
    <xf numFmtId="168" fontId="75" fillId="3" borderId="0" xfId="0" applyNumberFormat="1" applyFont="1" applyFill="1" applyAlignment="1">
      <alignment horizontal="center"/>
    </xf>
    <xf numFmtId="10" fontId="0" fillId="0" borderId="0" xfId="2" applyNumberFormat="1" applyFont="1" applyBorder="1" applyAlignment="1" applyProtection="1">
      <alignment horizontal="center"/>
    </xf>
    <xf numFmtId="168" fontId="23" fillId="0" borderId="0" xfId="0" applyNumberFormat="1" applyFont="1" applyAlignment="1">
      <alignment horizontal="center"/>
    </xf>
    <xf numFmtId="168" fontId="75" fillId="0" borderId="0" xfId="6" applyNumberFormat="1" applyFont="1" applyAlignment="1" applyProtection="1">
      <alignment horizontal="center"/>
    </xf>
    <xf numFmtId="172" fontId="0" fillId="0" borderId="0" xfId="2" applyNumberFormat="1" applyFont="1" applyFill="1" applyBorder="1" applyAlignment="1" applyProtection="1">
      <alignment horizontal="center" vertical="center"/>
    </xf>
    <xf numFmtId="177" fontId="0" fillId="0" borderId="0" xfId="5" applyNumberFormat="1" applyFont="1" applyBorder="1" applyAlignment="1" applyProtection="1">
      <alignment horizontal="center" vertical="center"/>
    </xf>
    <xf numFmtId="204" fontId="0" fillId="0" borderId="0" xfId="0" applyNumberFormat="1" applyAlignment="1">
      <alignment horizontal="left" indent="1"/>
    </xf>
    <xf numFmtId="173" fontId="0" fillId="0" borderId="0" xfId="5" applyNumberFormat="1" applyFont="1" applyBorder="1" applyAlignment="1" applyProtection="1">
      <alignment horizontal="center" vertical="center"/>
    </xf>
    <xf numFmtId="10" fontId="0" fillId="0" borderId="0" xfId="2" applyNumberFormat="1" applyFont="1" applyFill="1" applyBorder="1" applyAlignment="1" applyProtection="1">
      <alignment horizontal="center" vertical="center"/>
    </xf>
    <xf numFmtId="176" fontId="0" fillId="0" borderId="0" xfId="0" applyNumberFormat="1"/>
    <xf numFmtId="168" fontId="75" fillId="0" borderId="0" xfId="0" applyNumberFormat="1" applyFont="1" applyAlignment="1" applyProtection="1">
      <alignment horizontal="center"/>
      <protection locked="0"/>
    </xf>
    <xf numFmtId="168" fontId="0" fillId="0" borderId="0" xfId="0" applyNumberFormat="1" applyProtection="1">
      <protection locked="0"/>
    </xf>
    <xf numFmtId="10" fontId="0" fillId="0" borderId="0" xfId="2" applyNumberFormat="1" applyFont="1" applyAlignment="1" applyProtection="1">
      <alignment horizontal="center"/>
      <protection locked="0"/>
    </xf>
    <xf numFmtId="10" fontId="0" fillId="0" borderId="0" xfId="2" applyNumberFormat="1" applyFont="1" applyFill="1" applyAlignment="1" applyProtection="1">
      <alignment horizontal="center"/>
      <protection locked="0"/>
    </xf>
    <xf numFmtId="0" fontId="0" fillId="41" borderId="3" xfId="0" applyFill="1" applyBorder="1" applyAlignment="1" applyProtection="1">
      <alignment horizontal="left" indent="1"/>
      <protection locked="0"/>
    </xf>
    <xf numFmtId="10" fontId="0" fillId="0" borderId="0" xfId="2" applyNumberFormat="1" applyFont="1" applyFill="1" applyProtection="1">
      <protection locked="0"/>
    </xf>
    <xf numFmtId="168" fontId="0" fillId="0" borderId="0" xfId="0" applyNumberFormat="1" applyAlignment="1">
      <alignment horizontal="left"/>
    </xf>
    <xf numFmtId="182" fontId="0" fillId="0" borderId="0" xfId="2" applyNumberFormat="1" applyFont="1" applyFill="1" applyAlignment="1" applyProtection="1">
      <alignment horizontal="center"/>
      <protection locked="0"/>
    </xf>
    <xf numFmtId="166" fontId="23" fillId="0" borderId="0" xfId="0" applyNumberFormat="1" applyFont="1" applyAlignment="1">
      <alignment horizontal="center"/>
    </xf>
    <xf numFmtId="174" fontId="0" fillId="0" borderId="0" xfId="5" applyNumberFormat="1" applyFont="1" applyBorder="1" applyAlignment="1" applyProtection="1">
      <alignment horizontal="center" vertical="center"/>
    </xf>
    <xf numFmtId="194" fontId="0" fillId="8" borderId="3" xfId="0" applyNumberFormat="1" applyFill="1" applyBorder="1" applyAlignment="1">
      <alignment horizontal="left" indent="1"/>
    </xf>
    <xf numFmtId="10" fontId="0" fillId="0" borderId="0" xfId="2" applyNumberFormat="1" applyFont="1" applyFill="1" applyBorder="1" applyAlignment="1" applyProtection="1">
      <alignment horizontal="center"/>
      <protection locked="0"/>
    </xf>
    <xf numFmtId="10" fontId="0" fillId="41" borderId="3" xfId="2" applyNumberFormat="1" applyFont="1" applyFill="1" applyBorder="1" applyAlignment="1" applyProtection="1">
      <alignment horizontal="center"/>
      <protection locked="0"/>
    </xf>
    <xf numFmtId="168" fontId="0" fillId="0" borderId="0" xfId="5" applyNumberFormat="1" applyFont="1" applyBorder="1" applyAlignment="1">
      <alignment horizontal="center" vertical="center"/>
      <protection locked="0"/>
    </xf>
    <xf numFmtId="10" fontId="0" fillId="0" borderId="0" xfId="2" applyNumberFormat="1" applyFont="1" applyAlignment="1" applyProtection="1">
      <alignment horizontal="center"/>
    </xf>
    <xf numFmtId="194" fontId="23" fillId="40" borderId="26" xfId="0" applyNumberFormat="1" applyFont="1" applyFill="1" applyBorder="1" applyAlignment="1" applyProtection="1">
      <alignment horizontal="center"/>
      <protection locked="0"/>
    </xf>
    <xf numFmtId="208" fontId="0" fillId="41" borderId="3" xfId="2" applyNumberFormat="1" applyFont="1" applyFill="1" applyBorder="1" applyAlignment="1" applyProtection="1">
      <alignment horizontal="center"/>
      <protection locked="0"/>
    </xf>
    <xf numFmtId="168" fontId="0" fillId="0" borderId="0" xfId="0" applyNumberFormat="1" applyAlignment="1">
      <alignment horizontal="center"/>
    </xf>
    <xf numFmtId="182" fontId="0" fillId="0" borderId="0" xfId="2" applyNumberFormat="1" applyFont="1" applyAlignment="1" applyProtection="1">
      <alignment horizontal="center"/>
      <protection locked="0"/>
    </xf>
    <xf numFmtId="168" fontId="94" fillId="0" borderId="0" xfId="0" applyNumberFormat="1" applyFont="1" applyAlignment="1">
      <alignment horizontal="center"/>
    </xf>
    <xf numFmtId="174" fontId="23" fillId="0" borderId="0" xfId="5" applyNumberFormat="1" applyFont="1" applyBorder="1" applyAlignment="1">
      <alignment horizontal="center" vertical="center"/>
      <protection locked="0"/>
    </xf>
    <xf numFmtId="10" fontId="0" fillId="0" borderId="0" xfId="2" applyNumberFormat="1" applyFont="1" applyFill="1" applyBorder="1" applyAlignment="1" applyProtection="1">
      <alignment horizontal="center"/>
    </xf>
    <xf numFmtId="165" fontId="74" fillId="39" borderId="4" xfId="0" applyNumberFormat="1" applyFont="1" applyFill="1" applyBorder="1" applyAlignment="1">
      <alignment horizontal="center" wrapText="1"/>
    </xf>
    <xf numFmtId="196" fontId="0" fillId="0" borderId="0" xfId="2" applyNumberFormat="1" applyFont="1" applyFill="1" applyBorder="1" applyAlignment="1" applyProtection="1">
      <alignment horizontal="center"/>
      <protection locked="0"/>
    </xf>
    <xf numFmtId="196" fontId="0" fillId="52" borderId="0" xfId="2" applyNumberFormat="1" applyFont="1" applyFill="1" applyBorder="1" applyAlignment="1" applyProtection="1">
      <alignment horizontal="center"/>
      <protection locked="0"/>
    </xf>
    <xf numFmtId="168" fontId="0" fillId="51" borderId="3" xfId="0" applyNumberFormat="1" applyFill="1" applyBorder="1" applyAlignment="1" applyProtection="1">
      <alignment horizontal="left" indent="1"/>
      <protection locked="0"/>
    </xf>
    <xf numFmtId="168" fontId="0" fillId="41" borderId="3" xfId="0" applyNumberFormat="1" applyFill="1" applyBorder="1" applyAlignment="1" applyProtection="1">
      <alignment horizontal="left" indent="1"/>
      <protection locked="0"/>
    </xf>
    <xf numFmtId="0" fontId="14" fillId="0" borderId="0" xfId="3" applyFill="1"/>
    <xf numFmtId="168" fontId="14" fillId="0" borderId="0" xfId="3" applyNumberFormat="1" applyAlignment="1" applyProtection="1">
      <protection locked="0"/>
    </xf>
    <xf numFmtId="0" fontId="72" fillId="38" borderId="0" xfId="0" applyFont="1" applyFill="1" applyProtection="1">
      <protection locked="0"/>
    </xf>
    <xf numFmtId="0" fontId="14" fillId="38" borderId="0" xfId="3" applyFill="1" applyBorder="1" applyAlignment="1" applyProtection="1">
      <alignment horizontal="right"/>
      <protection locked="0"/>
    </xf>
    <xf numFmtId="168" fontId="14" fillId="0" borderId="0" xfId="3" applyNumberFormat="1" applyAlignment="1" applyProtection="1">
      <alignment horizontal="center"/>
      <protection locked="0"/>
    </xf>
    <xf numFmtId="0" fontId="14" fillId="0" borderId="0" xfId="3" applyFill="1" applyProtection="1">
      <protection locked="0"/>
    </xf>
    <xf numFmtId="194" fontId="23" fillId="8" borderId="26" xfId="0" applyNumberFormat="1" applyFont="1" applyFill="1" applyBorder="1" applyAlignment="1">
      <alignment horizontal="center"/>
    </xf>
    <xf numFmtId="209" fontId="0" fillId="8" borderId="3" xfId="2" applyNumberFormat="1" applyFont="1" applyFill="1" applyBorder="1" applyAlignment="1" applyProtection="1">
      <alignment horizontal="center"/>
    </xf>
    <xf numFmtId="212" fontId="6" fillId="0" borderId="0" xfId="0" applyNumberFormat="1" applyFont="1" applyAlignment="1">
      <alignment horizontal="center"/>
    </xf>
    <xf numFmtId="174" fontId="23" fillId="0" borderId="0" xfId="5" applyNumberFormat="1" applyFont="1" applyBorder="1" applyAlignment="1" applyProtection="1">
      <alignment horizontal="left" vertical="center"/>
    </xf>
    <xf numFmtId="211" fontId="0" fillId="0" borderId="0" xfId="0" applyNumberFormat="1" applyAlignment="1" applyProtection="1">
      <alignment horizontal="center"/>
      <protection locked="0"/>
    </xf>
    <xf numFmtId="210" fontId="0" fillId="0" borderId="0" xfId="2" applyNumberFormat="1" applyFont="1" applyFill="1" applyBorder="1" applyAlignment="1" applyProtection="1">
      <alignment horizontal="center"/>
      <protection locked="0"/>
    </xf>
    <xf numFmtId="0" fontId="74" fillId="38" borderId="2" xfId="0" applyFont="1" applyFill="1" applyBorder="1" applyAlignment="1">
      <alignment horizontal="center"/>
    </xf>
  </cellXfs>
  <cellStyles count="306">
    <cellStyle name=" 1" xfId="10" xr:uid="{00000000-0005-0000-0000-000000000000}"/>
    <cellStyle name=" 1 2" xfId="11" xr:uid="{00000000-0005-0000-0000-000001000000}"/>
    <cellStyle name=" 1_29(d) - Gas extensions -tariffs" xfId="12" xr:uid="{00000000-0005-0000-0000-000002000000}"/>
    <cellStyle name="_Capex" xfId="13" xr:uid="{00000000-0005-0000-0000-000003000000}"/>
    <cellStyle name="_Capex 2" xfId="14" xr:uid="{00000000-0005-0000-0000-000004000000}"/>
    <cellStyle name="_Capex_29(d) - Gas extensions -tariffs" xfId="15" xr:uid="{00000000-0005-0000-0000-000005000000}"/>
    <cellStyle name="_UED AMP 2009-14 Final 250309 Less PU" xfId="16" xr:uid="{00000000-0005-0000-0000-000006000000}"/>
    <cellStyle name="_UED AMP 2009-14 Final 250309 Less PU_1011 monthly" xfId="17" xr:uid="{00000000-0005-0000-0000-000007000000}"/>
    <cellStyle name="20% - Accent1 2" xfId="18" xr:uid="{00000000-0005-0000-0000-000008000000}"/>
    <cellStyle name="20% - Accent2 2" xfId="19" xr:uid="{00000000-0005-0000-0000-000009000000}"/>
    <cellStyle name="20% - Accent3 2" xfId="20" xr:uid="{00000000-0005-0000-0000-00000A000000}"/>
    <cellStyle name="20% - Accent4 2" xfId="21" xr:uid="{00000000-0005-0000-0000-00000B000000}"/>
    <cellStyle name="20% - Accent5 2" xfId="22" xr:uid="{00000000-0005-0000-0000-00000C000000}"/>
    <cellStyle name="20% - Accent6 2" xfId="23" xr:uid="{00000000-0005-0000-0000-00000D000000}"/>
    <cellStyle name="40% - Accent1 2" xfId="24" xr:uid="{00000000-0005-0000-0000-00000E000000}"/>
    <cellStyle name="40% - Accent2 2" xfId="25" xr:uid="{00000000-0005-0000-0000-00000F000000}"/>
    <cellStyle name="40% - Accent3 2" xfId="26" xr:uid="{00000000-0005-0000-0000-000010000000}"/>
    <cellStyle name="40% - Accent4 2" xfId="27" xr:uid="{00000000-0005-0000-0000-000011000000}"/>
    <cellStyle name="40% - Accent5 2" xfId="28" xr:uid="{00000000-0005-0000-0000-000012000000}"/>
    <cellStyle name="40% - Accent6 2" xfId="29" xr:uid="{00000000-0005-0000-0000-000013000000}"/>
    <cellStyle name="60% - Accent1 2" xfId="30" xr:uid="{00000000-0005-0000-0000-000014000000}"/>
    <cellStyle name="60% - Accent2 2" xfId="31" xr:uid="{00000000-0005-0000-0000-000015000000}"/>
    <cellStyle name="60% - Accent3 2" xfId="32" xr:uid="{00000000-0005-0000-0000-000016000000}"/>
    <cellStyle name="60% - Accent4 2" xfId="33" xr:uid="{00000000-0005-0000-0000-000017000000}"/>
    <cellStyle name="60% - Accent5 2" xfId="34" xr:uid="{00000000-0005-0000-0000-000018000000}"/>
    <cellStyle name="60% - Accent6 2" xfId="35" xr:uid="{00000000-0005-0000-0000-000019000000}"/>
    <cellStyle name="Accent1 - 20%" xfId="36" xr:uid="{00000000-0005-0000-0000-00001A000000}"/>
    <cellStyle name="Accent1 - 40%" xfId="37" xr:uid="{00000000-0005-0000-0000-00001B000000}"/>
    <cellStyle name="Accent1 - 60%" xfId="38" xr:uid="{00000000-0005-0000-0000-00001C000000}"/>
    <cellStyle name="Accent1 2" xfId="39" xr:uid="{00000000-0005-0000-0000-00001D000000}"/>
    <cellStyle name="Accent2 - 20%" xfId="40" xr:uid="{00000000-0005-0000-0000-00001E000000}"/>
    <cellStyle name="Accent2 - 40%" xfId="41" xr:uid="{00000000-0005-0000-0000-00001F000000}"/>
    <cellStyle name="Accent2 - 60%" xfId="42" xr:uid="{00000000-0005-0000-0000-000020000000}"/>
    <cellStyle name="Accent2 2" xfId="43" xr:uid="{00000000-0005-0000-0000-000021000000}"/>
    <cellStyle name="Accent3 - 20%" xfId="44" xr:uid="{00000000-0005-0000-0000-000022000000}"/>
    <cellStyle name="Accent3 - 40%" xfId="45" xr:uid="{00000000-0005-0000-0000-000023000000}"/>
    <cellStyle name="Accent3 - 60%" xfId="46" xr:uid="{00000000-0005-0000-0000-000024000000}"/>
    <cellStyle name="Accent3 2" xfId="47" xr:uid="{00000000-0005-0000-0000-000025000000}"/>
    <cellStyle name="Accent4 - 20%" xfId="48" xr:uid="{00000000-0005-0000-0000-000026000000}"/>
    <cellStyle name="Accent4 - 40%" xfId="49" xr:uid="{00000000-0005-0000-0000-000027000000}"/>
    <cellStyle name="Accent4 - 60%" xfId="50" xr:uid="{00000000-0005-0000-0000-000028000000}"/>
    <cellStyle name="Accent4 2" xfId="51" xr:uid="{00000000-0005-0000-0000-000029000000}"/>
    <cellStyle name="Accent5 - 20%" xfId="52" xr:uid="{00000000-0005-0000-0000-00002A000000}"/>
    <cellStyle name="Accent5 - 40%" xfId="53" xr:uid="{00000000-0005-0000-0000-00002B000000}"/>
    <cellStyle name="Accent5 - 60%" xfId="54" xr:uid="{00000000-0005-0000-0000-00002C000000}"/>
    <cellStyle name="Accent5 2" xfId="55" xr:uid="{00000000-0005-0000-0000-00002D000000}"/>
    <cellStyle name="Accent6 - 20%" xfId="56" xr:uid="{00000000-0005-0000-0000-00002E000000}"/>
    <cellStyle name="Accent6 - 40%" xfId="57" xr:uid="{00000000-0005-0000-0000-00002F000000}"/>
    <cellStyle name="Accent6 - 60%" xfId="58" xr:uid="{00000000-0005-0000-0000-000030000000}"/>
    <cellStyle name="Accent6 2" xfId="59" xr:uid="{00000000-0005-0000-0000-000031000000}"/>
    <cellStyle name="Agara" xfId="60" xr:uid="{00000000-0005-0000-0000-000032000000}"/>
    <cellStyle name="Assumptions Right Number" xfId="5" xr:uid="{00000000-0005-0000-0000-000033000000}"/>
    <cellStyle name="B79812_.wvu.PrintTitlest" xfId="61" xr:uid="{00000000-0005-0000-0000-000034000000}"/>
    <cellStyle name="Bad 2" xfId="62" xr:uid="{00000000-0005-0000-0000-000035000000}"/>
    <cellStyle name="Black" xfId="63" xr:uid="{00000000-0005-0000-0000-000036000000}"/>
    <cellStyle name="Blockout" xfId="64" xr:uid="{00000000-0005-0000-0000-000037000000}"/>
    <cellStyle name="Blockout 2" xfId="65" xr:uid="{00000000-0005-0000-0000-000038000000}"/>
    <cellStyle name="Blockout 2 2" xfId="269" xr:uid="{00000000-0005-0000-0000-000039000000}"/>
    <cellStyle name="Blockout 3" xfId="268" xr:uid="{00000000-0005-0000-0000-00003A000000}"/>
    <cellStyle name="Blue" xfId="66" xr:uid="{00000000-0005-0000-0000-00003B000000}"/>
    <cellStyle name="Calcs_Divider" xfId="244" xr:uid="{00000000-0005-0000-0000-00003C000000}"/>
    <cellStyle name="Calculation 2" xfId="67" xr:uid="{00000000-0005-0000-0000-00003D000000}"/>
    <cellStyle name="Check" xfId="245" xr:uid="{00000000-0005-0000-0000-00003E000000}"/>
    <cellStyle name="Check Cell 2" xfId="68" xr:uid="{00000000-0005-0000-0000-00003F000000}"/>
    <cellStyle name="Column_Heading_1" xfId="246" xr:uid="{00000000-0005-0000-0000-000040000000}"/>
    <cellStyle name="Comma" xfId="6" builtinId="3"/>
    <cellStyle name="Comma [0]7Z_87C" xfId="69" xr:uid="{00000000-0005-0000-0000-000042000000}"/>
    <cellStyle name="Comma 0" xfId="70" xr:uid="{00000000-0005-0000-0000-000043000000}"/>
    <cellStyle name="Comma 1" xfId="71" xr:uid="{00000000-0005-0000-0000-000044000000}"/>
    <cellStyle name="Comma 1 2" xfId="72" xr:uid="{00000000-0005-0000-0000-000045000000}"/>
    <cellStyle name="Comma 10" xfId="266" xr:uid="{00000000-0005-0000-0000-000046000000}"/>
    <cellStyle name="Comma 2" xfId="8" xr:uid="{00000000-0005-0000-0000-000047000000}"/>
    <cellStyle name="Comma 2 2" xfId="73" xr:uid="{00000000-0005-0000-0000-000048000000}"/>
    <cellStyle name="Comma 2 2 2" xfId="270" xr:uid="{00000000-0005-0000-0000-000049000000}"/>
    <cellStyle name="Comma 2 3" xfId="74" xr:uid="{00000000-0005-0000-0000-00004A000000}"/>
    <cellStyle name="Comma 2 3 2" xfId="75" xr:uid="{00000000-0005-0000-0000-00004B000000}"/>
    <cellStyle name="Comma 2 3 2 2" xfId="272" xr:uid="{00000000-0005-0000-0000-00004C000000}"/>
    <cellStyle name="Comma 2 3 3" xfId="271" xr:uid="{00000000-0005-0000-0000-00004D000000}"/>
    <cellStyle name="Comma 2 4" xfId="76" xr:uid="{00000000-0005-0000-0000-00004E000000}"/>
    <cellStyle name="Comma 2 4 2" xfId="273" xr:uid="{00000000-0005-0000-0000-00004F000000}"/>
    <cellStyle name="Comma 2 5" xfId="77" xr:uid="{00000000-0005-0000-0000-000050000000}"/>
    <cellStyle name="Comma 2 5 2" xfId="274" xr:uid="{00000000-0005-0000-0000-000051000000}"/>
    <cellStyle name="Comma 2 6" xfId="267" xr:uid="{00000000-0005-0000-0000-000052000000}"/>
    <cellStyle name="Comma 3" xfId="78" xr:uid="{00000000-0005-0000-0000-000053000000}"/>
    <cellStyle name="Comma 3 2" xfId="79" xr:uid="{00000000-0005-0000-0000-000054000000}"/>
    <cellStyle name="Comma 3 3" xfId="80" xr:uid="{00000000-0005-0000-0000-000055000000}"/>
    <cellStyle name="Comma 3 3 2" xfId="275" xr:uid="{00000000-0005-0000-0000-000056000000}"/>
    <cellStyle name="Comma 4" xfId="81" xr:uid="{00000000-0005-0000-0000-000057000000}"/>
    <cellStyle name="Comma 4 2" xfId="276" xr:uid="{00000000-0005-0000-0000-000058000000}"/>
    <cellStyle name="Comma 5" xfId="82" xr:uid="{00000000-0005-0000-0000-000059000000}"/>
    <cellStyle name="Comma 5 2" xfId="277" xr:uid="{00000000-0005-0000-0000-00005A000000}"/>
    <cellStyle name="Comma 6" xfId="83" xr:uid="{00000000-0005-0000-0000-00005B000000}"/>
    <cellStyle name="Comma 6 2" xfId="278" xr:uid="{00000000-0005-0000-0000-00005C000000}"/>
    <cellStyle name="Comma 7" xfId="84" xr:uid="{00000000-0005-0000-0000-00005D000000}"/>
    <cellStyle name="Comma 7 2" xfId="279" xr:uid="{00000000-0005-0000-0000-00005E000000}"/>
    <cellStyle name="Comma 8" xfId="85" xr:uid="{00000000-0005-0000-0000-00005F000000}"/>
    <cellStyle name="Comma 8 2" xfId="280" xr:uid="{00000000-0005-0000-0000-000060000000}"/>
    <cellStyle name="Comma 9" xfId="302" xr:uid="{00000000-0005-0000-0000-000061000000}"/>
    <cellStyle name="Comma0" xfId="86" xr:uid="{00000000-0005-0000-0000-000062000000}"/>
    <cellStyle name="Currency 11" xfId="87" xr:uid="{00000000-0005-0000-0000-000063000000}"/>
    <cellStyle name="Currency 11 2" xfId="88" xr:uid="{00000000-0005-0000-0000-000064000000}"/>
    <cellStyle name="Currency 11 2 2" xfId="282" xr:uid="{00000000-0005-0000-0000-000065000000}"/>
    <cellStyle name="Currency 11 3" xfId="281" xr:uid="{00000000-0005-0000-0000-000066000000}"/>
    <cellStyle name="Currency 2" xfId="89" xr:uid="{00000000-0005-0000-0000-000067000000}"/>
    <cellStyle name="Currency 2 2" xfId="90" xr:uid="{00000000-0005-0000-0000-000068000000}"/>
    <cellStyle name="Currency 2 2 2" xfId="284" xr:uid="{00000000-0005-0000-0000-000069000000}"/>
    <cellStyle name="Currency 2 3" xfId="283" xr:uid="{00000000-0005-0000-0000-00006A000000}"/>
    <cellStyle name="Currency 3" xfId="91" xr:uid="{00000000-0005-0000-0000-00006B000000}"/>
    <cellStyle name="Currency 3 2" xfId="92" xr:uid="{00000000-0005-0000-0000-00006C000000}"/>
    <cellStyle name="Currency 3 2 2" xfId="286" xr:uid="{00000000-0005-0000-0000-00006D000000}"/>
    <cellStyle name="Currency 3 3" xfId="285" xr:uid="{00000000-0005-0000-0000-00006E000000}"/>
    <cellStyle name="Currency 4" xfId="93" xr:uid="{00000000-0005-0000-0000-00006F000000}"/>
    <cellStyle name="Currency 4 2" xfId="94" xr:uid="{00000000-0005-0000-0000-000070000000}"/>
    <cellStyle name="Currency 4 2 2" xfId="288" xr:uid="{00000000-0005-0000-0000-000071000000}"/>
    <cellStyle name="Currency 4 3" xfId="287" xr:uid="{00000000-0005-0000-0000-000072000000}"/>
    <cellStyle name="Currency 5" xfId="243" xr:uid="{00000000-0005-0000-0000-000073000000}"/>
    <cellStyle name="Currency 5 2" xfId="297" xr:uid="{00000000-0005-0000-0000-000074000000}"/>
    <cellStyle name="Currency 6" xfId="300" xr:uid="{00000000-0005-0000-0000-000075000000}"/>
    <cellStyle name="D4_B8B1_005004B79812_.wvu.PrintTitlest" xfId="95" xr:uid="{00000000-0005-0000-0000-000076000000}"/>
    <cellStyle name="Date" xfId="96" xr:uid="{00000000-0005-0000-0000-000077000000}"/>
    <cellStyle name="Date 2" xfId="97" xr:uid="{00000000-0005-0000-0000-000078000000}"/>
    <cellStyle name="dms_1" xfId="265" xr:uid="{00000000-0005-0000-0000-000079000000}"/>
    <cellStyle name="Emphasis 1" xfId="98" xr:uid="{00000000-0005-0000-0000-00007A000000}"/>
    <cellStyle name="Emphasis 2" xfId="99" xr:uid="{00000000-0005-0000-0000-00007B000000}"/>
    <cellStyle name="Emphasis 3" xfId="100" xr:uid="{00000000-0005-0000-0000-00007C000000}"/>
    <cellStyle name="Empty_Cell" xfId="247" xr:uid="{00000000-0005-0000-0000-00007D000000}"/>
    <cellStyle name="Euro" xfId="101" xr:uid="{00000000-0005-0000-0000-00007E000000}"/>
    <cellStyle name="Explanatory Text 2" xfId="102" xr:uid="{00000000-0005-0000-0000-00007F000000}"/>
    <cellStyle name="Fixed" xfId="103" xr:uid="{00000000-0005-0000-0000-000080000000}"/>
    <cellStyle name="Fixed 2" xfId="104" xr:uid="{00000000-0005-0000-0000-000081000000}"/>
    <cellStyle name="Gilsans" xfId="105" xr:uid="{00000000-0005-0000-0000-000082000000}"/>
    <cellStyle name="Gilsansl" xfId="106" xr:uid="{00000000-0005-0000-0000-000083000000}"/>
    <cellStyle name="Good 2" xfId="107" xr:uid="{00000000-0005-0000-0000-000084000000}"/>
    <cellStyle name="Header1" xfId="248" xr:uid="{00000000-0005-0000-0000-000085000000}"/>
    <cellStyle name="Header2" xfId="249" xr:uid="{00000000-0005-0000-0000-000086000000}"/>
    <cellStyle name="Header3" xfId="250" xr:uid="{00000000-0005-0000-0000-000087000000}"/>
    <cellStyle name="Header4" xfId="251" xr:uid="{00000000-0005-0000-0000-000088000000}"/>
    <cellStyle name="Header5" xfId="252" xr:uid="{00000000-0005-0000-0000-000089000000}"/>
    <cellStyle name="Heading 1 2" xfId="108" xr:uid="{00000000-0005-0000-0000-00008A000000}"/>
    <cellStyle name="Heading 1 2 2" xfId="109" xr:uid="{00000000-0005-0000-0000-00008B000000}"/>
    <cellStyle name="Heading 1 3" xfId="110" xr:uid="{00000000-0005-0000-0000-00008C000000}"/>
    <cellStyle name="Heading 2 2" xfId="111" xr:uid="{00000000-0005-0000-0000-00008D000000}"/>
    <cellStyle name="Heading 2 2 2" xfId="112" xr:uid="{00000000-0005-0000-0000-00008E000000}"/>
    <cellStyle name="Heading 2 3" xfId="113" xr:uid="{00000000-0005-0000-0000-00008F000000}"/>
    <cellStyle name="Heading 3 2" xfId="114" xr:uid="{00000000-0005-0000-0000-000090000000}"/>
    <cellStyle name="Heading 3 2 2" xfId="115" xr:uid="{00000000-0005-0000-0000-000091000000}"/>
    <cellStyle name="Heading 3 3" xfId="116" xr:uid="{00000000-0005-0000-0000-000092000000}"/>
    <cellStyle name="Heading 4 2" xfId="117" xr:uid="{00000000-0005-0000-0000-000093000000}"/>
    <cellStyle name="Heading 4 2 2" xfId="118" xr:uid="{00000000-0005-0000-0000-000094000000}"/>
    <cellStyle name="Heading 4 3" xfId="119" xr:uid="{00000000-0005-0000-0000-000095000000}"/>
    <cellStyle name="Heading(4)" xfId="120" xr:uid="{00000000-0005-0000-0000-000096000000}"/>
    <cellStyle name="Hyperlink" xfId="3" builtinId="8"/>
    <cellStyle name="Hyperlink 2" xfId="121" xr:uid="{00000000-0005-0000-0000-000098000000}"/>
    <cellStyle name="Hyperlink Arrow" xfId="122" xr:uid="{00000000-0005-0000-0000-000099000000}"/>
    <cellStyle name="Hyperlink Text" xfId="123" xr:uid="{00000000-0005-0000-0000-00009A000000}"/>
    <cellStyle name="Input 2" xfId="124" xr:uid="{00000000-0005-0000-0000-00009B000000}"/>
    <cellStyle name="Input|Date" xfId="1" xr:uid="{00000000-0005-0000-0000-00009C000000}"/>
    <cellStyle name="Input1" xfId="125" xr:uid="{00000000-0005-0000-0000-00009D000000}"/>
    <cellStyle name="Input1 2" xfId="126" xr:uid="{00000000-0005-0000-0000-00009E000000}"/>
    <cellStyle name="Input1 2 2" xfId="290" xr:uid="{00000000-0005-0000-0000-00009F000000}"/>
    <cellStyle name="Input1 3" xfId="289" xr:uid="{00000000-0005-0000-0000-0000A0000000}"/>
    <cellStyle name="Input2" xfId="127" xr:uid="{00000000-0005-0000-0000-0000A1000000}"/>
    <cellStyle name="Input2 2" xfId="128" xr:uid="{00000000-0005-0000-0000-0000A2000000}"/>
    <cellStyle name="Input3" xfId="129" xr:uid="{00000000-0005-0000-0000-0000A3000000}"/>
    <cellStyle name="Input3 2" xfId="130" xr:uid="{00000000-0005-0000-0000-0000A4000000}"/>
    <cellStyle name="Input3 2 2" xfId="292" xr:uid="{00000000-0005-0000-0000-0000A5000000}"/>
    <cellStyle name="Input3 3" xfId="291" xr:uid="{00000000-0005-0000-0000-0000A6000000}"/>
    <cellStyle name="Inputs_Divider" xfId="253" xr:uid="{00000000-0005-0000-0000-0000A7000000}"/>
    <cellStyle name="InSheet" xfId="254" xr:uid="{00000000-0005-0000-0000-0000A8000000}"/>
    <cellStyle name="K_Number" xfId="304" xr:uid="{00000000-0005-0000-0000-0000A9000000}"/>
    <cellStyle name="Lines" xfId="131" xr:uid="{00000000-0005-0000-0000-0000AA000000}"/>
    <cellStyle name="Linked Cell 2" xfId="132" xr:uid="{00000000-0005-0000-0000-0000AB000000}"/>
    <cellStyle name="Mine" xfId="133" xr:uid="{00000000-0005-0000-0000-0000AC000000}"/>
    <cellStyle name="Model Name" xfId="134" xr:uid="{00000000-0005-0000-0000-0000AD000000}"/>
    <cellStyle name="Neutral 2" xfId="135" xr:uid="{00000000-0005-0000-0000-0000AE000000}"/>
    <cellStyle name="Normal" xfId="0" builtinId="0"/>
    <cellStyle name="Normal - Style1" xfId="136" xr:uid="{00000000-0005-0000-0000-0000B0000000}"/>
    <cellStyle name="Normal 10" xfId="241" xr:uid="{00000000-0005-0000-0000-0000B1000000}"/>
    <cellStyle name="Normal 10 2" xfId="295" xr:uid="{00000000-0005-0000-0000-0000B2000000}"/>
    <cellStyle name="Normal 10 3" xfId="305" xr:uid="{8AEA0D15-5C51-43D8-B1A9-559B282927D3}"/>
    <cellStyle name="Normal 11" xfId="264" xr:uid="{00000000-0005-0000-0000-0000B3000000}"/>
    <cellStyle name="Normal 11 2" xfId="298" xr:uid="{00000000-0005-0000-0000-0000B4000000}"/>
    <cellStyle name="Normal 12" xfId="301" xr:uid="{00000000-0005-0000-0000-0000B5000000}"/>
    <cellStyle name="Normal 13" xfId="137" xr:uid="{00000000-0005-0000-0000-0000B6000000}"/>
    <cellStyle name="Normal 13 2" xfId="7" xr:uid="{00000000-0005-0000-0000-0000B7000000}"/>
    <cellStyle name="Normal 13_29(d) - Gas extensions -tariffs" xfId="138" xr:uid="{00000000-0005-0000-0000-0000B8000000}"/>
    <cellStyle name="Normal 15" xfId="139" xr:uid="{00000000-0005-0000-0000-0000B9000000}"/>
    <cellStyle name="Normal 16" xfId="140" xr:uid="{00000000-0005-0000-0000-0000BA000000}"/>
    <cellStyle name="Normal 2" xfId="141" xr:uid="{00000000-0005-0000-0000-0000BB000000}"/>
    <cellStyle name="Normal 2 2" xfId="142" xr:uid="{00000000-0005-0000-0000-0000BC000000}"/>
    <cellStyle name="Normal 2 2 2" xfId="143" xr:uid="{00000000-0005-0000-0000-0000BD000000}"/>
    <cellStyle name="Normal 2 3" xfId="144" xr:uid="{00000000-0005-0000-0000-0000BE000000}"/>
    <cellStyle name="Normal 2 3 2" xfId="145" xr:uid="{00000000-0005-0000-0000-0000BF000000}"/>
    <cellStyle name="Normal 2 3_29(d) - Gas extensions -tariffs" xfId="146" xr:uid="{00000000-0005-0000-0000-0000C0000000}"/>
    <cellStyle name="Normal 2 4" xfId="147" xr:uid="{00000000-0005-0000-0000-0000C1000000}"/>
    <cellStyle name="Normal 2 5" xfId="148" xr:uid="{00000000-0005-0000-0000-0000C2000000}"/>
    <cellStyle name="Normal 2_29(d) - Gas extensions -tariffs" xfId="149" xr:uid="{00000000-0005-0000-0000-0000C3000000}"/>
    <cellStyle name="Normal 3" xfId="150" xr:uid="{00000000-0005-0000-0000-0000C4000000}"/>
    <cellStyle name="Normal 3 2" xfId="151" xr:uid="{00000000-0005-0000-0000-0000C5000000}"/>
    <cellStyle name="Normal 3_29(d) - Gas extensions -tariffs" xfId="152" xr:uid="{00000000-0005-0000-0000-0000C6000000}"/>
    <cellStyle name="Normal 38" xfId="153" xr:uid="{00000000-0005-0000-0000-0000C7000000}"/>
    <cellStyle name="Normal 38 2" xfId="154" xr:uid="{00000000-0005-0000-0000-0000C8000000}"/>
    <cellStyle name="Normal 38_29(d) - Gas extensions -tariffs" xfId="155" xr:uid="{00000000-0005-0000-0000-0000C9000000}"/>
    <cellStyle name="Normal 4" xfId="156" xr:uid="{00000000-0005-0000-0000-0000CA000000}"/>
    <cellStyle name="Normal 4 2" xfId="157" xr:uid="{00000000-0005-0000-0000-0000CB000000}"/>
    <cellStyle name="Normal 4 3" xfId="158" xr:uid="{00000000-0005-0000-0000-0000CC000000}"/>
    <cellStyle name="Normal 4 3 2" xfId="293" xr:uid="{00000000-0005-0000-0000-0000CD000000}"/>
    <cellStyle name="Normal 4_29(d) - Gas extensions -tariffs" xfId="159" xr:uid="{00000000-0005-0000-0000-0000CE000000}"/>
    <cellStyle name="Normal 40" xfId="160" xr:uid="{00000000-0005-0000-0000-0000CF000000}"/>
    <cellStyle name="Normal 40 2" xfId="161" xr:uid="{00000000-0005-0000-0000-0000D0000000}"/>
    <cellStyle name="Normal 40_29(d) - Gas extensions -tariffs" xfId="162" xr:uid="{00000000-0005-0000-0000-0000D1000000}"/>
    <cellStyle name="Normal 42" xfId="303" xr:uid="{00000000-0005-0000-0000-0000D2000000}"/>
    <cellStyle name="Normal 5" xfId="163" xr:uid="{00000000-0005-0000-0000-0000D3000000}"/>
    <cellStyle name="Normal 5 2" xfId="164" xr:uid="{00000000-0005-0000-0000-0000D4000000}"/>
    <cellStyle name="Normal 6" xfId="165" xr:uid="{00000000-0005-0000-0000-0000D5000000}"/>
    <cellStyle name="Normal 6 2" xfId="166" xr:uid="{00000000-0005-0000-0000-0000D6000000}"/>
    <cellStyle name="Normal 7" xfId="9" xr:uid="{00000000-0005-0000-0000-0000D7000000}"/>
    <cellStyle name="Normal 7 2" xfId="167" xr:uid="{00000000-0005-0000-0000-0000D8000000}"/>
    <cellStyle name="Normal 7 2 2" xfId="294" xr:uid="{00000000-0005-0000-0000-0000D9000000}"/>
    <cellStyle name="Normal 8" xfId="168" xr:uid="{00000000-0005-0000-0000-0000DA000000}"/>
    <cellStyle name="Normal 9" xfId="169" xr:uid="{00000000-0005-0000-0000-0000DB000000}"/>
    <cellStyle name="Note 2" xfId="170" xr:uid="{00000000-0005-0000-0000-0000DC000000}"/>
    <cellStyle name="OffSheet" xfId="255" xr:uid="{00000000-0005-0000-0000-0000DD000000}"/>
    <cellStyle name="Output 2" xfId="171" xr:uid="{00000000-0005-0000-0000-0000DE000000}"/>
    <cellStyle name="Percent" xfId="2" builtinId="5"/>
    <cellStyle name="Percent [2]" xfId="172" xr:uid="{00000000-0005-0000-0000-0000E0000000}"/>
    <cellStyle name="Percent [2] 2" xfId="173" xr:uid="{00000000-0005-0000-0000-0000E1000000}"/>
    <cellStyle name="Percent [2]_29(d) - Gas extensions -tariffs" xfId="174" xr:uid="{00000000-0005-0000-0000-0000E2000000}"/>
    <cellStyle name="Percent 2" xfId="4" xr:uid="{00000000-0005-0000-0000-0000E3000000}"/>
    <cellStyle name="Percent 2 2" xfId="175" xr:uid="{00000000-0005-0000-0000-0000E4000000}"/>
    <cellStyle name="Percent 3" xfId="176" xr:uid="{00000000-0005-0000-0000-0000E5000000}"/>
    <cellStyle name="Percent 3 2" xfId="177" xr:uid="{00000000-0005-0000-0000-0000E6000000}"/>
    <cellStyle name="Percent 4" xfId="178" xr:uid="{00000000-0005-0000-0000-0000E7000000}"/>
    <cellStyle name="Percent 5" xfId="242" xr:uid="{00000000-0005-0000-0000-0000E8000000}"/>
    <cellStyle name="Percent 5 2" xfId="296" xr:uid="{00000000-0005-0000-0000-0000E9000000}"/>
    <cellStyle name="Percent 6" xfId="299" xr:uid="{00000000-0005-0000-0000-0000EA000000}"/>
    <cellStyle name="Percent 7" xfId="179" xr:uid="{00000000-0005-0000-0000-0000EB000000}"/>
    <cellStyle name="Percentage" xfId="180" xr:uid="{00000000-0005-0000-0000-0000EC000000}"/>
    <cellStyle name="Period Title" xfId="181" xr:uid="{00000000-0005-0000-0000-0000ED000000}"/>
    <cellStyle name="PSChar" xfId="182" xr:uid="{00000000-0005-0000-0000-0000EE000000}"/>
    <cellStyle name="PSDate" xfId="183" xr:uid="{00000000-0005-0000-0000-0000EF000000}"/>
    <cellStyle name="PSDec" xfId="184" xr:uid="{00000000-0005-0000-0000-0000F0000000}"/>
    <cellStyle name="PSDetail" xfId="185" xr:uid="{00000000-0005-0000-0000-0000F1000000}"/>
    <cellStyle name="PSHeading" xfId="186" xr:uid="{00000000-0005-0000-0000-0000F2000000}"/>
    <cellStyle name="PSInt" xfId="187" xr:uid="{00000000-0005-0000-0000-0000F3000000}"/>
    <cellStyle name="PSSpacer" xfId="188" xr:uid="{00000000-0005-0000-0000-0000F4000000}"/>
    <cellStyle name="Ratio" xfId="189" xr:uid="{00000000-0005-0000-0000-0000F5000000}"/>
    <cellStyle name="Ratio 2" xfId="190" xr:uid="{00000000-0005-0000-0000-0000F6000000}"/>
    <cellStyle name="Ratio_29(d) - Gas extensions -tariffs" xfId="191" xr:uid="{00000000-0005-0000-0000-0000F7000000}"/>
    <cellStyle name="Right Date" xfId="192" xr:uid="{00000000-0005-0000-0000-0000F8000000}"/>
    <cellStyle name="Right Number" xfId="193" xr:uid="{00000000-0005-0000-0000-0000F9000000}"/>
    <cellStyle name="Right Year" xfId="194" xr:uid="{00000000-0005-0000-0000-0000FA000000}"/>
    <cellStyle name="SAPError" xfId="195" xr:uid="{00000000-0005-0000-0000-0000FB000000}"/>
    <cellStyle name="SAPError 2" xfId="196" xr:uid="{00000000-0005-0000-0000-0000FC000000}"/>
    <cellStyle name="SAPKey" xfId="197" xr:uid="{00000000-0005-0000-0000-0000FD000000}"/>
    <cellStyle name="SAPKey 2" xfId="198" xr:uid="{00000000-0005-0000-0000-0000FE000000}"/>
    <cellStyle name="SAPLocked" xfId="199" xr:uid="{00000000-0005-0000-0000-0000FF000000}"/>
    <cellStyle name="SAPLocked 2" xfId="200" xr:uid="{00000000-0005-0000-0000-000000010000}"/>
    <cellStyle name="SAPOutput" xfId="201" xr:uid="{00000000-0005-0000-0000-000001010000}"/>
    <cellStyle name="SAPOutput 2" xfId="202" xr:uid="{00000000-0005-0000-0000-000002010000}"/>
    <cellStyle name="SAPSpace" xfId="203" xr:uid="{00000000-0005-0000-0000-000003010000}"/>
    <cellStyle name="SAPSpace 2" xfId="204" xr:uid="{00000000-0005-0000-0000-000004010000}"/>
    <cellStyle name="SAPText" xfId="205" xr:uid="{00000000-0005-0000-0000-000005010000}"/>
    <cellStyle name="SAPText 2" xfId="206" xr:uid="{00000000-0005-0000-0000-000006010000}"/>
    <cellStyle name="SAPUnLocked" xfId="207" xr:uid="{00000000-0005-0000-0000-000007010000}"/>
    <cellStyle name="SAPUnLocked 2" xfId="208" xr:uid="{00000000-0005-0000-0000-000008010000}"/>
    <cellStyle name="Sheet Title" xfId="209" xr:uid="{00000000-0005-0000-0000-000009010000}"/>
    <cellStyle name="SheetHeader1" xfId="256" xr:uid="{00000000-0005-0000-0000-00000A010000}"/>
    <cellStyle name="SheetHeader2" xfId="257" xr:uid="{00000000-0005-0000-0000-00000B010000}"/>
    <cellStyle name="SheetHeader3" xfId="258" xr:uid="{00000000-0005-0000-0000-00000C010000}"/>
    <cellStyle name="Style 1" xfId="210" xr:uid="{00000000-0005-0000-0000-00000D010000}"/>
    <cellStyle name="Style 1 2" xfId="211" xr:uid="{00000000-0005-0000-0000-00000E010000}"/>
    <cellStyle name="Style 1_29(d) - Gas extensions -tariffs" xfId="212" xr:uid="{00000000-0005-0000-0000-00000F010000}"/>
    <cellStyle name="Style2" xfId="213" xr:uid="{00000000-0005-0000-0000-000010010000}"/>
    <cellStyle name="Style3" xfId="214" xr:uid="{00000000-0005-0000-0000-000011010000}"/>
    <cellStyle name="Style4" xfId="215" xr:uid="{00000000-0005-0000-0000-000012010000}"/>
    <cellStyle name="Style4 2" xfId="216" xr:uid="{00000000-0005-0000-0000-000013010000}"/>
    <cellStyle name="Style4_29(d) - Gas extensions -tariffs" xfId="217" xr:uid="{00000000-0005-0000-0000-000014010000}"/>
    <cellStyle name="Style5" xfId="218" xr:uid="{00000000-0005-0000-0000-000015010000}"/>
    <cellStyle name="Style5 2" xfId="219" xr:uid="{00000000-0005-0000-0000-000016010000}"/>
    <cellStyle name="Style5_29(d) - Gas extensions -tariffs" xfId="220" xr:uid="{00000000-0005-0000-0000-000017010000}"/>
    <cellStyle name="Table Head Green" xfId="221" xr:uid="{00000000-0005-0000-0000-000018010000}"/>
    <cellStyle name="Table Head_pldt" xfId="222" xr:uid="{00000000-0005-0000-0000-000019010000}"/>
    <cellStyle name="Table Source" xfId="223" xr:uid="{00000000-0005-0000-0000-00001A010000}"/>
    <cellStyle name="Table Units" xfId="224" xr:uid="{00000000-0005-0000-0000-00001B010000}"/>
    <cellStyle name="Table_Heading" xfId="259" xr:uid="{00000000-0005-0000-0000-00001C010000}"/>
    <cellStyle name="Technical_Input" xfId="260" xr:uid="{00000000-0005-0000-0000-00001D010000}"/>
    <cellStyle name="Text" xfId="225" xr:uid="{00000000-0005-0000-0000-00001E010000}"/>
    <cellStyle name="Text 2" xfId="226" xr:uid="{00000000-0005-0000-0000-00001F010000}"/>
    <cellStyle name="Text 3" xfId="227" xr:uid="{00000000-0005-0000-0000-000020010000}"/>
    <cellStyle name="Text Head 1" xfId="228" xr:uid="{00000000-0005-0000-0000-000021010000}"/>
    <cellStyle name="Text Head 2" xfId="229" xr:uid="{00000000-0005-0000-0000-000022010000}"/>
    <cellStyle name="Text Indent 2" xfId="230" xr:uid="{00000000-0005-0000-0000-000023010000}"/>
    <cellStyle name="Theirs" xfId="231" xr:uid="{00000000-0005-0000-0000-000024010000}"/>
    <cellStyle name="Title 2" xfId="232" xr:uid="{00000000-0005-0000-0000-000025010000}"/>
    <cellStyle name="TOC 1" xfId="233" xr:uid="{00000000-0005-0000-0000-000026010000}"/>
    <cellStyle name="TOC 2" xfId="234" xr:uid="{00000000-0005-0000-0000-000027010000}"/>
    <cellStyle name="TOC 3" xfId="235" xr:uid="{00000000-0005-0000-0000-000028010000}"/>
    <cellStyle name="Total 2" xfId="236" xr:uid="{00000000-0005-0000-0000-000029010000}"/>
    <cellStyle name="Totals" xfId="261" xr:uid="{00000000-0005-0000-0000-00002A010000}"/>
    <cellStyle name="unit" xfId="262" xr:uid="{00000000-0005-0000-0000-00002B010000}"/>
    <cellStyle name="User_Input" xfId="263" xr:uid="{00000000-0005-0000-0000-00002C010000}"/>
    <cellStyle name="Warning Text 2" xfId="237" xr:uid="{00000000-0005-0000-0000-00002D010000}"/>
    <cellStyle name="year" xfId="238" xr:uid="{00000000-0005-0000-0000-00002E010000}"/>
    <cellStyle name="year 2" xfId="239" xr:uid="{00000000-0005-0000-0000-00002F010000}"/>
    <cellStyle name="year_29(d) - Gas extensions -tariffs" xfId="240" xr:uid="{00000000-0005-0000-0000-000030010000}"/>
  </cellStyles>
  <dxfs count="166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CCFFCC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ont>
        <strike val="0"/>
        <color rgb="FFCCFFCC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</font>
      <fill>
        <patternFill>
          <bgColor rgb="FFFFFF99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</font>
      <numFmt numFmtId="1" formatCode="0"/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99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65F91"/>
      <color rgb="FFFFFF99"/>
      <color rgb="FFCCFFCC"/>
      <color rgb="FFDAEEF3"/>
      <color rgb="FFFFFFCC"/>
      <color rgb="FFDBE5F1"/>
      <color rgb="FF006100"/>
      <color rgb="FFC6EFCE"/>
      <color rgb="FF9C0006"/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rba.gov.au/publications/smp/2026/feb/outlook.html" TargetMode="External"/><Relationship Id="rId1" Type="http://schemas.openxmlformats.org/officeDocument/2006/relationships/hyperlink" Target="https://www.rba.gov.au/publications/smp/2026/feb/outlook.htm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theme="1"/>
  </sheetPr>
  <dimension ref="A1:AD31"/>
  <sheetViews>
    <sheetView showGridLines="0" tabSelected="1" workbookViewId="0">
      <selection activeCell="D2" sqref="D2"/>
    </sheetView>
  </sheetViews>
  <sheetFormatPr defaultColWidth="0" defaultRowHeight="11.25" zeroHeight="1"/>
  <cols>
    <col min="1" max="2" width="1.5" style="8" customWidth="1"/>
    <col min="3" max="3" width="30.83203125" style="8" customWidth="1"/>
    <col min="4" max="4" width="163.83203125" style="8" customWidth="1"/>
    <col min="5" max="5" width="6.5" style="8" customWidth="1"/>
    <col min="6" max="6" width="9.33203125" style="8" hidden="1" customWidth="1"/>
    <col min="7" max="14" width="9.83203125" style="8" hidden="1" customWidth="1"/>
    <col min="15" max="15" width="1.5" style="8" hidden="1" customWidth="1"/>
    <col min="16" max="16" width="10.5" style="8" hidden="1" customWidth="1"/>
    <col min="17" max="17" width="1.5" style="8" hidden="1" customWidth="1"/>
    <col min="18" max="16384" width="10.5" style="8" hidden="1"/>
  </cols>
  <sheetData>
    <row r="1" spans="1:30" s="1" customFormat="1" ht="15.75" customHeight="1">
      <c r="A1" s="27"/>
      <c r="B1" s="25" t="s">
        <v>208</v>
      </c>
      <c r="C1" s="25"/>
      <c r="D1" s="27"/>
      <c r="E1" s="27"/>
      <c r="G1" s="2"/>
      <c r="H1" s="3"/>
      <c r="I1" s="4"/>
    </row>
    <row r="2" spans="1:30" s="5" customFormat="1" ht="13.5" customHeight="1" thickBot="1">
      <c r="A2" s="31"/>
      <c r="B2" s="30" t="s">
        <v>41</v>
      </c>
      <c r="C2" s="30"/>
      <c r="D2" s="31"/>
      <c r="E2" s="31"/>
    </row>
    <row r="3" spans="1:30" s="6" customFormat="1" ht="3" customHeight="1"/>
    <row r="4" spans="1:30" customFormat="1" ht="12.75">
      <c r="A4" s="32"/>
      <c r="B4" s="38" t="s">
        <v>58</v>
      </c>
      <c r="C4" s="32"/>
      <c r="D4" s="32"/>
      <c r="E4" s="32"/>
      <c r="F4" s="33"/>
      <c r="G4" s="33"/>
      <c r="H4" s="33"/>
      <c r="I4" s="33"/>
      <c r="J4" s="34"/>
      <c r="K4" s="35"/>
      <c r="L4" s="34"/>
      <c r="M4" s="35"/>
      <c r="N4" s="34"/>
      <c r="O4" s="34"/>
      <c r="P4" s="34"/>
      <c r="Q4" s="34"/>
      <c r="R4" s="34"/>
      <c r="S4" s="34"/>
      <c r="T4" s="34"/>
      <c r="U4" s="34"/>
      <c r="V4" s="35"/>
      <c r="W4" s="35"/>
      <c r="X4" s="36"/>
      <c r="Y4" s="36"/>
      <c r="Z4" s="36"/>
      <c r="AA4" s="36"/>
      <c r="AB4" s="36"/>
      <c r="AC4" s="37"/>
      <c r="AD4" s="37"/>
    </row>
    <row r="5" spans="1:30"/>
    <row r="6" spans="1:30">
      <c r="C6" s="9" t="s">
        <v>0</v>
      </c>
      <c r="D6" s="9" t="s">
        <v>1</v>
      </c>
    </row>
    <row r="7" spans="1:30">
      <c r="C7" s="185" t="s">
        <v>57</v>
      </c>
      <c r="D7" s="8" t="s">
        <v>192</v>
      </c>
    </row>
    <row r="8" spans="1:30">
      <c r="C8" s="185" t="s">
        <v>35</v>
      </c>
      <c r="D8" s="8" t="s">
        <v>91</v>
      </c>
    </row>
    <row r="9" spans="1:30">
      <c r="C9" s="185" t="s">
        <v>54</v>
      </c>
      <c r="D9" s="8" t="s">
        <v>200</v>
      </c>
    </row>
    <row r="10" spans="1:30">
      <c r="C10" s="185" t="s">
        <v>169</v>
      </c>
      <c r="D10" s="8" t="s">
        <v>193</v>
      </c>
    </row>
    <row r="11" spans="1:30">
      <c r="C11" s="185" t="s">
        <v>56</v>
      </c>
      <c r="D11" s="8" t="s">
        <v>194</v>
      </c>
    </row>
    <row r="12" spans="1:30">
      <c r="C12" s="185" t="s">
        <v>170</v>
      </c>
      <c r="D12" s="8" t="s">
        <v>195</v>
      </c>
    </row>
    <row r="13" spans="1:30">
      <c r="C13" s="185" t="s">
        <v>171</v>
      </c>
      <c r="D13" s="8" t="s">
        <v>196</v>
      </c>
    </row>
    <row r="14" spans="1:30">
      <c r="C14" s="185" t="s">
        <v>50</v>
      </c>
      <c r="D14" s="8" t="s">
        <v>55</v>
      </c>
    </row>
    <row r="15" spans="1:30">
      <c r="C15" s="185" t="s">
        <v>25</v>
      </c>
      <c r="D15" s="8" t="s">
        <v>197</v>
      </c>
    </row>
    <row r="16" spans="1:30" ht="12.75">
      <c r="C16" s="10"/>
      <c r="D16" s="7"/>
    </row>
    <row r="17" spans="1:30" customFormat="1" ht="12.75">
      <c r="A17" s="32"/>
      <c r="B17" s="38" t="s">
        <v>21</v>
      </c>
      <c r="C17" s="32"/>
      <c r="D17" s="32"/>
      <c r="E17" s="32"/>
      <c r="F17" s="33"/>
      <c r="G17" s="33"/>
      <c r="H17" s="33"/>
      <c r="I17" s="33"/>
      <c r="J17" s="34"/>
      <c r="K17" s="35"/>
      <c r="L17" s="34"/>
      <c r="M17" s="35"/>
      <c r="N17" s="34"/>
      <c r="O17" s="34"/>
      <c r="P17" s="34"/>
      <c r="Q17" s="34"/>
      <c r="R17" s="34"/>
      <c r="S17" s="34"/>
      <c r="T17" s="34"/>
      <c r="U17" s="34"/>
      <c r="V17" s="35"/>
      <c r="W17" s="35"/>
      <c r="X17" s="36"/>
      <c r="Y17" s="36"/>
      <c r="Z17" s="36"/>
      <c r="AA17" s="36"/>
      <c r="AB17" s="36"/>
      <c r="AC17" s="37"/>
      <c r="AD17" s="37"/>
    </row>
    <row r="18" spans="1:30" hidden="1">
      <c r="D18" s="7"/>
      <c r="F18" s="23"/>
    </row>
    <row r="19" spans="1:30" hidden="1">
      <c r="D19" s="7"/>
      <c r="F19" s="23"/>
    </row>
    <row r="20" spans="1:30" hidden="1">
      <c r="D20" s="7"/>
      <c r="F20" s="23"/>
    </row>
    <row r="21" spans="1:30" hidden="1">
      <c r="D21" s="7"/>
      <c r="F21" s="23"/>
    </row>
    <row r="22" spans="1:30" hidden="1">
      <c r="D22" s="7"/>
      <c r="F22" s="23"/>
    </row>
    <row r="23" spans="1:30" hidden="1">
      <c r="C23" s="7"/>
      <c r="D23" s="7"/>
      <c r="F23" s="23"/>
    </row>
    <row r="24" spans="1:30" hidden="1">
      <c r="C24" s="7"/>
      <c r="D24" s="7"/>
      <c r="F24" s="23"/>
    </row>
    <row r="25" spans="1:30" hidden="1">
      <c r="C25" s="7"/>
      <c r="D25" s="7"/>
    </row>
    <row r="26" spans="1:30" hidden="1">
      <c r="D26" s="7"/>
    </row>
    <row r="27" spans="1:30" hidden="1">
      <c r="D27" s="7"/>
    </row>
    <row r="28" spans="1:30" hidden="1">
      <c r="D28" s="7"/>
    </row>
    <row r="29" spans="1:30" hidden="1">
      <c r="D29" s="7"/>
    </row>
    <row r="30" spans="1:30" hidden="1">
      <c r="D30" s="7"/>
    </row>
    <row r="31" spans="1:30" ht="12.75" hidden="1">
      <c r="C31" s="10"/>
      <c r="D31" s="7"/>
    </row>
  </sheetData>
  <dataValidations disablePrompts="1" count="1">
    <dataValidation type="custom" allowBlank="1" showInputMessage="1" showErrorMessage="1" sqref="C7:C15" xr:uid="{73EEE128-5A6A-4B61-9619-39A5DEFFE384}">
      <formula1>"&lt;0&gt;0"</formula1>
    </dataValidation>
  </dataValidations>
  <hyperlinks>
    <hyperlink ref="C12" location="'Calc|Opex forecast'!A1" display="Calc | Opex Forecast" xr:uid="{00000000-0004-0000-0100-000001000000}"/>
    <hyperlink ref="C13" location="'Output|Models_final'!A1" display="Output | Models_final" xr:uid="{00000000-0004-0000-0100-000002000000}"/>
    <hyperlink ref="C14" location="'Lookup|Tables'!A1" display="Lookup | Tables" xr:uid="{00000000-0004-0000-0100-000003000000}"/>
    <hyperlink ref="C15" location="'Check|List'!A1" display="Check | List" xr:uid="{00000000-0004-0000-0100-000004000000}"/>
    <hyperlink ref="C7" location="'Input|General'!A1" display="Input | General" xr:uid="{00000000-0004-0000-0100-000005000000}"/>
    <hyperlink ref="C9" location="'Input|Reported opex'!A1" display="Input | Reported opex" xr:uid="{00000000-0004-0000-0100-000006000000}"/>
    <hyperlink ref="C11" location="'Input|Step changes'!A1" display="Input | Step changes" xr:uid="{00000000-0004-0000-0100-000007000000}"/>
    <hyperlink ref="C8" location="'Input|Inflation'!A1" display="Input | Inflation" xr:uid="{00000000-0004-0000-0100-000008000000}"/>
    <hyperlink ref="C10" location="'Input|Rate of change'!A1" display="Input | Rate of change" xr:uid="{00000000-0004-0000-0100-00000A000000}"/>
  </hyperlinks>
  <pageMargins left="0.7" right="0.7" top="0.75" bottom="0.75" header="0.3" footer="0.3"/>
  <pageSetup paperSize="9" orientation="portrait" verticalDpi="4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>
    <tabColor theme="1"/>
  </sheetPr>
  <dimension ref="A1:AD22"/>
  <sheetViews>
    <sheetView showGridLines="0" workbookViewId="0">
      <selection activeCell="D12" sqref="D12"/>
    </sheetView>
  </sheetViews>
  <sheetFormatPr defaultColWidth="0" defaultRowHeight="11.25" zeroHeight="1"/>
  <cols>
    <col min="1" max="2" width="1.5" style="8" customWidth="1"/>
    <col min="3" max="3" width="42" style="8" customWidth="1"/>
    <col min="4" max="4" width="26.33203125" style="7" bestFit="1" customWidth="1"/>
    <col min="5" max="5" width="15.83203125" style="7" customWidth="1"/>
    <col min="6" max="6" width="10.6640625" style="7" customWidth="1"/>
    <col min="7" max="7" width="15" style="16" customWidth="1"/>
    <col min="8" max="9" width="5.33203125" style="8" customWidth="1"/>
    <col min="10" max="20" width="10.83203125" style="8" customWidth="1"/>
    <col min="21" max="23" width="10.83203125" style="8" hidden="1" customWidth="1"/>
    <col min="24" max="38" width="10.5" style="8" hidden="1" customWidth="1"/>
    <col min="39" max="16384" width="10.5" style="8" hidden="1"/>
  </cols>
  <sheetData>
    <row r="1" spans="1:30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6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187" t="s">
        <v>24</v>
      </c>
      <c r="S1" s="29" t="str">
        <f>IF(COUNTIF(G10:G16,"Check")=0,"Ok","Check")</f>
        <v>Ok</v>
      </c>
      <c r="U1" s="28"/>
      <c r="V1" s="29"/>
    </row>
    <row r="2" spans="1:30" s="27" customFormat="1" ht="12.75">
      <c r="B2" s="41" t="str">
        <f>Index!$C$15</f>
        <v>Check | List</v>
      </c>
      <c r="C2" s="41"/>
      <c r="D2" s="41"/>
      <c r="E2" s="41"/>
      <c r="F2" s="42"/>
      <c r="G2" s="42"/>
      <c r="H2" s="42"/>
      <c r="I2" s="42"/>
    </row>
    <row r="3" spans="1:30" s="45" customFormat="1" ht="12.75">
      <c r="A3" s="32"/>
      <c r="B3" s="38"/>
      <c r="C3" s="32"/>
      <c r="D3" s="32"/>
      <c r="E3" s="32"/>
      <c r="F3" s="33"/>
      <c r="G3" s="33"/>
      <c r="H3" s="33"/>
      <c r="I3" s="33"/>
      <c r="J3" s="34"/>
      <c r="K3" s="35"/>
      <c r="L3" s="34"/>
      <c r="M3" s="35"/>
      <c r="N3" s="34"/>
      <c r="O3" s="34"/>
      <c r="P3" s="34"/>
      <c r="Q3" s="34"/>
      <c r="R3" s="34"/>
      <c r="S3" s="34"/>
      <c r="T3" s="34"/>
      <c r="U3" s="34"/>
      <c r="V3" s="35"/>
      <c r="W3" s="35"/>
      <c r="X3" s="43"/>
      <c r="Y3" s="43"/>
      <c r="Z3" s="43"/>
      <c r="AA3" s="43"/>
      <c r="AB3" s="43"/>
      <c r="AC3" s="44"/>
      <c r="AD3" s="44"/>
    </row>
    <row r="4" spans="1:30" s="6" customFormat="1" ht="3" customHeight="1"/>
    <row r="5" spans="1:30" s="6" customFormat="1" ht="9" customHeight="1"/>
    <row r="6" spans="1:30" s="6" customFormat="1" ht="3" customHeight="1"/>
    <row r="7" spans="1:30" customFormat="1" ht="12.75">
      <c r="A7" s="32"/>
      <c r="B7" s="38" t="s">
        <v>26</v>
      </c>
      <c r="C7" s="32"/>
      <c r="D7" s="32"/>
      <c r="E7" s="32"/>
      <c r="F7" s="33"/>
      <c r="G7" s="33"/>
      <c r="H7" s="33"/>
      <c r="I7" s="33"/>
      <c r="J7" s="34"/>
      <c r="K7" s="35"/>
      <c r="L7" s="34"/>
      <c r="M7" s="35"/>
      <c r="N7" s="34"/>
      <c r="O7" s="34"/>
      <c r="P7" s="34"/>
      <c r="Q7" s="34"/>
      <c r="R7" s="34"/>
      <c r="S7" s="34"/>
      <c r="T7" s="34"/>
      <c r="U7" s="34"/>
      <c r="V7" s="35"/>
      <c r="W7" s="35"/>
      <c r="X7" s="36"/>
      <c r="Y7" s="36"/>
      <c r="Z7" s="36"/>
      <c r="AA7" s="36"/>
      <c r="AB7" s="36"/>
      <c r="AC7" s="37"/>
      <c r="AD7" s="37"/>
    </row>
    <row r="8" spans="1:30"/>
    <row r="9" spans="1:30">
      <c r="C9" s="13" t="s">
        <v>27</v>
      </c>
      <c r="D9" s="14" t="s">
        <v>7</v>
      </c>
      <c r="E9" s="14" t="s">
        <v>8</v>
      </c>
      <c r="F9" s="14"/>
      <c r="G9" s="14" t="s">
        <v>29</v>
      </c>
    </row>
    <row r="10" spans="1:30">
      <c r="C10" s="15" t="str">
        <f>Index!C7</f>
        <v>Input | General</v>
      </c>
      <c r="D10" s="188" t="str">
        <f>C10</f>
        <v>Input | General</v>
      </c>
      <c r="E10" s="16" t="s">
        <v>28</v>
      </c>
      <c r="F10" s="16"/>
      <c r="G10" s="18" t="str">
        <f>'Input|General'!S1</f>
        <v>OK</v>
      </c>
      <c r="T10" s="17"/>
    </row>
    <row r="11" spans="1:30">
      <c r="C11" s="15" t="str">
        <f>Index!C8</f>
        <v>Input | Inflation</v>
      </c>
      <c r="D11" s="188" t="str">
        <f>C11</f>
        <v>Input | Inflation</v>
      </c>
      <c r="E11" s="16" t="s">
        <v>28</v>
      </c>
      <c r="F11" s="16"/>
      <c r="G11" s="18" t="str">
        <f>'Input|Inflation'!V1</f>
        <v>OK</v>
      </c>
      <c r="T11" s="17"/>
    </row>
    <row r="12" spans="1:30">
      <c r="C12" s="15" t="str">
        <f>Index!C9</f>
        <v>Input | Reported opex</v>
      </c>
      <c r="D12" s="188" t="str">
        <f t="shared" ref="D12:D16" si="0">C12</f>
        <v>Input | Reported opex</v>
      </c>
      <c r="E12" s="16" t="s">
        <v>28</v>
      </c>
      <c r="G12" s="18" t="str">
        <f>'Input|Reported opex'!S1</f>
        <v>OK</v>
      </c>
      <c r="H12" s="16"/>
      <c r="T12" s="17"/>
    </row>
    <row r="13" spans="1:30">
      <c r="C13" s="15" t="str">
        <f>Index!C10</f>
        <v>Input | Rate of change</v>
      </c>
      <c r="D13" s="188" t="str">
        <f t="shared" si="0"/>
        <v>Input | Rate of change</v>
      </c>
      <c r="E13" s="16" t="s">
        <v>28</v>
      </c>
      <c r="F13" s="16"/>
      <c r="G13" s="18" t="str">
        <f>'Input|Rate of change'!T1</f>
        <v>Ok</v>
      </c>
      <c r="H13" s="16"/>
      <c r="T13" s="17"/>
    </row>
    <row r="14" spans="1:30">
      <c r="C14" s="15" t="str">
        <f>Index!C11</f>
        <v>Input | Step changes</v>
      </c>
      <c r="D14" s="188" t="str">
        <f t="shared" si="0"/>
        <v>Input | Step changes</v>
      </c>
      <c r="E14" s="16" t="s">
        <v>28</v>
      </c>
      <c r="F14" s="16"/>
      <c r="G14" s="18" t="str">
        <f>'Input|Step changes'!S1</f>
        <v>OK</v>
      </c>
      <c r="H14" s="16"/>
      <c r="T14" s="17"/>
    </row>
    <row r="15" spans="1:30">
      <c r="C15" s="15" t="str">
        <f>Index!C12</f>
        <v>Calc | Opex Forecast</v>
      </c>
      <c r="D15" s="188" t="str">
        <f t="shared" si="0"/>
        <v>Calc | Opex Forecast</v>
      </c>
      <c r="E15" s="16" t="s">
        <v>28</v>
      </c>
      <c r="F15" s="16"/>
      <c r="G15" s="18" t="str">
        <f>'Calc|Opex forecast'!S1</f>
        <v>n/a</v>
      </c>
      <c r="H15" s="16"/>
      <c r="T15" s="17"/>
    </row>
    <row r="16" spans="1:30">
      <c r="C16" s="15" t="str">
        <f>Index!C13</f>
        <v>Output | Models</v>
      </c>
      <c r="D16" s="188" t="str">
        <f t="shared" si="0"/>
        <v>Output | Models</v>
      </c>
      <c r="E16" s="16" t="s">
        <v>28</v>
      </c>
      <c r="F16" s="16"/>
      <c r="G16" s="18" t="str">
        <f>'Output|Models'!S1</f>
        <v>n/a</v>
      </c>
      <c r="H16" s="16"/>
      <c r="T16" s="17"/>
    </row>
    <row r="17" spans="1:30">
      <c r="C17" s="15"/>
    </row>
    <row r="18" spans="1:30" customFormat="1" ht="12.75">
      <c r="A18" s="32"/>
      <c r="B18" s="38" t="s">
        <v>21</v>
      </c>
      <c r="C18" s="32"/>
      <c r="D18" s="32"/>
      <c r="E18" s="32"/>
      <c r="F18" s="33"/>
      <c r="G18" s="33"/>
      <c r="H18" s="33"/>
      <c r="I18" s="33"/>
      <c r="J18" s="34"/>
      <c r="K18" s="35"/>
      <c r="L18" s="34"/>
      <c r="M18" s="35"/>
      <c r="N18" s="34"/>
      <c r="O18" s="34"/>
      <c r="P18" s="34"/>
      <c r="Q18" s="34"/>
      <c r="R18" s="34"/>
      <c r="S18" s="34"/>
      <c r="T18" s="34"/>
      <c r="U18" s="34"/>
      <c r="V18" s="35"/>
      <c r="W18" s="35"/>
      <c r="X18" s="36"/>
      <c r="Y18" s="36"/>
      <c r="Z18" s="36"/>
      <c r="AA18" s="36"/>
      <c r="AB18" s="36"/>
      <c r="AC18" s="37"/>
      <c r="AD18" s="37"/>
    </row>
    <row r="19" spans="1:30" hidden="1">
      <c r="C19" s="15"/>
    </row>
    <row r="20" spans="1:30" hidden="1">
      <c r="C20" s="15"/>
    </row>
    <row r="21" spans="1:30" hidden="1">
      <c r="C21" s="15"/>
    </row>
    <row r="22" spans="1:30" hidden="1">
      <c r="C22" s="15"/>
    </row>
  </sheetData>
  <sheetProtection selectLockedCells="1"/>
  <conditionalFormatting sqref="G10:G16">
    <cfRule type="cellIs" dxfId="5" priority="13" operator="equal">
      <formula>"Check"</formula>
    </cfRule>
    <cfRule type="cellIs" dxfId="4" priority="14" operator="equal">
      <formula>"Ok"</formula>
    </cfRule>
  </conditionalFormatting>
  <conditionalFormatting sqref="S1">
    <cfRule type="cellIs" dxfId="3" priority="1" operator="equal">
      <formula>"Check"</formula>
    </cfRule>
    <cfRule type="cellIs" dxfId="2" priority="2" operator="equal">
      <formula>"Ok"</formula>
    </cfRule>
  </conditionalFormatting>
  <conditionalFormatting sqref="V1">
    <cfRule type="cellIs" dxfId="1" priority="3" operator="equal">
      <formula>"Check"</formula>
    </cfRule>
    <cfRule type="cellIs" dxfId="0" priority="4" operator="equal">
      <formula>"Ok"</formula>
    </cfRule>
  </conditionalFormatting>
  <dataValidations count="1">
    <dataValidation type="custom" allowBlank="1" showInputMessage="1" showErrorMessage="1" sqref="R1 J1 D10:D16" xr:uid="{BAF57935-29DD-4215-AFE4-6ADB0A182C53}">
      <formula1>"&lt;0&gt;0"</formula1>
    </dataValidation>
  </dataValidations>
  <hyperlinks>
    <hyperlink ref="D10" location="'Input|General'!A1" display="'Input|General'!A1" xr:uid="{00000000-0004-0000-0C00-000001000000}"/>
    <hyperlink ref="D12" location="'Input|Reported opex'!A1" display="'Input|Reported opex'!A1" xr:uid="{00000000-0004-0000-0C00-000002000000}"/>
    <hyperlink ref="D13" location="'Input|Rate of change'!A1" display="'Input|Rate of change'!A1" xr:uid="{00000000-0004-0000-0C00-000003000000}"/>
    <hyperlink ref="D14" location="'Input|Step changes'!A1" display="'Input|Step changes'!A1" xr:uid="{00000000-0004-0000-0C00-000004000000}"/>
    <hyperlink ref="D15" location="'Calc|Opex forecast'!A1" display="'Calc|Opex forecast'!A1" xr:uid="{00000000-0004-0000-0C00-000005000000}"/>
    <hyperlink ref="D16" location="'Output|Models'!A1" display="'Output|Models'!A1" xr:uid="{00000000-0004-0000-0C00-000006000000}"/>
    <hyperlink ref="D11" location="'Input|Inflation'!A1" display="'Input|Inflation'!A1" xr:uid="{00000000-0004-0000-0C00-000008000000}"/>
    <hyperlink ref="J1" location="Index!A1" display="Back to Index" xr:uid="{F4ECB7A5-3FA0-40E2-BFD2-0A5BCB64C9CE}"/>
    <hyperlink ref="R1" location="'Check|List'!A1" display="Overall Check:" xr:uid="{FFF1C6C4-0B9C-40D3-8015-7834AC7F0CC2}"/>
  </hyperlinks>
  <pageMargins left="0.7" right="0.7" top="0.75" bottom="0.75" header="0.3" footer="0.3"/>
  <pageSetup paperSize="9" orientation="portrait" verticalDpi="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rgb="FFFFFF99"/>
  </sheetPr>
  <dimension ref="A1:AD27"/>
  <sheetViews>
    <sheetView showGridLines="0" zoomScaleNormal="100" workbookViewId="0">
      <selection activeCell="J1" sqref="J1"/>
    </sheetView>
  </sheetViews>
  <sheetFormatPr defaultColWidth="0" defaultRowHeight="11.25" zeroHeight="1"/>
  <cols>
    <col min="1" max="2" width="1.5" style="8" customWidth="1"/>
    <col min="3" max="3" width="42" style="8" customWidth="1"/>
    <col min="4" max="4" width="11.1640625" style="16" customWidth="1"/>
    <col min="5" max="6" width="3.33203125" style="16" customWidth="1"/>
    <col min="7" max="7" width="16.1640625" style="16" bestFit="1" customWidth="1"/>
    <col min="8" max="9" width="3.33203125" style="16" customWidth="1"/>
    <col min="10" max="23" width="10.83203125" style="8" customWidth="1"/>
    <col min="24" max="38" width="10.5" style="8" hidden="1" customWidth="1"/>
    <col min="39" max="16384" width="10.5" style="8" hidden="1"/>
  </cols>
  <sheetData>
    <row r="1" spans="1:30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6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tr">
        <f>IF(COUNTA($S$5:$S$16)=COUNTIF($S5:$S17,"OK"),"OK","Check")</f>
        <v>OK</v>
      </c>
      <c r="U1" s="187" t="s">
        <v>24</v>
      </c>
      <c r="V1" s="29" t="str">
        <f>'Check|List'!$S$1</f>
        <v>Ok</v>
      </c>
    </row>
    <row r="2" spans="1:30" s="31" customFormat="1" ht="13.5" thickBot="1">
      <c r="B2" s="30" t="str">
        <f>Index!$C$7</f>
        <v>Input | General</v>
      </c>
      <c r="C2" s="30"/>
      <c r="D2" s="30"/>
      <c r="E2" s="30"/>
      <c r="F2" s="52"/>
      <c r="G2" s="52"/>
      <c r="H2" s="52"/>
      <c r="I2" s="52"/>
    </row>
    <row r="3" spans="1:30" s="6" customFormat="1" ht="3" customHeight="1">
      <c r="D3" s="21"/>
      <c r="E3" s="21"/>
      <c r="F3" s="21"/>
      <c r="G3" s="21"/>
      <c r="H3" s="21"/>
      <c r="I3" s="21"/>
    </row>
    <row r="4" spans="1:30" customFormat="1" ht="12.75">
      <c r="A4" s="32"/>
      <c r="B4" s="38" t="s">
        <v>88</v>
      </c>
      <c r="C4" s="32"/>
      <c r="D4" s="32"/>
      <c r="E4" s="32"/>
      <c r="F4" s="33"/>
      <c r="G4" s="33"/>
      <c r="H4" s="33"/>
      <c r="I4" s="33"/>
      <c r="J4" s="34"/>
      <c r="K4" s="35"/>
      <c r="L4" s="34"/>
      <c r="M4" s="35"/>
      <c r="N4" s="34"/>
      <c r="O4" s="34"/>
      <c r="P4" s="34"/>
      <c r="Q4" s="34"/>
      <c r="R4" s="34"/>
      <c r="S4" s="34"/>
      <c r="T4" s="34"/>
      <c r="U4" s="34"/>
      <c r="V4" s="35"/>
      <c r="W4" s="35"/>
      <c r="X4" s="36"/>
      <c r="Y4" s="36"/>
      <c r="Z4" s="36"/>
      <c r="AA4" s="36"/>
      <c r="AB4" s="36"/>
      <c r="AC4" s="37"/>
      <c r="AD4" s="37"/>
    </row>
    <row r="5" spans="1:30"/>
    <row r="6" spans="1:30">
      <c r="C6" s="13" t="s">
        <v>89</v>
      </c>
      <c r="D6" s="20" t="s">
        <v>7</v>
      </c>
      <c r="E6" s="20"/>
      <c r="F6" s="14"/>
      <c r="G6" s="14" t="s">
        <v>62</v>
      </c>
      <c r="H6" s="14"/>
      <c r="I6" s="8"/>
    </row>
    <row r="7" spans="1:30">
      <c r="C7" s="8" t="s">
        <v>59</v>
      </c>
      <c r="D7" s="16" t="s">
        <v>63</v>
      </c>
      <c r="E7" s="8"/>
      <c r="F7" s="8"/>
      <c r="G7" s="39" t="s">
        <v>222</v>
      </c>
      <c r="H7" s="8"/>
      <c r="I7" s="8"/>
      <c r="S7" s="81" t="str">
        <f>IF(COUNTBLANK($G7),"Check","Ok")</f>
        <v>Ok</v>
      </c>
    </row>
    <row r="8" spans="1:30">
      <c r="C8" s="8" t="s">
        <v>125</v>
      </c>
      <c r="D8" s="16" t="s">
        <v>64</v>
      </c>
      <c r="E8" s="8"/>
      <c r="F8" s="8"/>
      <c r="G8" s="39" t="s">
        <v>184</v>
      </c>
      <c r="H8" s="8"/>
      <c r="I8" s="8"/>
      <c r="S8" s="81" t="str">
        <f>IF(COUNTBLANK($G8),"Check","Ok")</f>
        <v>Ok</v>
      </c>
    </row>
    <row r="9" spans="1:30">
      <c r="C9" s="8" t="s">
        <v>109</v>
      </c>
      <c r="D9" s="16" t="s">
        <v>63</v>
      </c>
      <c r="E9" s="8"/>
      <c r="F9" s="8"/>
      <c r="G9" s="92">
        <v>36678</v>
      </c>
      <c r="H9" s="8"/>
      <c r="I9" s="8"/>
      <c r="S9" s="81" t="str">
        <f>IF(COUNTBLANK($G9),"Check","Ok")</f>
        <v>Ok</v>
      </c>
    </row>
    <row r="10" spans="1:30">
      <c r="C10" s="8" t="s">
        <v>190</v>
      </c>
      <c r="D10" s="16" t="s">
        <v>63</v>
      </c>
      <c r="E10" s="8"/>
      <c r="F10" s="8"/>
      <c r="G10" s="93">
        <v>2022</v>
      </c>
      <c r="H10" s="8"/>
      <c r="I10" s="8"/>
      <c r="S10" s="81" t="str">
        <f t="shared" ref="S10:S15" si="0">IF(COUNTBLANK($G10),"Check","Ok")</f>
        <v>Ok</v>
      </c>
    </row>
    <row r="11" spans="1:30">
      <c r="C11" s="8" t="s">
        <v>66</v>
      </c>
      <c r="D11" s="16" t="s">
        <v>63</v>
      </c>
      <c r="E11" s="8"/>
      <c r="F11" s="8"/>
      <c r="G11" s="93">
        <v>2025</v>
      </c>
      <c r="H11" s="8"/>
      <c r="I11" s="8"/>
      <c r="S11" s="81" t="str">
        <f t="shared" si="0"/>
        <v>Ok</v>
      </c>
    </row>
    <row r="12" spans="1:30">
      <c r="C12" s="8" t="s">
        <v>191</v>
      </c>
      <c r="D12" s="16" t="s">
        <v>63</v>
      </c>
      <c r="E12" s="8"/>
      <c r="F12" s="8"/>
      <c r="G12" s="93">
        <v>2026</v>
      </c>
      <c r="H12" s="8"/>
      <c r="I12" s="8"/>
      <c r="S12" s="81" t="str">
        <f t="shared" si="0"/>
        <v>Ok</v>
      </c>
    </row>
    <row r="13" spans="1:30">
      <c r="C13" s="8" t="s">
        <v>60</v>
      </c>
      <c r="D13" s="16" t="s">
        <v>63</v>
      </c>
      <c r="E13" s="8"/>
      <c r="F13" s="8"/>
      <c r="G13" s="93">
        <v>2027</v>
      </c>
      <c r="H13" s="8"/>
      <c r="I13" s="8"/>
      <c r="S13" s="81" t="str">
        <f t="shared" si="0"/>
        <v>Ok</v>
      </c>
    </row>
    <row r="14" spans="1:30">
      <c r="C14" s="8" t="s">
        <v>61</v>
      </c>
      <c r="D14" s="16" t="s">
        <v>63</v>
      </c>
      <c r="E14" s="8"/>
      <c r="F14" s="8"/>
      <c r="G14" s="93">
        <v>2031</v>
      </c>
      <c r="H14" s="8"/>
      <c r="I14" s="8"/>
      <c r="S14" s="81" t="str">
        <f t="shared" si="0"/>
        <v>Ok</v>
      </c>
    </row>
    <row r="15" spans="1:30">
      <c r="C15" s="8" t="s">
        <v>172</v>
      </c>
      <c r="D15" s="16" t="s">
        <v>63</v>
      </c>
      <c r="E15" s="8"/>
      <c r="F15" s="8"/>
      <c r="G15" s="93" t="s">
        <v>15</v>
      </c>
      <c r="H15" s="8"/>
      <c r="I15" s="8"/>
      <c r="S15" s="81" t="str">
        <f t="shared" si="0"/>
        <v>Ok</v>
      </c>
    </row>
    <row r="16" spans="1:30">
      <c r="D16" s="8"/>
      <c r="E16" s="8"/>
      <c r="F16" s="8"/>
      <c r="G16" s="8"/>
      <c r="H16" s="8"/>
      <c r="I16" s="8"/>
    </row>
    <row r="17" spans="1:30" customFormat="1" ht="12.75">
      <c r="A17" s="32"/>
      <c r="B17" s="38" t="s">
        <v>21</v>
      </c>
      <c r="C17" s="32"/>
      <c r="D17" s="32"/>
      <c r="E17" s="32"/>
      <c r="F17" s="33"/>
      <c r="G17" s="33"/>
      <c r="H17" s="33"/>
      <c r="I17" s="33"/>
      <c r="J17" s="34"/>
      <c r="K17" s="35"/>
      <c r="L17" s="34"/>
      <c r="M17" s="35"/>
      <c r="N17" s="34"/>
      <c r="O17" s="34"/>
      <c r="P17" s="34"/>
      <c r="Q17" s="34"/>
      <c r="R17" s="34"/>
      <c r="S17" s="34"/>
      <c r="T17" s="34"/>
      <c r="U17" s="34"/>
      <c r="V17" s="35"/>
      <c r="W17" s="35"/>
      <c r="X17" s="36"/>
      <c r="Y17" s="36"/>
      <c r="Z17" s="36"/>
      <c r="AA17" s="36"/>
      <c r="AB17" s="36"/>
      <c r="AC17" s="37"/>
      <c r="AD17" s="37"/>
    </row>
    <row r="18" spans="1:30" hidden="1">
      <c r="G18" s="20"/>
      <c r="H18" s="20"/>
    </row>
    <row r="19" spans="1:30" hidden="1">
      <c r="G19" s="20"/>
      <c r="H19" s="20"/>
    </row>
    <row r="20" spans="1:30" hidden="1">
      <c r="G20" s="20"/>
      <c r="H20" s="20"/>
    </row>
    <row r="21" spans="1:30" hidden="1">
      <c r="G21" s="20"/>
      <c r="H21" s="20"/>
    </row>
    <row r="22" spans="1:30" hidden="1">
      <c r="G22" s="20"/>
      <c r="H22" s="20"/>
    </row>
    <row r="23" spans="1:30" hidden="1">
      <c r="G23" s="20"/>
      <c r="H23" s="20"/>
    </row>
    <row r="24" spans="1:30" hidden="1">
      <c r="G24" s="20"/>
      <c r="H24" s="20"/>
    </row>
    <row r="25" spans="1:30" hidden="1">
      <c r="G25" s="20"/>
      <c r="H25" s="20"/>
    </row>
    <row r="26" spans="1:30" hidden="1">
      <c r="G26" s="20"/>
      <c r="H26" s="20"/>
    </row>
    <row r="27" spans="1:30" hidden="1">
      <c r="G27" s="20"/>
      <c r="H27" s="20"/>
    </row>
  </sheetData>
  <dataConsolidate/>
  <conditionalFormatting sqref="S1">
    <cfRule type="cellIs" dxfId="165" priority="1" operator="equal">
      <formula>"Check"</formula>
    </cfRule>
    <cfRule type="cellIs" dxfId="164" priority="2" operator="equal">
      <formula>"Ok"</formula>
    </cfRule>
  </conditionalFormatting>
  <conditionalFormatting sqref="S7:S15">
    <cfRule type="cellIs" dxfId="163" priority="5" operator="equal">
      <formula>"Check"</formula>
    </cfRule>
    <cfRule type="cellIs" dxfId="162" priority="6" operator="equal">
      <formula>"Ok"</formula>
    </cfRule>
  </conditionalFormatting>
  <conditionalFormatting sqref="V1">
    <cfRule type="cellIs" dxfId="161" priority="3" operator="equal">
      <formula>"Check"</formula>
    </cfRule>
    <cfRule type="cellIs" dxfId="160" priority="4" operator="equal">
      <formula>"Ok"</formula>
    </cfRule>
  </conditionalFormatting>
  <conditionalFormatting sqref="W14:W16">
    <cfRule type="cellIs" dxfId="159" priority="13" operator="equal">
      <formula>"Check"</formula>
    </cfRule>
    <cfRule type="cellIs" dxfId="158" priority="14" operator="equal">
      <formula>"Ok"</formula>
    </cfRule>
  </conditionalFormatting>
  <dataValidations count="3">
    <dataValidation type="list" allowBlank="1" showInputMessage="1" showErrorMessage="1" sqref="F12:F13 I12:I16" xr:uid="{00000000-0002-0000-0200-000000000000}">
      <formula1>#REF!</formula1>
    </dataValidation>
    <dataValidation type="list" allowBlank="1" showInputMessage="1" showErrorMessage="1" sqref="F14:F16" xr:uid="{00000000-0002-0000-0200-000002000000}">
      <formula1>"Real 2010,Real 2011,Real 2012,Real 2013,Real 2014,Real 2015,Nominal"</formula1>
    </dataValidation>
    <dataValidation type="custom" allowBlank="1" showInputMessage="1" showErrorMessage="1" sqref="J1 U1" xr:uid="{30FD4EC8-3ECC-4731-A902-94E742FA49A1}">
      <formula1>"&lt;0&gt;0"</formula1>
    </dataValidation>
  </dataValidations>
  <hyperlinks>
    <hyperlink ref="J1" location="Index!A1" display="Back to Index" xr:uid="{00000000-0004-0000-0200-000000000000}"/>
    <hyperlink ref="U1" location="'Check|List'!A1" display="Overall Check:" xr:uid="{00000000-0004-0000-0200-000001000000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200-000001000000}">
          <x14:formula1>
            <xm:f>'Lookup|Tables'!$G$8:$G$12</xm:f>
          </x14:formula1>
          <xm:sqref>G8</xm:sqref>
        </x14:dataValidation>
        <x14:dataValidation type="list" allowBlank="1" showInputMessage="1" showErrorMessage="1" xr:uid="{00000000-0002-0000-0200-000004000000}">
          <x14:formula1>
            <xm:f>'Lookup|Tables'!$G$32:$G$43</xm:f>
          </x14:formula1>
          <xm:sqref>G9</xm:sqref>
        </x14:dataValidation>
        <x14:dataValidation type="list" allowBlank="1" showInputMessage="1" showErrorMessage="1" xr:uid="{00000000-0002-0000-0200-000005000000}">
          <x14:formula1>
            <xm:f>'Lookup|Tables'!$G$48:$G$67</xm:f>
          </x14:formula1>
          <xm:sqref>G10:G14</xm:sqref>
        </x14:dataValidation>
        <x14:dataValidation type="list" allowBlank="1" showInputMessage="1" showErrorMessage="1" xr:uid="{00000000-0002-0000-0200-000006000000}">
          <x14:formula1>
            <xm:f>'Lookup|Tables'!$G$17:$G$19</xm:f>
          </x14:formula1>
          <xm:sqref>G15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FFFF99"/>
  </sheetPr>
  <dimension ref="A1:AX100"/>
  <sheetViews>
    <sheetView showGridLines="0" workbookViewId="0">
      <selection activeCell="M1" sqref="M1"/>
    </sheetView>
  </sheetViews>
  <sheetFormatPr defaultColWidth="0" defaultRowHeight="0" customHeight="1" zeroHeight="1"/>
  <cols>
    <col min="1" max="2" width="1.5" style="8" customWidth="1"/>
    <col min="3" max="3" width="11.6640625" style="8" bestFit="1" customWidth="1"/>
    <col min="4" max="4" width="21.5" style="16" bestFit="1" customWidth="1"/>
    <col min="5" max="9" width="15" style="16" customWidth="1"/>
    <col min="10" max="12" width="3.33203125" style="16" customWidth="1"/>
    <col min="13" max="26" width="10.83203125" style="8" customWidth="1"/>
    <col min="27" max="41" width="10.5" style="8" hidden="1" customWidth="1"/>
    <col min="42" max="16384" width="10.5" style="8" hidden="1"/>
  </cols>
  <sheetData>
    <row r="1" spans="1:33" s="27" customFormat="1" ht="15.75">
      <c r="B1" s="25" t="str">
        <f>Index!$B$1</f>
        <v>AER opex model v2.4</v>
      </c>
      <c r="C1" s="25"/>
      <c r="D1" s="25"/>
      <c r="E1" s="25"/>
      <c r="F1" s="25"/>
      <c r="G1" s="25"/>
      <c r="H1" s="25"/>
      <c r="I1" s="26"/>
      <c r="J1" s="26"/>
      <c r="K1" s="26"/>
      <c r="L1" s="26"/>
      <c r="M1" s="186" t="s">
        <v>2</v>
      </c>
      <c r="O1" s="28" t="s">
        <v>3</v>
      </c>
      <c r="P1" s="46" t="s">
        <v>4</v>
      </c>
      <c r="Q1" s="11" t="s">
        <v>5</v>
      </c>
      <c r="R1" s="12" t="s">
        <v>6</v>
      </c>
      <c r="U1" s="28" t="s">
        <v>77</v>
      </c>
      <c r="V1" s="29" t="str">
        <f>IF(COUNTA($V$5:$V$89)=COUNTIF($V5:$V90,"OK"),"OK","Check")</f>
        <v>OK</v>
      </c>
      <c r="X1" s="187" t="s">
        <v>24</v>
      </c>
      <c r="Y1" s="29" t="str">
        <f>'Check|List'!$S$1</f>
        <v>Ok</v>
      </c>
    </row>
    <row r="2" spans="1:33" s="31" customFormat="1" ht="13.5" thickBot="1">
      <c r="B2" s="30" t="str">
        <f>Index!$C$8</f>
        <v>Input | Inflation</v>
      </c>
      <c r="C2" s="30"/>
      <c r="D2" s="30"/>
      <c r="E2" s="30"/>
      <c r="F2" s="30"/>
      <c r="G2" s="30"/>
      <c r="H2" s="30"/>
      <c r="I2" s="52"/>
      <c r="J2" s="52"/>
      <c r="K2" s="52"/>
      <c r="L2" s="52"/>
    </row>
    <row r="3" spans="1:33" s="6" customFormat="1" ht="3" customHeight="1">
      <c r="D3" s="21"/>
      <c r="E3" s="21"/>
      <c r="F3" s="21"/>
      <c r="G3" s="21"/>
      <c r="H3" s="21"/>
      <c r="I3" s="21"/>
      <c r="J3" s="21"/>
      <c r="K3" s="21"/>
      <c r="L3" s="21"/>
    </row>
    <row r="4" spans="1:33" customFormat="1" ht="12.75">
      <c r="A4" s="32"/>
      <c r="B4" s="38" t="s">
        <v>88</v>
      </c>
      <c r="C4" s="32"/>
      <c r="D4" s="32"/>
      <c r="E4" s="32"/>
      <c r="F4" s="32"/>
      <c r="G4" s="32"/>
      <c r="H4" s="32"/>
      <c r="I4" s="33"/>
      <c r="J4" s="33"/>
      <c r="K4" s="33"/>
      <c r="L4" s="33"/>
      <c r="M4" s="34"/>
      <c r="N4" s="35"/>
      <c r="O4" s="34"/>
      <c r="P4" s="35"/>
      <c r="Q4" s="34"/>
      <c r="R4" s="34"/>
      <c r="S4" s="34"/>
      <c r="T4" s="34"/>
      <c r="U4" s="34"/>
      <c r="V4" s="34"/>
      <c r="W4" s="34"/>
      <c r="X4" s="34"/>
      <c r="Y4" s="35"/>
      <c r="Z4" s="35"/>
      <c r="AA4" s="36"/>
      <c r="AB4" s="36"/>
      <c r="AC4" s="36"/>
      <c r="AD4" s="36"/>
      <c r="AE4" s="36"/>
      <c r="AF4" s="37"/>
      <c r="AG4" s="37"/>
    </row>
    <row r="5" spans="1:33" ht="11.25" customHeight="1"/>
    <row r="6" spans="1:33" ht="53.25">
      <c r="D6" s="47" t="s">
        <v>92</v>
      </c>
      <c r="E6" s="47" t="s">
        <v>92</v>
      </c>
      <c r="F6" s="47" t="s">
        <v>224</v>
      </c>
      <c r="G6" s="47" t="s">
        <v>186</v>
      </c>
      <c r="H6" s="47" t="s">
        <v>187</v>
      </c>
      <c r="I6" s="47" t="s">
        <v>123</v>
      </c>
      <c r="J6" s="47"/>
      <c r="K6" s="8"/>
      <c r="L6" s="8"/>
    </row>
    <row r="7" spans="1:33" ht="11.25">
      <c r="C7" s="9" t="s">
        <v>7</v>
      </c>
      <c r="D7" s="50" t="s">
        <v>90</v>
      </c>
      <c r="E7" s="50" t="s">
        <v>90</v>
      </c>
      <c r="F7" s="50" t="s">
        <v>90</v>
      </c>
      <c r="G7" s="50" t="s">
        <v>185</v>
      </c>
      <c r="H7" s="50" t="s">
        <v>30</v>
      </c>
      <c r="I7" s="50" t="s">
        <v>30</v>
      </c>
      <c r="J7" s="50"/>
      <c r="K7" s="8"/>
      <c r="L7" s="8"/>
    </row>
    <row r="8" spans="1:33" ht="11.25">
      <c r="C8" s="9" t="s">
        <v>8</v>
      </c>
      <c r="D8" s="50" t="s">
        <v>78</v>
      </c>
      <c r="E8" s="50" t="s">
        <v>78</v>
      </c>
      <c r="F8" s="50" t="s">
        <v>78</v>
      </c>
      <c r="G8" s="50" t="s">
        <v>16</v>
      </c>
      <c r="H8" s="50" t="s">
        <v>78</v>
      </c>
      <c r="I8" s="50" t="s">
        <v>16</v>
      </c>
      <c r="J8" s="50"/>
      <c r="K8" s="8"/>
      <c r="L8" s="8"/>
    </row>
    <row r="9" spans="1:33" ht="11.25">
      <c r="C9" s="49">
        <v>39172</v>
      </c>
      <c r="D9" s="48">
        <v>155.6</v>
      </c>
      <c r="E9" s="192"/>
      <c r="F9" s="192"/>
      <c r="G9" s="8"/>
      <c r="H9" s="117"/>
      <c r="I9" s="8"/>
      <c r="J9" s="8"/>
      <c r="K9" s="8"/>
      <c r="L9" s="8"/>
      <c r="V9" s="81" t="str">
        <f>IF(C9&gt;EOMONTH(DATE('Input|General'!$G$12,MONTH('Input|General'!$G$9),1),0),"Ok",IF(D9="","Check","Ok"))</f>
        <v>Ok</v>
      </c>
    </row>
    <row r="10" spans="1:33" ht="11.25">
      <c r="C10" s="49">
        <v>39263</v>
      </c>
      <c r="D10" s="48">
        <v>157.5</v>
      </c>
      <c r="E10" s="192"/>
      <c r="F10" s="192"/>
      <c r="G10" s="8"/>
      <c r="H10" s="117"/>
      <c r="I10" s="8"/>
      <c r="J10" s="8"/>
      <c r="K10" s="8"/>
      <c r="L10" s="8"/>
      <c r="V10" s="81" t="str">
        <f>IF(C10&gt;EOMONTH(DATE('Input|General'!$G$12,MONTH('Input|General'!$G$9),1),0),"Ok",IF(D10="","Check","Ok"))</f>
        <v>Ok</v>
      </c>
    </row>
    <row r="11" spans="1:33" ht="11.25">
      <c r="C11" s="49">
        <v>39355</v>
      </c>
      <c r="D11" s="48">
        <v>158.6</v>
      </c>
      <c r="E11" s="192"/>
      <c r="F11" s="192"/>
      <c r="G11" s="8"/>
      <c r="H11" s="117"/>
      <c r="I11" s="8"/>
      <c r="J11" s="8"/>
      <c r="K11" s="8"/>
      <c r="L11" s="8"/>
      <c r="V11" s="81" t="str">
        <f>IF(C11&gt;EOMONTH(DATE('Input|General'!$G$12,MONTH('Input|General'!$G$9),1),0),"Ok",IF(D11="","Check","Ok"))</f>
        <v>Ok</v>
      </c>
    </row>
    <row r="12" spans="1:33" ht="11.25">
      <c r="C12" s="49">
        <v>39447</v>
      </c>
      <c r="D12" s="48">
        <v>160.1</v>
      </c>
      <c r="E12" s="192"/>
      <c r="F12" s="192"/>
      <c r="G12" s="8"/>
      <c r="H12" s="117"/>
      <c r="I12" s="72"/>
      <c r="J12" s="8"/>
      <c r="K12" s="8"/>
      <c r="L12" s="8"/>
      <c r="V12" s="81" t="str">
        <f>IF(C12&gt;EOMONTH(DATE('Input|General'!$G$12,MONTH('Input|General'!$G$9),1),0),"Ok",IF(D12="","Check","Ok"))</f>
        <v>Ok</v>
      </c>
    </row>
    <row r="13" spans="1:33" ht="11.25">
      <c r="C13" s="49">
        <v>39538</v>
      </c>
      <c r="D13" s="48">
        <v>162.19999999999999</v>
      </c>
      <c r="E13" s="192"/>
      <c r="F13" s="192"/>
      <c r="G13" s="8"/>
      <c r="H13" s="117"/>
      <c r="I13" s="72"/>
      <c r="J13" s="8"/>
      <c r="K13" s="8"/>
      <c r="L13" s="8"/>
      <c r="V13" s="81" t="str">
        <f>IF(C13&gt;EOMONTH(DATE('Input|General'!$G$12,MONTH('Input|General'!$G$9),1),0),"Ok",IF(D13="","Check","Ok"))</f>
        <v>Ok</v>
      </c>
    </row>
    <row r="14" spans="1:33" ht="11.25">
      <c r="C14" s="49">
        <v>39629</v>
      </c>
      <c r="D14" s="48">
        <v>164.6</v>
      </c>
      <c r="E14" s="192"/>
      <c r="F14" s="192"/>
      <c r="G14" s="8"/>
      <c r="H14" s="117"/>
      <c r="I14" s="72"/>
      <c r="J14" s="8"/>
      <c r="K14" s="8"/>
      <c r="L14" s="8"/>
      <c r="V14" s="81" t="str">
        <f>IF(C14&gt;EOMONTH(DATE('Input|General'!$G$12,MONTH('Input|General'!$G$9),1),0),"Ok",IF(D14="","Check","Ok"))</f>
        <v>Ok</v>
      </c>
    </row>
    <row r="15" spans="1:33" ht="11.25">
      <c r="C15" s="49">
        <v>39721</v>
      </c>
      <c r="D15" s="48">
        <v>166.5</v>
      </c>
      <c r="E15" s="192"/>
      <c r="F15" s="192"/>
      <c r="G15" s="8"/>
      <c r="H15" s="117"/>
      <c r="I15" s="72"/>
      <c r="J15" s="8"/>
      <c r="K15" s="8"/>
      <c r="L15" s="8"/>
      <c r="V15" s="81" t="str">
        <f>IF(C15&gt;EOMONTH(DATE('Input|General'!$G$12,MONTH('Input|General'!$G$9),1),0),"Ok",IF(D15="","Check","Ok"))</f>
        <v>Ok</v>
      </c>
    </row>
    <row r="16" spans="1:33" ht="11.25">
      <c r="C16" s="49">
        <v>39813</v>
      </c>
      <c r="D16" s="48">
        <v>166</v>
      </c>
      <c r="E16" s="192"/>
      <c r="F16" s="192"/>
      <c r="G16" s="8"/>
      <c r="H16" s="117"/>
      <c r="I16" s="72"/>
      <c r="J16" s="8"/>
      <c r="K16" s="8"/>
      <c r="L16" s="8"/>
      <c r="V16" s="81" t="str">
        <f>IF(C16&gt;EOMONTH(DATE('Input|General'!$G$12,MONTH('Input|General'!$G$9),1),0),"Ok",IF(D16="","Check","Ok"))</f>
        <v>Ok</v>
      </c>
    </row>
    <row r="17" spans="3:22" ht="11.25">
      <c r="C17" s="49">
        <v>39903</v>
      </c>
      <c r="D17" s="48">
        <v>166.2</v>
      </c>
      <c r="E17" s="192"/>
      <c r="F17" s="192"/>
      <c r="G17" s="8"/>
      <c r="H17" s="117"/>
      <c r="I17" s="72"/>
      <c r="J17" s="8"/>
      <c r="K17" s="8"/>
      <c r="L17" s="8"/>
      <c r="V17" s="81" t="str">
        <f>IF(C17&gt;EOMONTH(DATE('Input|General'!$G$12,MONTH('Input|General'!$G$9),1),0),"Ok",IF(D17="","Check","Ok"))</f>
        <v>Ok</v>
      </c>
    </row>
    <row r="18" spans="3:22" ht="11.25">
      <c r="C18" s="49">
        <v>39994</v>
      </c>
      <c r="D18" s="48">
        <v>167</v>
      </c>
      <c r="E18" s="192"/>
      <c r="F18" s="192"/>
      <c r="G18" s="8"/>
      <c r="H18" s="117"/>
      <c r="I18" s="72"/>
      <c r="J18" s="8"/>
      <c r="K18" s="8"/>
      <c r="L18" s="8"/>
      <c r="V18" s="81" t="str">
        <f>IF(C18&gt;EOMONTH(DATE('Input|General'!$G$12,MONTH('Input|General'!$G$9),1),0),"Ok",IF(D18="","Check","Ok"))</f>
        <v>Ok</v>
      </c>
    </row>
    <row r="19" spans="3:22" ht="11.25">
      <c r="C19" s="49">
        <v>40086</v>
      </c>
      <c r="D19" s="48">
        <v>168.6</v>
      </c>
      <c r="E19" s="192"/>
      <c r="F19" s="192"/>
      <c r="G19" s="8"/>
      <c r="H19" s="117"/>
      <c r="I19" s="72"/>
      <c r="J19" s="8"/>
      <c r="K19" s="8"/>
      <c r="L19" s="8"/>
      <c r="V19" s="81" t="str">
        <f>IF(C19&gt;EOMONTH(DATE('Input|General'!$G$12,MONTH('Input|General'!$G$9),1),0),"Ok",IF(D19="","Check","Ok"))</f>
        <v>Ok</v>
      </c>
    </row>
    <row r="20" spans="3:22" ht="11.25">
      <c r="C20" s="49">
        <v>40178</v>
      </c>
      <c r="D20" s="48">
        <v>169.5</v>
      </c>
      <c r="E20" s="192"/>
      <c r="F20" s="192"/>
      <c r="G20" s="8"/>
      <c r="H20" s="117"/>
      <c r="I20" s="72"/>
      <c r="J20" s="8"/>
      <c r="K20" s="8"/>
      <c r="L20" s="8"/>
      <c r="V20" s="81" t="str">
        <f>IF(C20&gt;EOMONTH(DATE('Input|General'!$G$12,MONTH('Input|General'!$G$9),1),0),"Ok",IF(D20="","Check","Ok"))</f>
        <v>Ok</v>
      </c>
    </row>
    <row r="21" spans="3:22" ht="11.25">
      <c r="C21" s="49">
        <v>40268</v>
      </c>
      <c r="D21" s="48">
        <v>171</v>
      </c>
      <c r="E21" s="48">
        <v>95.2</v>
      </c>
      <c r="F21" s="48">
        <f t="shared" ref="F21:F82" si="0">E21*0.6945</f>
        <v>66.116399999999999</v>
      </c>
      <c r="G21" s="117"/>
      <c r="H21" s="117">
        <f>IF(F21="",IF(COUNT(G21:G$88)=0,"",IF(ISBLANK(G21),AVERAGE(H20,H22),(1+G21)*H17)),F21)</f>
        <v>66.116399999999999</v>
      </c>
      <c r="I21" s="72"/>
      <c r="J21" s="108"/>
      <c r="K21" s="8"/>
      <c r="L21" s="8"/>
      <c r="V21" s="81" t="str">
        <f>IF(C21&gt;EOMONTH(DATE('Input|General'!$G$12,MONTH('Input|General'!$G$9),1),0),"Ok",IF(D21="","Check","Ok"))</f>
        <v>Ok</v>
      </c>
    </row>
    <row r="22" spans="3:22" ht="11.25">
      <c r="C22" s="49">
        <v>40359</v>
      </c>
      <c r="D22" s="48">
        <v>172.1</v>
      </c>
      <c r="E22" s="48">
        <v>95.8</v>
      </c>
      <c r="F22" s="48">
        <f t="shared" si="0"/>
        <v>66.533100000000005</v>
      </c>
      <c r="G22" s="117"/>
      <c r="H22" s="117">
        <f>IF(F22="",IF(COUNT(G22:G$88)=0,"",IF(ISBLANK(G22),AVERAGE(H21,H23),(1+G22)*H18)),F22)</f>
        <v>66.533100000000005</v>
      </c>
      <c r="I22" s="72"/>
      <c r="J22" s="108"/>
      <c r="K22" s="8"/>
      <c r="L22" s="8"/>
      <c r="V22" s="81" t="str">
        <f>IF(C22&gt;EOMONTH(DATE('Input|General'!$G$12,MONTH('Input|General'!$G$9),1),0),"Ok",IF(D22="","Check","Ok"))</f>
        <v>Ok</v>
      </c>
    </row>
    <row r="23" spans="3:22" ht="11.25">
      <c r="C23" s="49">
        <v>40451</v>
      </c>
      <c r="D23" s="48">
        <v>173.3</v>
      </c>
      <c r="E23" s="48">
        <v>96.5</v>
      </c>
      <c r="F23" s="48">
        <f t="shared" si="0"/>
        <v>67.01925</v>
      </c>
      <c r="G23" s="117"/>
      <c r="H23" s="117">
        <f>IF(F23="",IF(COUNT(G23:G$88)=0,"",IF(ISBLANK(G23),AVERAGE(H22,H24),(1+G23)*H19)),F23)</f>
        <v>67.01925</v>
      </c>
      <c r="I23" s="72"/>
      <c r="J23" s="108"/>
      <c r="K23" s="8"/>
      <c r="L23" s="8"/>
      <c r="V23" s="81" t="str">
        <f>IF(C23&gt;EOMONTH(DATE('Input|General'!$G$12,MONTH('Input|General'!$G$9),1),0),"Ok",IF(D23="","Check","Ok"))</f>
        <v>Ok</v>
      </c>
    </row>
    <row r="24" spans="3:22" ht="11.25">
      <c r="C24" s="49">
        <v>40543</v>
      </c>
      <c r="D24" s="48">
        <v>174</v>
      </c>
      <c r="E24" s="48">
        <v>96.9</v>
      </c>
      <c r="F24" s="48">
        <f t="shared" si="0"/>
        <v>67.297049999999999</v>
      </c>
      <c r="G24" s="117"/>
      <c r="H24" s="117">
        <f>IF(F24="",IF(COUNT(G24:G$88)=0,"",IF(ISBLANK(G24),AVERAGE(H23,H25),(1+G24)*H20)),F24)</f>
        <v>67.297049999999999</v>
      </c>
      <c r="I24" s="72"/>
      <c r="J24" s="108"/>
      <c r="K24" s="8"/>
      <c r="L24" s="8"/>
      <c r="V24" s="81" t="str">
        <f>IF(C24&gt;EOMONTH(DATE('Input|General'!$G$12,MONTH('Input|General'!$G$9),1),0),"Ok",IF(D24="","Check","Ok"))</f>
        <v>Ok</v>
      </c>
    </row>
    <row r="25" spans="3:22" ht="11.25">
      <c r="C25" s="49">
        <v>40633</v>
      </c>
      <c r="D25" s="48">
        <v>176.7</v>
      </c>
      <c r="E25" s="48">
        <v>98.3</v>
      </c>
      <c r="F25" s="48">
        <f t="shared" si="0"/>
        <v>68.269350000000003</v>
      </c>
      <c r="G25" s="117"/>
      <c r="H25" s="117">
        <f>IF(F25="",IF(COUNT(G25:G$88)=0,"",IF(ISBLANK(G25),AVERAGE(H24,H26),(1+G25)*H21)),F25)</f>
        <v>68.269350000000003</v>
      </c>
      <c r="I25" s="72">
        <f t="shared" ref="I25:I74" si="1">IF(H25="","",H25/H21-1)</f>
        <v>3.256302521008414E-2</v>
      </c>
      <c r="J25" s="108"/>
      <c r="K25" s="8"/>
      <c r="L25" s="8"/>
      <c r="V25" s="81" t="str">
        <f>IF(C25&gt;EOMONTH(DATE('Input|General'!$G$12,MONTH('Input|General'!$G$9),1),0),"Ok",IF(D25="","Check","Ok"))</f>
        <v>Ok</v>
      </c>
    </row>
    <row r="26" spans="3:22" ht="11.25">
      <c r="C26" s="49">
        <v>40724</v>
      </c>
      <c r="D26" s="48">
        <v>178.3</v>
      </c>
      <c r="E26" s="48">
        <v>99.2</v>
      </c>
      <c r="F26" s="48">
        <f t="shared" si="0"/>
        <v>68.894400000000005</v>
      </c>
      <c r="G26" s="117"/>
      <c r="H26" s="117">
        <f>IF(F26="",IF(COUNT(G26:G$88)=0,"",IF(ISBLANK(G26),AVERAGE(H25,H27),(1+G26)*H22)),F26)</f>
        <v>68.894400000000005</v>
      </c>
      <c r="I26" s="72">
        <f t="shared" si="1"/>
        <v>3.5490605427974886E-2</v>
      </c>
      <c r="J26" s="108"/>
      <c r="K26" s="8"/>
      <c r="L26" s="8"/>
      <c r="V26" s="81" t="str">
        <f>IF(C26&gt;EOMONTH(DATE('Input|General'!$G$12,MONTH('Input|General'!$G$9),1),0),"Ok",IF(D26="","Check","Ok"))</f>
        <v>Ok</v>
      </c>
    </row>
    <row r="27" spans="3:22" ht="11.25">
      <c r="C27" s="49">
        <v>40816</v>
      </c>
      <c r="D27" s="48">
        <v>179.4</v>
      </c>
      <c r="E27" s="48">
        <v>99.8</v>
      </c>
      <c r="F27" s="48">
        <f t="shared" si="0"/>
        <v>69.311099999999996</v>
      </c>
      <c r="G27" s="117"/>
      <c r="H27" s="117">
        <f>IF(F27="",IF(COUNT(G27:G$88)=0,"",IF(ISBLANK(G27),AVERAGE(H26,H28),(1+G27)*H23)),F27)</f>
        <v>69.311099999999996</v>
      </c>
      <c r="I27" s="72">
        <f t="shared" si="1"/>
        <v>3.4196891191709877E-2</v>
      </c>
      <c r="J27" s="108"/>
      <c r="K27" s="8"/>
      <c r="L27" s="8"/>
      <c r="V27" s="81" t="str">
        <f>IF(C27&gt;EOMONTH(DATE('Input|General'!$G$12,MONTH('Input|General'!$G$9),1),0),"Ok",IF(D27="","Check","Ok"))</f>
        <v>Ok</v>
      </c>
    </row>
    <row r="28" spans="3:22" ht="11.25">
      <c r="C28" s="49">
        <v>40908</v>
      </c>
      <c r="D28" s="48">
        <v>179.4</v>
      </c>
      <c r="E28" s="48">
        <v>99.8</v>
      </c>
      <c r="F28" s="48">
        <f t="shared" si="0"/>
        <v>69.311099999999996</v>
      </c>
      <c r="G28" s="117"/>
      <c r="H28" s="117">
        <f>IF(F28="",IF(COUNT(G28:G$88)=0,"",IF(ISBLANK(G28),AVERAGE(H27,H29),(1+G28)*H24)),F28)</f>
        <v>69.311099999999996</v>
      </c>
      <c r="I28" s="72">
        <f t="shared" si="1"/>
        <v>2.9927760577915352E-2</v>
      </c>
      <c r="J28" s="108"/>
      <c r="K28" s="8"/>
      <c r="L28" s="8"/>
      <c r="V28" s="81" t="str">
        <f>IF(C28&gt;EOMONTH(DATE('Input|General'!$G$12,MONTH('Input|General'!$G$9),1),0),"Ok",IF(D28="","Check","Ok"))</f>
        <v>Ok</v>
      </c>
    </row>
    <row r="29" spans="3:22" ht="11.25">
      <c r="C29" s="49">
        <v>40999</v>
      </c>
      <c r="D29" s="48">
        <v>179.5</v>
      </c>
      <c r="E29" s="48">
        <v>99.9</v>
      </c>
      <c r="F29" s="48">
        <f t="shared" si="0"/>
        <v>69.380549999999999</v>
      </c>
      <c r="G29" s="117"/>
      <c r="H29" s="117">
        <f>IF(F29="",IF(COUNT(G29:G$88)=0,"",IF(ISBLANK(G29),AVERAGE(H28,H30),(1+G29)*H25)),F29)</f>
        <v>69.380549999999999</v>
      </c>
      <c r="I29" s="72">
        <f t="shared" si="1"/>
        <v>1.6276703967446515E-2</v>
      </c>
      <c r="J29" s="108"/>
      <c r="K29" s="8"/>
      <c r="L29" s="8"/>
      <c r="V29" s="81" t="str">
        <f>IF(C29&gt;EOMONTH(DATE('Input|General'!$G$12,MONTH('Input|General'!$G$9),1),0),"Ok",IF(D29="","Check","Ok"))</f>
        <v>Ok</v>
      </c>
    </row>
    <row r="30" spans="3:22" ht="11.25">
      <c r="C30" s="49">
        <v>41090</v>
      </c>
      <c r="D30" s="8"/>
      <c r="E30" s="48">
        <v>100.4</v>
      </c>
      <c r="F30" s="48">
        <f t="shared" si="0"/>
        <v>69.727800000000002</v>
      </c>
      <c r="G30" s="117"/>
      <c r="H30" s="117">
        <f>IF(F30="",IF(COUNT(G30:G$88)=0,"",IF(ISBLANK(G30),AVERAGE(H29,H31),(1+G30)*H26)),F30)</f>
        <v>69.727800000000002</v>
      </c>
      <c r="I30" s="72">
        <f t="shared" si="1"/>
        <v>1.2096774193548265E-2</v>
      </c>
      <c r="J30" s="108"/>
      <c r="K30" s="8"/>
      <c r="L30" s="8"/>
      <c r="V30" s="81" t="str">
        <f>IF(C30&gt;EOMONTH(DATE('Input|General'!$G$12,MONTH('Input|General'!$G$9),1),0),"Ok",IF(I30="","Check","Ok"))</f>
        <v>Ok</v>
      </c>
    </row>
    <row r="31" spans="3:22" ht="11.25">
      <c r="C31" s="49">
        <v>41182</v>
      </c>
      <c r="D31" s="8"/>
      <c r="E31" s="48">
        <v>101.8</v>
      </c>
      <c r="F31" s="48">
        <f t="shared" si="0"/>
        <v>70.700099999999992</v>
      </c>
      <c r="G31" s="117"/>
      <c r="H31" s="117">
        <f>IF(F31="",IF(COUNT(G31:G$88)=0,"",IF(ISBLANK(G31),AVERAGE(H30,H32),(1+G31)*H27)),F31)</f>
        <v>70.700099999999992</v>
      </c>
      <c r="I31" s="72">
        <f t="shared" si="1"/>
        <v>2.0040080160320661E-2</v>
      </c>
      <c r="J31" s="108"/>
      <c r="K31" s="8"/>
      <c r="L31" s="8"/>
      <c r="V31" s="81" t="str">
        <f>IF(C31&gt;EOMONTH(DATE('Input|General'!$G$12,MONTH('Input|General'!$G$9),1),0),"Ok",IF(I31="","Check","Ok"))</f>
        <v>Ok</v>
      </c>
    </row>
    <row r="32" spans="3:22" ht="11.25">
      <c r="C32" s="49">
        <v>41274</v>
      </c>
      <c r="D32" s="8"/>
      <c r="E32" s="48">
        <v>102</v>
      </c>
      <c r="F32" s="48">
        <f t="shared" si="0"/>
        <v>70.838999999999999</v>
      </c>
      <c r="G32" s="117"/>
      <c r="H32" s="117">
        <f>IF(F32="",IF(COUNT(G32:G$88)=0,"",IF(ISBLANK(G32),AVERAGE(H31,H33),(1+G32)*H28)),F32)</f>
        <v>70.838999999999999</v>
      </c>
      <c r="I32" s="72">
        <f t="shared" si="1"/>
        <v>2.2044088176352838E-2</v>
      </c>
      <c r="J32" s="108"/>
      <c r="K32" s="8"/>
      <c r="L32" s="8"/>
      <c r="V32" s="81" t="str">
        <f>IF(C32&gt;EOMONTH(DATE('Input|General'!$G$12,MONTH('Input|General'!$G$9),1),0),"Ok",IF(I32="","Check","Ok"))</f>
        <v>Ok</v>
      </c>
    </row>
    <row r="33" spans="3:22" ht="11.25">
      <c r="C33" s="49">
        <v>41364</v>
      </c>
      <c r="D33" s="8"/>
      <c r="E33" s="48">
        <v>102.4</v>
      </c>
      <c r="F33" s="48">
        <f t="shared" si="0"/>
        <v>71.116799999999998</v>
      </c>
      <c r="G33" s="117"/>
      <c r="H33" s="117">
        <f>IF(F33="",IF(COUNT(G33:G$88)=0,"",IF(ISBLANK(G33),AVERAGE(H32,H34),(1+G33)*H29)),F33)</f>
        <v>71.116799999999998</v>
      </c>
      <c r="I33" s="72">
        <f t="shared" si="1"/>
        <v>2.5025025025025016E-2</v>
      </c>
      <c r="J33" s="108"/>
      <c r="K33" s="8"/>
      <c r="L33" s="8"/>
      <c r="V33" s="81" t="str">
        <f>IF(C33&gt;EOMONTH(DATE('Input|General'!$G$12,MONTH('Input|General'!$G$9),1),0),"Ok",IF(I33="","Check","Ok"))</f>
        <v>Ok</v>
      </c>
    </row>
    <row r="34" spans="3:22" ht="11.25">
      <c r="C34" s="49">
        <v>41455</v>
      </c>
      <c r="D34" s="8"/>
      <c r="E34" s="48">
        <v>102.8</v>
      </c>
      <c r="F34" s="48">
        <f t="shared" si="0"/>
        <v>71.394599999999997</v>
      </c>
      <c r="G34" s="117"/>
      <c r="H34" s="117">
        <f>IF(F34="",IF(COUNT(G34:G$88)=0,"",IF(ISBLANK(G34),AVERAGE(H33,H35),(1+G34)*H30)),F34)</f>
        <v>71.394599999999997</v>
      </c>
      <c r="I34" s="72">
        <f t="shared" si="1"/>
        <v>2.3904382470119501E-2</v>
      </c>
      <c r="J34" s="108"/>
      <c r="K34" s="8"/>
      <c r="L34" s="8"/>
      <c r="V34" s="81" t="str">
        <f>IF(C34&gt;EOMONTH(DATE('Input|General'!$G$12,MONTH('Input|General'!$G$9),1),0),"Ok",IF(I34="","Check","Ok"))</f>
        <v>Ok</v>
      </c>
    </row>
    <row r="35" spans="3:22" ht="11.25">
      <c r="C35" s="49">
        <v>41547</v>
      </c>
      <c r="D35" s="8"/>
      <c r="E35" s="48">
        <v>104</v>
      </c>
      <c r="F35" s="48">
        <f t="shared" si="0"/>
        <v>72.227999999999994</v>
      </c>
      <c r="G35" s="117"/>
      <c r="H35" s="117">
        <f>IF(F35="",IF(COUNT(G35:G$88)=0,"",IF(ISBLANK(G35),AVERAGE(H34,H36),(1+G35)*H31)),F35)</f>
        <v>72.227999999999994</v>
      </c>
      <c r="I35" s="72">
        <f t="shared" si="1"/>
        <v>2.16110019646365E-2</v>
      </c>
      <c r="J35" s="108"/>
      <c r="K35" s="8"/>
      <c r="L35" s="8"/>
      <c r="V35" s="81" t="str">
        <f>IF(C35&gt;EOMONTH(DATE('Input|General'!$G$12,MONTH('Input|General'!$G$9),1),0),"Ok",IF(I35="","Check","Ok"))</f>
        <v>Ok</v>
      </c>
    </row>
    <row r="36" spans="3:22" ht="11.25">
      <c r="C36" s="49">
        <v>41639</v>
      </c>
      <c r="D36" s="8"/>
      <c r="E36" s="48">
        <v>104.8</v>
      </c>
      <c r="F36" s="48">
        <f t="shared" si="0"/>
        <v>72.783599999999993</v>
      </c>
      <c r="G36" s="117"/>
      <c r="H36" s="117">
        <f>IF(F36="",IF(COUNT(G36:G$88)=0,"",IF(ISBLANK(G36),AVERAGE(H35,H37),(1+G36)*H32)),F36)</f>
        <v>72.783599999999993</v>
      </c>
      <c r="I36" s="72">
        <f t="shared" si="1"/>
        <v>2.7450980392156765E-2</v>
      </c>
      <c r="J36" s="108"/>
      <c r="K36" s="8"/>
      <c r="L36" s="8"/>
      <c r="V36" s="81" t="str">
        <f>IF(C36&gt;EOMONTH(DATE('Input|General'!$G$12,MONTH('Input|General'!$G$9),1),0),"Ok",IF(I36="","Check","Ok"))</f>
        <v>Ok</v>
      </c>
    </row>
    <row r="37" spans="3:22" ht="11.25">
      <c r="C37" s="49">
        <v>41729</v>
      </c>
      <c r="D37" s="8"/>
      <c r="E37" s="48">
        <v>105.4</v>
      </c>
      <c r="F37" s="48">
        <f t="shared" si="0"/>
        <v>73.200299999999999</v>
      </c>
      <c r="G37" s="117"/>
      <c r="H37" s="117">
        <f>IF(F37="",IF(COUNT(G37:G$88)=0,"",IF(ISBLANK(G37),AVERAGE(H36,H38),(1+G37)*H33)),F37)</f>
        <v>73.200299999999999</v>
      </c>
      <c r="I37" s="72">
        <f t="shared" si="1"/>
        <v>2.9296875E-2</v>
      </c>
      <c r="J37" s="108"/>
      <c r="K37" s="8"/>
      <c r="L37" s="8"/>
      <c r="V37" s="81" t="str">
        <f>IF(C37&gt;EOMONTH(DATE('Input|General'!$G$12,MONTH('Input|General'!$G$9),1),0),"Ok",IF(I37="","Check","Ok"))</f>
        <v>Ok</v>
      </c>
    </row>
    <row r="38" spans="3:22" ht="11.25">
      <c r="C38" s="49">
        <v>41820</v>
      </c>
      <c r="D38" s="8"/>
      <c r="E38" s="48">
        <v>105.9</v>
      </c>
      <c r="F38" s="48">
        <f t="shared" si="0"/>
        <v>73.547550000000001</v>
      </c>
      <c r="G38" s="117"/>
      <c r="H38" s="117">
        <f>IF(F38="",IF(COUNT(G38:G$88)=0,"",IF(ISBLANK(G38),AVERAGE(H37,H39),(1+G38)*H34)),F38)</f>
        <v>73.547550000000001</v>
      </c>
      <c r="I38" s="72">
        <f t="shared" si="1"/>
        <v>3.0155642023346418E-2</v>
      </c>
      <c r="J38" s="108"/>
      <c r="K38" s="8"/>
      <c r="L38" s="8"/>
      <c r="V38" s="81" t="str">
        <f>IF(C38&gt;EOMONTH(DATE('Input|General'!$G$12,MONTH('Input|General'!$G$9),1),0),"Ok",IF(I38="","Check","Ok"))</f>
        <v>Ok</v>
      </c>
    </row>
    <row r="39" spans="3:22" ht="11.25">
      <c r="C39" s="49">
        <v>41912</v>
      </c>
      <c r="D39" s="8"/>
      <c r="E39" s="48">
        <v>106.4</v>
      </c>
      <c r="F39" s="48">
        <f t="shared" si="0"/>
        <v>73.894800000000004</v>
      </c>
      <c r="G39" s="117"/>
      <c r="H39" s="117">
        <f>IF(F39="",IF(COUNT(G39:G$88)=0,"",IF(ISBLANK(G39),AVERAGE(H38,H40),(1+G39)*H35)),F39)</f>
        <v>73.894800000000004</v>
      </c>
      <c r="I39" s="72">
        <f t="shared" si="1"/>
        <v>2.3076923076923217E-2</v>
      </c>
      <c r="J39" s="108"/>
      <c r="K39" s="8"/>
      <c r="L39" s="8"/>
      <c r="V39" s="81" t="str">
        <f>IF(C39&gt;EOMONTH(DATE('Input|General'!$G$12,MONTH('Input|General'!$G$9),1),0),"Ok",IF(I39="","Check","Ok"))</f>
        <v>Ok</v>
      </c>
    </row>
    <row r="40" spans="3:22" ht="11.25">
      <c r="C40" s="49">
        <v>42004</v>
      </c>
      <c r="D40" s="8"/>
      <c r="E40" s="48">
        <v>106.6</v>
      </c>
      <c r="F40" s="48">
        <f t="shared" si="0"/>
        <v>74.033699999999996</v>
      </c>
      <c r="G40" s="117"/>
      <c r="H40" s="117">
        <f>IF(F40="",IF(COUNT(G40:G$88)=0,"",IF(ISBLANK(G40),AVERAGE(H39,H41),(1+G40)*H36)),F40)</f>
        <v>74.033699999999996</v>
      </c>
      <c r="I40" s="72">
        <f t="shared" si="1"/>
        <v>1.7175572519084081E-2</v>
      </c>
      <c r="J40" s="108"/>
      <c r="K40" s="8"/>
      <c r="L40" s="8"/>
      <c r="V40" s="81" t="str">
        <f>IF(C40&gt;EOMONTH(DATE('Input|General'!$G$12,MONTH('Input|General'!$G$9),1),0),"Ok",IF(I40="","Check","Ok"))</f>
        <v>Ok</v>
      </c>
    </row>
    <row r="41" spans="3:22" ht="11.25">
      <c r="C41" s="49">
        <v>42094</v>
      </c>
      <c r="D41" s="8"/>
      <c r="E41" s="48">
        <v>106.8</v>
      </c>
      <c r="F41" s="48">
        <f t="shared" si="0"/>
        <v>74.172600000000003</v>
      </c>
      <c r="G41" s="117"/>
      <c r="H41" s="117">
        <f>IF(F41="",IF(COUNT(G41:G$88)=0,"",IF(ISBLANK(G41),AVERAGE(H40,H42),(1+G41)*H37)),F41)</f>
        <v>74.172600000000003</v>
      </c>
      <c r="I41" s="72">
        <f t="shared" si="1"/>
        <v>1.3282732447817969E-2</v>
      </c>
      <c r="J41" s="108"/>
      <c r="K41" s="8"/>
      <c r="L41" s="8"/>
      <c r="V41" s="81" t="str">
        <f>IF(C41&gt;EOMONTH(DATE('Input|General'!$G$12,MONTH('Input|General'!$G$9),1),0),"Ok",IF(I41="","Check","Ok"))</f>
        <v>Ok</v>
      </c>
    </row>
    <row r="42" spans="3:22" ht="11.25">
      <c r="C42" s="49">
        <v>42185</v>
      </c>
      <c r="D42" s="8"/>
      <c r="E42" s="48">
        <v>107.5</v>
      </c>
      <c r="F42" s="48">
        <f t="shared" si="0"/>
        <v>74.658749999999998</v>
      </c>
      <c r="G42" s="117"/>
      <c r="H42" s="117">
        <f>IF(F42="",IF(COUNT(G42:G$88)=0,"",IF(ISBLANK(G42),AVERAGE(H41,H43),(1+G42)*H38)),F42)</f>
        <v>74.658749999999998</v>
      </c>
      <c r="I42" s="72">
        <f t="shared" si="1"/>
        <v>1.5108593012275628E-2</v>
      </c>
      <c r="J42" s="108"/>
      <c r="K42" s="8"/>
      <c r="L42" s="8"/>
      <c r="V42" s="81" t="str">
        <f>IF(C42&gt;EOMONTH(DATE('Input|General'!$G$12,MONTH('Input|General'!$G$9),1),0),"Ok",IF(I42="","Check","Ok"))</f>
        <v>Ok</v>
      </c>
    </row>
    <row r="43" spans="3:22" ht="11.25">
      <c r="C43" s="49">
        <v>42277</v>
      </c>
      <c r="D43" s="8"/>
      <c r="E43" s="48">
        <v>108</v>
      </c>
      <c r="F43" s="48">
        <f t="shared" si="0"/>
        <v>75.006</v>
      </c>
      <c r="G43" s="117"/>
      <c r="H43" s="117">
        <f>IF(F43="",IF(COUNT(G43:G$88)=0,"",IF(ISBLANK(G43),AVERAGE(H42,H44),(1+G43)*H39)),F43)</f>
        <v>75.006</v>
      </c>
      <c r="I43" s="72">
        <f t="shared" si="1"/>
        <v>1.5037593984962294E-2</v>
      </c>
      <c r="J43" s="108"/>
      <c r="K43" s="8"/>
      <c r="L43" s="8"/>
      <c r="V43" s="81" t="str">
        <f>IF(C43&gt;EOMONTH(DATE('Input|General'!$G$12,MONTH('Input|General'!$G$9),1),0),"Ok",IF(I43="","Check","Ok"))</f>
        <v>Ok</v>
      </c>
    </row>
    <row r="44" spans="3:22" ht="11.25">
      <c r="C44" s="49">
        <v>42369</v>
      </c>
      <c r="D44" s="8"/>
      <c r="E44" s="48">
        <v>108.4</v>
      </c>
      <c r="F44" s="48">
        <f t="shared" si="0"/>
        <v>75.283799999999999</v>
      </c>
      <c r="G44" s="117"/>
      <c r="H44" s="117">
        <f>IF(F44="",IF(COUNT(G44:G$88)=0,"",IF(ISBLANK(G44),AVERAGE(H43,H45),(1+G44)*H40)),F44)</f>
        <v>75.283799999999999</v>
      </c>
      <c r="I44" s="72">
        <f t="shared" si="1"/>
        <v>1.6885553470919357E-2</v>
      </c>
      <c r="J44" s="108"/>
      <c r="K44" s="8"/>
      <c r="L44" s="8"/>
      <c r="V44" s="81" t="str">
        <f>IF(C44&gt;EOMONTH(DATE('Input|General'!$G$12,MONTH('Input|General'!$G$9),1),0),"Ok",IF(I44="","Check","Ok"))</f>
        <v>Ok</v>
      </c>
    </row>
    <row r="45" spans="3:22" ht="11.25">
      <c r="C45" s="49">
        <v>42460</v>
      </c>
      <c r="D45" s="8"/>
      <c r="E45" s="48">
        <v>108.2</v>
      </c>
      <c r="F45" s="48">
        <f t="shared" si="0"/>
        <v>75.144900000000007</v>
      </c>
      <c r="G45" s="117"/>
      <c r="H45" s="117">
        <f>IF(F45="",IF(COUNT(G45:G$88)=0,"",IF(ISBLANK(G45),AVERAGE(H44,H46),(1+G45)*H41)),F45)</f>
        <v>75.144900000000007</v>
      </c>
      <c r="I45" s="72">
        <f t="shared" si="1"/>
        <v>1.3108614232209881E-2</v>
      </c>
      <c r="J45" s="108"/>
      <c r="K45" s="8"/>
      <c r="L45" s="8"/>
      <c r="V45" s="81" t="str">
        <f>IF(C45&gt;EOMONTH(DATE('Input|General'!$G$12,MONTH('Input|General'!$G$9),1),0),"Ok",IF(I45="","Check","Ok"))</f>
        <v>Ok</v>
      </c>
    </row>
    <row r="46" spans="3:22" ht="11.25">
      <c r="C46" s="49">
        <v>42551</v>
      </c>
      <c r="D46" s="8"/>
      <c r="E46" s="48">
        <v>108.6</v>
      </c>
      <c r="F46" s="48">
        <f t="shared" si="0"/>
        <v>75.422699999999992</v>
      </c>
      <c r="G46" s="117"/>
      <c r="H46" s="117">
        <f>IF(F46="",IF(COUNT(G46:G$88)=0,"",IF(ISBLANK(G46),AVERAGE(H45,H47),(1+G46)*H42)),F46)</f>
        <v>75.422699999999992</v>
      </c>
      <c r="I46" s="72">
        <f t="shared" si="1"/>
        <v>1.0232558139534831E-2</v>
      </c>
      <c r="J46" s="108"/>
      <c r="K46" s="8"/>
      <c r="L46" s="8"/>
      <c r="V46" s="81" t="str">
        <f>IF(C46&gt;EOMONTH(DATE('Input|General'!$G$12,MONTH('Input|General'!$G$9),1),0),"Ok",IF(I46="","Check","Ok"))</f>
        <v>Ok</v>
      </c>
    </row>
    <row r="47" spans="3:22" ht="11.25">
      <c r="C47" s="49">
        <v>42643</v>
      </c>
      <c r="D47" s="8"/>
      <c r="E47" s="48">
        <v>109.4</v>
      </c>
      <c r="F47" s="48">
        <f t="shared" si="0"/>
        <v>75.978300000000004</v>
      </c>
      <c r="G47" s="117"/>
      <c r="H47" s="117">
        <f>IF(F47="",IF(COUNT(G47:G$88)=0,"",IF(ISBLANK(G47),AVERAGE(H46,H48),(1+G47)*H43)),F47)</f>
        <v>75.978300000000004</v>
      </c>
      <c r="I47" s="72">
        <f t="shared" si="1"/>
        <v>1.2962962962963065E-2</v>
      </c>
      <c r="J47" s="108"/>
      <c r="K47" s="8"/>
      <c r="L47" s="8"/>
      <c r="V47" s="81" t="str">
        <f>IF(C47&gt;EOMONTH(DATE('Input|General'!$G$12,MONTH('Input|General'!$G$9),1),0),"Ok",IF(I47="","Check","Ok"))</f>
        <v>Ok</v>
      </c>
    </row>
    <row r="48" spans="3:22" ht="11.25">
      <c r="C48" s="49">
        <v>42735</v>
      </c>
      <c r="D48" s="8"/>
      <c r="E48" s="48">
        <v>110</v>
      </c>
      <c r="F48" s="48">
        <f t="shared" si="0"/>
        <v>76.394999999999996</v>
      </c>
      <c r="G48" s="117"/>
      <c r="H48" s="117">
        <f>IF(F48="",IF(COUNT(G48:G$88)=0,"",IF(ISBLANK(G48),AVERAGE(H47,H49),(1+G48)*H44)),F48)</f>
        <v>76.394999999999996</v>
      </c>
      <c r="I48" s="72">
        <f t="shared" si="1"/>
        <v>1.4760147601476037E-2</v>
      </c>
      <c r="J48" s="108"/>
      <c r="K48" s="8"/>
      <c r="L48" s="8"/>
      <c r="V48" s="81" t="str">
        <f>IF(C48&gt;EOMONTH(DATE('Input|General'!$G$12,MONTH('Input|General'!$G$9),1),0),"Ok",IF(I48="","Check","Ok"))</f>
        <v>Ok</v>
      </c>
    </row>
    <row r="49" spans="3:22" ht="11.25">
      <c r="C49" s="49">
        <v>42825</v>
      </c>
      <c r="D49" s="8"/>
      <c r="E49" s="48">
        <v>110.5</v>
      </c>
      <c r="F49" s="48">
        <f t="shared" si="0"/>
        <v>76.742249999999999</v>
      </c>
      <c r="G49" s="117"/>
      <c r="H49" s="117">
        <f>IF(F49="",IF(COUNT(G49:G$88)=0,"",IF(ISBLANK(G49),AVERAGE(H48,H50),(1+G49)*H45)),F49)</f>
        <v>76.742249999999999</v>
      </c>
      <c r="I49" s="72">
        <f t="shared" si="1"/>
        <v>2.1256931608133023E-2</v>
      </c>
      <c r="J49" s="108"/>
      <c r="K49" s="8"/>
      <c r="L49" s="8"/>
      <c r="V49" s="81" t="str">
        <f>IF(C49&gt;EOMONTH(DATE('Input|General'!$G$12,MONTH('Input|General'!$G$9),1),0),"Ok",IF(I49="","Check","Ok"))</f>
        <v>Ok</v>
      </c>
    </row>
    <row r="50" spans="3:22" ht="11.25">
      <c r="C50" s="49">
        <v>42916</v>
      </c>
      <c r="D50" s="8"/>
      <c r="E50" s="48">
        <v>110.7</v>
      </c>
      <c r="F50" s="48">
        <f t="shared" si="0"/>
        <v>76.881150000000005</v>
      </c>
      <c r="G50" s="117"/>
      <c r="H50" s="117">
        <f>IF(F50="",IF(COUNT(G50:G$88)=0,"",IF(ISBLANK(G50),AVERAGE(H49,H51),(1+G50)*H46)),F50)</f>
        <v>76.881150000000005</v>
      </c>
      <c r="I50" s="72">
        <f t="shared" si="1"/>
        <v>1.9337016574585864E-2</v>
      </c>
      <c r="J50" s="109"/>
      <c r="K50" s="8"/>
      <c r="L50" s="8"/>
      <c r="V50" s="81" t="str">
        <f>IF(C50&gt;EOMONTH(DATE('Input|General'!$G$12,MONTH('Input|General'!$G$9),1),0),"Ok",IF(I50="","Check","Ok"))</f>
        <v>Ok</v>
      </c>
    </row>
    <row r="51" spans="3:22" ht="11.25">
      <c r="C51" s="49">
        <v>43008</v>
      </c>
      <c r="D51" s="8"/>
      <c r="E51" s="48">
        <v>111.4</v>
      </c>
      <c r="F51" s="48">
        <f t="shared" si="0"/>
        <v>77.3673</v>
      </c>
      <c r="G51" s="117"/>
      <c r="H51" s="117">
        <f>IF(F51="",IF(COUNT(G51:G$88)=0,"",IF(ISBLANK(G51),AVERAGE(H50,H52),(1+G51)*H47)),F51)</f>
        <v>77.3673</v>
      </c>
      <c r="I51" s="72">
        <f t="shared" si="1"/>
        <v>1.8281535648994485E-2</v>
      </c>
      <c r="J51" s="108"/>
      <c r="K51" s="8"/>
      <c r="L51" s="8"/>
      <c r="V51" s="81" t="str">
        <f>IF(C51&gt;EOMONTH(DATE('Input|General'!$G$12,MONTH('Input|General'!$G$9),1),0),"Ok",IF(I51="","Check","Ok"))</f>
        <v>Ok</v>
      </c>
    </row>
    <row r="52" spans="3:22" ht="11.25">
      <c r="C52" s="49">
        <v>43100</v>
      </c>
      <c r="D52" s="8"/>
      <c r="E52" s="48">
        <v>112.1</v>
      </c>
      <c r="F52" s="48">
        <f t="shared" si="0"/>
        <v>77.853449999999995</v>
      </c>
      <c r="G52" s="117"/>
      <c r="H52" s="117">
        <f>IF(F52="",IF(COUNT(G52:G$88)=0,"",IF(ISBLANK(G52),AVERAGE(H51,H53),(1+G52)*H48)),F52)</f>
        <v>77.853449999999995</v>
      </c>
      <c r="I52" s="72">
        <f t="shared" si="1"/>
        <v>1.9090909090909047E-2</v>
      </c>
      <c r="J52" s="108"/>
      <c r="K52" s="8"/>
      <c r="L52" s="8"/>
      <c r="V52" s="81" t="str">
        <f>IF(C52&gt;EOMONTH(DATE('Input|General'!$G$12,MONTH('Input|General'!$G$9),1),0),"Ok",IF(I52="","Check","Ok"))</f>
        <v>Ok</v>
      </c>
    </row>
    <row r="53" spans="3:22" ht="11.25">
      <c r="C53" s="49">
        <v>43190</v>
      </c>
      <c r="D53" s="8"/>
      <c r="E53" s="48">
        <v>112.6</v>
      </c>
      <c r="F53" s="48">
        <f t="shared" si="0"/>
        <v>78.200699999999998</v>
      </c>
      <c r="G53" s="117"/>
      <c r="H53" s="117">
        <f>IF(F53="",IF(COUNT(G53:G$88)=0,"",IF(ISBLANK(G53),AVERAGE(H52,H54),(1+G53)*H49)),F53)</f>
        <v>78.200699999999998</v>
      </c>
      <c r="I53" s="72">
        <f t="shared" si="1"/>
        <v>1.9004524886877761E-2</v>
      </c>
      <c r="J53" s="108"/>
      <c r="K53" s="8"/>
      <c r="L53" s="8"/>
      <c r="V53" s="81" t="str">
        <f>IF(C53&gt;EOMONTH(DATE('Input|General'!$G$12,MONTH('Input|General'!$G$9),1),0),"Ok",IF(I53="","Check","Ok"))</f>
        <v>Ok</v>
      </c>
    </row>
    <row r="54" spans="3:22" ht="11.25">
      <c r="C54" s="49">
        <v>43281</v>
      </c>
      <c r="D54" s="8"/>
      <c r="E54" s="48">
        <v>113</v>
      </c>
      <c r="F54" s="48">
        <f t="shared" si="0"/>
        <v>78.478499999999997</v>
      </c>
      <c r="G54" s="117"/>
      <c r="H54" s="117">
        <f>IF(F54="",IF(COUNT(G54:G$88)=0,"",IF(ISBLANK(G54),AVERAGE(H53,H55),(1+G54)*H50)),F54)</f>
        <v>78.478499999999997</v>
      </c>
      <c r="I54" s="72">
        <f t="shared" si="1"/>
        <v>2.0776874435410875E-2</v>
      </c>
      <c r="J54" s="108"/>
      <c r="K54" s="8"/>
      <c r="L54" s="8"/>
      <c r="V54" s="81" t="str">
        <f>IF(C54&gt;EOMONTH(DATE('Input|General'!$G$12,MONTH('Input|General'!$G$9),1),0),"Ok",IF(I54="","Check","Ok"))</f>
        <v>Ok</v>
      </c>
    </row>
    <row r="55" spans="3:22" ht="11.25">
      <c r="C55" s="49">
        <v>43373</v>
      </c>
      <c r="D55" s="8"/>
      <c r="E55" s="48">
        <v>113.5</v>
      </c>
      <c r="F55" s="48">
        <f t="shared" si="0"/>
        <v>78.825749999999999</v>
      </c>
      <c r="G55" s="117"/>
      <c r="H55" s="117">
        <f>IF(F55="",IF(COUNT(G55:G$88)=0,"",IF(ISBLANK(G55),AVERAGE(H54,H56),(1+G55)*H51)),F55)</f>
        <v>78.825749999999999</v>
      </c>
      <c r="I55" s="72">
        <f t="shared" si="1"/>
        <v>1.8850987432674993E-2</v>
      </c>
      <c r="J55" s="108"/>
      <c r="K55" s="8"/>
      <c r="L55" s="8"/>
      <c r="V55" s="81" t="str">
        <f>IF(C55&gt;EOMONTH(DATE('Input|General'!$G$12,MONTH('Input|General'!$G$9),1),0),"Ok",IF(I55="","Check","Ok"))</f>
        <v>Ok</v>
      </c>
    </row>
    <row r="56" spans="3:22" ht="11.25">
      <c r="C56" s="49">
        <v>43465</v>
      </c>
      <c r="D56" s="8"/>
      <c r="E56" s="48">
        <v>114.1</v>
      </c>
      <c r="F56" s="48">
        <f t="shared" si="0"/>
        <v>79.242449999999991</v>
      </c>
      <c r="G56" s="117"/>
      <c r="H56" s="117">
        <f>IF(F56="",IF(COUNT(G56:G$88)=0,"",IF(ISBLANK(G56),AVERAGE(H55,H57),(1+G56)*H52)),F56)</f>
        <v>79.242449999999991</v>
      </c>
      <c r="I56" s="72">
        <f t="shared" si="1"/>
        <v>1.7841213202497652E-2</v>
      </c>
      <c r="J56" s="108"/>
      <c r="K56" s="8"/>
      <c r="L56" s="8"/>
      <c r="V56" s="81" t="str">
        <f>IF(C56&gt;EOMONTH(DATE('Input|General'!$G$12,MONTH('Input|General'!$G$9),1),0),"Ok",IF(I56="","Check","Ok"))</f>
        <v>Ok</v>
      </c>
    </row>
    <row r="57" spans="3:22" ht="11.25">
      <c r="C57" s="49">
        <v>43555</v>
      </c>
      <c r="D57" s="8"/>
      <c r="E57" s="48">
        <v>114.1</v>
      </c>
      <c r="F57" s="48">
        <f t="shared" si="0"/>
        <v>79.242449999999991</v>
      </c>
      <c r="G57" s="117"/>
      <c r="H57" s="117">
        <f>IF(F57="",IF(COUNT(G57:G$88)=0,"",IF(ISBLANK(G57),AVERAGE(H56,H58),(1+G57)*H53)),F57)</f>
        <v>79.242449999999991</v>
      </c>
      <c r="I57" s="72">
        <f t="shared" si="1"/>
        <v>1.3321492007104752E-2</v>
      </c>
      <c r="J57" s="108"/>
      <c r="K57" s="8"/>
      <c r="L57" s="8"/>
      <c r="V57" s="81" t="str">
        <f>IF(C57&gt;EOMONTH(DATE('Input|General'!$G$12,MONTH('Input|General'!$G$9),1),0),"Ok",IF(I57="","Check","Ok"))</f>
        <v>Ok</v>
      </c>
    </row>
    <row r="58" spans="3:22" ht="11.25">
      <c r="C58" s="49">
        <v>43646</v>
      </c>
      <c r="D58" s="8"/>
      <c r="E58" s="48">
        <v>114.8</v>
      </c>
      <c r="F58" s="48">
        <f t="shared" si="0"/>
        <v>79.7286</v>
      </c>
      <c r="G58" s="117"/>
      <c r="H58" s="117">
        <f>IF(F58="",IF(COUNT(G58:G$88)=0,"",IF(ISBLANK(G58),AVERAGE(H57,H59),(1+G58)*H54)),F58)</f>
        <v>79.7286</v>
      </c>
      <c r="I58" s="72">
        <f t="shared" si="1"/>
        <v>1.5929203539823078E-2</v>
      </c>
      <c r="J58" s="108"/>
      <c r="K58" s="8"/>
      <c r="L58" s="8"/>
      <c r="V58" s="81" t="str">
        <f>IF(C58&gt;EOMONTH(DATE('Input|General'!$G$12,MONTH('Input|General'!$G$9),1),0),"Ok",IF(I58="","Check","Ok"))</f>
        <v>Ok</v>
      </c>
    </row>
    <row r="59" spans="3:22" ht="11.25">
      <c r="C59" s="49">
        <v>43738</v>
      </c>
      <c r="D59" s="8"/>
      <c r="E59" s="48">
        <v>115.4</v>
      </c>
      <c r="F59" s="48">
        <f t="shared" si="0"/>
        <v>80.145300000000006</v>
      </c>
      <c r="G59" s="117"/>
      <c r="H59" s="117">
        <f>IF(F59="",IF(COUNT(G59:G$88)=0,"",IF(ISBLANK(G59),AVERAGE(H58,H60),(1+G59)*H55)),F59)</f>
        <v>80.145300000000006</v>
      </c>
      <c r="I59" s="72">
        <f t="shared" si="1"/>
        <v>1.6740088105726914E-2</v>
      </c>
      <c r="J59" s="108"/>
      <c r="K59" s="8"/>
      <c r="L59" s="8"/>
      <c r="V59" s="81" t="str">
        <f>IF(C59&gt;EOMONTH(DATE('Input|General'!$G$12,MONTH('Input|General'!$G$9),1),0),"Ok",IF(I59="","Check","Ok"))</f>
        <v>Ok</v>
      </c>
    </row>
    <row r="60" spans="3:22" ht="11.25">
      <c r="C60" s="49">
        <v>43830</v>
      </c>
      <c r="D60" s="8"/>
      <c r="E60" s="48">
        <v>116.2</v>
      </c>
      <c r="F60" s="48">
        <f t="shared" si="0"/>
        <v>80.700900000000004</v>
      </c>
      <c r="G60" s="117"/>
      <c r="H60" s="117">
        <f>IF(F60="",IF(COUNT(G60:G$88)=0,"",IF(ISBLANK(G60),AVERAGE(H59,H61),(1+G60)*H56)),F60)</f>
        <v>80.700900000000004</v>
      </c>
      <c r="I60" s="72">
        <f t="shared" si="1"/>
        <v>1.8404907975460238E-2</v>
      </c>
      <c r="J60" s="108"/>
      <c r="K60" s="8"/>
      <c r="L60" s="8"/>
      <c r="V60" s="81" t="str">
        <f>IF(C60&gt;EOMONTH(DATE('Input|General'!$G$12,MONTH('Input|General'!$G$9),1),0),"Ok",IF(I60="","Check","Ok"))</f>
        <v>Ok</v>
      </c>
    </row>
    <row r="61" spans="3:22" ht="11.25">
      <c r="C61" s="49">
        <v>43921</v>
      </c>
      <c r="D61" s="8"/>
      <c r="E61" s="48">
        <v>116.6</v>
      </c>
      <c r="F61" s="48">
        <f t="shared" si="0"/>
        <v>80.978700000000003</v>
      </c>
      <c r="G61" s="117"/>
      <c r="H61" s="117">
        <f>IF(F61="",IF(COUNT(G61:G$88)=0,"",IF(ISBLANK(G61),AVERAGE(H60,H62),(1+G61)*H57)),F61)</f>
        <v>80.978700000000003</v>
      </c>
      <c r="I61" s="72">
        <f t="shared" si="1"/>
        <v>2.1910604732690686E-2</v>
      </c>
      <c r="J61" s="108"/>
      <c r="K61" s="8"/>
      <c r="L61" s="8"/>
      <c r="V61" s="81" t="str">
        <f>IF(C61&gt;EOMONTH(DATE('Input|General'!$G$12,MONTH('Input|General'!$G$9),1),0),"Ok",IF(I61="","Check","Ok"))</f>
        <v>Ok</v>
      </c>
    </row>
    <row r="62" spans="3:22" ht="11.25">
      <c r="C62" s="49">
        <v>44012</v>
      </c>
      <c r="D62" s="8"/>
      <c r="E62" s="48">
        <v>114.4</v>
      </c>
      <c r="F62" s="48">
        <f t="shared" si="0"/>
        <v>79.450800000000001</v>
      </c>
      <c r="G62" s="117"/>
      <c r="H62" s="117">
        <f>IF(F62="",IF(COUNT(G62:G$88)=0,"",IF(ISBLANK(G62),AVERAGE(H61,H63),(1+G62)*H58)),F62)</f>
        <v>79.450800000000001</v>
      </c>
      <c r="I62" s="72">
        <f t="shared" si="1"/>
        <v>-3.4843205574912606E-3</v>
      </c>
      <c r="J62" s="108"/>
      <c r="K62" s="8"/>
      <c r="L62" s="8"/>
      <c r="V62" s="81" t="str">
        <f>IF(C62&gt;EOMONTH(DATE('Input|General'!$G$12,MONTH('Input|General'!$G$9),1),0),"Ok",IF(I62="","Check","Ok"))</f>
        <v>Ok</v>
      </c>
    </row>
    <row r="63" spans="3:22" ht="11.25">
      <c r="C63" s="49">
        <v>44104</v>
      </c>
      <c r="D63" s="8"/>
      <c r="E63" s="48">
        <v>116.2</v>
      </c>
      <c r="F63" s="48">
        <f t="shared" si="0"/>
        <v>80.700900000000004</v>
      </c>
      <c r="G63" s="117"/>
      <c r="H63" s="117">
        <f>IF(F63="",IF(COUNT(G63:G$88)=0,"",IF(ISBLANK(G63),AVERAGE(H62,H64),(1+G63)*H59)),F63)</f>
        <v>80.700900000000004</v>
      </c>
      <c r="I63" s="72">
        <f t="shared" si="1"/>
        <v>6.9324090121316573E-3</v>
      </c>
      <c r="J63" s="108"/>
      <c r="K63" s="8"/>
      <c r="L63" s="8"/>
      <c r="V63" s="81" t="str">
        <f>IF(C63&gt;EOMONTH(DATE('Input|General'!$G$12,MONTH('Input|General'!$G$9),1),0),"Ok",IF(I63="","Check","Ok"))</f>
        <v>Ok</v>
      </c>
    </row>
    <row r="64" spans="3:22" ht="11.25">
      <c r="C64" s="49">
        <v>44196</v>
      </c>
      <c r="D64" s="8"/>
      <c r="E64" s="48">
        <v>117.2</v>
      </c>
      <c r="F64" s="48">
        <f t="shared" si="0"/>
        <v>81.395400000000009</v>
      </c>
      <c r="G64" s="117"/>
      <c r="H64" s="117">
        <f>IF(F64="",IF(COUNT(G64:G$88)=0,"",IF(ISBLANK(G64),AVERAGE(H63,H65),(1+G64)*H60)),F64)</f>
        <v>81.395400000000009</v>
      </c>
      <c r="I64" s="72">
        <f t="shared" si="1"/>
        <v>8.6058519793459354E-3</v>
      </c>
      <c r="J64" s="108"/>
      <c r="K64" s="8"/>
      <c r="L64" s="8"/>
      <c r="V64" s="81" t="str">
        <f>IF(C64&gt;EOMONTH(DATE('Input|General'!$G$12,MONTH('Input|General'!$G$9),1),0),"Ok",IF(I64="","Check","Ok"))</f>
        <v>Ok</v>
      </c>
    </row>
    <row r="65" spans="3:22" ht="11.25">
      <c r="C65" s="49">
        <v>44286</v>
      </c>
      <c r="D65" s="8"/>
      <c r="E65" s="48">
        <v>117.9</v>
      </c>
      <c r="F65" s="48">
        <f t="shared" si="0"/>
        <v>81.881550000000004</v>
      </c>
      <c r="G65" s="117"/>
      <c r="H65" s="117">
        <f>IF(F65="",IF(COUNT(G65:G$88)=0,"",IF(ISBLANK(G65),AVERAGE(H64,H66),(1+G65)*H61)),F65)</f>
        <v>81.881550000000004</v>
      </c>
      <c r="I65" s="72">
        <f t="shared" si="1"/>
        <v>1.1149228130360234E-2</v>
      </c>
      <c r="J65" s="108"/>
      <c r="K65" s="8"/>
      <c r="L65" s="8"/>
      <c r="V65" s="81" t="str">
        <f>IF(C65&gt;EOMONTH(DATE('Input|General'!$G$12,MONTH('Input|General'!$G$9),1),0),"Ok",IF(I65="","Check","Ok"))</f>
        <v>Ok</v>
      </c>
    </row>
    <row r="66" spans="3:22" ht="11.25">
      <c r="C66" s="49">
        <v>44377</v>
      </c>
      <c r="D66" s="8"/>
      <c r="E66" s="48">
        <v>118.8</v>
      </c>
      <c r="F66" s="48">
        <f t="shared" si="0"/>
        <v>82.506599999999992</v>
      </c>
      <c r="G66" s="117"/>
      <c r="H66" s="117">
        <f>IF(F66="",IF(COUNT(G66:G$88)=0,"",IF(ISBLANK(G66),AVERAGE(H65,H67),(1+G66)*H62)),F66)</f>
        <v>82.506599999999992</v>
      </c>
      <c r="I66" s="72">
        <f t="shared" si="1"/>
        <v>3.8461538461538325E-2</v>
      </c>
      <c r="J66" s="108"/>
      <c r="K66" s="8"/>
      <c r="L66" s="8"/>
      <c r="V66" s="81" t="str">
        <f>IF(C66&gt;EOMONTH(DATE('Input|General'!$G$12,MONTH('Input|General'!$G$9),1),0),"Ok",IF(I66="","Check","Ok"))</f>
        <v>Ok</v>
      </c>
    </row>
    <row r="67" spans="3:22" ht="11.25">
      <c r="C67" s="49">
        <v>44469</v>
      </c>
      <c r="D67" s="8"/>
      <c r="E67" s="48">
        <v>119.7</v>
      </c>
      <c r="F67" s="48">
        <f t="shared" si="0"/>
        <v>83.131650000000008</v>
      </c>
      <c r="G67" s="117"/>
      <c r="H67" s="117">
        <f>IF(F67="",IF(COUNT(G67:G$88)=0,"",IF(ISBLANK(G67),AVERAGE(H66,H68),(1+G67)*H63)),F67)</f>
        <v>83.131650000000008</v>
      </c>
      <c r="I67" s="72">
        <f t="shared" si="1"/>
        <v>3.0120481927710774E-2</v>
      </c>
      <c r="J67" s="108"/>
      <c r="K67" s="8"/>
      <c r="L67" s="8"/>
      <c r="V67" s="81" t="str">
        <f>IF(C67&gt;EOMONTH(DATE('Input|General'!$G$12,MONTH('Input|General'!$G$9),1),0),"Ok",IF(I67="","Check","Ok"))</f>
        <v>Ok</v>
      </c>
    </row>
    <row r="68" spans="3:22" ht="11.25">
      <c r="C68" s="49">
        <v>44561</v>
      </c>
      <c r="D68" s="8"/>
      <c r="E68" s="48">
        <v>121.3</v>
      </c>
      <c r="F68" s="48">
        <f t="shared" si="0"/>
        <v>84.242850000000004</v>
      </c>
      <c r="G68" s="117"/>
      <c r="H68" s="117">
        <f>IF(F68="",IF(COUNT(G68:G$88)=0,"",IF(ISBLANK(G68),AVERAGE(H67,H69),(1+G68)*H64)),F68)</f>
        <v>84.242850000000004</v>
      </c>
      <c r="I68" s="72">
        <f t="shared" si="1"/>
        <v>3.4982935153583528E-2</v>
      </c>
      <c r="J68" s="108"/>
      <c r="K68" s="8"/>
      <c r="L68" s="8"/>
      <c r="V68" s="81" t="str">
        <f>IF(C68&gt;EOMONTH(DATE('Input|General'!$G$12,MONTH('Input|General'!$G$9),1),0),"Ok",IF(I68="","Check","Ok"))</f>
        <v>Ok</v>
      </c>
    </row>
    <row r="69" spans="3:22" ht="11.25">
      <c r="C69" s="49">
        <v>44651</v>
      </c>
      <c r="D69" s="8"/>
      <c r="E69" s="48">
        <v>123.9</v>
      </c>
      <c r="F69" s="48">
        <f t="shared" si="0"/>
        <v>86.048550000000006</v>
      </c>
      <c r="G69" s="117"/>
      <c r="H69" s="117">
        <f>IF(F69="",IF(COUNT(G69:G$88)=0,"",IF(ISBLANK(G69),AVERAGE(H68,H70),(1+G69)*H65)),F69)</f>
        <v>86.048550000000006</v>
      </c>
      <c r="I69" s="72">
        <f t="shared" si="1"/>
        <v>5.0890585241730291E-2</v>
      </c>
      <c r="J69" s="108"/>
      <c r="K69" s="8"/>
      <c r="L69" s="8"/>
      <c r="V69" s="81" t="str">
        <f>IF(C69&gt;EOMONTH(DATE('Input|General'!$G$12,MONTH('Input|General'!$G$9),1),0),"Ok",IF(I69="","Check","Ok"))</f>
        <v>Ok</v>
      </c>
    </row>
    <row r="70" spans="3:22" ht="11.25">
      <c r="C70" s="49">
        <v>44742</v>
      </c>
      <c r="D70" s="8"/>
      <c r="E70" s="48">
        <v>126.1</v>
      </c>
      <c r="F70" s="48">
        <f t="shared" si="0"/>
        <v>87.576449999999994</v>
      </c>
      <c r="G70" s="117"/>
      <c r="H70" s="117">
        <f>IF(F70="",IF(COUNT(G70:G$88)=0,"",IF(ISBLANK(G70),AVERAGE(H69,H71),(1+G70)*H66)),F70)</f>
        <v>87.576449999999994</v>
      </c>
      <c r="I70" s="72">
        <f t="shared" si="1"/>
        <v>6.1447811447811418E-2</v>
      </c>
      <c r="J70" s="116"/>
      <c r="K70" s="8"/>
      <c r="L70" s="8"/>
      <c r="V70" s="81" t="str">
        <f>IF(C70&gt;EOMONTH(DATE('Input|General'!$G$12,MONTH('Input|General'!$G$9),1),0),"Ok",IF(I70="","Check","Ok"))</f>
        <v>Ok</v>
      </c>
    </row>
    <row r="71" spans="3:22" ht="11.25">
      <c r="C71" s="49">
        <v>44834</v>
      </c>
      <c r="D71" s="8"/>
      <c r="E71" s="48">
        <v>128.4</v>
      </c>
      <c r="F71" s="48">
        <f t="shared" si="0"/>
        <v>89.1738</v>
      </c>
      <c r="G71" s="117"/>
      <c r="H71" s="117">
        <f>IF(F71="",IF(COUNT(G71:G$88)=0,"",IF(ISBLANK(G71),AVERAGE(H70,H72),(1+G71)*H67)),F71)</f>
        <v>89.1738</v>
      </c>
      <c r="I71" s="72">
        <f t="shared" si="1"/>
        <v>7.268170426065157E-2</v>
      </c>
      <c r="J71" s="115"/>
      <c r="K71" s="8"/>
      <c r="L71" s="8"/>
      <c r="V71" s="81" t="str">
        <f>IF(C71&gt;EOMONTH(DATE('Input|General'!$G$12,MONTH('Input|General'!$G$9),1),0),"Ok",IF(I71="","Check","Ok"))</f>
        <v>Ok</v>
      </c>
    </row>
    <row r="72" spans="3:22" ht="11.25">
      <c r="C72" s="49">
        <v>44926</v>
      </c>
      <c r="D72" s="8"/>
      <c r="E72" s="48">
        <v>130.80000000000001</v>
      </c>
      <c r="F72" s="48">
        <f t="shared" si="0"/>
        <v>90.840600000000009</v>
      </c>
      <c r="G72" s="110"/>
      <c r="H72" s="117">
        <f>IF(F72="",IF(COUNT(G72:G$88)=0,"",IF(ISBLANK(G72),AVERAGE(H71,H73),(1+G72)*H68)),F72)</f>
        <v>90.840600000000009</v>
      </c>
      <c r="I72" s="72">
        <f t="shared" si="1"/>
        <v>7.8318219291014124E-2</v>
      </c>
      <c r="J72" s="116"/>
      <c r="K72" s="8"/>
      <c r="L72" s="8"/>
      <c r="V72" s="81" t="str">
        <f>IF(C72&gt;EOMONTH(DATE('Input|General'!$G$12,MONTH('Input|General'!$G$9),1),0),"Ok",IF(I72="","Check","Ok"))</f>
        <v>Ok</v>
      </c>
    </row>
    <row r="73" spans="3:22" ht="11.25">
      <c r="C73" s="49">
        <v>45016</v>
      </c>
      <c r="D73" s="8"/>
      <c r="E73" s="48">
        <v>132.6</v>
      </c>
      <c r="F73" s="48">
        <f t="shared" si="0"/>
        <v>92.090699999999998</v>
      </c>
      <c r="G73" s="110"/>
      <c r="H73" s="117">
        <f>IF(F73="",IF(COUNT(G73:G$88)=0,"",IF(ISBLANK(G73),AVERAGE(H72,H74),(1+G73)*H69)),F73)</f>
        <v>92.090699999999998</v>
      </c>
      <c r="I73" s="72">
        <f t="shared" si="1"/>
        <v>7.0217917675544639E-2</v>
      </c>
      <c r="J73" s="108"/>
      <c r="K73" s="8"/>
      <c r="L73" s="8"/>
      <c r="V73" s="81" t="str">
        <f>IF(C73&gt;EOMONTH(DATE('Input|General'!$G$12,MONTH('Input|General'!$G$9),1),0),"Ok",IF(I73="","Check","Ok"))</f>
        <v>Ok</v>
      </c>
    </row>
    <row r="74" spans="3:22" ht="11.25">
      <c r="C74" s="49">
        <v>45107</v>
      </c>
      <c r="D74" s="8"/>
      <c r="E74" s="48">
        <v>133.69999999999999</v>
      </c>
      <c r="F74" s="48">
        <f t="shared" si="0"/>
        <v>92.854649999999992</v>
      </c>
      <c r="G74" s="110"/>
      <c r="H74" s="117">
        <f>IF(F74="",IF(COUNT(G74:G$88)=0,"",IF(ISBLANK(G74),AVERAGE(H73,H75),(1+G74)*H70)),F74)</f>
        <v>92.854649999999992</v>
      </c>
      <c r="I74" s="72">
        <f t="shared" si="1"/>
        <v>6.0269627279936566E-2</v>
      </c>
      <c r="J74" s="184"/>
      <c r="K74" s="8"/>
      <c r="L74" s="8"/>
      <c r="V74" s="81" t="str">
        <f>IF(C74&gt;EOMONTH(DATE('Input|General'!$G$12,MONTH('Input|General'!$G$9),1),0),"Ok",IF(I74="","Check","Ok"))</f>
        <v>Ok</v>
      </c>
    </row>
    <row r="75" spans="3:22" ht="11.25">
      <c r="C75" s="49">
        <v>45199</v>
      </c>
      <c r="D75" s="8"/>
      <c r="E75" s="48">
        <v>135.30000000000001</v>
      </c>
      <c r="F75" s="48">
        <f t="shared" si="0"/>
        <v>93.965850000000003</v>
      </c>
      <c r="G75" s="110"/>
      <c r="H75" s="117">
        <f>IF(F75="",IF(COUNT(G75:G$88)=0,"",IF(ISBLANK(G75),AVERAGE(H74,H76),(1+G75)*H71)),F75)</f>
        <v>93.965850000000003</v>
      </c>
      <c r="I75" s="72">
        <f t="shared" ref="I75:I78" si="2">IF(H75="","",H75/H71-1)</f>
        <v>5.3738317757009435E-2</v>
      </c>
      <c r="J75" s="108"/>
      <c r="K75" s="8"/>
      <c r="L75" s="8"/>
      <c r="V75" s="81" t="str">
        <f>IF(C75&gt;EOMONTH(DATE('Input|General'!$G$12,MONTH('Input|General'!$G$9),1),0),"Ok",IF(I75="","Check","Ok"))</f>
        <v>Ok</v>
      </c>
    </row>
    <row r="76" spans="3:22" ht="11.25">
      <c r="C76" s="49">
        <v>45291</v>
      </c>
      <c r="D76" s="8"/>
      <c r="E76" s="48">
        <v>136.1</v>
      </c>
      <c r="F76" s="48">
        <f t="shared" si="0"/>
        <v>94.521450000000002</v>
      </c>
      <c r="G76" s="110"/>
      <c r="H76" s="117">
        <f>IF(F76="",IF(COUNT(G76:G$88)=0,"",IF(ISBLANK(G76),AVERAGE(H75,H77),(1+G76)*H72)),F76)</f>
        <v>94.521450000000002</v>
      </c>
      <c r="I76" s="72">
        <f t="shared" si="2"/>
        <v>4.0519877675840865E-2</v>
      </c>
      <c r="J76" s="189"/>
      <c r="K76" s="8"/>
      <c r="L76" s="8"/>
      <c r="V76" s="81" t="str">
        <f>IF(C76&gt;EOMONTH(DATE('Input|General'!$G$12,MONTH('Input|General'!$G$9),1),0),"Ok",IF(I76="","Check","Ok"))</f>
        <v>Ok</v>
      </c>
    </row>
    <row r="77" spans="3:22" ht="11.25">
      <c r="C77" s="49">
        <v>45382</v>
      </c>
      <c r="D77" s="8"/>
      <c r="E77" s="48">
        <v>137.4</v>
      </c>
      <c r="F77" s="48">
        <f t="shared" si="0"/>
        <v>95.424300000000002</v>
      </c>
      <c r="G77" s="110"/>
      <c r="H77" s="117">
        <f>IF(F77="",IF(COUNT(G77:G$88)=0,"",IF(ISBLANK(G77),AVERAGE(H76,H78),(1+G77)*H73)),F77)</f>
        <v>95.424300000000002</v>
      </c>
      <c r="I77" s="72">
        <f t="shared" si="2"/>
        <v>3.6199095022624528E-2</v>
      </c>
      <c r="J77" s="108"/>
      <c r="K77" s="8"/>
      <c r="L77" s="8"/>
      <c r="V77" s="81" t="str">
        <f>IF(C77&gt;EOMONTH(DATE('Input|General'!$G$12,MONTH('Input|General'!$G$9),1),0),"Ok",IF(I77="","Check","Ok"))</f>
        <v>Ok</v>
      </c>
    </row>
    <row r="78" spans="3:22" ht="11.25">
      <c r="C78" s="49">
        <v>45473</v>
      </c>
      <c r="D78" s="8"/>
      <c r="E78" s="48">
        <v>138.80000000000001</v>
      </c>
      <c r="F78" s="48">
        <f t="shared" si="0"/>
        <v>96.396600000000007</v>
      </c>
      <c r="G78" s="110"/>
      <c r="H78" s="117">
        <f>IF(F78="",IF(COUNT(G78:G$88)=0,"",IF(ISBLANK(G78),AVERAGE(H77,H79),(1+G78)*H74)),F78)</f>
        <v>96.396600000000007</v>
      </c>
      <c r="I78" s="72">
        <f t="shared" si="2"/>
        <v>3.8145100972326151E-2</v>
      </c>
      <c r="J78" s="189"/>
      <c r="K78" s="8"/>
      <c r="L78" s="8"/>
      <c r="V78" s="81" t="str">
        <f>IF(C78&gt;EOMONTH(DATE('Input|General'!$G$12,MONTH('Input|General'!$G$9),1),0),"Ok",IF(I78="","Check","Ok"))</f>
        <v>Ok</v>
      </c>
    </row>
    <row r="79" spans="3:22" ht="11.25">
      <c r="C79" s="49">
        <v>45565</v>
      </c>
      <c r="D79" s="8"/>
      <c r="E79" s="48">
        <v>139.1</v>
      </c>
      <c r="F79" s="48">
        <f t="shared" si="0"/>
        <v>96.604950000000002</v>
      </c>
      <c r="G79" s="110"/>
      <c r="H79" s="117">
        <f>IF(F79="",IF(COUNT(G79:G$88)=0,"",IF(ISBLANK(G79),AVERAGE(H78,H80),(1+G79)*H75)),F79)</f>
        <v>96.604950000000002</v>
      </c>
      <c r="I79" s="72">
        <f>IF(H79="","",H79/H75-1)</f>
        <v>2.8085735402808565E-2</v>
      </c>
      <c r="J79" s="108"/>
      <c r="K79" s="8"/>
      <c r="L79" s="8"/>
      <c r="V79" s="81" t="str">
        <f>IF(C79&gt;EOMONTH(DATE('Input|General'!$G$12,MONTH('Input|General'!$G$9),1),0),"Ok",IF(I79="","Check","Ok"))</f>
        <v>Ok</v>
      </c>
    </row>
    <row r="80" spans="3:22" ht="11.25">
      <c r="C80" s="49">
        <v>45657</v>
      </c>
      <c r="D80" s="8"/>
      <c r="E80" s="48">
        <v>139.4</v>
      </c>
      <c r="F80" s="48">
        <f t="shared" si="0"/>
        <v>96.813299999999998</v>
      </c>
      <c r="G80" s="110"/>
      <c r="H80" s="117">
        <f>IF(F80="",IF(COUNT(G80:G$88)=0,"",IF(ISBLANK(G80),AVERAGE(H79,H81),(1+G80)*H76)),F80)</f>
        <v>96.813299999999998</v>
      </c>
      <c r="I80" s="72">
        <f t="shared" ref="I80:I84" si="3">IF(H80="","",H80/H76-1)</f>
        <v>2.4246877296105751E-2</v>
      </c>
      <c r="J80" s="189"/>
      <c r="K80" s="8"/>
      <c r="L80" s="8"/>
      <c r="V80" s="81" t="str">
        <f>IF(C80&gt;EOMONTH(DATE('Input|General'!$G$12,MONTH('Input|General'!$G$9),1),0),"Ok",IF(I80="","Check","Ok"))</f>
        <v>Ok</v>
      </c>
    </row>
    <row r="81" spans="1:50" ht="11.25">
      <c r="C81" s="49">
        <v>45747</v>
      </c>
      <c r="D81" s="8"/>
      <c r="E81" s="48">
        <v>140.69999999999999</v>
      </c>
      <c r="F81" s="48">
        <f t="shared" si="0"/>
        <v>97.716149999999999</v>
      </c>
      <c r="G81" s="110"/>
      <c r="H81" s="117">
        <f>IF(F81="",IF(COUNT(G81:G$88)=0,"",IF(ISBLANK(G81),AVERAGE(H80,H82),(1+G81)*H77)),F81)</f>
        <v>97.716149999999999</v>
      </c>
      <c r="I81" s="72">
        <f t="shared" si="3"/>
        <v>2.4017467248908186E-2</v>
      </c>
      <c r="J81" s="108"/>
      <c r="K81" s="8"/>
      <c r="L81" s="8"/>
      <c r="V81" s="81" t="str">
        <f>IF(C81&gt;EOMONTH(DATE('Input|General'!$G$12,MONTH('Input|General'!$G$9),1),0),"Ok",IF(I81="","Check","Ok"))</f>
        <v>Ok</v>
      </c>
    </row>
    <row r="82" spans="1:50" ht="11.25">
      <c r="C82" s="49">
        <v>45838</v>
      </c>
      <c r="D82" s="8"/>
      <c r="E82" s="48">
        <v>141.69999999999999</v>
      </c>
      <c r="F82" s="48">
        <f t="shared" si="0"/>
        <v>98.41064999999999</v>
      </c>
      <c r="G82" s="110"/>
      <c r="H82" s="117">
        <f>IF(F82="",IF(COUNT(G82:G$88)=0,"",IF(ISBLANK(G82),AVERAGE(H81,H83),(1+G82)*H78)),F82)</f>
        <v>98.41064999999999</v>
      </c>
      <c r="I82" s="72">
        <f t="shared" si="3"/>
        <v>2.0893371757924939E-2</v>
      </c>
      <c r="J82" s="184"/>
      <c r="K82" s="8"/>
      <c r="L82" s="8"/>
      <c r="V82" s="81" t="str">
        <f>IF(C82&gt;EOMONTH(DATE('Input|General'!$G$12,MONTH('Input|General'!$G$9),1),0),"Ok",IF(I82="","Check","Ok"))</f>
        <v>Ok</v>
      </c>
    </row>
    <row r="83" spans="1:50" ht="11.25">
      <c r="C83" s="49">
        <v>45930</v>
      </c>
      <c r="D83" s="8"/>
      <c r="E83" s="48">
        <v>143.6</v>
      </c>
      <c r="F83" s="48">
        <f>E83*0.6945</f>
        <v>99.730199999999996</v>
      </c>
      <c r="G83" s="110"/>
      <c r="H83" s="117">
        <f>IF(F83="",IF(COUNT(G83:G$88)=0,"",IF(ISBLANK(G83),AVERAGE(H82,H84),(1+G83)*H79)),F83)</f>
        <v>99.730199999999996</v>
      </c>
      <c r="I83" s="72">
        <f t="shared" si="3"/>
        <v>3.2350826743350103E-2</v>
      </c>
      <c r="J83" s="108"/>
      <c r="K83" s="8"/>
      <c r="L83" s="8"/>
      <c r="V83" s="81" t="str">
        <f>IF(C83&gt;EOMONTH(DATE('Input|General'!$G$12,MONTH('Input|General'!$G$9),1),0),"Ok",IF(I83="","Check","Ok"))</f>
        <v>Ok</v>
      </c>
    </row>
    <row r="84" spans="1:50" ht="11.25">
      <c r="C84" s="49">
        <v>46022</v>
      </c>
      <c r="D84" s="8"/>
      <c r="E84" s="8"/>
      <c r="F84" s="48">
        <v>100.32</v>
      </c>
      <c r="G84" s="110"/>
      <c r="H84" s="117">
        <f>IF(F84="",IF(COUNT(G84:G$88)=0,"",IF(ISBLANK(G84),AVERAGE(H83,H85),(1+G84)*H80)),F84)</f>
        <v>100.32</v>
      </c>
      <c r="I84" s="72">
        <f t="shared" si="3"/>
        <v>3.6221262987626623E-2</v>
      </c>
      <c r="J84" s="184"/>
      <c r="K84" s="8"/>
      <c r="L84" s="8"/>
      <c r="V84" s="81" t="str">
        <f>IF(C84&gt;EOMONTH(DATE('Input|General'!$G$12,MONTH('Input|General'!$G$9),1),0),"Ok",IF(I84="","Check","Ok"))</f>
        <v>Ok</v>
      </c>
    </row>
    <row r="85" spans="1:50" ht="11.25">
      <c r="C85" s="49">
        <v>46112</v>
      </c>
      <c r="D85" s="8"/>
      <c r="E85" s="8"/>
      <c r="F85" s="48"/>
      <c r="G85" s="110"/>
      <c r="H85" s="117">
        <f>IF(F85="",IF(COUNT(G85:G$88)=0,"",IF(ISBLANK(G85),AVERAGE(H84,H86),(1+G85)*H81)),F85)</f>
        <v>101.43194865</v>
      </c>
      <c r="I85" s="72">
        <f t="shared" ref="I85:I88" si="4">IF(H85="","",H85/H81-1)</f>
        <v>3.8026453661958559E-2</v>
      </c>
      <c r="J85" s="189"/>
      <c r="K85" s="8"/>
      <c r="L85" s="8"/>
      <c r="V85" s="81" t="str">
        <f>IF(C85&gt;EOMONTH(DATE('Input|General'!$G$12,MONTH('Input|General'!$G$9),1),0),"Ok",IF(I85="","Check","Ok"))</f>
        <v>Ok</v>
      </c>
    </row>
    <row r="86" spans="1:50" ht="11.25">
      <c r="C86" s="49">
        <v>46203</v>
      </c>
      <c r="D86" s="8"/>
      <c r="E86" s="8"/>
      <c r="F86" s="48"/>
      <c r="G86" s="110">
        <v>4.2000000000000003E-2</v>
      </c>
      <c r="H86" s="117">
        <f>IF(F86="",IF(COUNT(G86:G$88)=0,"",IF(ISBLANK(G86),AVERAGE(H85,H87),(1+G86)*H82)),F86)</f>
        <v>102.5438973</v>
      </c>
      <c r="I86" s="72">
        <f t="shared" si="4"/>
        <v>4.2000000000000037E-2</v>
      </c>
      <c r="J86" s="184" t="s">
        <v>229</v>
      </c>
      <c r="K86" s="8"/>
      <c r="L86" s="8"/>
      <c r="V86" s="81" t="str">
        <f>IF(C86&gt;EOMONTH(DATE('Input|General'!$G$12,MONTH('Input|General'!$G$9),1),0),"Ok",IF(I86="","Check","Ok"))</f>
        <v>Ok</v>
      </c>
    </row>
    <row r="87" spans="1:50" ht="11.25">
      <c r="C87" s="49">
        <v>46295</v>
      </c>
      <c r="D87" s="8"/>
      <c r="E87" s="8"/>
      <c r="F87" s="48"/>
      <c r="G87" s="110"/>
      <c r="H87" s="117">
        <f>IF(F87="",IF(COUNT(G87:G$88)=0,"",IF(ISBLANK(G87),AVERAGE(H86,H88),(1+G87)*H83)),F87)</f>
        <v>103.23770865</v>
      </c>
      <c r="I87" s="72">
        <f t="shared" si="4"/>
        <v>3.5169975092800509E-2</v>
      </c>
      <c r="J87" s="189"/>
      <c r="K87" s="8"/>
      <c r="L87" s="8"/>
      <c r="V87" s="81" t="str">
        <f>IF(C87&gt;EOMONTH(DATE('Input|General'!$G$12,MONTH('Input|General'!$G$9),1),0),"Ok",IF(I87="","Check","Ok"))</f>
        <v>Ok</v>
      </c>
    </row>
    <row r="88" spans="1:50" ht="11.25">
      <c r="C88" s="49">
        <v>46387</v>
      </c>
      <c r="D88" s="8"/>
      <c r="E88" s="8"/>
      <c r="F88" s="48"/>
      <c r="G88" s="110">
        <v>3.5999999999999997E-2</v>
      </c>
      <c r="H88" s="117">
        <f>IF(F88="",IF(COUNT(G88:G$88)=0,"",IF(ISBLANK(G88),AVERAGE(H87,H89),(1+G88)*H84)),F88)</f>
        <v>103.93151999999999</v>
      </c>
      <c r="I88" s="72">
        <f t="shared" si="4"/>
        <v>3.6000000000000032E-2</v>
      </c>
      <c r="J88" s="184" t="s">
        <v>229</v>
      </c>
      <c r="K88" s="8"/>
      <c r="L88" s="8"/>
      <c r="V88" s="81" t="str">
        <f>IF(C88&gt;EOMONTH(DATE('Input|General'!$G$12,MONTH('Input|General'!$G$9),1),0),"Ok",IF(I88="","Check","Ok"))</f>
        <v>Ok</v>
      </c>
    </row>
    <row r="89" spans="1:50" ht="11.25">
      <c r="E89" s="8"/>
      <c r="F89" s="8"/>
      <c r="G89" s="8"/>
      <c r="H89" s="8"/>
      <c r="I89" s="8"/>
      <c r="J89" s="8"/>
      <c r="K89" s="8"/>
      <c r="L89" s="8"/>
      <c r="V89" s="82"/>
    </row>
    <row r="90" spans="1:50" customFormat="1" ht="12.75">
      <c r="A90" s="32"/>
      <c r="B90" s="38" t="s">
        <v>21</v>
      </c>
      <c r="C90" s="32"/>
      <c r="D90" s="32"/>
      <c r="E90" s="32"/>
      <c r="F90" s="32"/>
      <c r="G90" s="32"/>
      <c r="H90" s="32"/>
      <c r="I90" s="33"/>
      <c r="J90" s="33"/>
      <c r="K90" s="33"/>
      <c r="L90" s="33"/>
      <c r="M90" s="34"/>
      <c r="N90" s="35"/>
      <c r="O90" s="34"/>
      <c r="P90" s="35"/>
      <c r="Q90" s="34"/>
      <c r="R90" s="34"/>
      <c r="S90" s="34"/>
      <c r="T90" s="34"/>
      <c r="U90" s="34"/>
      <c r="V90" s="34"/>
      <c r="W90" s="34"/>
      <c r="X90" s="34"/>
      <c r="Y90" s="35"/>
      <c r="Z90" s="35"/>
      <c r="AA90" s="36"/>
      <c r="AB90" s="36"/>
      <c r="AC90" s="36"/>
      <c r="AD90" s="36"/>
      <c r="AE90" s="36"/>
      <c r="AF90" s="37"/>
      <c r="AG90" s="37"/>
    </row>
    <row r="91" spans="1:50" ht="11.25" hidden="1">
      <c r="J91" s="20"/>
      <c r="K91" s="20"/>
    </row>
    <row r="92" spans="1:50" ht="11.25" hidden="1">
      <c r="J92" s="20"/>
      <c r="K92" s="20"/>
    </row>
    <row r="93" spans="1:50" s="16" customFormat="1" ht="11.25" hidden="1">
      <c r="A93" s="8"/>
      <c r="B93" s="8"/>
      <c r="C93" s="8"/>
      <c r="J93" s="20"/>
      <c r="K93" s="20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</row>
    <row r="94" spans="1:50" s="16" customFormat="1" ht="11.25" hidden="1">
      <c r="A94" s="8"/>
      <c r="B94" s="8"/>
      <c r="C94" s="8"/>
      <c r="J94" s="20"/>
      <c r="K94" s="20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</row>
    <row r="95" spans="1:50" s="16" customFormat="1" ht="11.25" hidden="1">
      <c r="A95" s="8"/>
      <c r="B95" s="8"/>
      <c r="C95" s="8"/>
      <c r="J95" s="20"/>
      <c r="K95" s="20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</row>
    <row r="96" spans="1:50" s="16" customFormat="1" ht="11.25" hidden="1">
      <c r="A96" s="8"/>
      <c r="B96" s="8"/>
      <c r="C96" s="8"/>
      <c r="J96" s="20"/>
      <c r="K96" s="20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</row>
    <row r="97" spans="1:50" s="16" customFormat="1" ht="11.25" hidden="1">
      <c r="A97" s="8"/>
      <c r="B97" s="8"/>
      <c r="C97" s="8"/>
      <c r="J97" s="20"/>
      <c r="K97" s="20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</row>
    <row r="98" spans="1:50" s="16" customFormat="1" ht="11.25" hidden="1">
      <c r="A98" s="8"/>
      <c r="B98" s="8"/>
      <c r="C98" s="8"/>
      <c r="J98" s="20"/>
      <c r="K98" s="20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</row>
    <row r="99" spans="1:50" s="16" customFormat="1" ht="11.25" hidden="1">
      <c r="A99" s="8"/>
      <c r="B99" s="8"/>
      <c r="C99" s="8"/>
      <c r="J99" s="20"/>
      <c r="K99" s="20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</row>
    <row r="100" spans="1:50" s="16" customFormat="1" ht="11.25" hidden="1">
      <c r="A100" s="8"/>
      <c r="B100" s="8"/>
      <c r="C100" s="8"/>
      <c r="J100" s="20"/>
      <c r="K100" s="20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</row>
  </sheetData>
  <conditionalFormatting sqref="G21:G88">
    <cfRule type="expression" dxfId="157" priority="1">
      <formula>F21=""</formula>
    </cfRule>
  </conditionalFormatting>
  <conditionalFormatting sqref="V1">
    <cfRule type="cellIs" dxfId="156" priority="6" operator="equal">
      <formula>"Check"</formula>
    </cfRule>
    <cfRule type="cellIs" dxfId="155" priority="7" operator="equal">
      <formula>"Ok"</formula>
    </cfRule>
  </conditionalFormatting>
  <conditionalFormatting sqref="V9:V88">
    <cfRule type="cellIs" dxfId="154" priority="12" operator="equal">
      <formula>"Check"</formula>
    </cfRule>
    <cfRule type="cellIs" dxfId="153" priority="13" operator="equal">
      <formula>"Ok"</formula>
    </cfRule>
  </conditionalFormatting>
  <conditionalFormatting sqref="Y1">
    <cfRule type="cellIs" dxfId="152" priority="8" operator="equal">
      <formula>"Check"</formula>
    </cfRule>
    <cfRule type="cellIs" dxfId="151" priority="9" operator="equal">
      <formula>"Ok"</formula>
    </cfRule>
  </conditionalFormatting>
  <dataValidations count="4">
    <dataValidation type="list" allowBlank="1" showInputMessage="1" showErrorMessage="1" sqref="I89" xr:uid="{00000000-0002-0000-0300-000000000000}">
      <formula1>"Real 2010,Real 2011,Real 2012,Real 2013,Real 2014,Real 2015,Nominal"</formula1>
    </dataValidation>
    <dataValidation type="list" allowBlank="1" showInputMessage="1" showErrorMessage="1" sqref="L89" xr:uid="{00000000-0002-0000-0300-000001000000}">
      <formula1>#REF!</formula1>
    </dataValidation>
    <dataValidation type="custom" allowBlank="1" showInputMessage="1" showErrorMessage="1" sqref="M1 X1" xr:uid="{D037B8AC-4289-487A-97AE-541D0AD07416}">
      <formula1>"&lt;0&gt;0"</formula1>
    </dataValidation>
    <dataValidation type="decimal" operator="greaterThanOrEqual" allowBlank="1" showInputMessage="1" showErrorMessage="1" sqref="D9:D88 E9:F20" xr:uid="{A3BD2938-CE9A-4640-A0E2-0EB0E2969239}">
      <formula1>0</formula1>
    </dataValidation>
  </dataValidations>
  <hyperlinks>
    <hyperlink ref="M1" location="Index!A1" display="Back to Index" xr:uid="{D11E2A3D-4208-4AAB-8635-7D69FB30BCDF}"/>
    <hyperlink ref="X1" location="'Check|List'!A1" display="Overall Check:" xr:uid="{77F89A63-7E77-4FE2-A3B5-4B4EC2B36733}"/>
    <hyperlink ref="J86" r:id="rId1" location="3-5-detailed-forecast-information" display="Estimate: RBA, Statement on monetary policy (SoMP), August 2025. Update for the most recent SoMP available." xr:uid="{2FCD7CB3-B05E-469E-9ACB-9465811BF16E}"/>
    <hyperlink ref="J88" r:id="rId2" location="3-5-detailed-forecast-information" display="Estimate: RBA, Statement on monetary policy (SoMP), August 2025. Update for the most recent SoMP available." xr:uid="{C92C3315-F293-417D-881E-E530BEC7E447}"/>
  </hyperlinks>
  <pageMargins left="0.7" right="0.7" top="0.75" bottom="0.75" header="0.3" footer="0.3"/>
  <pageSetup paperSize="9" orientation="portrait" verticalDpi="4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3">
    <tabColor rgb="FFFFFF99"/>
  </sheetPr>
  <dimension ref="A1:X73"/>
  <sheetViews>
    <sheetView showGridLines="0" zoomScaleNormal="100" workbookViewId="0">
      <selection activeCell="J1" sqref="J1"/>
    </sheetView>
  </sheetViews>
  <sheetFormatPr defaultColWidth="0" defaultRowHeight="11.25" zeroHeight="1"/>
  <cols>
    <col min="1" max="2" width="1.6640625" customWidth="1"/>
    <col min="3" max="3" width="49.83203125" bestFit="1" customWidth="1"/>
    <col min="4" max="6" width="13.33203125" customWidth="1"/>
    <col min="7" max="9" width="3.33203125" customWidth="1"/>
    <col min="10" max="20" width="10.83203125" customWidth="1"/>
    <col min="21" max="21" width="53.33203125" bestFit="1" customWidth="1"/>
    <col min="22" max="22" width="10.83203125" customWidth="1"/>
    <col min="23" max="24" width="0" hidden="1" customWidth="1"/>
    <col min="25" max="16384" width="9.33203125" hidden="1"/>
  </cols>
  <sheetData>
    <row r="1" spans="1:22" ht="15.75">
      <c r="A1" s="27"/>
      <c r="B1" s="25"/>
      <c r="C1" s="25" t="str">
        <f>Index!$B$1</f>
        <v>AER opex model v2.4</v>
      </c>
      <c r="D1" s="25"/>
      <c r="E1" s="25"/>
      <c r="F1" s="26"/>
      <c r="G1" s="26"/>
      <c r="H1" s="26"/>
      <c r="I1" s="26"/>
      <c r="J1" s="186" t="s">
        <v>2</v>
      </c>
      <c r="K1" s="27"/>
      <c r="L1" s="28" t="s">
        <v>3</v>
      </c>
      <c r="M1" s="46" t="s">
        <v>4</v>
      </c>
      <c r="N1" s="11" t="s">
        <v>5</v>
      </c>
      <c r="O1" s="12" t="s">
        <v>6</v>
      </c>
      <c r="P1" s="27"/>
      <c r="Q1" s="27"/>
      <c r="R1" s="28" t="s">
        <v>77</v>
      </c>
      <c r="S1" s="29" t="str">
        <f>IF(COUNTA($V$8:$V$266)=COUNTIF($V$8:$V$245,"OK"),"OK","Check")</f>
        <v>OK</v>
      </c>
      <c r="T1" s="29"/>
      <c r="U1" s="187" t="s">
        <v>24</v>
      </c>
      <c r="V1" s="29" t="str">
        <f>'Check|List'!$S$1</f>
        <v>Ok</v>
      </c>
    </row>
    <row r="2" spans="1:22" ht="13.5" thickBot="1">
      <c r="A2" s="31"/>
      <c r="B2" s="30"/>
      <c r="C2" s="30" t="str">
        <f>Index!$C$9</f>
        <v>Input | Reported opex</v>
      </c>
      <c r="D2" s="30"/>
      <c r="E2" s="30"/>
      <c r="F2" s="52"/>
      <c r="G2" s="52"/>
      <c r="H2" s="52"/>
      <c r="I2" s="52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</row>
    <row r="3" spans="1:22">
      <c r="A3" s="83"/>
      <c r="B3" s="83"/>
      <c r="C3" s="83"/>
      <c r="D3" s="84"/>
      <c r="E3" s="84"/>
      <c r="F3" s="84"/>
      <c r="G3" s="84"/>
      <c r="H3" s="84"/>
      <c r="I3" s="84"/>
      <c r="J3" s="96" t="s">
        <v>109</v>
      </c>
      <c r="K3" s="95"/>
      <c r="L3" s="95"/>
      <c r="M3" s="95"/>
      <c r="N3" s="95"/>
      <c r="O3" s="95"/>
      <c r="P3" s="95"/>
      <c r="Q3" s="95"/>
      <c r="R3" s="95"/>
      <c r="S3" s="95"/>
      <c r="T3" s="95"/>
      <c r="U3" s="85"/>
      <c r="V3" s="85"/>
    </row>
    <row r="4" spans="1:22">
      <c r="A4" s="55"/>
      <c r="B4" s="55"/>
      <c r="C4" s="55"/>
      <c r="D4" s="56" t="s">
        <v>7</v>
      </c>
      <c r="E4" s="56" t="s">
        <v>8</v>
      </c>
      <c r="F4" s="57" t="s">
        <v>22</v>
      </c>
      <c r="G4" s="58"/>
      <c r="H4" s="58"/>
      <c r="I4" s="5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60"/>
    </row>
    <row r="5" spans="1:22" ht="5.25" customHeight="1">
      <c r="A5" s="6"/>
      <c r="B5" s="6"/>
      <c r="C5" s="6"/>
      <c r="D5" s="21"/>
      <c r="E5" s="21"/>
      <c r="F5" s="21"/>
      <c r="G5" s="21"/>
      <c r="H5" s="21"/>
      <c r="I5" s="21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6.75" customHeight="1">
      <c r="A6" s="6"/>
      <c r="B6" s="6"/>
      <c r="C6" s="6"/>
      <c r="D6" s="21"/>
      <c r="E6" s="21"/>
      <c r="F6" s="21"/>
      <c r="G6" s="21"/>
      <c r="H6" s="21"/>
      <c r="I6" s="21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</row>
    <row r="7" spans="1:22" ht="5.25" customHeight="1">
      <c r="A7" s="6"/>
      <c r="B7" s="6"/>
      <c r="C7" s="6"/>
      <c r="D7" s="21"/>
      <c r="E7" s="21"/>
      <c r="F7" s="21"/>
      <c r="G7" s="21"/>
      <c r="H7" s="21"/>
      <c r="I7" s="2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spans="1:22" ht="12.75">
      <c r="A8" s="32"/>
      <c r="B8" s="38" t="s">
        <v>201</v>
      </c>
      <c r="C8" s="32"/>
      <c r="D8" s="32"/>
      <c r="E8" s="32"/>
      <c r="F8" s="118"/>
      <c r="G8" s="118"/>
      <c r="H8" s="118"/>
      <c r="I8" s="118"/>
      <c r="J8" s="34"/>
      <c r="K8" s="119"/>
      <c r="L8" s="34"/>
      <c r="M8" s="119"/>
      <c r="N8" s="34"/>
      <c r="O8" s="34"/>
      <c r="P8" s="34"/>
      <c r="Q8" s="34"/>
      <c r="R8" s="34"/>
      <c r="S8" s="34"/>
      <c r="T8" s="34"/>
      <c r="U8" s="34"/>
      <c r="V8" s="35"/>
    </row>
    <row r="9" spans="1:22">
      <c r="A9" s="17"/>
      <c r="B9" s="17"/>
      <c r="C9" s="17"/>
      <c r="D9" s="120"/>
      <c r="E9" s="120"/>
      <c r="F9" s="120"/>
      <c r="G9" s="121"/>
      <c r="H9" s="121"/>
      <c r="I9" s="120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8"/>
    </row>
    <row r="10" spans="1:22">
      <c r="A10" s="17"/>
      <c r="B10" s="17"/>
      <c r="C10" s="122" t="s">
        <v>71</v>
      </c>
      <c r="D10" s="121" t="s">
        <v>7</v>
      </c>
      <c r="E10" s="121" t="s">
        <v>8</v>
      </c>
      <c r="F10" s="121" t="s">
        <v>22</v>
      </c>
      <c r="G10" s="121"/>
      <c r="H10" s="121"/>
      <c r="I10" s="120"/>
      <c r="J10" s="123">
        <f t="shared" ref="J10:S10" si="0">IF(YEAR(J$4)&lt;=PPLastYear,J$4,"")</f>
        <v>44713</v>
      </c>
      <c r="K10" s="123">
        <f t="shared" si="0"/>
        <v>45078</v>
      </c>
      <c r="L10" s="123">
        <f t="shared" si="0"/>
        <v>45444</v>
      </c>
      <c r="M10" s="123">
        <f t="shared" si="0"/>
        <v>45809</v>
      </c>
      <c r="N10" s="123">
        <f t="shared" si="0"/>
        <v>46174</v>
      </c>
      <c r="O10" s="123" t="str">
        <f t="shared" si="0"/>
        <v/>
      </c>
      <c r="P10" s="123" t="str">
        <f t="shared" si="0"/>
        <v/>
      </c>
      <c r="Q10" s="123" t="str">
        <f t="shared" si="0"/>
        <v/>
      </c>
      <c r="R10" s="123" t="str">
        <f t="shared" si="0"/>
        <v/>
      </c>
      <c r="S10" s="123" t="str">
        <f t="shared" si="0"/>
        <v/>
      </c>
      <c r="T10" s="123"/>
      <c r="U10" s="124" t="s">
        <v>51</v>
      </c>
      <c r="V10" s="8"/>
    </row>
    <row r="11" spans="1:22">
      <c r="A11" s="17"/>
      <c r="B11" s="17"/>
      <c r="C11" s="125"/>
      <c r="D11" s="120"/>
      <c r="E11" s="120"/>
      <c r="F11" s="120"/>
      <c r="G11" s="121"/>
      <c r="H11" s="121"/>
      <c r="I11" s="120"/>
      <c r="J11" s="126"/>
      <c r="K11" s="126"/>
      <c r="L11" s="126"/>
      <c r="M11" s="126"/>
      <c r="N11" s="126"/>
      <c r="O11" s="126"/>
      <c r="P11" s="126"/>
      <c r="Q11" s="126"/>
      <c r="R11" s="126"/>
      <c r="S11" s="126"/>
      <c r="T11" s="126"/>
      <c r="U11" s="17"/>
      <c r="V11" s="8"/>
    </row>
    <row r="12" spans="1:22">
      <c r="A12" s="17"/>
      <c r="B12" s="17"/>
      <c r="C12" s="125"/>
      <c r="D12" s="120"/>
      <c r="E12" s="120"/>
      <c r="F12" s="120"/>
      <c r="G12" s="121"/>
      <c r="H12" s="121"/>
      <c r="I12" s="120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7"/>
      <c r="V12" s="8"/>
    </row>
    <row r="13" spans="1:22">
      <c r="A13" s="17"/>
      <c r="B13" s="17"/>
      <c r="C13" s="127" t="s">
        <v>68</v>
      </c>
      <c r="D13" s="120" t="s">
        <v>64</v>
      </c>
      <c r="E13" s="120" t="str">
        <f>units</f>
        <v>$millions</v>
      </c>
      <c r="F13" s="128">
        <f>DATE(PPFirstYear-1,MONTH(month),1)</f>
        <v>44348</v>
      </c>
      <c r="G13" s="121"/>
      <c r="H13" s="121"/>
      <c r="I13" s="120"/>
      <c r="J13" s="129">
        <v>273.20002376154002</v>
      </c>
      <c r="K13" s="129">
        <v>279.85880086534638</v>
      </c>
      <c r="L13" s="129">
        <v>286.95009346864458</v>
      </c>
      <c r="M13" s="129">
        <v>293.34347848527818</v>
      </c>
      <c r="N13" s="129">
        <v>299.86936699450672</v>
      </c>
      <c r="O13" s="129"/>
      <c r="P13" s="129"/>
      <c r="Q13" s="129"/>
      <c r="R13" s="129"/>
      <c r="S13" s="129"/>
      <c r="T13" s="129"/>
      <c r="U13" s="17" t="s">
        <v>173</v>
      </c>
      <c r="V13" s="64" t="str">
        <f>IF(COUNT(J13:T13)=COUNT($J$10:$T$10),"Ok","Check")</f>
        <v>Ok</v>
      </c>
    </row>
    <row r="14" spans="1:22">
      <c r="A14" s="17"/>
      <c r="B14" s="17"/>
      <c r="C14" s="125"/>
      <c r="D14" s="120"/>
      <c r="E14" s="120"/>
      <c r="F14" s="120"/>
      <c r="G14" s="121"/>
      <c r="H14" s="121"/>
      <c r="I14" s="120"/>
      <c r="J14" s="126"/>
      <c r="K14" s="126"/>
      <c r="L14" s="126"/>
      <c r="M14" s="126"/>
      <c r="N14" s="126"/>
      <c r="O14" s="126"/>
      <c r="P14" s="126"/>
      <c r="Q14" s="126"/>
      <c r="R14" s="126"/>
      <c r="S14" s="126"/>
      <c r="T14" s="126"/>
      <c r="U14" s="17"/>
      <c r="V14" s="8"/>
    </row>
    <row r="15" spans="1:22">
      <c r="A15" s="17"/>
      <c r="B15" s="17"/>
      <c r="C15" s="130" t="s">
        <v>68</v>
      </c>
      <c r="D15" s="131" t="str">
        <f>D13</f>
        <v>AER</v>
      </c>
      <c r="E15" s="132" t="str">
        <f>E13</f>
        <v>$millions</v>
      </c>
      <c r="F15" s="132">
        <f>$F$13</f>
        <v>44348</v>
      </c>
      <c r="G15" s="121"/>
      <c r="H15" s="121"/>
      <c r="I15" s="120"/>
      <c r="J15" s="133">
        <f>J13</f>
        <v>273.20002376154002</v>
      </c>
      <c r="K15" s="133">
        <f t="shared" ref="K15:S15" si="1">K13</f>
        <v>279.85880086534638</v>
      </c>
      <c r="L15" s="133">
        <f t="shared" si="1"/>
        <v>286.95009346864458</v>
      </c>
      <c r="M15" s="133">
        <f t="shared" si="1"/>
        <v>293.34347848527818</v>
      </c>
      <c r="N15" s="133">
        <f t="shared" si="1"/>
        <v>299.86936699450672</v>
      </c>
      <c r="O15" s="133">
        <f t="shared" si="1"/>
        <v>0</v>
      </c>
      <c r="P15" s="133">
        <f t="shared" si="1"/>
        <v>0</v>
      </c>
      <c r="Q15" s="133">
        <f t="shared" si="1"/>
        <v>0</v>
      </c>
      <c r="R15" s="133">
        <f t="shared" si="1"/>
        <v>0</v>
      </c>
      <c r="S15" s="133">
        <f t="shared" si="1"/>
        <v>0</v>
      </c>
      <c r="T15" s="133"/>
      <c r="U15" s="17"/>
      <c r="V15" s="8"/>
    </row>
    <row r="16" spans="1:22">
      <c r="A16" s="17"/>
      <c r="B16" s="17"/>
      <c r="C16" s="125"/>
      <c r="D16" s="120"/>
      <c r="E16" s="120"/>
      <c r="F16" s="120"/>
      <c r="G16" s="121"/>
      <c r="H16" s="121"/>
      <c r="I16" s="120"/>
      <c r="J16" s="126"/>
      <c r="K16" s="126"/>
      <c r="L16" s="126"/>
      <c r="M16" s="126"/>
      <c r="N16" s="126"/>
      <c r="O16" s="126"/>
      <c r="P16" s="126"/>
      <c r="Q16" s="126"/>
      <c r="R16" s="126"/>
      <c r="S16" s="126"/>
      <c r="T16" s="126"/>
      <c r="U16" s="17"/>
      <c r="V16" s="8"/>
    </row>
    <row r="17" spans="1:22">
      <c r="A17" s="17"/>
      <c r="B17" s="17"/>
      <c r="C17" s="122" t="s">
        <v>202</v>
      </c>
      <c r="D17" s="120"/>
      <c r="E17" s="120"/>
      <c r="F17" s="120"/>
      <c r="G17" s="121"/>
      <c r="H17" s="121"/>
      <c r="I17" s="120"/>
      <c r="J17" s="126"/>
      <c r="K17" s="126"/>
      <c r="L17" s="126"/>
      <c r="M17" s="126"/>
      <c r="N17" s="126"/>
      <c r="O17" s="126"/>
      <c r="P17" s="126"/>
      <c r="Q17" s="126"/>
      <c r="R17" s="126"/>
      <c r="S17" s="126"/>
      <c r="T17" s="126"/>
      <c r="U17" s="17"/>
      <c r="V17" s="8"/>
    </row>
    <row r="18" spans="1:22">
      <c r="A18" s="17"/>
      <c r="B18" s="17"/>
      <c r="C18" s="125"/>
      <c r="D18" s="120"/>
      <c r="E18" s="120"/>
      <c r="F18" s="120"/>
      <c r="G18" s="121"/>
      <c r="H18" s="121"/>
      <c r="I18" s="120"/>
      <c r="J18" s="126"/>
      <c r="K18" s="126"/>
      <c r="L18" s="126"/>
      <c r="M18" s="126"/>
      <c r="N18" s="126"/>
      <c r="O18" s="126"/>
      <c r="P18" s="126"/>
      <c r="Q18" s="126"/>
      <c r="R18" s="126"/>
      <c r="S18" s="126"/>
      <c r="T18" s="126"/>
      <c r="U18" s="17"/>
      <c r="V18" s="8"/>
    </row>
    <row r="19" spans="1:22">
      <c r="A19" s="17"/>
      <c r="B19" s="17"/>
      <c r="C19" s="127" t="s">
        <v>39</v>
      </c>
      <c r="D19" s="120" t="s">
        <v>64</v>
      </c>
      <c r="E19" s="120" t="str">
        <f t="shared" ref="E19:E27" si="2">units</f>
        <v>$millions</v>
      </c>
      <c r="F19" s="134">
        <f>$F$13</f>
        <v>44348</v>
      </c>
      <c r="G19" s="121"/>
      <c r="H19" s="121"/>
      <c r="I19" s="120"/>
      <c r="J19" s="129">
        <v>2.1344123468423404</v>
      </c>
      <c r="K19" s="129">
        <v>2.2238988721098298</v>
      </c>
      <c r="L19" s="129">
        <v>2.3230125820822103</v>
      </c>
      <c r="M19" s="129">
        <v>2.3809343305509101</v>
      </c>
      <c r="N19" s="129">
        <v>2.4134084569666898</v>
      </c>
      <c r="O19" s="129"/>
      <c r="P19" s="129"/>
      <c r="Q19" s="129"/>
      <c r="R19" s="129"/>
      <c r="S19" s="129"/>
      <c r="T19" s="129"/>
      <c r="U19" s="17" t="s">
        <v>203</v>
      </c>
      <c r="V19" s="64" t="str">
        <f>IF(ISBLANK(C19),IF(COUNT(J19:T19)=0,"Ok","Check"),IF(COUNT(J19:T19)=COUNT(J$10:T$10),"Ok","Check"))</f>
        <v>Ok</v>
      </c>
    </row>
    <row r="20" spans="1:22">
      <c r="A20" s="17"/>
      <c r="B20" s="17"/>
      <c r="C20" s="127" t="s">
        <v>210</v>
      </c>
      <c r="D20" s="120" t="s">
        <v>64</v>
      </c>
      <c r="E20" s="120" t="str">
        <f t="shared" si="2"/>
        <v>$millions</v>
      </c>
      <c r="F20" s="134">
        <f t="shared" ref="F20:F29" si="3">$F$13</f>
        <v>44348</v>
      </c>
      <c r="G20" s="121"/>
      <c r="H20" s="121"/>
      <c r="I20" s="120"/>
      <c r="J20" s="129">
        <v>2.8944685902264</v>
      </c>
      <c r="K20" s="129">
        <v>2.8944685902264</v>
      </c>
      <c r="L20" s="129">
        <v>2.8944685902264</v>
      </c>
      <c r="M20" s="129">
        <v>2.8944685902264</v>
      </c>
      <c r="N20" s="129">
        <v>2.8944685902264</v>
      </c>
      <c r="O20" s="129"/>
      <c r="P20" s="129"/>
      <c r="Q20" s="129"/>
      <c r="R20" s="129"/>
      <c r="S20" s="129"/>
      <c r="T20" s="129"/>
      <c r="U20" s="17"/>
      <c r="V20" s="64" t="str">
        <f>IF(ISBLANK(C20),IF(COUNT(J20:T20)=0,"Ok","Check"),IF(COUNT(J20:T20)=COUNT(J$10:T$10),"Ok","Check"))</f>
        <v>Ok</v>
      </c>
    </row>
    <row r="21" spans="1:22">
      <c r="A21" s="17"/>
      <c r="B21" s="17"/>
      <c r="C21" s="127"/>
      <c r="D21" s="120" t="s">
        <v>64</v>
      </c>
      <c r="E21" s="120" t="str">
        <f t="shared" si="2"/>
        <v>$millions</v>
      </c>
      <c r="F21" s="134">
        <f t="shared" si="3"/>
        <v>44348</v>
      </c>
      <c r="G21" s="121"/>
      <c r="H21" s="121"/>
      <c r="I21" s="120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7"/>
      <c r="V21" s="64" t="str">
        <f t="shared" ref="V21:V27" si="4">IF(ISBLANK(C21),IF(COUNT(J21:T21)=0,"Ok","Check"),IF(COUNT(J21:T21)=COUNT(J$10:T$10),"Ok","Check"))</f>
        <v>Ok</v>
      </c>
    </row>
    <row r="22" spans="1:22">
      <c r="A22" s="17"/>
      <c r="B22" s="17"/>
      <c r="C22" s="127"/>
      <c r="D22" s="120" t="s">
        <v>64</v>
      </c>
      <c r="E22" s="120" t="str">
        <f t="shared" si="2"/>
        <v>$millions</v>
      </c>
      <c r="F22" s="134">
        <f t="shared" si="3"/>
        <v>44348</v>
      </c>
      <c r="G22" s="121"/>
      <c r="H22" s="121"/>
      <c r="I22" s="120"/>
      <c r="J22" s="129"/>
      <c r="K22" s="129"/>
      <c r="L22" s="129"/>
      <c r="M22" s="129"/>
      <c r="N22" s="129"/>
      <c r="O22" s="129"/>
      <c r="P22" s="129"/>
      <c r="Q22" s="129"/>
      <c r="R22" s="129"/>
      <c r="S22" s="129"/>
      <c r="T22" s="129"/>
      <c r="U22" s="17"/>
      <c r="V22" s="64" t="str">
        <f t="shared" si="4"/>
        <v>Ok</v>
      </c>
    </row>
    <row r="23" spans="1:22">
      <c r="A23" s="17"/>
      <c r="B23" s="17"/>
      <c r="C23" s="127"/>
      <c r="D23" s="120" t="s">
        <v>64</v>
      </c>
      <c r="E23" s="120" t="str">
        <f t="shared" si="2"/>
        <v>$millions</v>
      </c>
      <c r="F23" s="134">
        <f t="shared" si="3"/>
        <v>44348</v>
      </c>
      <c r="G23" s="121"/>
      <c r="H23" s="121"/>
      <c r="I23" s="120"/>
      <c r="J23" s="129"/>
      <c r="K23" s="129"/>
      <c r="L23" s="129"/>
      <c r="M23" s="129"/>
      <c r="N23" s="129"/>
      <c r="O23" s="129"/>
      <c r="P23" s="129"/>
      <c r="Q23" s="129"/>
      <c r="R23" s="129"/>
      <c r="S23" s="129"/>
      <c r="T23" s="129"/>
      <c r="U23" s="17"/>
      <c r="V23" s="64" t="str">
        <f t="shared" si="4"/>
        <v>Ok</v>
      </c>
    </row>
    <row r="24" spans="1:22">
      <c r="A24" s="17"/>
      <c r="B24" s="17"/>
      <c r="C24" s="127"/>
      <c r="D24" s="120" t="s">
        <v>64</v>
      </c>
      <c r="E24" s="120" t="str">
        <f t="shared" si="2"/>
        <v>$millions</v>
      </c>
      <c r="F24" s="134">
        <f t="shared" si="3"/>
        <v>44348</v>
      </c>
      <c r="G24" s="121"/>
      <c r="H24" s="121"/>
      <c r="I24" s="120"/>
      <c r="J24" s="129"/>
      <c r="K24" s="129"/>
      <c r="L24" s="129"/>
      <c r="M24" s="129"/>
      <c r="N24" s="129"/>
      <c r="O24" s="129"/>
      <c r="P24" s="129"/>
      <c r="Q24" s="129"/>
      <c r="R24" s="129"/>
      <c r="S24" s="129"/>
      <c r="T24" s="129"/>
      <c r="U24" s="17"/>
      <c r="V24" s="64" t="str">
        <f t="shared" si="4"/>
        <v>Ok</v>
      </c>
    </row>
    <row r="25" spans="1:22">
      <c r="A25" s="17"/>
      <c r="B25" s="17"/>
      <c r="C25" s="127"/>
      <c r="D25" s="120" t="s">
        <v>64</v>
      </c>
      <c r="E25" s="120" t="str">
        <f t="shared" si="2"/>
        <v>$millions</v>
      </c>
      <c r="F25" s="134">
        <f t="shared" si="3"/>
        <v>44348</v>
      </c>
      <c r="G25" s="121"/>
      <c r="H25" s="121"/>
      <c r="I25" s="120"/>
      <c r="J25" s="129"/>
      <c r="K25" s="129"/>
      <c r="L25" s="129"/>
      <c r="M25" s="129"/>
      <c r="N25" s="129"/>
      <c r="O25" s="129"/>
      <c r="P25" s="129"/>
      <c r="Q25" s="129"/>
      <c r="R25" s="129"/>
      <c r="S25" s="129"/>
      <c r="T25" s="129"/>
      <c r="U25" s="17"/>
      <c r="V25" s="64" t="str">
        <f t="shared" si="4"/>
        <v>Ok</v>
      </c>
    </row>
    <row r="26" spans="1:22">
      <c r="A26" s="17"/>
      <c r="B26" s="17"/>
      <c r="C26" s="127"/>
      <c r="D26" s="120" t="s">
        <v>64</v>
      </c>
      <c r="E26" s="120" t="str">
        <f t="shared" si="2"/>
        <v>$millions</v>
      </c>
      <c r="F26" s="134">
        <f t="shared" si="3"/>
        <v>44348</v>
      </c>
      <c r="G26" s="121"/>
      <c r="H26" s="121"/>
      <c r="I26" s="120"/>
      <c r="J26" s="129"/>
      <c r="K26" s="129"/>
      <c r="L26" s="129"/>
      <c r="M26" s="129"/>
      <c r="N26" s="129"/>
      <c r="O26" s="129"/>
      <c r="P26" s="129"/>
      <c r="Q26" s="129"/>
      <c r="R26" s="129"/>
      <c r="S26" s="129"/>
      <c r="T26" s="129"/>
      <c r="U26" s="17"/>
      <c r="V26" s="64" t="str">
        <f t="shared" si="4"/>
        <v>Ok</v>
      </c>
    </row>
    <row r="27" spans="1:22">
      <c r="A27" s="17"/>
      <c r="B27" s="17"/>
      <c r="C27" s="127"/>
      <c r="D27" s="120" t="s">
        <v>64</v>
      </c>
      <c r="E27" s="120" t="str">
        <f t="shared" si="2"/>
        <v>$millions</v>
      </c>
      <c r="F27" s="134">
        <f t="shared" si="3"/>
        <v>44348</v>
      </c>
      <c r="G27" s="121"/>
      <c r="H27" s="121"/>
      <c r="I27" s="120"/>
      <c r="J27" s="129"/>
      <c r="K27" s="129"/>
      <c r="L27" s="129"/>
      <c r="M27" s="129"/>
      <c r="N27" s="129"/>
      <c r="O27" s="129"/>
      <c r="P27" s="129"/>
      <c r="Q27" s="129"/>
      <c r="R27" s="129"/>
      <c r="S27" s="129"/>
      <c r="T27" s="129"/>
      <c r="U27" s="17"/>
      <c r="V27" s="64" t="str">
        <f t="shared" si="4"/>
        <v>Ok</v>
      </c>
    </row>
    <row r="28" spans="1:22">
      <c r="A28" s="17"/>
      <c r="B28" s="17"/>
      <c r="C28" s="125"/>
      <c r="D28" s="120"/>
      <c r="E28" s="120"/>
      <c r="F28" s="120"/>
      <c r="G28" s="121"/>
      <c r="H28" s="121"/>
      <c r="I28" s="120"/>
      <c r="J28" s="126"/>
      <c r="K28" s="126"/>
      <c r="L28" s="126"/>
      <c r="M28" s="126"/>
      <c r="N28" s="126"/>
      <c r="O28" s="126"/>
      <c r="P28" s="126"/>
      <c r="Q28" s="126"/>
      <c r="R28" s="126"/>
      <c r="S28" s="126"/>
      <c r="T28" s="126"/>
      <c r="U28" s="17"/>
      <c r="V28" s="8"/>
    </row>
    <row r="29" spans="1:22">
      <c r="A29" s="17"/>
      <c r="B29" s="17"/>
      <c r="C29" s="130" t="s">
        <v>145</v>
      </c>
      <c r="D29" s="131" t="s">
        <v>30</v>
      </c>
      <c r="E29" s="135" t="str">
        <f>units</f>
        <v>$millions</v>
      </c>
      <c r="F29" s="132">
        <f t="shared" si="3"/>
        <v>44348</v>
      </c>
      <c r="G29" s="121"/>
      <c r="H29" s="121"/>
      <c r="I29" s="120"/>
      <c r="J29" s="133">
        <f>SUM(J19:J27)</f>
        <v>5.02888093706874</v>
      </c>
      <c r="K29" s="133">
        <f t="shared" ref="K29:S29" si="5">SUM(K19:K27)</f>
        <v>5.1183674623362299</v>
      </c>
      <c r="L29" s="133">
        <f t="shared" si="5"/>
        <v>5.2174811723086103</v>
      </c>
      <c r="M29" s="133">
        <f t="shared" si="5"/>
        <v>5.2754029207773101</v>
      </c>
      <c r="N29" s="133">
        <f t="shared" si="5"/>
        <v>5.3078770471930898</v>
      </c>
      <c r="O29" s="133">
        <f t="shared" si="5"/>
        <v>0</v>
      </c>
      <c r="P29" s="133">
        <f t="shared" si="5"/>
        <v>0</v>
      </c>
      <c r="Q29" s="133">
        <f t="shared" si="5"/>
        <v>0</v>
      </c>
      <c r="R29" s="133">
        <f t="shared" si="5"/>
        <v>0</v>
      </c>
      <c r="S29" s="133">
        <f t="shared" si="5"/>
        <v>0</v>
      </c>
      <c r="T29" s="133"/>
      <c r="U29" s="17"/>
      <c r="V29" s="64"/>
    </row>
    <row r="30" spans="1:22">
      <c r="A30" s="17"/>
      <c r="B30" s="17"/>
      <c r="C30" s="17"/>
      <c r="D30" s="120"/>
      <c r="E30" s="120"/>
      <c r="F30" s="120"/>
      <c r="G30" s="121"/>
      <c r="H30" s="121"/>
      <c r="I30" s="120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8"/>
    </row>
    <row r="31" spans="1:22" ht="12.75">
      <c r="A31" s="32"/>
      <c r="B31" s="38" t="s">
        <v>54</v>
      </c>
      <c r="C31" s="32"/>
      <c r="D31" s="32"/>
      <c r="E31" s="32"/>
      <c r="F31" s="118"/>
      <c r="G31" s="118"/>
      <c r="H31" s="118"/>
      <c r="I31" s="118"/>
      <c r="J31" s="34"/>
      <c r="K31" s="119"/>
      <c r="L31" s="34"/>
      <c r="M31" s="119"/>
      <c r="N31" s="34"/>
      <c r="O31" s="34"/>
      <c r="P31" s="34"/>
      <c r="Q31" s="34"/>
      <c r="R31" s="34"/>
      <c r="S31" s="34"/>
      <c r="T31" s="34"/>
      <c r="U31" s="34"/>
      <c r="V31" s="35"/>
    </row>
    <row r="32" spans="1:22">
      <c r="A32" s="17"/>
      <c r="B32" s="17"/>
      <c r="C32" s="17"/>
      <c r="D32" s="120"/>
      <c r="E32" s="120"/>
      <c r="F32" s="120"/>
      <c r="G32" s="120"/>
      <c r="H32" s="120"/>
      <c r="I32" s="120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8"/>
    </row>
    <row r="33" spans="1:22">
      <c r="A33" s="17"/>
      <c r="B33" s="17"/>
      <c r="C33" s="17"/>
      <c r="D33" s="120"/>
      <c r="E33" s="120"/>
      <c r="F33" s="120"/>
      <c r="G33" s="120"/>
      <c r="H33" s="120"/>
      <c r="I33" s="120"/>
      <c r="J33" s="129" t="s">
        <v>23</v>
      </c>
      <c r="K33" s="129" t="s">
        <v>23</v>
      </c>
      <c r="L33" s="129" t="s">
        <v>23</v>
      </c>
      <c r="M33" s="129" t="s">
        <v>23</v>
      </c>
      <c r="N33" s="129" t="s">
        <v>69</v>
      </c>
      <c r="O33" s="129"/>
      <c r="P33" s="129"/>
      <c r="Q33" s="129"/>
      <c r="R33" s="129"/>
      <c r="S33" s="129"/>
      <c r="T33" s="129"/>
      <c r="U33" s="17"/>
      <c r="V33" s="8"/>
    </row>
    <row r="34" spans="1:22">
      <c r="A34" s="17"/>
      <c r="B34" s="17"/>
      <c r="C34" s="122" t="s">
        <v>71</v>
      </c>
      <c r="D34" s="121" t="s">
        <v>7</v>
      </c>
      <c r="E34" s="121" t="s">
        <v>8</v>
      </c>
      <c r="F34" s="121" t="s">
        <v>22</v>
      </c>
      <c r="G34" s="121"/>
      <c r="H34" s="121"/>
      <c r="I34" s="121"/>
      <c r="J34" s="123">
        <f t="shared" ref="J34:S34" si="6">IF(YEAR(J$4)&lt;=PPLastYear,J$4,"")</f>
        <v>44713</v>
      </c>
      <c r="K34" s="123">
        <f t="shared" si="6"/>
        <v>45078</v>
      </c>
      <c r="L34" s="123">
        <f t="shared" si="6"/>
        <v>45444</v>
      </c>
      <c r="M34" s="123">
        <f t="shared" si="6"/>
        <v>45809</v>
      </c>
      <c r="N34" s="123">
        <f t="shared" si="6"/>
        <v>46174</v>
      </c>
      <c r="O34" s="123" t="str">
        <f t="shared" si="6"/>
        <v/>
      </c>
      <c r="P34" s="123" t="str">
        <f t="shared" si="6"/>
        <v/>
      </c>
      <c r="Q34" s="123" t="str">
        <f t="shared" si="6"/>
        <v/>
      </c>
      <c r="R34" s="123" t="str">
        <f t="shared" si="6"/>
        <v/>
      </c>
      <c r="S34" s="123" t="str">
        <f t="shared" si="6"/>
        <v/>
      </c>
      <c r="T34" s="123"/>
      <c r="U34" s="124" t="s">
        <v>51</v>
      </c>
      <c r="V34" s="8"/>
    </row>
    <row r="35" spans="1:22">
      <c r="A35" s="17"/>
      <c r="B35" s="17"/>
      <c r="C35" s="125"/>
      <c r="D35" s="120"/>
      <c r="E35" s="120"/>
      <c r="F35" s="120"/>
      <c r="G35" s="121"/>
      <c r="H35" s="121"/>
      <c r="I35" s="120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8"/>
    </row>
    <row r="36" spans="1:22">
      <c r="A36" s="17"/>
      <c r="B36" s="17"/>
      <c r="C36" s="125"/>
      <c r="D36" s="120"/>
      <c r="E36" s="120"/>
      <c r="F36" s="120"/>
      <c r="G36" s="121"/>
      <c r="H36" s="121"/>
      <c r="I36" s="120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8"/>
    </row>
    <row r="37" spans="1:22">
      <c r="A37" s="17"/>
      <c r="B37" s="17"/>
      <c r="C37" s="127" t="s">
        <v>68</v>
      </c>
      <c r="D37" s="120" t="s">
        <v>70</v>
      </c>
      <c r="E37" s="120" t="str">
        <f>units</f>
        <v>$millions</v>
      </c>
      <c r="F37" s="134" t="s">
        <v>95</v>
      </c>
      <c r="G37" s="121"/>
      <c r="H37" s="121"/>
      <c r="I37" s="120"/>
      <c r="J37" s="194">
        <v>235.611018</v>
      </c>
      <c r="K37" s="194">
        <v>274.16791264</v>
      </c>
      <c r="L37" s="194">
        <v>298.982215</v>
      </c>
      <c r="M37" s="194">
        <v>326.15662900000001</v>
      </c>
      <c r="N37" s="194"/>
      <c r="O37" s="129"/>
      <c r="P37" s="129"/>
      <c r="Q37" s="129"/>
      <c r="R37" s="129"/>
      <c r="S37" s="129"/>
      <c r="T37" s="129"/>
      <c r="U37" s="17" t="s">
        <v>151</v>
      </c>
      <c r="V37" s="64" t="str">
        <f>IF(AND(COUNT(J37:T37)&gt;=COUNTIF($J$33:$T$33,"Actual"),COUNT(J37:T37)&lt;=COUNT($J$34:$T$34)),"Ok","Check")</f>
        <v>Ok</v>
      </c>
    </row>
    <row r="38" spans="1:22">
      <c r="A38" s="17"/>
      <c r="B38" s="17"/>
      <c r="C38" s="125"/>
      <c r="D38" s="120"/>
      <c r="E38" s="120"/>
      <c r="F38" s="134"/>
      <c r="G38" s="121"/>
      <c r="H38" s="121"/>
      <c r="I38" s="120"/>
      <c r="J38" s="129"/>
      <c r="K38" s="129"/>
      <c r="L38" s="129"/>
      <c r="M38" s="129"/>
      <c r="N38" s="129"/>
      <c r="O38" s="129"/>
      <c r="P38" s="129"/>
      <c r="Q38" s="129"/>
      <c r="R38" s="129"/>
      <c r="S38" s="129"/>
      <c r="T38" s="129"/>
      <c r="U38" s="17"/>
      <c r="V38" s="8"/>
    </row>
    <row r="39" spans="1:22">
      <c r="A39" s="17"/>
      <c r="B39" s="17"/>
      <c r="C39" s="122" t="s">
        <v>159</v>
      </c>
      <c r="D39" s="120"/>
      <c r="E39" s="120"/>
      <c r="F39" s="134"/>
      <c r="G39" s="121"/>
      <c r="H39" s="121"/>
      <c r="I39" s="120"/>
      <c r="J39" s="129"/>
      <c r="K39" s="129"/>
      <c r="L39" s="129"/>
      <c r="M39" s="129"/>
      <c r="N39" s="129"/>
      <c r="O39" s="129"/>
      <c r="P39" s="129"/>
      <c r="Q39" s="129"/>
      <c r="R39" s="129"/>
      <c r="S39" s="129"/>
      <c r="T39" s="129"/>
      <c r="U39" s="17"/>
      <c r="V39" s="8"/>
    </row>
    <row r="40" spans="1:22">
      <c r="A40" s="17"/>
      <c r="B40" s="17"/>
      <c r="C40" s="122"/>
      <c r="D40" s="120"/>
      <c r="E40" s="120"/>
      <c r="F40" s="134"/>
      <c r="G40" s="121"/>
      <c r="H40" s="121"/>
      <c r="I40" s="120"/>
      <c r="J40" s="129"/>
      <c r="K40" s="129"/>
      <c r="L40" s="129"/>
      <c r="M40" s="129"/>
      <c r="N40" s="129"/>
      <c r="O40" s="129"/>
      <c r="P40" s="129"/>
      <c r="Q40" s="129"/>
      <c r="R40" s="129"/>
      <c r="S40" s="129"/>
      <c r="T40" s="129"/>
      <c r="U40" s="17"/>
      <c r="V40" s="8"/>
    </row>
    <row r="41" spans="1:22">
      <c r="A41" s="17"/>
      <c r="B41" s="17"/>
      <c r="C41" s="127" t="s">
        <v>155</v>
      </c>
      <c r="D41" s="120" t="s">
        <v>70</v>
      </c>
      <c r="E41" s="120" t="str">
        <f>units</f>
        <v>$millions</v>
      </c>
      <c r="F41" s="134" t="s">
        <v>95</v>
      </c>
      <c r="G41" s="121"/>
      <c r="H41" s="121"/>
      <c r="I41" s="120"/>
      <c r="J41" s="194">
        <v>2.6074382800000011</v>
      </c>
      <c r="K41" s="194">
        <v>3.6164512100000001</v>
      </c>
      <c r="L41" s="194">
        <v>1.8436244999999967</v>
      </c>
      <c r="M41" s="194">
        <v>3.8068923199999976</v>
      </c>
      <c r="N41" s="194"/>
      <c r="O41" s="129"/>
      <c r="P41" s="129"/>
      <c r="Q41" s="129"/>
      <c r="R41" s="129"/>
      <c r="S41" s="129"/>
      <c r="T41" s="129"/>
      <c r="U41" s="17" t="s">
        <v>158</v>
      </c>
      <c r="V41" s="64" t="str">
        <f>IF(ISBLANK(C41),IF(COUNT(J41:T41)=0,"Ok","Check"),IF(AND(COUNT(J41:T41)&gt;=COUNTIF($J$33:$T$33,"Actual"),COUNT(J41:T41)&lt;=COUNT($J$34:$T$34)),"Ok","Check"))</f>
        <v>Ok</v>
      </c>
    </row>
    <row r="42" spans="1:22">
      <c r="A42" s="17"/>
      <c r="B42" s="17"/>
      <c r="C42" s="127" t="s">
        <v>189</v>
      </c>
      <c r="D42" s="120" t="s">
        <v>70</v>
      </c>
      <c r="E42" s="120" t="str">
        <f>units</f>
        <v>$millions</v>
      </c>
      <c r="F42" s="134" t="s">
        <v>95</v>
      </c>
      <c r="G42" s="121"/>
      <c r="H42" s="121"/>
      <c r="I42" s="120"/>
      <c r="J42" s="194">
        <v>0.10167551999999999</v>
      </c>
      <c r="K42" s="194">
        <v>0</v>
      </c>
      <c r="L42" s="194">
        <v>0</v>
      </c>
      <c r="M42" s="194">
        <v>0</v>
      </c>
      <c r="N42" s="194"/>
      <c r="O42" s="129"/>
      <c r="P42" s="129"/>
      <c r="Q42" s="129"/>
      <c r="R42" s="129"/>
      <c r="S42" s="129"/>
      <c r="T42" s="129"/>
      <c r="U42" s="17"/>
      <c r="V42" s="64" t="str">
        <f t="shared" ref="V42:V45" si="7">IF(ISBLANK(C42),IF(COUNT(J42:T42)=0,"Ok","Check"),IF(AND(COUNT(J42:T42)&gt;=COUNTIF($J$33:$T$33,"Actual"),COUNT(J42:T42)&lt;=COUNT($J$34:$T$34)),"Ok","Check"))</f>
        <v>Ok</v>
      </c>
    </row>
    <row r="43" spans="1:22">
      <c r="A43" s="17"/>
      <c r="B43" s="17"/>
      <c r="C43" s="127"/>
      <c r="D43" s="120" t="s">
        <v>70</v>
      </c>
      <c r="E43" s="120" t="str">
        <f>units</f>
        <v>$millions</v>
      </c>
      <c r="F43" s="134" t="s">
        <v>95</v>
      </c>
      <c r="G43" s="121"/>
      <c r="H43" s="121"/>
      <c r="I43" s="120"/>
      <c r="J43" s="194"/>
      <c r="K43" s="194"/>
      <c r="L43" s="194"/>
      <c r="M43" s="194"/>
      <c r="N43" s="194"/>
      <c r="O43" s="129"/>
      <c r="P43" s="129"/>
      <c r="Q43" s="129"/>
      <c r="R43" s="129"/>
      <c r="S43" s="129"/>
      <c r="T43" s="129"/>
      <c r="U43" s="17"/>
      <c r="V43" s="64" t="str">
        <f t="shared" si="7"/>
        <v>Ok</v>
      </c>
    </row>
    <row r="44" spans="1:22">
      <c r="A44" s="17"/>
      <c r="B44" s="17"/>
      <c r="C44" s="127"/>
      <c r="D44" s="120" t="s">
        <v>70</v>
      </c>
      <c r="E44" s="120" t="str">
        <f>units</f>
        <v>$millions</v>
      </c>
      <c r="F44" s="134" t="s">
        <v>95</v>
      </c>
      <c r="G44" s="121"/>
      <c r="H44" s="121"/>
      <c r="I44" s="120"/>
      <c r="J44" s="194"/>
      <c r="K44" s="194"/>
      <c r="L44" s="194"/>
      <c r="M44" s="194"/>
      <c r="N44" s="194"/>
      <c r="O44" s="129"/>
      <c r="P44" s="129"/>
      <c r="Q44" s="129"/>
      <c r="R44" s="129"/>
      <c r="S44" s="129"/>
      <c r="T44" s="129"/>
      <c r="U44" s="17"/>
      <c r="V44" s="64" t="str">
        <f t="shared" si="7"/>
        <v>Ok</v>
      </c>
    </row>
    <row r="45" spans="1:22">
      <c r="A45" s="17"/>
      <c r="B45" s="17"/>
      <c r="C45" s="127"/>
      <c r="D45" s="120" t="s">
        <v>70</v>
      </c>
      <c r="E45" s="120" t="str">
        <f>units</f>
        <v>$millions</v>
      </c>
      <c r="F45" s="134" t="s">
        <v>95</v>
      </c>
      <c r="G45" s="121"/>
      <c r="H45" s="121"/>
      <c r="I45" s="120"/>
      <c r="J45" s="194"/>
      <c r="K45" s="194"/>
      <c r="L45" s="194"/>
      <c r="M45" s="194"/>
      <c r="N45" s="194"/>
      <c r="O45" s="129"/>
      <c r="P45" s="129"/>
      <c r="Q45" s="129"/>
      <c r="R45" s="129"/>
      <c r="S45" s="129"/>
      <c r="T45" s="129"/>
      <c r="U45" s="17"/>
      <c r="V45" s="64" t="str">
        <f t="shared" si="7"/>
        <v>Ok</v>
      </c>
    </row>
    <row r="46" spans="1:22">
      <c r="A46" s="17"/>
      <c r="B46" s="17"/>
      <c r="C46" s="125"/>
      <c r="D46" s="120"/>
      <c r="E46" s="120"/>
      <c r="F46" s="120"/>
      <c r="G46" s="121"/>
      <c r="H46" s="121"/>
      <c r="I46" s="120"/>
      <c r="J46" s="17"/>
      <c r="K46" s="17"/>
      <c r="L46" s="17"/>
      <c r="M46" s="17"/>
      <c r="N46" s="136"/>
      <c r="O46" s="136"/>
      <c r="P46" s="136"/>
      <c r="Q46" s="136"/>
      <c r="R46" s="136"/>
      <c r="S46" s="136"/>
      <c r="T46" s="136"/>
      <c r="U46" s="17"/>
      <c r="V46" s="8"/>
    </row>
    <row r="47" spans="1:22">
      <c r="A47" s="17"/>
      <c r="B47" s="17"/>
      <c r="C47" s="130" t="s">
        <v>156</v>
      </c>
      <c r="D47" s="131" t="s">
        <v>30</v>
      </c>
      <c r="E47" s="135" t="str">
        <f>units</f>
        <v>$millions</v>
      </c>
      <c r="F47" s="132" t="s">
        <v>95</v>
      </c>
      <c r="G47" s="121"/>
      <c r="H47" s="121"/>
      <c r="I47" s="120"/>
      <c r="J47" s="133">
        <f>J37-SUM(J41:J45)</f>
        <v>232.90190419999999</v>
      </c>
      <c r="K47" s="133">
        <f t="shared" ref="K47:S47" si="8">K37-SUM(K41:K45)</f>
        <v>270.55146143000002</v>
      </c>
      <c r="L47" s="133">
        <f t="shared" si="8"/>
        <v>297.13859050000002</v>
      </c>
      <c r="M47" s="133">
        <f t="shared" si="8"/>
        <v>322.34973668000003</v>
      </c>
      <c r="N47" s="133">
        <f t="shared" si="8"/>
        <v>0</v>
      </c>
      <c r="O47" s="133">
        <f t="shared" si="8"/>
        <v>0</v>
      </c>
      <c r="P47" s="133">
        <f t="shared" si="8"/>
        <v>0</v>
      </c>
      <c r="Q47" s="133">
        <f t="shared" si="8"/>
        <v>0</v>
      </c>
      <c r="R47" s="133">
        <f t="shared" si="8"/>
        <v>0</v>
      </c>
      <c r="S47" s="133">
        <f t="shared" si="8"/>
        <v>0</v>
      </c>
      <c r="T47" s="133"/>
      <c r="U47" s="17"/>
      <c r="V47" s="8"/>
    </row>
    <row r="48" spans="1:22">
      <c r="A48" s="17"/>
      <c r="B48" s="17"/>
      <c r="C48" s="17"/>
      <c r="D48" s="120"/>
      <c r="E48" s="120"/>
      <c r="F48" s="120"/>
      <c r="G48" s="120"/>
      <c r="H48" s="120"/>
      <c r="I48" s="120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8"/>
    </row>
    <row r="49" spans="1:22">
      <c r="A49" s="17"/>
      <c r="B49" s="17"/>
      <c r="C49" s="122" t="s">
        <v>103</v>
      </c>
      <c r="D49" s="120"/>
      <c r="E49" s="120"/>
      <c r="F49" s="120"/>
      <c r="G49" s="120"/>
      <c r="H49" s="120"/>
      <c r="I49" s="120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8"/>
    </row>
    <row r="50" spans="1:22">
      <c r="A50" s="17"/>
      <c r="B50" s="17"/>
      <c r="C50" s="17"/>
      <c r="D50" s="120"/>
      <c r="E50" s="120"/>
      <c r="F50" s="120"/>
      <c r="G50" s="120"/>
      <c r="H50" s="120"/>
      <c r="I50" s="120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8"/>
    </row>
    <row r="51" spans="1:22">
      <c r="A51" s="17"/>
      <c r="B51" s="17"/>
      <c r="C51" s="127" t="s">
        <v>39</v>
      </c>
      <c r="D51" s="120" t="s">
        <v>70</v>
      </c>
      <c r="E51" s="120" t="str">
        <f>units</f>
        <v>$millions</v>
      </c>
      <c r="F51" s="134" t="s">
        <v>95</v>
      </c>
      <c r="G51" s="121"/>
      <c r="H51" s="121"/>
      <c r="I51" s="120"/>
      <c r="J51" s="194">
        <v>0</v>
      </c>
      <c r="K51" s="194">
        <v>0</v>
      </c>
      <c r="L51" s="194">
        <v>0</v>
      </c>
      <c r="M51" s="194">
        <v>0</v>
      </c>
      <c r="N51" s="194"/>
      <c r="O51" s="129"/>
      <c r="P51" s="129"/>
      <c r="Q51" s="129"/>
      <c r="R51" s="129"/>
      <c r="S51" s="129"/>
      <c r="T51" s="129"/>
      <c r="U51" s="17" t="s">
        <v>154</v>
      </c>
      <c r="V51" s="64" t="str">
        <f>IF(ISBLANK(C51),IF(COUNT(J51:T51)=0,"Ok","Check"),IF(AND(COUNT(J51:T51)&gt;=COUNTIF($J$33:$T$33,"Actual"),COUNT(J51:T51)&lt;=COUNT($J$34:$T$34)),"Ok","Check"))</f>
        <v>Ok</v>
      </c>
    </row>
    <row r="52" spans="1:22">
      <c r="A52" s="17"/>
      <c r="B52" s="17"/>
      <c r="C52" s="127" t="s">
        <v>210</v>
      </c>
      <c r="D52" s="120" t="s">
        <v>70</v>
      </c>
      <c r="E52" s="120" t="str">
        <f>units</f>
        <v>$millions</v>
      </c>
      <c r="F52" s="134" t="s">
        <v>95</v>
      </c>
      <c r="G52" s="121"/>
      <c r="H52" s="121"/>
      <c r="I52" s="120"/>
      <c r="J52" s="194">
        <v>2.9651200000000002</v>
      </c>
      <c r="K52" s="194">
        <v>3.566452</v>
      </c>
      <c r="L52" s="194">
        <v>2.3626399999999999</v>
      </c>
      <c r="M52" s="194">
        <v>1.6951350000000001</v>
      </c>
      <c r="N52" s="194"/>
      <c r="O52" s="129"/>
      <c r="P52" s="129"/>
      <c r="Q52" s="129"/>
      <c r="R52" s="129"/>
      <c r="S52" s="129"/>
      <c r="T52" s="129"/>
      <c r="U52" s="17"/>
      <c r="V52" s="64" t="str">
        <f t="shared" ref="V52:V54" si="9">IF(ISBLANK(C52),IF(COUNT(J52:T52)=0,"Ok","Check"),IF(AND(COUNT(J52:T52)&gt;=COUNTIF($J$33:$T$33,"Actual"),COUNT(J52:T52)&lt;=COUNT($J$34:$T$34)),"Ok","Check"))</f>
        <v>Ok</v>
      </c>
    </row>
    <row r="53" spans="1:22">
      <c r="A53" s="17"/>
      <c r="B53" s="17"/>
      <c r="C53" s="127"/>
      <c r="D53" s="120" t="s">
        <v>70</v>
      </c>
      <c r="E53" s="120" t="str">
        <f>units</f>
        <v>$millions</v>
      </c>
      <c r="F53" s="134" t="s">
        <v>95</v>
      </c>
      <c r="G53" s="121"/>
      <c r="H53" s="121"/>
      <c r="I53" s="120"/>
      <c r="J53" s="194"/>
      <c r="K53" s="194"/>
      <c r="L53" s="194"/>
      <c r="M53" s="194"/>
      <c r="N53" s="194"/>
      <c r="O53" s="129"/>
      <c r="P53" s="129"/>
      <c r="Q53" s="129"/>
      <c r="R53" s="129"/>
      <c r="S53" s="129"/>
      <c r="T53" s="129"/>
      <c r="U53" s="17"/>
      <c r="V53" s="64" t="str">
        <f t="shared" si="9"/>
        <v>Ok</v>
      </c>
    </row>
    <row r="54" spans="1:22">
      <c r="A54" s="17"/>
      <c r="B54" s="17"/>
      <c r="C54" s="127"/>
      <c r="D54" s="120" t="s">
        <v>70</v>
      </c>
      <c r="E54" s="120" t="str">
        <f>units</f>
        <v>$millions</v>
      </c>
      <c r="F54" s="134" t="s">
        <v>95</v>
      </c>
      <c r="G54" s="121"/>
      <c r="H54" s="121"/>
      <c r="I54" s="120"/>
      <c r="J54" s="194"/>
      <c r="K54" s="194"/>
      <c r="L54" s="194"/>
      <c r="M54" s="194"/>
      <c r="N54" s="194"/>
      <c r="O54" s="129"/>
      <c r="P54" s="129"/>
      <c r="Q54" s="129"/>
      <c r="R54" s="129"/>
      <c r="S54" s="129"/>
      <c r="T54" s="129"/>
      <c r="U54" s="17"/>
      <c r="V54" s="64" t="str">
        <f t="shared" si="9"/>
        <v>Ok</v>
      </c>
    </row>
    <row r="55" spans="1:22">
      <c r="A55" s="17"/>
      <c r="B55" s="17"/>
      <c r="C55" s="127"/>
      <c r="D55" s="120" t="s">
        <v>70</v>
      </c>
      <c r="E55" s="120" t="str">
        <f>units</f>
        <v>$millions</v>
      </c>
      <c r="F55" s="134" t="s">
        <v>95</v>
      </c>
      <c r="G55" s="121"/>
      <c r="H55" s="121"/>
      <c r="I55" s="120"/>
      <c r="J55" s="194"/>
      <c r="K55" s="194"/>
      <c r="L55" s="194"/>
      <c r="M55" s="194"/>
      <c r="N55" s="194"/>
      <c r="O55" s="129"/>
      <c r="P55" s="129"/>
      <c r="Q55" s="129"/>
      <c r="R55" s="129"/>
      <c r="S55" s="129"/>
      <c r="T55" s="129"/>
      <c r="U55" s="17"/>
      <c r="V55" s="64" t="str">
        <f>IF(ISBLANK(C55),IF(COUNT(J55:T55)=0,"Ok","Check"),IF(AND(COUNT(J55:T55)&gt;=COUNTIF($J$33:$T$33,"Actual"),COUNT(J55:T55)&lt;=COUNT($J$34:$T$34)),"Ok","Check"))</f>
        <v>Ok</v>
      </c>
    </row>
    <row r="56" spans="1:22">
      <c r="A56" s="17"/>
      <c r="B56" s="17"/>
      <c r="C56" s="125"/>
      <c r="D56" s="120"/>
      <c r="E56" s="120"/>
      <c r="F56" s="120"/>
      <c r="G56" s="121"/>
      <c r="H56" s="121"/>
      <c r="I56" s="120"/>
      <c r="J56" s="17"/>
      <c r="K56" s="17"/>
      <c r="L56" s="17"/>
      <c r="M56" s="17"/>
      <c r="N56" s="136"/>
      <c r="O56" s="136"/>
      <c r="P56" s="136"/>
      <c r="Q56" s="136"/>
      <c r="R56" s="136"/>
      <c r="S56" s="136"/>
      <c r="T56" s="136"/>
      <c r="U56" s="17"/>
      <c r="V56" s="8"/>
    </row>
    <row r="57" spans="1:22">
      <c r="A57" s="17"/>
      <c r="B57" s="17"/>
      <c r="C57" s="130" t="s">
        <v>145</v>
      </c>
      <c r="D57" s="131" t="s">
        <v>30</v>
      </c>
      <c r="E57" s="135" t="str">
        <f>units</f>
        <v>$millions</v>
      </c>
      <c r="F57" s="132" t="s">
        <v>95</v>
      </c>
      <c r="G57" s="121"/>
      <c r="H57" s="121"/>
      <c r="I57" s="120"/>
      <c r="J57" s="137">
        <f>SUM(J51:J55)</f>
        <v>2.9651200000000002</v>
      </c>
      <c r="K57" s="137">
        <f t="shared" ref="K57:S57" si="10">SUM(K51:K55)</f>
        <v>3.566452</v>
      </c>
      <c r="L57" s="137">
        <f t="shared" si="10"/>
        <v>2.3626399999999999</v>
      </c>
      <c r="M57" s="137">
        <f t="shared" si="10"/>
        <v>1.6951350000000001</v>
      </c>
      <c r="N57" s="137">
        <f t="shared" si="10"/>
        <v>0</v>
      </c>
      <c r="O57" s="137">
        <f t="shared" si="10"/>
        <v>0</v>
      </c>
      <c r="P57" s="137">
        <f t="shared" si="10"/>
        <v>0</v>
      </c>
      <c r="Q57" s="137">
        <f t="shared" si="10"/>
        <v>0</v>
      </c>
      <c r="R57" s="137">
        <f t="shared" si="10"/>
        <v>0</v>
      </c>
      <c r="S57" s="137">
        <f t="shared" si="10"/>
        <v>0</v>
      </c>
      <c r="T57" s="137"/>
      <c r="U57" s="17"/>
      <c r="V57" s="64"/>
    </row>
    <row r="58" spans="1:22">
      <c r="A58" s="17"/>
      <c r="B58" s="17"/>
      <c r="C58" s="17"/>
      <c r="D58" s="120"/>
      <c r="E58" s="120"/>
      <c r="F58" s="120"/>
      <c r="G58" s="121"/>
      <c r="H58" s="121"/>
      <c r="I58" s="120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8"/>
    </row>
    <row r="59" spans="1:22" ht="12.75">
      <c r="A59" s="32"/>
      <c r="B59" s="38" t="s">
        <v>104</v>
      </c>
      <c r="C59" s="32"/>
      <c r="D59" s="32"/>
      <c r="E59" s="32"/>
      <c r="F59" s="118"/>
      <c r="G59" s="118"/>
      <c r="H59" s="118"/>
      <c r="I59" s="118"/>
      <c r="J59" s="34"/>
      <c r="K59" s="119"/>
      <c r="L59" s="34"/>
      <c r="M59" s="119"/>
      <c r="N59" s="34"/>
      <c r="O59" s="34"/>
      <c r="P59" s="34"/>
      <c r="Q59" s="34"/>
      <c r="R59" s="34"/>
      <c r="S59" s="34"/>
      <c r="T59" s="34"/>
      <c r="U59" s="34"/>
      <c r="V59" s="35"/>
    </row>
    <row r="60" spans="1:22">
      <c r="A60" s="17"/>
      <c r="B60" s="17"/>
      <c r="C60" s="17"/>
      <c r="D60" s="120"/>
      <c r="E60" s="120"/>
      <c r="F60" s="120"/>
      <c r="G60" s="120"/>
      <c r="H60" s="120"/>
      <c r="I60" s="120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8"/>
    </row>
    <row r="61" spans="1:22">
      <c r="A61" s="17"/>
      <c r="B61" s="17"/>
      <c r="C61" s="122" t="s">
        <v>105</v>
      </c>
      <c r="D61" s="121" t="s">
        <v>7</v>
      </c>
      <c r="E61" s="121" t="s">
        <v>8</v>
      </c>
      <c r="F61" s="121" t="s">
        <v>22</v>
      </c>
      <c r="G61" s="121"/>
      <c r="H61" s="121"/>
      <c r="I61" s="121"/>
      <c r="J61" s="123" t="str">
        <f t="shared" ref="J61:S61" si="11">IF(YEAR(J$4)=PPLastYear,J$4,"")</f>
        <v/>
      </c>
      <c r="K61" s="123" t="str">
        <f t="shared" si="11"/>
        <v/>
      </c>
      <c r="L61" s="123" t="str">
        <f t="shared" si="11"/>
        <v/>
      </c>
      <c r="M61" s="123" t="str">
        <f t="shared" si="11"/>
        <v/>
      </c>
      <c r="N61" s="123">
        <f t="shared" si="11"/>
        <v>46174</v>
      </c>
      <c r="O61" s="123" t="str">
        <f t="shared" si="11"/>
        <v/>
      </c>
      <c r="P61" s="123" t="str">
        <f t="shared" si="11"/>
        <v/>
      </c>
      <c r="Q61" s="123" t="str">
        <f t="shared" si="11"/>
        <v/>
      </c>
      <c r="R61" s="123" t="str">
        <f t="shared" si="11"/>
        <v/>
      </c>
      <c r="S61" s="123" t="str">
        <f t="shared" si="11"/>
        <v/>
      </c>
      <c r="T61" s="123"/>
      <c r="U61" s="17"/>
      <c r="V61" s="8"/>
    </row>
    <row r="62" spans="1:22">
      <c r="A62" s="17"/>
      <c r="B62" s="17"/>
      <c r="C62" s="122"/>
      <c r="D62" s="121"/>
      <c r="E62" s="121"/>
      <c r="F62" s="121"/>
      <c r="G62" s="121"/>
      <c r="H62" s="121"/>
      <c r="I62" s="121"/>
      <c r="J62" s="138"/>
      <c r="K62" s="138"/>
      <c r="L62" s="138"/>
      <c r="M62" s="138"/>
      <c r="N62" s="138"/>
      <c r="O62" s="138"/>
      <c r="P62" s="138"/>
      <c r="Q62" s="138"/>
      <c r="R62" s="138"/>
      <c r="S62" s="138"/>
      <c r="T62" s="138"/>
      <c r="U62" s="17"/>
      <c r="V62" s="8"/>
    </row>
    <row r="63" spans="1:22">
      <c r="A63" s="17"/>
      <c r="B63" s="17"/>
      <c r="C63" s="127" t="s">
        <v>211</v>
      </c>
      <c r="D63" s="120" t="s">
        <v>34</v>
      </c>
      <c r="E63" s="120" t="str">
        <f>units</f>
        <v>$millions</v>
      </c>
      <c r="F63" s="139">
        <f>DATE(PPLastYear,MONTH(month),1)</f>
        <v>46174</v>
      </c>
      <c r="G63" s="121"/>
      <c r="H63" s="121"/>
      <c r="I63" s="121"/>
      <c r="J63" s="129"/>
      <c r="K63" s="129"/>
      <c r="L63" s="129"/>
      <c r="M63" s="129"/>
      <c r="N63" s="194">
        <v>-0.94307039805042392</v>
      </c>
      <c r="O63" s="129"/>
      <c r="P63" s="129"/>
      <c r="Q63" s="129"/>
      <c r="R63" s="129"/>
      <c r="S63" s="129"/>
      <c r="T63" s="129"/>
      <c r="U63" s="17" t="s">
        <v>161</v>
      </c>
      <c r="V63" s="64" t="str">
        <f>IF(ISBLANK(C63),IF(COUNT(J63:T63)=0,"Ok","Check"),IF(AND(NOT(ISBLANK(INDEX(J63:T63,1,MATCH(SUM($J$61:$T$61),J61:T61,0)))),COUNT(J63:T63)=COUNT($J$61:$T$61)),"Ok","Check"))</f>
        <v>Ok</v>
      </c>
    </row>
    <row r="64" spans="1:22">
      <c r="A64" s="17"/>
      <c r="B64" s="17"/>
      <c r="C64" s="127"/>
      <c r="D64" s="120" t="s">
        <v>34</v>
      </c>
      <c r="E64" s="120" t="str">
        <f>units</f>
        <v>$millions</v>
      </c>
      <c r="F64" s="139">
        <f>DATE(PPLastYear,MONTH(month),1)</f>
        <v>46174</v>
      </c>
      <c r="G64" s="121"/>
      <c r="H64" s="121"/>
      <c r="I64" s="121"/>
      <c r="J64" s="129"/>
      <c r="K64" s="129"/>
      <c r="L64" s="129"/>
      <c r="M64" s="129"/>
      <c r="N64" s="194"/>
      <c r="O64" s="129"/>
      <c r="P64" s="129"/>
      <c r="Q64" s="129"/>
      <c r="R64" s="129"/>
      <c r="S64" s="129"/>
      <c r="T64" s="129"/>
      <c r="U64" s="122"/>
      <c r="V64" s="64" t="str">
        <f t="shared" ref="V64:V67" si="12">IF(ISBLANK(C64),IF(COUNT(J64:T64)=0,"Ok","Check"),IF(AND(NOT(ISBLANK(INDEX(J64:T64,1,MATCH(SUM($J$61:$T$61),J62:T62,0)))),COUNT(J64:T64)=COUNT($J$61:$T$61)),"Ok","Check"))</f>
        <v>Ok</v>
      </c>
    </row>
    <row r="65" spans="1:22">
      <c r="A65" s="17"/>
      <c r="B65" s="17"/>
      <c r="C65" s="127"/>
      <c r="D65" s="120" t="s">
        <v>34</v>
      </c>
      <c r="E65" s="120" t="str">
        <f>units</f>
        <v>$millions</v>
      </c>
      <c r="F65" s="139">
        <f>DATE(PPLastYear,MONTH(month),1)</f>
        <v>46174</v>
      </c>
      <c r="G65" s="121"/>
      <c r="H65" s="121"/>
      <c r="I65" s="121"/>
      <c r="J65" s="129"/>
      <c r="K65" s="129"/>
      <c r="L65" s="129"/>
      <c r="M65" s="129"/>
      <c r="N65" s="194"/>
      <c r="O65" s="129"/>
      <c r="P65" s="129"/>
      <c r="Q65" s="129"/>
      <c r="R65" s="129"/>
      <c r="S65" s="129"/>
      <c r="T65" s="129"/>
      <c r="U65" s="122"/>
      <c r="V65" s="64" t="str">
        <f t="shared" si="12"/>
        <v>Ok</v>
      </c>
    </row>
    <row r="66" spans="1:22">
      <c r="A66" s="17"/>
      <c r="B66" s="17"/>
      <c r="C66" s="127"/>
      <c r="D66" s="120" t="s">
        <v>34</v>
      </c>
      <c r="E66" s="120" t="str">
        <f>units</f>
        <v>$millions</v>
      </c>
      <c r="F66" s="139">
        <f>DATE(PPLastYear,MONTH(month),1)</f>
        <v>46174</v>
      </c>
      <c r="G66" s="121"/>
      <c r="H66" s="121"/>
      <c r="I66" s="121"/>
      <c r="J66" s="129"/>
      <c r="K66" s="129"/>
      <c r="L66" s="129"/>
      <c r="M66" s="129"/>
      <c r="N66" s="194"/>
      <c r="O66" s="129"/>
      <c r="P66" s="129"/>
      <c r="Q66" s="129"/>
      <c r="R66" s="129"/>
      <c r="S66" s="129"/>
      <c r="T66" s="129"/>
      <c r="U66" s="122"/>
      <c r="V66" s="64" t="str">
        <f t="shared" si="12"/>
        <v>Ok</v>
      </c>
    </row>
    <row r="67" spans="1:22">
      <c r="A67" s="17"/>
      <c r="B67" s="17"/>
      <c r="C67" s="127"/>
      <c r="D67" s="120" t="s">
        <v>34</v>
      </c>
      <c r="E67" s="120" t="str">
        <f>units</f>
        <v>$millions</v>
      </c>
      <c r="F67" s="139">
        <f>DATE(PPLastYear,MONTH(month),1)</f>
        <v>46174</v>
      </c>
      <c r="G67" s="121"/>
      <c r="H67" s="121"/>
      <c r="I67" s="121"/>
      <c r="J67" s="129"/>
      <c r="K67" s="129"/>
      <c r="L67" s="129"/>
      <c r="M67" s="129"/>
      <c r="N67" s="194"/>
      <c r="O67" s="129"/>
      <c r="P67" s="129"/>
      <c r="Q67" s="129"/>
      <c r="R67" s="129"/>
      <c r="S67" s="129"/>
      <c r="T67" s="129"/>
      <c r="U67" s="122"/>
      <c r="V67" s="64" t="str">
        <f t="shared" si="12"/>
        <v>Ok</v>
      </c>
    </row>
    <row r="68" spans="1:22">
      <c r="A68" s="17"/>
      <c r="B68" s="17"/>
      <c r="C68" s="140"/>
      <c r="D68" s="120"/>
      <c r="E68" s="120"/>
      <c r="F68" s="121"/>
      <c r="G68" s="121"/>
      <c r="H68" s="121"/>
      <c r="I68" s="121"/>
      <c r="J68" s="141"/>
      <c r="K68" s="141"/>
      <c r="L68" s="141"/>
      <c r="M68" s="141"/>
      <c r="N68" s="141"/>
      <c r="O68" s="141"/>
      <c r="P68" s="141"/>
      <c r="Q68" s="141"/>
      <c r="R68" s="141"/>
      <c r="S68" s="141"/>
      <c r="T68" s="141"/>
      <c r="U68" s="122"/>
      <c r="V68" s="8"/>
    </row>
    <row r="69" spans="1:22">
      <c r="A69" s="17"/>
      <c r="B69" s="17"/>
      <c r="C69" s="142" t="s">
        <v>157</v>
      </c>
      <c r="D69" s="120" t="s">
        <v>34</v>
      </c>
      <c r="E69" s="120" t="str">
        <f>units</f>
        <v>$millions</v>
      </c>
      <c r="F69" s="139">
        <f>DATE(PPLastYear,MONTH(month),1)</f>
        <v>46174</v>
      </c>
      <c r="G69" s="121"/>
      <c r="H69" s="121"/>
      <c r="I69" s="121"/>
      <c r="J69" s="129"/>
      <c r="K69" s="129"/>
      <c r="L69" s="129"/>
      <c r="M69" s="129"/>
      <c r="N69" s="194">
        <v>0</v>
      </c>
      <c r="O69" s="129"/>
      <c r="P69" s="129"/>
      <c r="Q69" s="129"/>
      <c r="R69" s="129"/>
      <c r="S69" s="129"/>
      <c r="T69" s="129"/>
      <c r="U69" s="17" t="s">
        <v>199</v>
      </c>
      <c r="V69" s="64" t="str">
        <f t="shared" ref="V69:V71" si="13">IF(AND(NOT(ISBLANK(INDEX(J69:T69,1,MATCH(SUM($J$61:$T$61),J67:T67,0)))),COUNT(J69:T69)=COUNT($J$61:$T$61)),"Ok","Check")</f>
        <v>Ok</v>
      </c>
    </row>
    <row r="70" spans="1:22">
      <c r="A70" s="17"/>
      <c r="B70" s="17"/>
      <c r="C70" s="142"/>
      <c r="D70" s="120"/>
      <c r="E70" s="120"/>
      <c r="F70" s="121"/>
      <c r="G70" s="121"/>
      <c r="H70" s="121"/>
      <c r="I70" s="121"/>
      <c r="J70" s="141"/>
      <c r="K70" s="141"/>
      <c r="L70" s="141"/>
      <c r="M70" s="141"/>
      <c r="N70" s="141"/>
      <c r="O70" s="141"/>
      <c r="P70" s="141"/>
      <c r="Q70" s="141"/>
      <c r="R70" s="141"/>
      <c r="S70" s="141"/>
      <c r="T70" s="141"/>
      <c r="U70" s="122"/>
      <c r="V70" s="8"/>
    </row>
    <row r="71" spans="1:22">
      <c r="A71" s="17"/>
      <c r="B71" s="17"/>
      <c r="C71" s="142" t="s">
        <v>84</v>
      </c>
      <c r="D71" s="120" t="s">
        <v>34</v>
      </c>
      <c r="E71" s="120" t="s">
        <v>31</v>
      </c>
      <c r="F71" s="121"/>
      <c r="G71" s="121"/>
      <c r="H71" s="121"/>
      <c r="I71" s="121"/>
      <c r="J71" s="143"/>
      <c r="K71" s="143"/>
      <c r="L71" s="143"/>
      <c r="M71" s="143"/>
      <c r="N71" s="195">
        <v>0</v>
      </c>
      <c r="O71" s="143"/>
      <c r="P71" s="143"/>
      <c r="Q71" s="143"/>
      <c r="R71" s="143"/>
      <c r="S71" s="143"/>
      <c r="T71" s="143"/>
      <c r="U71" s="17" t="s">
        <v>198</v>
      </c>
      <c r="V71" s="64" t="str">
        <f t="shared" si="13"/>
        <v>Ok</v>
      </c>
    </row>
    <row r="72" spans="1:22">
      <c r="A72" s="17"/>
      <c r="B72" s="17"/>
      <c r="C72" s="125"/>
      <c r="D72" s="120"/>
      <c r="E72" s="120"/>
      <c r="F72" s="120"/>
      <c r="G72" s="121"/>
      <c r="H72" s="121"/>
      <c r="I72" s="120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8"/>
    </row>
    <row r="73" spans="1:22" ht="12.75">
      <c r="A73" s="32"/>
      <c r="B73" s="38" t="s">
        <v>21</v>
      </c>
      <c r="C73" s="32"/>
      <c r="D73" s="32"/>
      <c r="E73" s="32"/>
      <c r="F73" s="118"/>
      <c r="G73" s="118"/>
      <c r="H73" s="118"/>
      <c r="I73" s="118"/>
      <c r="J73" s="34"/>
      <c r="K73" s="119"/>
      <c r="L73" s="34"/>
      <c r="M73" s="119"/>
      <c r="N73" s="34"/>
      <c r="O73" s="34"/>
      <c r="P73" s="34"/>
      <c r="Q73" s="34"/>
      <c r="R73" s="34"/>
      <c r="S73" s="34"/>
      <c r="T73" s="34"/>
      <c r="U73" s="34"/>
      <c r="V73" s="35"/>
    </row>
  </sheetData>
  <conditionalFormatting sqref="J13:T13">
    <cfRule type="expression" dxfId="150" priority="32">
      <formula>J$10=J$4</formula>
    </cfRule>
  </conditionalFormatting>
  <conditionalFormatting sqref="J15:T15">
    <cfRule type="cellIs" dxfId="149" priority="35" operator="equal">
      <formula>0</formula>
    </cfRule>
  </conditionalFormatting>
  <conditionalFormatting sqref="J19:T27">
    <cfRule type="expression" dxfId="148" priority="27">
      <formula>J$10=J$4</formula>
    </cfRule>
  </conditionalFormatting>
  <conditionalFormatting sqref="J29:T29">
    <cfRule type="cellIs" dxfId="147" priority="28" operator="equal">
      <formula>0</formula>
    </cfRule>
  </conditionalFormatting>
  <conditionalFormatting sqref="J33:T33 N37:T37">
    <cfRule type="expression" dxfId="146" priority="33">
      <formula>J$34=J$4</formula>
    </cfRule>
  </conditionalFormatting>
  <conditionalFormatting sqref="J37:T37">
    <cfRule type="expression" dxfId="145" priority="31">
      <formula>J$10=J$4</formula>
    </cfRule>
  </conditionalFormatting>
  <conditionalFormatting sqref="J41:T45">
    <cfRule type="expression" dxfId="144" priority="1">
      <formula>J$34=J$4</formula>
    </cfRule>
  </conditionalFormatting>
  <conditionalFormatting sqref="J47:T47">
    <cfRule type="cellIs" dxfId="143" priority="30" operator="equal">
      <formula>0</formula>
    </cfRule>
  </conditionalFormatting>
  <conditionalFormatting sqref="J51:T55">
    <cfRule type="expression" dxfId="142" priority="22">
      <formula>J$34=J$4</formula>
    </cfRule>
  </conditionalFormatting>
  <conditionalFormatting sqref="J57:T57">
    <cfRule type="cellIs" dxfId="141" priority="34" operator="equal">
      <formula>0</formula>
    </cfRule>
  </conditionalFormatting>
  <conditionalFormatting sqref="J63:T67">
    <cfRule type="expression" dxfId="140" priority="29">
      <formula>J$61=J$4</formula>
    </cfRule>
  </conditionalFormatting>
  <conditionalFormatting sqref="J69:T69 J71:T71">
    <cfRule type="expression" dxfId="139" priority="64">
      <formula>J$61=J$4</formula>
    </cfRule>
  </conditionalFormatting>
  <conditionalFormatting sqref="S1:T1">
    <cfRule type="cellIs" dxfId="138" priority="52" operator="equal">
      <formula>"Check"</formula>
    </cfRule>
    <cfRule type="cellIs" dxfId="137" priority="53" operator="equal">
      <formula>"Ok"</formula>
    </cfRule>
  </conditionalFormatting>
  <conditionalFormatting sqref="V1">
    <cfRule type="cellIs" dxfId="136" priority="81" operator="equal">
      <formula>"Check"</formula>
    </cfRule>
    <cfRule type="cellIs" dxfId="135" priority="82" operator="equal">
      <formula>"Ok"</formula>
    </cfRule>
  </conditionalFormatting>
  <conditionalFormatting sqref="V13">
    <cfRule type="cellIs" dxfId="134" priority="20" operator="equal">
      <formula>"Check"</formula>
    </cfRule>
    <cfRule type="cellIs" dxfId="133" priority="21" operator="equal">
      <formula>"Ok"</formula>
    </cfRule>
  </conditionalFormatting>
  <conditionalFormatting sqref="V15">
    <cfRule type="cellIs" dxfId="132" priority="83" operator="equal">
      <formula>"Check"</formula>
    </cfRule>
    <cfRule type="cellIs" dxfId="131" priority="84" operator="equal">
      <formula>"Ok"</formula>
    </cfRule>
  </conditionalFormatting>
  <conditionalFormatting sqref="V19:V27">
    <cfRule type="cellIs" dxfId="130" priority="18" operator="equal">
      <formula>"Check"</formula>
    </cfRule>
    <cfRule type="cellIs" dxfId="129" priority="19" operator="equal">
      <formula>"Ok"</formula>
    </cfRule>
  </conditionalFormatting>
  <conditionalFormatting sqref="V29">
    <cfRule type="cellIs" dxfId="128" priority="60" operator="equal">
      <formula>"Check"</formula>
    </cfRule>
    <cfRule type="cellIs" dxfId="127" priority="61" operator="equal">
      <formula>"Ok"</formula>
    </cfRule>
  </conditionalFormatting>
  <conditionalFormatting sqref="V37">
    <cfRule type="cellIs" dxfId="126" priority="14" operator="equal">
      <formula>"Check"</formula>
    </cfRule>
    <cfRule type="cellIs" dxfId="125" priority="15" operator="equal">
      <formula>"Ok"</formula>
    </cfRule>
  </conditionalFormatting>
  <conditionalFormatting sqref="V41:V45">
    <cfRule type="cellIs" dxfId="124" priority="10" operator="equal">
      <formula>"Check"</formula>
    </cfRule>
    <cfRule type="cellIs" dxfId="123" priority="11" operator="equal">
      <formula>"Ok"</formula>
    </cfRule>
  </conditionalFormatting>
  <conditionalFormatting sqref="V47">
    <cfRule type="cellIs" dxfId="122" priority="67" operator="equal">
      <formula>"Check"</formula>
    </cfRule>
    <cfRule type="cellIs" dxfId="121" priority="68" operator="equal">
      <formula>"Ok"</formula>
    </cfRule>
  </conditionalFormatting>
  <conditionalFormatting sqref="V48:V50">
    <cfRule type="cellIs" dxfId="120" priority="75" operator="equal">
      <formula>"Check"</formula>
    </cfRule>
    <cfRule type="cellIs" dxfId="119" priority="76" operator="equal">
      <formula>"Ok"</formula>
    </cfRule>
  </conditionalFormatting>
  <conditionalFormatting sqref="V51:V55">
    <cfRule type="cellIs" dxfId="118" priority="8" operator="equal">
      <formula>"Check"</formula>
    </cfRule>
    <cfRule type="cellIs" dxfId="117" priority="9" operator="equal">
      <formula>"Ok"</formula>
    </cfRule>
  </conditionalFormatting>
  <conditionalFormatting sqref="V52:V55">
    <cfRule type="cellIs" dxfId="116" priority="87" operator="equal">
      <formula>"Check"</formula>
    </cfRule>
    <cfRule type="cellIs" dxfId="115" priority="88" operator="equal">
      <formula>"Ok"</formula>
    </cfRule>
  </conditionalFormatting>
  <conditionalFormatting sqref="V57">
    <cfRule type="cellIs" dxfId="114" priority="85" operator="equal">
      <formula>"Check"</formula>
    </cfRule>
    <cfRule type="cellIs" dxfId="113" priority="86" operator="equal">
      <formula>"Ok"</formula>
    </cfRule>
  </conditionalFormatting>
  <conditionalFormatting sqref="V63:V67">
    <cfRule type="cellIs" dxfId="112" priority="6" operator="equal">
      <formula>"Check"</formula>
    </cfRule>
    <cfRule type="cellIs" dxfId="111" priority="7" operator="equal">
      <formula>"Ok"</formula>
    </cfRule>
  </conditionalFormatting>
  <conditionalFormatting sqref="V69">
    <cfRule type="cellIs" dxfId="110" priority="4" operator="equal">
      <formula>"Check"</formula>
    </cfRule>
    <cfRule type="cellIs" dxfId="109" priority="5" operator="equal">
      <formula>"Ok"</formula>
    </cfRule>
  </conditionalFormatting>
  <conditionalFormatting sqref="V71">
    <cfRule type="cellIs" dxfId="108" priority="2" operator="equal">
      <formula>"Check"</formula>
    </cfRule>
    <cfRule type="cellIs" dxfId="107" priority="3" operator="equal">
      <formula>"Ok"</formula>
    </cfRule>
  </conditionalFormatting>
  <dataValidations count="4">
    <dataValidation type="list" allowBlank="1" showInputMessage="1" showErrorMessage="1" sqref="J33:T33" xr:uid="{00000000-0002-0000-0400-000000000000}">
      <formula1>"Actual,Estimate"</formula1>
    </dataValidation>
    <dataValidation type="decimal" operator="greaterThanOrEqual" allowBlank="1" showInputMessage="1" showErrorMessage="1" sqref="J37:T37 J51:T55 J13:T13 J19:T27" xr:uid="{4DD52D4E-5EDB-4419-8C55-4D6C586486C3}">
      <formula1>0</formula1>
    </dataValidation>
    <dataValidation type="decimal" operator="lessThanOrEqual" allowBlank="1" showInputMessage="1" showErrorMessage="1" sqref="J71:T71" xr:uid="{94013B80-DD9A-4761-9D6D-415C8501229D}">
      <formula1>0</formula1>
    </dataValidation>
    <dataValidation type="custom" allowBlank="1" showInputMessage="1" showErrorMessage="1" sqref="J1 U1" xr:uid="{20C9710B-6C84-4229-823D-D9DD2A0FC7C1}">
      <formula1>"&lt;0&gt;0"</formula1>
    </dataValidation>
  </dataValidations>
  <hyperlinks>
    <hyperlink ref="J1" location="Index!A1" display="Back to Index" xr:uid="{2DCFA443-8251-4232-93A2-16199D416688}"/>
    <hyperlink ref="U1" location="'Check|List'!A1" display="Overall Check:" xr:uid="{40802EBB-A5A0-4CCB-942A-3FE99EC5A705}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>
    <tabColor rgb="FFFFFF99"/>
  </sheetPr>
  <dimension ref="A1:AH119"/>
  <sheetViews>
    <sheetView showGridLines="0" zoomScaleNormal="100" workbookViewId="0">
      <selection activeCell="K1" sqref="K1"/>
    </sheetView>
  </sheetViews>
  <sheetFormatPr defaultColWidth="0" defaultRowHeight="11.25" zeroHeight="1" outlineLevelRow="1"/>
  <cols>
    <col min="1" max="2" width="1.5" style="8" customWidth="1"/>
    <col min="3" max="3" width="57.5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33203125" style="16" customWidth="1"/>
    <col min="10" max="10" width="10.83203125" style="16" customWidth="1"/>
    <col min="11" max="24" width="10.83203125" style="8" customWidth="1"/>
    <col min="25" max="16384" width="10.5" style="8" hidden="1"/>
  </cols>
  <sheetData>
    <row r="1" spans="1:34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26"/>
      <c r="K1" s="186" t="s">
        <v>2</v>
      </c>
      <c r="M1" s="28" t="s">
        <v>3</v>
      </c>
      <c r="N1" s="46" t="s">
        <v>4</v>
      </c>
      <c r="O1" s="11" t="s">
        <v>5</v>
      </c>
      <c r="P1" s="12" t="s">
        <v>6</v>
      </c>
      <c r="S1" s="28" t="s">
        <v>77</v>
      </c>
      <c r="T1" s="29" t="str">
        <f>IF(COUNTIF(X5:X118,"Check")=0,"Ok","Check")</f>
        <v>Ok</v>
      </c>
      <c r="U1" s="29"/>
      <c r="W1" s="187" t="s">
        <v>24</v>
      </c>
      <c r="X1" s="29" t="str">
        <f>'Check|List'!$S$1</f>
        <v>Ok</v>
      </c>
    </row>
    <row r="2" spans="1:34" s="31" customFormat="1" ht="13.5" thickBot="1">
      <c r="B2" s="30" t="str">
        <f>Index!$C$10</f>
        <v>Input | Rate of change</v>
      </c>
      <c r="C2" s="30"/>
      <c r="D2" s="30"/>
      <c r="E2" s="30"/>
      <c r="F2" s="52"/>
      <c r="G2" s="52"/>
      <c r="H2" s="52"/>
      <c r="I2" s="52"/>
      <c r="J2" s="52"/>
    </row>
    <row r="3" spans="1:34" s="53" customFormat="1">
      <c r="D3" s="105"/>
      <c r="E3" s="105"/>
      <c r="F3" s="105"/>
      <c r="G3" s="105"/>
      <c r="H3" s="105"/>
      <c r="I3" s="105"/>
      <c r="J3" s="96" t="s">
        <v>109</v>
      </c>
      <c r="K3" s="196"/>
      <c r="L3" s="196"/>
      <c r="M3" s="196"/>
      <c r="N3" s="105"/>
      <c r="O3" s="196"/>
      <c r="P3" s="196"/>
      <c r="Q3" s="196"/>
      <c r="R3" s="196"/>
      <c r="S3" s="196"/>
      <c r="T3" s="196"/>
      <c r="U3" s="105"/>
      <c r="V3" s="54"/>
      <c r="W3" s="54"/>
      <c r="X3" s="54"/>
      <c r="Y3" s="54"/>
      <c r="Z3" s="54"/>
      <c r="AA3" s="54"/>
      <c r="AB3" s="54"/>
      <c r="AC3" s="54"/>
      <c r="AD3" s="54"/>
    </row>
    <row r="4" spans="1:34" s="63" customFormat="1" ht="10.5">
      <c r="A4" s="55"/>
      <c r="B4" s="55"/>
      <c r="C4" s="55"/>
      <c r="D4" s="56" t="s">
        <v>7</v>
      </c>
      <c r="E4" s="56" t="s">
        <v>8</v>
      </c>
      <c r="F4" s="144" t="s">
        <v>22</v>
      </c>
      <c r="G4" s="145"/>
      <c r="H4" s="145"/>
      <c r="I4" s="145"/>
      <c r="J4" s="94">
        <f>DATE(PPFirstYear-1,MONTH('Input|General'!$G$9),1)</f>
        <v>44348</v>
      </c>
      <c r="K4" s="94">
        <f>DATE(PPFirstYear,MONTH('Input|General'!$G$9),1)</f>
        <v>44713</v>
      </c>
      <c r="L4" s="94">
        <f>DATE(PPFirstYear+1,MONTH('Input|General'!$G$9),1)</f>
        <v>45078</v>
      </c>
      <c r="M4" s="94">
        <f>DATE(PPFirstYear+2,MONTH('Input|General'!$G$9),1)</f>
        <v>45444</v>
      </c>
      <c r="N4" s="94">
        <f>DATE(PPFirstYear+3,MONTH('Input|General'!$G$9),1)</f>
        <v>45809</v>
      </c>
      <c r="O4" s="94">
        <f>DATE(PPFirstYear+4,MONTH('Input|General'!$G$9),1)</f>
        <v>46174</v>
      </c>
      <c r="P4" s="94">
        <f>DATE(PPFirstYear+5,MONTH('Input|General'!$G$9),1)</f>
        <v>46539</v>
      </c>
      <c r="Q4" s="94">
        <f>DATE(PPFirstYear+6,MONTH('Input|General'!$G$9),1)</f>
        <v>46905</v>
      </c>
      <c r="R4" s="94">
        <f>DATE(PPFirstYear+7,MONTH('Input|General'!$G$9),1)</f>
        <v>47270</v>
      </c>
      <c r="S4" s="94">
        <f>DATE(PPFirstYear+8,MONTH('Input|General'!$G$9),1)</f>
        <v>47635</v>
      </c>
      <c r="T4" s="94">
        <f>DATE(PPFirstYear+9,MONTH('Input|General'!$G$9),1)</f>
        <v>48000</v>
      </c>
      <c r="U4" s="94">
        <f>DATE(PPFirstYear+10,MONTH('Input|General'!$G$9),1)</f>
        <v>48366</v>
      </c>
      <c r="V4" s="59"/>
      <c r="W4" s="59"/>
      <c r="X4" s="60"/>
      <c r="Y4" s="61"/>
      <c r="Z4" s="61"/>
      <c r="AA4" s="61"/>
      <c r="AB4" s="61"/>
      <c r="AC4" s="61"/>
      <c r="AD4" s="61"/>
      <c r="AE4" s="61"/>
      <c r="AF4" s="61"/>
      <c r="AG4" s="62"/>
      <c r="AH4" s="62"/>
    </row>
    <row r="5" spans="1:34" s="6" customFormat="1" ht="3" customHeight="1">
      <c r="A5" s="146"/>
      <c r="B5" s="146"/>
      <c r="C5" s="146"/>
      <c r="D5" s="147"/>
      <c r="E5" s="147"/>
      <c r="F5" s="147"/>
      <c r="G5" s="147"/>
      <c r="H5" s="147"/>
      <c r="I5" s="147"/>
      <c r="J5" s="147"/>
      <c r="K5" s="146"/>
      <c r="L5" s="146"/>
      <c r="M5" s="146"/>
      <c r="N5" s="146"/>
      <c r="O5" s="146"/>
      <c r="P5" s="146"/>
      <c r="Q5" s="146"/>
      <c r="R5" s="146"/>
      <c r="S5" s="146"/>
      <c r="T5" s="146"/>
      <c r="U5" s="146"/>
      <c r="V5" s="146"/>
      <c r="W5" s="146"/>
    </row>
    <row r="6" spans="1:34" s="6" customFormat="1" ht="9" customHeight="1">
      <c r="A6" s="146"/>
      <c r="B6" s="146"/>
      <c r="C6" s="146"/>
      <c r="D6" s="147"/>
      <c r="E6" s="147"/>
      <c r="F6" s="147"/>
      <c r="G6" s="147"/>
      <c r="H6" s="147"/>
      <c r="I6" s="147"/>
      <c r="J6" s="147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46"/>
      <c r="W6" s="146"/>
    </row>
    <row r="7" spans="1:34" s="6" customFormat="1" ht="3" customHeight="1">
      <c r="A7" s="146"/>
      <c r="B7" s="146"/>
      <c r="C7" s="146"/>
      <c r="D7" s="147"/>
      <c r="E7" s="147"/>
      <c r="F7" s="147"/>
      <c r="G7" s="147"/>
      <c r="H7" s="147"/>
      <c r="I7" s="147"/>
      <c r="J7" s="147"/>
      <c r="K7" s="146"/>
      <c r="L7" s="146"/>
      <c r="M7" s="146"/>
      <c r="N7" s="146"/>
      <c r="O7" s="146"/>
      <c r="P7" s="146"/>
      <c r="Q7" s="146"/>
      <c r="R7" s="146"/>
      <c r="S7" s="146"/>
      <c r="T7" s="146"/>
      <c r="U7" s="146"/>
      <c r="V7" s="146"/>
      <c r="W7" s="146"/>
    </row>
    <row r="8" spans="1:34" customFormat="1" ht="12.75">
      <c r="A8" s="32"/>
      <c r="B8" s="38" t="s">
        <v>35</v>
      </c>
      <c r="C8" s="32"/>
      <c r="D8" s="32"/>
      <c r="E8" s="32"/>
      <c r="F8" s="118"/>
      <c r="G8" s="118"/>
      <c r="H8" s="118"/>
      <c r="I8" s="118"/>
      <c r="J8" s="118"/>
      <c r="K8" s="34"/>
      <c r="L8" s="119"/>
      <c r="M8" s="34"/>
      <c r="N8" s="119"/>
      <c r="O8" s="34"/>
      <c r="P8" s="34"/>
      <c r="Q8" s="34"/>
      <c r="R8" s="34"/>
      <c r="S8" s="34"/>
      <c r="T8" s="34"/>
      <c r="U8" s="34"/>
      <c r="V8" s="34"/>
      <c r="W8" s="34"/>
      <c r="X8" s="35"/>
      <c r="Y8" s="36"/>
      <c r="Z8" s="36"/>
      <c r="AA8" s="36"/>
      <c r="AB8" s="36"/>
      <c r="AC8" s="36"/>
      <c r="AD8" s="36"/>
      <c r="AE8" s="36"/>
      <c r="AF8" s="36"/>
      <c r="AG8" s="37"/>
      <c r="AH8" s="37"/>
    </row>
    <row r="9" spans="1:34" ht="11.25" customHeight="1" outlineLevel="1">
      <c r="A9" s="17"/>
      <c r="B9" s="17"/>
      <c r="C9" s="17"/>
      <c r="D9" s="120"/>
      <c r="E9" s="120"/>
      <c r="F9" s="120"/>
      <c r="G9" s="120"/>
      <c r="H9" s="120"/>
      <c r="I9" s="120"/>
      <c r="J9" s="120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</row>
    <row r="10" spans="1:34" ht="11.25" customHeight="1" outlineLevel="1">
      <c r="A10" s="17"/>
      <c r="B10" s="17"/>
      <c r="C10" s="122" t="s">
        <v>33</v>
      </c>
      <c r="D10" s="120"/>
      <c r="E10" s="120"/>
      <c r="F10" s="120"/>
      <c r="G10" s="120"/>
      <c r="H10" s="120"/>
      <c r="I10" s="120"/>
      <c r="J10" s="123">
        <f t="shared" ref="J10:T10" si="0">IF(YEAR(J$4)&lt;=PPLastYear,J$4,"")</f>
        <v>44348</v>
      </c>
      <c r="K10" s="123">
        <f t="shared" si="0"/>
        <v>44713</v>
      </c>
      <c r="L10" s="123">
        <f t="shared" si="0"/>
        <v>45078</v>
      </c>
      <c r="M10" s="123">
        <f t="shared" si="0"/>
        <v>45444</v>
      </c>
      <c r="N10" s="123">
        <f t="shared" si="0"/>
        <v>45809</v>
      </c>
      <c r="O10" s="123">
        <f t="shared" si="0"/>
        <v>46174</v>
      </c>
      <c r="P10" s="123" t="str">
        <f t="shared" si="0"/>
        <v/>
      </c>
      <c r="Q10" s="123" t="str">
        <f t="shared" si="0"/>
        <v/>
      </c>
      <c r="R10" s="123" t="str">
        <f t="shared" si="0"/>
        <v/>
      </c>
      <c r="S10" s="123" t="str">
        <f t="shared" si="0"/>
        <v/>
      </c>
      <c r="T10" s="123" t="str">
        <f t="shared" si="0"/>
        <v/>
      </c>
      <c r="U10" s="138"/>
      <c r="V10" s="17"/>
      <c r="W10" s="17"/>
    </row>
    <row r="11" spans="1:34" ht="11.25" customHeight="1" outlineLevel="1">
      <c r="A11" s="17"/>
      <c r="B11" s="17"/>
      <c r="C11" s="122"/>
      <c r="D11" s="120"/>
      <c r="E11" s="120"/>
      <c r="F11" s="120"/>
      <c r="G11" s="120"/>
      <c r="H11" s="120"/>
      <c r="I11" s="120"/>
      <c r="J11" s="17"/>
      <c r="K11" s="17"/>
      <c r="L11" s="17"/>
      <c r="M11" s="17"/>
      <c r="N11" s="17"/>
      <c r="O11" s="17"/>
      <c r="P11" s="148"/>
      <c r="Q11" s="148"/>
      <c r="R11" s="148"/>
      <c r="S11" s="148"/>
      <c r="T11" s="148"/>
      <c r="U11" s="148"/>
      <c r="V11" s="149"/>
      <c r="W11" s="149"/>
      <c r="X11" s="14"/>
    </row>
    <row r="12" spans="1:34" ht="11.25" customHeight="1" outlineLevel="1">
      <c r="A12" s="17"/>
      <c r="B12" s="17"/>
      <c r="C12" s="125" t="s">
        <v>33</v>
      </c>
      <c r="D12" s="150" t="s">
        <v>93</v>
      </c>
      <c r="E12" s="120" t="str">
        <f>percent</f>
        <v>Per cent</v>
      </c>
      <c r="F12" s="120"/>
      <c r="G12" s="120"/>
      <c r="H12" s="120"/>
      <c r="I12" s="120"/>
      <c r="J12" s="148">
        <f>IF(J10=J4,LOOKUP(EOMONTH(J4,0),'Input|Inflation'!$C$9:$C$88,'Input|Inflation'!$I$9:$I$88),"")</f>
        <v>3.8461538461538325E-2</v>
      </c>
      <c r="K12" s="148">
        <f>IF(K10=K4,LOOKUP(EOMONTH(K4,0),'Input|Inflation'!$C$9:$C$88,'Input|Inflation'!$I$9:$I$88),"")</f>
        <v>6.1447811447811418E-2</v>
      </c>
      <c r="L12" s="148">
        <f>IF(L10=L4,LOOKUP(EOMONTH(L4,0),'Input|Inflation'!$C$9:$C$88,'Input|Inflation'!$I$9:$I$88),"")</f>
        <v>6.0269627279936566E-2</v>
      </c>
      <c r="M12" s="148">
        <f>IF(M10=M4,LOOKUP(EOMONTH(M4,0),'Input|Inflation'!$C$9:$C$88,'Input|Inflation'!$I$9:$I$88),"")</f>
        <v>3.8145100972326151E-2</v>
      </c>
      <c r="N12" s="148">
        <f>IF(N10=N4,LOOKUP(EOMONTH(N4,0),'Input|Inflation'!$C$9:$C$88,'Input|Inflation'!$I$9:$I$88),"")</f>
        <v>2.0893371757924939E-2</v>
      </c>
      <c r="O12" s="148">
        <f>IF(O10=O4,LOOKUP(EOMONTH(O4,0),'Input|Inflation'!$C$9:$C$88,'Input|Inflation'!$I$9:$I$88),"")</f>
        <v>4.2000000000000037E-2</v>
      </c>
      <c r="P12" s="148" t="str">
        <f>IF(P10=P4,LOOKUP(EOMONTH(P4,0),'Input|Inflation'!$C$9:$C$88,'Input|Inflation'!$I$9:$I$88),"")</f>
        <v/>
      </c>
      <c r="Q12" s="148" t="str">
        <f>IF(Q10=Q4,LOOKUP(EOMONTH(Q4,0),'Input|Inflation'!$C$9:$C$88,'Input|Inflation'!$I$9:$I$88),"")</f>
        <v/>
      </c>
      <c r="R12" s="148" t="str">
        <f>IF(R10=R4,LOOKUP(EOMONTH(R4,0),'Input|Inflation'!$C$9:$C$88,'Input|Inflation'!$I$9:$I$88),"")</f>
        <v/>
      </c>
      <c r="S12" s="148" t="str">
        <f>IF(S10=S4,LOOKUP(EOMONTH(S4,0),'Input|Inflation'!$C$9:$C$88,'Input|Inflation'!$I$9:$I$88),"")</f>
        <v/>
      </c>
      <c r="T12" s="148" t="str">
        <f>IF(T10=T4,LOOKUP(EOMONTH(T4,0),'Input|Inflation'!$C$9:$C$88,'Input|Inflation'!$I$9:$I$88),"")</f>
        <v/>
      </c>
      <c r="U12" s="148"/>
      <c r="V12" s="151"/>
      <c r="W12" s="17"/>
    </row>
    <row r="13" spans="1:34" ht="11.25" customHeight="1" outlineLevel="1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</row>
    <row r="14" spans="1:34" ht="11.25" customHeight="1" outlineLevel="1">
      <c r="A14" s="17"/>
      <c r="B14" s="17"/>
      <c r="C14" s="122" t="s">
        <v>94</v>
      </c>
      <c r="D14" s="120"/>
      <c r="E14" s="120"/>
      <c r="F14" s="120"/>
      <c r="G14" s="120"/>
      <c r="H14" s="120"/>
      <c r="I14" s="17"/>
      <c r="J14" s="123">
        <f t="shared" ref="J14:T14" si="1">IF(YEAR(J$4)&lt;=PPLastYear,J$4,"")</f>
        <v>44348</v>
      </c>
      <c r="K14" s="123">
        <f t="shared" si="1"/>
        <v>44713</v>
      </c>
      <c r="L14" s="123">
        <f t="shared" si="1"/>
        <v>45078</v>
      </c>
      <c r="M14" s="123">
        <f t="shared" si="1"/>
        <v>45444</v>
      </c>
      <c r="N14" s="123">
        <f t="shared" si="1"/>
        <v>45809</v>
      </c>
      <c r="O14" s="123">
        <f t="shared" si="1"/>
        <v>46174</v>
      </c>
      <c r="P14" s="123" t="str">
        <f t="shared" si="1"/>
        <v/>
      </c>
      <c r="Q14" s="123" t="str">
        <f t="shared" si="1"/>
        <v/>
      </c>
      <c r="R14" s="123" t="str">
        <f t="shared" si="1"/>
        <v/>
      </c>
      <c r="S14" s="123" t="str">
        <f t="shared" si="1"/>
        <v/>
      </c>
      <c r="T14" s="123" t="str">
        <f t="shared" si="1"/>
        <v/>
      </c>
      <c r="U14" s="138"/>
      <c r="V14" s="17"/>
      <c r="W14" s="17"/>
    </row>
    <row r="15" spans="1:34" ht="11.25" customHeight="1" outlineLevel="1">
      <c r="A15" s="17"/>
      <c r="B15" s="17"/>
      <c r="C15" s="122"/>
      <c r="D15" s="120"/>
      <c r="E15" s="120"/>
      <c r="F15" s="120"/>
      <c r="G15" s="120"/>
      <c r="H15" s="120"/>
      <c r="I15" s="17"/>
      <c r="J15" s="149"/>
      <c r="K15" s="149"/>
      <c r="L15" s="149"/>
      <c r="M15" s="149"/>
      <c r="N15" s="149"/>
      <c r="O15" s="149"/>
      <c r="P15" s="152"/>
      <c r="Q15" s="152"/>
      <c r="R15" s="152"/>
      <c r="S15" s="152"/>
      <c r="T15" s="152"/>
      <c r="U15" s="152"/>
      <c r="V15" s="17"/>
      <c r="W15" s="17"/>
    </row>
    <row r="16" spans="1:34" ht="11.25" customHeight="1" outlineLevel="1">
      <c r="A16" s="17"/>
      <c r="B16" s="17"/>
      <c r="C16" s="153">
        <f t="array" ref="C16:C22">TRANSPOSE(J10:P10)</f>
        <v>44348</v>
      </c>
      <c r="D16" s="150" t="str">
        <f t="shared" ref="D16:D20" si="2">IF(ISNONTEXT($C16),"calculated","")</f>
        <v>calculated</v>
      </c>
      <c r="E16" s="120" t="str">
        <f>IF(ISNONTEXT($C16),"index","")</f>
        <v>index</v>
      </c>
      <c r="F16" s="120"/>
      <c r="G16" s="120"/>
      <c r="H16" s="120"/>
      <c r="I16" s="120"/>
      <c r="J16" s="154">
        <f t="shared" ref="J16:N16" si="3">IF(AND($C16&gt;J$14,ISNONTEXT($C16)),K16/(1+K$12),IF(AND($C16=J$14,J$14=J$4),1,IF(AND($C16&lt;J$14,J$14=J$4),I16*(1+J$12),0)))</f>
        <v>1</v>
      </c>
      <c r="K16" s="154">
        <f t="shared" si="3"/>
        <v>1.0614478114478114</v>
      </c>
      <c r="L16" s="154">
        <f t="shared" si="3"/>
        <v>1.1254208754208754</v>
      </c>
      <c r="M16" s="154">
        <f t="shared" si="3"/>
        <v>1.1683501683501685</v>
      </c>
      <c r="N16" s="154">
        <f t="shared" si="3"/>
        <v>1.1927609427609427</v>
      </c>
      <c r="O16" s="154">
        <f t="shared" ref="O16:P16" si="4">IF(AND($C16&gt;O$14,ISNONTEXT($C16)),P16/(1+O$12),IF(AND($C16=O$14,O$14=O$4),1,IF(AND($C16&lt;O$14,O$14=O$4),N16*(1+O$12),0)))</f>
        <v>1.2428569023569023</v>
      </c>
      <c r="P16" s="154">
        <f t="shared" si="4"/>
        <v>0</v>
      </c>
      <c r="Q16" s="155"/>
      <c r="R16" s="155"/>
      <c r="S16" s="155"/>
      <c r="T16" s="155"/>
      <c r="U16" s="155"/>
      <c r="V16" s="17"/>
      <c r="W16" s="17"/>
    </row>
    <row r="17" spans="1:23" ht="11.25" customHeight="1" outlineLevel="1">
      <c r="A17" s="17"/>
      <c r="B17" s="17"/>
      <c r="C17" s="153">
        <v>44713</v>
      </c>
      <c r="D17" s="150" t="str">
        <f t="shared" si="2"/>
        <v>calculated</v>
      </c>
      <c r="E17" s="120" t="str">
        <f t="shared" ref="E17:E22" si="5">IF(ISNONTEXT($C17),"index","")</f>
        <v>index</v>
      </c>
      <c r="F17" s="120"/>
      <c r="G17" s="120"/>
      <c r="H17" s="120"/>
      <c r="I17" s="154"/>
      <c r="J17" s="154">
        <f t="shared" ref="J17:N17" si="6">IF(AND($C17&gt;J$14,ISNONTEXT($C17)),K17/(1+K$12),IF(AND($C17=J$14,J$14=J$4),1,IF(AND($C17&lt;J$14,J$14=J$4),I17*(1+J$12),0)))</f>
        <v>0.94210943695479776</v>
      </c>
      <c r="K17" s="154">
        <f t="shared" si="6"/>
        <v>1</v>
      </c>
      <c r="L17" s="154">
        <f t="shared" si="6"/>
        <v>1.0602696272799366</v>
      </c>
      <c r="M17" s="154">
        <f t="shared" si="6"/>
        <v>1.1007137192704204</v>
      </c>
      <c r="N17" s="154">
        <f t="shared" si="6"/>
        <v>1.1237113402061856</v>
      </c>
      <c r="O17" s="154">
        <f t="shared" ref="O17:P17" si="7">IF(AND($C17&gt;O$14,ISNONTEXT($C17)),P17/(1+O$12),IF(AND($C17=O$14,O$14=O$4),1,IF(AND($C17&lt;O$14,O$14=O$4),N17*(1+O$12),0)))</f>
        <v>1.1709072164948453</v>
      </c>
      <c r="P17" s="154">
        <f t="shared" si="7"/>
        <v>0</v>
      </c>
      <c r="Q17" s="155"/>
      <c r="R17" s="155"/>
      <c r="S17" s="155"/>
      <c r="T17" s="155"/>
      <c r="U17" s="155"/>
      <c r="V17" s="17"/>
      <c r="W17" s="17"/>
    </row>
    <row r="18" spans="1:23" ht="11.25" customHeight="1" outlineLevel="1">
      <c r="A18" s="17"/>
      <c r="B18" s="17"/>
      <c r="C18" s="153">
        <v>45078</v>
      </c>
      <c r="D18" s="150" t="str">
        <f t="shared" si="2"/>
        <v>calculated</v>
      </c>
      <c r="E18" s="120" t="str">
        <f t="shared" si="5"/>
        <v>index</v>
      </c>
      <c r="F18" s="120"/>
      <c r="G18" s="120"/>
      <c r="H18" s="120"/>
      <c r="I18" s="154"/>
      <c r="J18" s="154">
        <f t="shared" ref="J18:N18" si="8">IF(AND($C18&gt;J$14,ISNONTEXT($C18)),K18/(1+K$12),IF(AND($C18=J$14,J$14=J$4),1,IF(AND($C18&lt;J$14,J$14=J$4),I18*(1+J$12),0)))</f>
        <v>0.88855646970830215</v>
      </c>
      <c r="K18" s="154">
        <f t="shared" si="8"/>
        <v>0.94315632011967088</v>
      </c>
      <c r="L18" s="154">
        <f t="shared" si="8"/>
        <v>1</v>
      </c>
      <c r="M18" s="154">
        <f t="shared" si="8"/>
        <v>1.0381451009723262</v>
      </c>
      <c r="N18" s="154">
        <f t="shared" si="8"/>
        <v>1.0598354525056095</v>
      </c>
      <c r="O18" s="154">
        <f t="shared" ref="O18:P18" si="9">IF(AND($C18&gt;O$14,ISNONTEXT($C18)),P18/(1+O$12),IF(AND($C18=O$14,O$14=O$4),1,IF(AND($C18&lt;O$14,O$14=O$4),N18*(1+O$12),0)))</f>
        <v>1.1043485415108452</v>
      </c>
      <c r="P18" s="154">
        <f t="shared" si="9"/>
        <v>0</v>
      </c>
      <c r="Q18" s="155"/>
      <c r="R18" s="155"/>
      <c r="S18" s="155"/>
      <c r="T18" s="155"/>
      <c r="U18" s="155"/>
      <c r="V18" s="17"/>
      <c r="W18" s="17"/>
    </row>
    <row r="19" spans="1:23" ht="11.25" customHeight="1" outlineLevel="1">
      <c r="A19" s="17"/>
      <c r="B19" s="17"/>
      <c r="C19" s="153">
        <v>45444</v>
      </c>
      <c r="D19" s="150" t="str">
        <f t="shared" si="2"/>
        <v>calculated</v>
      </c>
      <c r="E19" s="120" t="str">
        <f t="shared" si="5"/>
        <v>index</v>
      </c>
      <c r="F19" s="120"/>
      <c r="G19" s="120"/>
      <c r="H19" s="120"/>
      <c r="I19" s="154"/>
      <c r="J19" s="154">
        <f t="shared" ref="J19:N19" si="10">IF(AND($C19&gt;J$14,ISNONTEXT($C19)),K19/(1+K$12),IF(AND($C19=J$14,J$14=J$4),1,IF(AND($C19&lt;J$14,J$14=J$4),I19*(1+J$12),0)))</f>
        <v>0.85590778097982712</v>
      </c>
      <c r="K19" s="154">
        <f t="shared" si="10"/>
        <v>0.90850144092219021</v>
      </c>
      <c r="L19" s="154">
        <f t="shared" si="10"/>
        <v>0.96325648414985587</v>
      </c>
      <c r="M19" s="154">
        <f t="shared" si="10"/>
        <v>1</v>
      </c>
      <c r="N19" s="154">
        <f t="shared" si="10"/>
        <v>1.0208933717579249</v>
      </c>
      <c r="O19" s="154">
        <f t="shared" ref="O19:P19" si="11">IF(AND($C19&gt;O$14,ISNONTEXT($C19)),P19/(1+O$12),IF(AND($C19=O$14,O$14=O$4),1,IF(AND($C19&lt;O$14,O$14=O$4),N19*(1+O$12),0)))</f>
        <v>1.0637708933717578</v>
      </c>
      <c r="P19" s="154">
        <f t="shared" si="11"/>
        <v>0</v>
      </c>
      <c r="Q19" s="155"/>
      <c r="R19" s="155"/>
      <c r="S19" s="155"/>
      <c r="T19" s="155"/>
      <c r="U19" s="155"/>
      <c r="V19" s="17"/>
      <c r="W19" s="17"/>
    </row>
    <row r="20" spans="1:23" ht="11.25" customHeight="1" outlineLevel="1">
      <c r="A20" s="17"/>
      <c r="B20" s="17"/>
      <c r="C20" s="153">
        <v>45809</v>
      </c>
      <c r="D20" s="150" t="str">
        <f t="shared" si="2"/>
        <v>calculated</v>
      </c>
      <c r="E20" s="120" t="str">
        <f t="shared" si="5"/>
        <v>index</v>
      </c>
      <c r="F20" s="120"/>
      <c r="G20" s="120"/>
      <c r="H20" s="120"/>
      <c r="I20" s="154"/>
      <c r="J20" s="154">
        <f>IF(AND($C20&gt;J$14,ISNONTEXT($C20)),K20/(1+K$12),IF(AND($C20=J$14,J$14=J$4),1,IF(AND($C20&lt;J$14,J$14=J$4),I20*(1+J$12),0)))</f>
        <v>0.83839096683133396</v>
      </c>
      <c r="K20" s="154">
        <f t="shared" ref="K20:N20" si="12">IF(AND($C20&gt;K$14,ISNONTEXT($C20)),L20/(1+L$12),IF(AND($C20=K$14,K$14=K$4),1,IF(AND($C20&lt;K$14,K$14=K$4),J20*(1+K$12),0)))</f>
        <v>0.88990825688073405</v>
      </c>
      <c r="L20" s="154">
        <f t="shared" si="12"/>
        <v>0.94354269583627393</v>
      </c>
      <c r="M20" s="154">
        <f t="shared" si="12"/>
        <v>0.97953422724064942</v>
      </c>
      <c r="N20" s="154">
        <f t="shared" si="12"/>
        <v>1</v>
      </c>
      <c r="O20" s="154">
        <f t="shared" ref="O20:P20" si="13">IF(AND($C20&gt;O$14,ISNONTEXT($C20)),P20/(1+O$12),IF(AND($C20=O$14,O$14=O$4),1,IF(AND($C20&lt;O$14,O$14=O$4),N20*(1+O$12),0)))</f>
        <v>1.042</v>
      </c>
      <c r="P20" s="154">
        <f t="shared" si="13"/>
        <v>0</v>
      </c>
      <c r="Q20" s="155"/>
      <c r="R20" s="155"/>
      <c r="S20" s="155"/>
      <c r="T20" s="155"/>
      <c r="U20" s="155"/>
      <c r="V20" s="17"/>
      <c r="W20" s="17"/>
    </row>
    <row r="21" spans="1:23" ht="11.25" customHeight="1" outlineLevel="1">
      <c r="A21" s="17"/>
      <c r="B21" s="17"/>
      <c r="C21" s="153">
        <v>46174</v>
      </c>
      <c r="D21" s="150" t="str">
        <f>IF(ISNONTEXT($C21),"calculated","")</f>
        <v>calculated</v>
      </c>
      <c r="E21" s="120" t="str">
        <f t="shared" si="5"/>
        <v>index</v>
      </c>
      <c r="F21" s="120"/>
      <c r="G21" s="120"/>
      <c r="H21" s="120"/>
      <c r="I21" s="154"/>
      <c r="J21" s="154">
        <f>IF(AND($C21&gt;J$14,ISNONTEXT($C21)),K21/(1+K$12),IF(AND($C21=J$14,J$14=J$4),1,IF(AND($C21&lt;J$14,J$14=J$4),I21*(1+J$12),0)))</f>
        <v>0.8045978568438904</v>
      </c>
      <c r="K21" s="154">
        <f t="shared" ref="K21:K22" si="14">IF(AND($C21&gt;K$14,ISNONTEXT($C21)),L21/(1+L$12),IF(AND($C21=K$14,K$14=K$4),1,IF(AND($C21&lt;K$14,K$14=K$4),J21*(1+K$12),0)))</f>
        <v>0.854038634242547</v>
      </c>
      <c r="L21" s="154">
        <f t="shared" ref="L21:L22" si="15">IF(AND($C21&gt;L$14,ISNONTEXT($C21)),M21/(1+M$12),IF(AND($C21=L$14,L$14=L$4),1,IF(AND($C21&lt;L$14,L$14=L$4),K21*(1+L$12),0)))</f>
        <v>0.9055112244110114</v>
      </c>
      <c r="M21" s="154">
        <f t="shared" ref="M21:M22" si="16">IF(AND($C21&gt;M$14,ISNONTEXT($C21)),N21/(1+N$12),IF(AND($C21=M$14,M$14=M$4),1,IF(AND($C21&lt;M$14,M$14=M$4),L21*(1+M$12),0)))</f>
        <v>0.94005204149774413</v>
      </c>
      <c r="N21" s="154">
        <f t="shared" ref="N21:N22" si="17">IF(AND($C21&gt;N$14,ISNONTEXT($C21)),O21/(1+O$12),IF(AND($C21=N$14,N$14=N$4),1,IF(AND($C21&lt;N$14,N$14=N$4),M21*(1+N$12),0)))</f>
        <v>0.95969289827255277</v>
      </c>
      <c r="O21" s="154">
        <f t="shared" ref="O21:P21" si="18">IF(AND($C21&gt;O$14,ISNONTEXT($C21)),P21/(1+O$12),IF(AND($C21=O$14,O$14=O$4),1,IF(AND($C21&lt;O$14,O$14=O$4),N21*(1+O$12),0)))</f>
        <v>1</v>
      </c>
      <c r="P21" s="154">
        <f t="shared" si="18"/>
        <v>0</v>
      </c>
      <c r="Q21" s="155"/>
      <c r="R21" s="155"/>
      <c r="S21" s="155"/>
      <c r="T21" s="155"/>
      <c r="U21" s="155"/>
      <c r="V21" s="17"/>
      <c r="W21" s="17"/>
    </row>
    <row r="22" spans="1:23" ht="11.25" customHeight="1" outlineLevel="1">
      <c r="A22" s="17"/>
      <c r="B22" s="17"/>
      <c r="C22" s="153" t="str">
        <v/>
      </c>
      <c r="D22" s="150" t="str">
        <f>IF(ISNONTEXT($C22),"calculated","")</f>
        <v/>
      </c>
      <c r="E22" s="120" t="str">
        <f t="shared" si="5"/>
        <v/>
      </c>
      <c r="F22" s="120"/>
      <c r="G22" s="120"/>
      <c r="H22" s="120"/>
      <c r="I22" s="154"/>
      <c r="J22" s="154">
        <f>IF(AND($C22&gt;J$14,ISNONTEXT($C22)),K22/(1+K$12),IF(AND($C22=J$14,J$14=J$4),1,IF(AND($C22&lt;J$14,J$14=J$4),I22*(1+J$12),0)))</f>
        <v>0</v>
      </c>
      <c r="K22" s="154">
        <f t="shared" si="14"/>
        <v>0</v>
      </c>
      <c r="L22" s="154">
        <f t="shared" si="15"/>
        <v>0</v>
      </c>
      <c r="M22" s="154">
        <f t="shared" si="16"/>
        <v>0</v>
      </c>
      <c r="N22" s="154">
        <f t="shared" si="17"/>
        <v>0</v>
      </c>
      <c r="O22" s="154">
        <f t="shared" ref="O22:P22" si="19">IF(AND($C22&gt;O$14,ISNONTEXT($C22)),P22/(1+P$12),IF(AND($C22=O$14,O$14=O$4),1,IF(AND($C22&lt;O$14,O$14=O$4),N22*(1+O$12),0)))</f>
        <v>0</v>
      </c>
      <c r="P22" s="154">
        <f t="shared" si="19"/>
        <v>0</v>
      </c>
      <c r="Q22" s="155"/>
      <c r="R22" s="155"/>
      <c r="S22" s="155"/>
      <c r="T22" s="155"/>
      <c r="U22" s="155"/>
      <c r="V22" s="17"/>
      <c r="W22" s="17"/>
    </row>
    <row r="23" spans="1:23" ht="11.25" customHeight="1" outlineLevel="1">
      <c r="A23" s="17"/>
      <c r="B23" s="17"/>
      <c r="C23" s="125"/>
      <c r="D23" s="120"/>
      <c r="E23" s="120"/>
      <c r="F23" s="120"/>
      <c r="G23" s="120"/>
      <c r="H23" s="120"/>
      <c r="I23" s="120"/>
      <c r="J23" s="154"/>
      <c r="K23" s="154"/>
      <c r="L23" s="154"/>
      <c r="M23" s="154"/>
      <c r="N23" s="154"/>
      <c r="O23" s="154"/>
      <c r="P23" s="154"/>
      <c r="Q23" s="154"/>
      <c r="R23" s="154"/>
      <c r="S23" s="154"/>
      <c r="T23" s="154"/>
      <c r="U23" s="154"/>
      <c r="V23" s="17"/>
      <c r="W23" s="17"/>
    </row>
    <row r="24" spans="1:23" ht="11.25" customHeight="1" outlineLevel="1">
      <c r="A24" s="17"/>
      <c r="B24" s="17"/>
      <c r="C24" s="122" t="s">
        <v>46</v>
      </c>
      <c r="D24" s="120"/>
      <c r="E24" s="120"/>
      <c r="F24" s="120"/>
      <c r="G24" s="120"/>
      <c r="H24" s="120"/>
      <c r="I24" s="120"/>
      <c r="J24" s="123">
        <f t="shared" ref="J24:T24" si="20">IF(YEAR(J$4)&lt;=PPLastYear,J$4,"")</f>
        <v>44348</v>
      </c>
      <c r="K24" s="123">
        <f t="shared" si="20"/>
        <v>44713</v>
      </c>
      <c r="L24" s="123">
        <f t="shared" si="20"/>
        <v>45078</v>
      </c>
      <c r="M24" s="123">
        <f t="shared" si="20"/>
        <v>45444</v>
      </c>
      <c r="N24" s="123">
        <f t="shared" si="20"/>
        <v>45809</v>
      </c>
      <c r="O24" s="123">
        <f t="shared" si="20"/>
        <v>46174</v>
      </c>
      <c r="P24" s="123" t="str">
        <f t="shared" si="20"/>
        <v/>
      </c>
      <c r="Q24" s="123" t="str">
        <f t="shared" si="20"/>
        <v/>
      </c>
      <c r="R24" s="123" t="str">
        <f t="shared" si="20"/>
        <v/>
      </c>
      <c r="S24" s="123" t="str">
        <f t="shared" si="20"/>
        <v/>
      </c>
      <c r="T24" s="123" t="str">
        <f t="shared" si="20"/>
        <v/>
      </c>
      <c r="U24" s="138"/>
      <c r="V24" s="17"/>
      <c r="W24" s="17"/>
    </row>
    <row r="25" spans="1:23" ht="11.25" customHeight="1" outlineLevel="1">
      <c r="A25" s="17"/>
      <c r="B25" s="17"/>
      <c r="C25" s="125"/>
      <c r="D25" s="120"/>
      <c r="E25" s="120"/>
      <c r="F25" s="120"/>
      <c r="G25" s="120"/>
      <c r="H25" s="120"/>
      <c r="I25" s="120"/>
      <c r="J25" s="17"/>
      <c r="K25" s="17"/>
      <c r="L25" s="17"/>
      <c r="M25" s="17"/>
      <c r="N25" s="17"/>
      <c r="O25" s="17"/>
      <c r="P25" s="17"/>
      <c r="Q25" s="154"/>
      <c r="R25" s="154"/>
      <c r="S25" s="154"/>
      <c r="T25" s="154"/>
      <c r="U25" s="154"/>
      <c r="V25" s="17"/>
      <c r="W25" s="17"/>
    </row>
    <row r="26" spans="1:23" ht="11.25" customHeight="1" outlineLevel="1">
      <c r="A26" s="17"/>
      <c r="B26" s="17"/>
      <c r="C26" s="153">
        <f t="array" ref="C26:C32">TRANSPOSE(J10:P10)</f>
        <v>44348</v>
      </c>
      <c r="D26" s="150" t="str">
        <f t="shared" ref="D26:D32" si="21">IF(ISNONTEXT($C26),"calculated","")</f>
        <v>calculated</v>
      </c>
      <c r="E26" s="120" t="str">
        <f>IF(ISNONTEXT($C26),"index","")</f>
        <v>index</v>
      </c>
      <c r="F26" s="120"/>
      <c r="G26" s="120"/>
      <c r="H26" s="120"/>
      <c r="I26" s="154"/>
      <c r="J26" s="154">
        <f>IF(AND(J$24=J$4,ISNONTEXT($C26)),1/J16*(1+J$12)^0.5,0)</f>
        <v>1.019049330730136</v>
      </c>
      <c r="K26" s="154">
        <f t="shared" ref="K26:T26" si="22">IF(AND(K$24=K$4,ISNONTEXT($C26)),1/K16*(1+K$12)^0.5,0)</f>
        <v>0.970623220902322</v>
      </c>
      <c r="L26" s="154">
        <f t="shared" si="22"/>
        <v>0.9149412196307648</v>
      </c>
      <c r="M26" s="154">
        <f t="shared" si="22"/>
        <v>0.87207935204504272</v>
      </c>
      <c r="N26" s="154">
        <f t="shared" si="22"/>
        <v>0.8471040975075842</v>
      </c>
      <c r="O26" s="154">
        <f t="shared" si="22"/>
        <v>0.82132062868880173</v>
      </c>
      <c r="P26" s="154">
        <f t="shared" si="22"/>
        <v>0</v>
      </c>
      <c r="Q26" s="154">
        <f t="shared" si="22"/>
        <v>0</v>
      </c>
      <c r="R26" s="154">
        <f t="shared" si="22"/>
        <v>0</v>
      </c>
      <c r="S26" s="154">
        <f t="shared" si="22"/>
        <v>0</v>
      </c>
      <c r="T26" s="154">
        <f t="shared" si="22"/>
        <v>0</v>
      </c>
      <c r="U26" s="154"/>
      <c r="V26" s="156"/>
      <c r="W26" s="156"/>
    </row>
    <row r="27" spans="1:23" ht="11.25" customHeight="1" outlineLevel="1">
      <c r="A27" s="17"/>
      <c r="B27" s="17"/>
      <c r="C27" s="153">
        <v>44713</v>
      </c>
      <c r="D27" s="150" t="str">
        <f t="shared" si="21"/>
        <v>calculated</v>
      </c>
      <c r="E27" s="120" t="str">
        <f t="shared" ref="E27:E32" si="23">IF(ISNONTEXT($C27),"index","")</f>
        <v>index</v>
      </c>
      <c r="F27" s="120"/>
      <c r="G27" s="120"/>
      <c r="H27" s="120"/>
      <c r="I27" s="154"/>
      <c r="J27" s="154">
        <f t="shared" ref="J27:T27" si="24">IF(AND(J$24=J$4,ISNONTEXT($C27)),1/J17*(1+J$12)^0.5,0)</f>
        <v>1.0816676818608599</v>
      </c>
      <c r="K27" s="154">
        <f t="shared" si="24"/>
        <v>1.0302658935671953</v>
      </c>
      <c r="L27" s="154">
        <f t="shared" si="24"/>
        <v>0.97116235518046667</v>
      </c>
      <c r="M27" s="154">
        <f t="shared" si="24"/>
        <v>0.92566671963703606</v>
      </c>
      <c r="N27" s="154">
        <f t="shared" si="24"/>
        <v>0.89915679036789875</v>
      </c>
      <c r="O27" s="154">
        <f t="shared" si="24"/>
        <v>0.87178898381866909</v>
      </c>
      <c r="P27" s="154">
        <f t="shared" si="24"/>
        <v>0</v>
      </c>
      <c r="Q27" s="154">
        <f t="shared" si="24"/>
        <v>0</v>
      </c>
      <c r="R27" s="154">
        <f t="shared" si="24"/>
        <v>0</v>
      </c>
      <c r="S27" s="154">
        <f t="shared" si="24"/>
        <v>0</v>
      </c>
      <c r="T27" s="154">
        <f t="shared" si="24"/>
        <v>0</v>
      </c>
      <c r="U27" s="154"/>
      <c r="V27" s="156"/>
      <c r="W27" s="156"/>
    </row>
    <row r="28" spans="1:23" ht="11.25" customHeight="1" outlineLevel="1">
      <c r="A28" s="17"/>
      <c r="B28" s="17"/>
      <c r="C28" s="153">
        <v>45078</v>
      </c>
      <c r="D28" s="150" t="str">
        <f t="shared" si="21"/>
        <v>calculated</v>
      </c>
      <c r="E28" s="120" t="str">
        <f t="shared" si="23"/>
        <v>index</v>
      </c>
      <c r="F28" s="120"/>
      <c r="G28" s="120"/>
      <c r="H28" s="120"/>
      <c r="I28" s="154"/>
      <c r="J28" s="154">
        <f t="shared" ref="J28:T28" si="25">IF(AND(J$24=J$4,ISNONTEXT($C28)),1/J18*(1+J$12)^0.5,0)</f>
        <v>1.1468593898873669</v>
      </c>
      <c r="K28" s="154">
        <f t="shared" si="25"/>
        <v>1.0923596349717211</v>
      </c>
      <c r="L28" s="154">
        <f t="shared" si="25"/>
        <v>1.0296939483554988</v>
      </c>
      <c r="M28" s="154">
        <f t="shared" si="25"/>
        <v>0.98145630781500193</v>
      </c>
      <c r="N28" s="154">
        <f t="shared" si="25"/>
        <v>0.9533486349895961</v>
      </c>
      <c r="O28" s="154">
        <f t="shared" si="25"/>
        <v>0.92433138094017486</v>
      </c>
      <c r="P28" s="154">
        <f t="shared" si="25"/>
        <v>0</v>
      </c>
      <c r="Q28" s="154">
        <f t="shared" si="25"/>
        <v>0</v>
      </c>
      <c r="R28" s="154">
        <f t="shared" si="25"/>
        <v>0</v>
      </c>
      <c r="S28" s="154">
        <f t="shared" si="25"/>
        <v>0</v>
      </c>
      <c r="T28" s="154">
        <f t="shared" si="25"/>
        <v>0</v>
      </c>
      <c r="U28" s="154"/>
      <c r="V28" s="156"/>
      <c r="W28" s="156"/>
    </row>
    <row r="29" spans="1:23" ht="11.25" customHeight="1" outlineLevel="1">
      <c r="A29" s="17"/>
      <c r="B29" s="17"/>
      <c r="C29" s="153">
        <v>45444</v>
      </c>
      <c r="D29" s="150" t="str">
        <f t="shared" si="21"/>
        <v>calculated</v>
      </c>
      <c r="E29" s="120" t="str">
        <f t="shared" si="23"/>
        <v>index</v>
      </c>
      <c r="F29" s="120"/>
      <c r="G29" s="120"/>
      <c r="H29" s="120"/>
      <c r="I29" s="154"/>
      <c r="J29" s="154">
        <f t="shared" ref="J29:T29" si="26">IF(AND(J$24=J$4,ISNONTEXT($C29)),1/J19*(1+J$12)^0.5,0)</f>
        <v>1.1906064571156807</v>
      </c>
      <c r="K29" s="154">
        <f t="shared" si="26"/>
        <v>1.1340278035458107</v>
      </c>
      <c r="L29" s="154">
        <f t="shared" si="26"/>
        <v>1.0689717279861124</v>
      </c>
      <c r="M29" s="154">
        <f t="shared" si="26"/>
        <v>1.0188940577765315</v>
      </c>
      <c r="N29" s="154">
        <f t="shared" si="26"/>
        <v>0.98971421493310363</v>
      </c>
      <c r="O29" s="154">
        <f t="shared" si="26"/>
        <v>0.95959009479802759</v>
      </c>
      <c r="P29" s="154">
        <f t="shared" si="26"/>
        <v>0</v>
      </c>
      <c r="Q29" s="154">
        <f t="shared" si="26"/>
        <v>0</v>
      </c>
      <c r="R29" s="154">
        <f t="shared" si="26"/>
        <v>0</v>
      </c>
      <c r="S29" s="154">
        <f t="shared" si="26"/>
        <v>0</v>
      </c>
      <c r="T29" s="154">
        <f t="shared" si="26"/>
        <v>0</v>
      </c>
      <c r="U29" s="154"/>
      <c r="V29" s="156"/>
      <c r="W29" s="156"/>
    </row>
    <row r="30" spans="1:23" ht="11.25" customHeight="1" outlineLevel="1">
      <c r="A30" s="17"/>
      <c r="B30" s="17"/>
      <c r="C30" s="153">
        <v>45809</v>
      </c>
      <c r="D30" s="150" t="str">
        <f t="shared" si="21"/>
        <v>calculated</v>
      </c>
      <c r="E30" s="120" t="str">
        <f t="shared" si="23"/>
        <v>index</v>
      </c>
      <c r="F30" s="120"/>
      <c r="G30" s="120"/>
      <c r="H30" s="120"/>
      <c r="I30" s="154"/>
      <c r="J30" s="154">
        <f t="shared" ref="J30:T30" si="27">IF(AND(J$24=J$4,ISNONTEXT($C30)),1/J20*(1+J$12)^0.5,0)</f>
        <v>1.2154822404415846</v>
      </c>
      <c r="K30" s="154">
        <f t="shared" si="27"/>
        <v>1.1577214680291161</v>
      </c>
      <c r="L30" s="154">
        <f t="shared" si="27"/>
        <v>1.0913061516976377</v>
      </c>
      <c r="M30" s="154">
        <f t="shared" si="27"/>
        <v>1.0401821901075972</v>
      </c>
      <c r="N30" s="154">
        <f t="shared" si="27"/>
        <v>1.0103926819598037</v>
      </c>
      <c r="O30" s="154">
        <f t="shared" si="27"/>
        <v>0.97963916738386514</v>
      </c>
      <c r="P30" s="154">
        <f t="shared" si="27"/>
        <v>0</v>
      </c>
      <c r="Q30" s="154">
        <f t="shared" si="27"/>
        <v>0</v>
      </c>
      <c r="R30" s="154">
        <f t="shared" si="27"/>
        <v>0</v>
      </c>
      <c r="S30" s="154">
        <f t="shared" si="27"/>
        <v>0</v>
      </c>
      <c r="T30" s="154">
        <f t="shared" si="27"/>
        <v>0</v>
      </c>
      <c r="U30" s="154"/>
      <c r="V30" s="156"/>
      <c r="W30" s="156"/>
    </row>
    <row r="31" spans="1:23" ht="11.25" customHeight="1" outlineLevel="1">
      <c r="A31" s="17"/>
      <c r="B31" s="17"/>
      <c r="C31" s="153">
        <v>46174</v>
      </c>
      <c r="D31" s="150" t="str">
        <f t="shared" si="21"/>
        <v>calculated</v>
      </c>
      <c r="E31" s="120" t="str">
        <f t="shared" si="23"/>
        <v>index</v>
      </c>
      <c r="F31" s="120"/>
      <c r="G31" s="120"/>
      <c r="H31" s="120"/>
      <c r="I31" s="154"/>
      <c r="J31" s="154">
        <f t="shared" ref="J31:T32" si="28">IF(AND(J$24=J$4,ISNONTEXT($C31)),1/J21*(1+J$12)^0.5,0)</f>
        <v>1.2665324945401313</v>
      </c>
      <c r="K31" s="154">
        <f t="shared" si="28"/>
        <v>1.2063457696863393</v>
      </c>
      <c r="L31" s="154">
        <f t="shared" si="28"/>
        <v>1.1371410100689385</v>
      </c>
      <c r="M31" s="154">
        <f t="shared" si="28"/>
        <v>1.0838698420921162</v>
      </c>
      <c r="N31" s="154">
        <f t="shared" si="28"/>
        <v>1.0528291746021154</v>
      </c>
      <c r="O31" s="154">
        <f t="shared" si="28"/>
        <v>1.0207840124139875</v>
      </c>
      <c r="P31" s="154">
        <f t="shared" si="28"/>
        <v>0</v>
      </c>
      <c r="Q31" s="154">
        <f t="shared" si="28"/>
        <v>0</v>
      </c>
      <c r="R31" s="154">
        <f t="shared" si="28"/>
        <v>0</v>
      </c>
      <c r="S31" s="154">
        <f t="shared" si="28"/>
        <v>0</v>
      </c>
      <c r="T31" s="154">
        <f t="shared" si="28"/>
        <v>0</v>
      </c>
      <c r="U31" s="154"/>
      <c r="V31" s="156"/>
      <c r="W31" s="156"/>
    </row>
    <row r="32" spans="1:23" ht="11.25" customHeight="1" outlineLevel="1">
      <c r="A32" s="17"/>
      <c r="B32" s="17"/>
      <c r="C32" s="153" t="str">
        <v/>
      </c>
      <c r="D32" s="150" t="str">
        <f t="shared" si="21"/>
        <v/>
      </c>
      <c r="E32" s="120" t="str">
        <f t="shared" si="23"/>
        <v/>
      </c>
      <c r="F32" s="120"/>
      <c r="G32" s="120"/>
      <c r="H32" s="120"/>
      <c r="I32" s="154"/>
      <c r="J32" s="154">
        <f t="shared" si="28"/>
        <v>0</v>
      </c>
      <c r="K32" s="154">
        <f t="shared" si="28"/>
        <v>0</v>
      </c>
      <c r="L32" s="154">
        <f t="shared" si="28"/>
        <v>0</v>
      </c>
      <c r="M32" s="154">
        <f t="shared" si="28"/>
        <v>0</v>
      </c>
      <c r="N32" s="154">
        <f t="shared" si="28"/>
        <v>0</v>
      </c>
      <c r="O32" s="154">
        <f t="shared" si="28"/>
        <v>0</v>
      </c>
      <c r="P32" s="154">
        <f t="shared" si="28"/>
        <v>0</v>
      </c>
      <c r="Q32" s="154">
        <f t="shared" si="28"/>
        <v>0</v>
      </c>
      <c r="R32" s="154">
        <f t="shared" si="28"/>
        <v>0</v>
      </c>
      <c r="S32" s="154">
        <f t="shared" si="28"/>
        <v>0</v>
      </c>
      <c r="T32" s="154">
        <f t="shared" si="28"/>
        <v>0</v>
      </c>
      <c r="U32" s="154"/>
      <c r="V32" s="156"/>
      <c r="W32" s="156"/>
    </row>
    <row r="33" spans="1:34">
      <c r="A33" s="17"/>
      <c r="B33" s="17"/>
      <c r="C33" s="125"/>
      <c r="D33" s="120"/>
      <c r="E33" s="120"/>
      <c r="F33" s="120"/>
      <c r="G33" s="120"/>
      <c r="H33" s="120"/>
      <c r="I33" s="120"/>
      <c r="J33" s="120"/>
      <c r="K33" s="154"/>
      <c r="L33" s="154"/>
      <c r="M33" s="154"/>
      <c r="N33" s="154"/>
      <c r="O33" s="154"/>
      <c r="P33" s="152"/>
      <c r="Q33" s="154"/>
      <c r="R33" s="154"/>
      <c r="S33" s="154"/>
      <c r="T33" s="154"/>
      <c r="U33" s="154"/>
      <c r="V33" s="17"/>
      <c r="W33" s="17"/>
    </row>
    <row r="34" spans="1:34" customFormat="1" ht="12.75">
      <c r="A34" s="32"/>
      <c r="B34" s="38" t="s">
        <v>72</v>
      </c>
      <c r="C34" s="32"/>
      <c r="D34" s="32"/>
      <c r="E34" s="32"/>
      <c r="F34" s="118"/>
      <c r="G34" s="118"/>
      <c r="H34" s="118"/>
      <c r="I34" s="118"/>
      <c r="J34" s="118"/>
      <c r="K34" s="34"/>
      <c r="L34" s="119"/>
      <c r="M34" s="34"/>
      <c r="N34" s="119"/>
      <c r="O34" s="34"/>
      <c r="P34" s="34"/>
      <c r="Q34" s="34"/>
      <c r="R34" s="34"/>
      <c r="S34" s="34"/>
      <c r="T34" s="34"/>
      <c r="U34" s="34"/>
      <c r="V34" s="34"/>
      <c r="W34" s="34"/>
      <c r="X34" s="35"/>
      <c r="Y34" s="36"/>
      <c r="Z34" s="36"/>
      <c r="AA34" s="36"/>
      <c r="AB34" s="36"/>
      <c r="AC34" s="36"/>
      <c r="AD34" s="36"/>
      <c r="AE34" s="36"/>
      <c r="AF34" s="36"/>
      <c r="AG34" s="37"/>
      <c r="AH34" s="37"/>
    </row>
    <row r="35" spans="1:34" ht="11.25" customHeight="1" outlineLevel="1">
      <c r="A35" s="17"/>
      <c r="B35" s="17"/>
      <c r="C35" s="17"/>
      <c r="D35" s="120"/>
      <c r="E35" s="120"/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7"/>
      <c r="W35" s="17"/>
    </row>
    <row r="36" spans="1:34" ht="11.25" customHeight="1" outlineLevel="1">
      <c r="A36" s="17"/>
      <c r="B36" s="17"/>
      <c r="C36" s="122" t="s">
        <v>75</v>
      </c>
      <c r="D36" s="121" t="s">
        <v>7</v>
      </c>
      <c r="E36" s="121" t="s">
        <v>8</v>
      </c>
      <c r="F36" s="120"/>
      <c r="G36" s="120"/>
      <c r="H36" s="120"/>
      <c r="I36" s="120"/>
      <c r="J36" s="138" t="str">
        <f t="shared" ref="J36:U36" si="29">IF(YEAR(J$4)&gt;=FPFirstYear,IF(YEAR(J$4)&lt;=FPLastYear,J$4,""),"")</f>
        <v/>
      </c>
      <c r="K36" s="138" t="str">
        <f t="shared" si="29"/>
        <v/>
      </c>
      <c r="L36" s="138" t="str">
        <f t="shared" si="29"/>
        <v/>
      </c>
      <c r="M36" s="138" t="str">
        <f t="shared" si="29"/>
        <v/>
      </c>
      <c r="N36" s="138" t="str">
        <f t="shared" si="29"/>
        <v/>
      </c>
      <c r="O36" s="138" t="str">
        <f t="shared" si="29"/>
        <v/>
      </c>
      <c r="P36" s="138">
        <f t="shared" si="29"/>
        <v>46539</v>
      </c>
      <c r="Q36" s="138">
        <f t="shared" si="29"/>
        <v>46905</v>
      </c>
      <c r="R36" s="138">
        <f t="shared" si="29"/>
        <v>47270</v>
      </c>
      <c r="S36" s="138">
        <f t="shared" si="29"/>
        <v>47635</v>
      </c>
      <c r="T36" s="138">
        <f t="shared" si="29"/>
        <v>48000</v>
      </c>
      <c r="U36" s="138" t="str">
        <f t="shared" si="29"/>
        <v/>
      </c>
      <c r="V36" s="17"/>
      <c r="W36" s="17"/>
    </row>
    <row r="37" spans="1:34" ht="11.25" customHeight="1" outlineLevel="1">
      <c r="A37" s="17"/>
      <c r="B37" s="17"/>
      <c r="C37" s="17"/>
      <c r="D37" s="120"/>
      <c r="E37" s="120"/>
      <c r="F37" s="120"/>
      <c r="G37" s="120"/>
      <c r="H37" s="120"/>
      <c r="I37" s="120"/>
      <c r="J37" s="120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</row>
    <row r="38" spans="1:34" ht="11.25" customHeight="1" outlineLevel="1">
      <c r="A38" s="17"/>
      <c r="B38" s="17"/>
      <c r="C38" s="127" t="s">
        <v>212</v>
      </c>
      <c r="D38" s="120" t="s">
        <v>96</v>
      </c>
      <c r="E38" s="120" t="str">
        <f t="shared" ref="E38:E45" si="30">percent</f>
        <v>Per cent</v>
      </c>
      <c r="F38" s="120"/>
      <c r="G38" s="120"/>
      <c r="H38" s="120"/>
      <c r="I38" s="120"/>
      <c r="J38" s="157"/>
      <c r="K38" s="158"/>
      <c r="L38" s="158"/>
      <c r="M38" s="158"/>
      <c r="N38" s="158"/>
      <c r="O38" s="158"/>
      <c r="P38" s="159">
        <v>3.2611068341632521E-3</v>
      </c>
      <c r="Q38" s="159">
        <v>7.2355957756888856E-3</v>
      </c>
      <c r="R38" s="159">
        <v>8.4987632532935731E-3</v>
      </c>
      <c r="S38" s="159">
        <v>8.7211063749346174E-3</v>
      </c>
      <c r="T38" s="159">
        <v>9.1410375757572382E-3</v>
      </c>
      <c r="U38" s="17"/>
      <c r="V38" s="17"/>
      <c r="W38" s="17"/>
    </row>
    <row r="39" spans="1:34" ht="11.25" customHeight="1" outlineLevel="1">
      <c r="A39" s="17"/>
      <c r="B39" s="17"/>
      <c r="C39" s="161" t="s">
        <v>213</v>
      </c>
      <c r="D39" s="120" t="s">
        <v>96</v>
      </c>
      <c r="E39" s="120" t="str">
        <f t="shared" si="30"/>
        <v>Per cent</v>
      </c>
      <c r="F39" s="120"/>
      <c r="G39" s="120"/>
      <c r="H39" s="120"/>
      <c r="I39" s="120"/>
      <c r="J39" s="157"/>
      <c r="K39" s="158"/>
      <c r="L39" s="158"/>
      <c r="M39" s="158"/>
      <c r="N39" s="158"/>
      <c r="O39" s="158"/>
      <c r="P39" s="160">
        <v>9.5673827067392376E-3</v>
      </c>
      <c r="Q39" s="160">
        <v>9.9112949661780761E-3</v>
      </c>
      <c r="R39" s="160">
        <v>1.1554432806516867E-2</v>
      </c>
      <c r="S39" s="160">
        <v>1.3871156654089422E-2</v>
      </c>
      <c r="T39" s="160">
        <v>1.3830494751977387E-2</v>
      </c>
      <c r="U39" s="17"/>
      <c r="V39" s="17"/>
      <c r="W39" s="17"/>
    </row>
    <row r="40" spans="1:34" ht="11.25" customHeight="1" outlineLevel="1">
      <c r="A40" s="17"/>
      <c r="B40" s="17"/>
      <c r="C40" s="127" t="s">
        <v>174</v>
      </c>
      <c r="D40" s="120" t="s">
        <v>96</v>
      </c>
      <c r="E40" s="120" t="str">
        <f t="shared" si="30"/>
        <v>Per cent</v>
      </c>
      <c r="F40" s="120"/>
      <c r="G40" s="120"/>
      <c r="H40" s="120"/>
      <c r="I40" s="120"/>
      <c r="J40" s="157"/>
      <c r="K40" s="158"/>
      <c r="L40" s="158"/>
      <c r="M40" s="158"/>
      <c r="N40" s="158"/>
      <c r="O40" s="158"/>
      <c r="P40" s="160">
        <f>AVERAGE(P38:P39)</f>
        <v>6.4142447704512448E-3</v>
      </c>
      <c r="Q40" s="160">
        <f t="shared" ref="Q40:T40" si="31">AVERAGE(Q38:Q39)</f>
        <v>8.5734453709334808E-3</v>
      </c>
      <c r="R40" s="160">
        <f t="shared" si="31"/>
        <v>1.002659802990522E-2</v>
      </c>
      <c r="S40" s="160">
        <f t="shared" si="31"/>
        <v>1.1296131514512021E-2</v>
      </c>
      <c r="T40" s="160">
        <f t="shared" si="31"/>
        <v>1.1485766163867313E-2</v>
      </c>
      <c r="U40" s="17"/>
      <c r="V40" s="17"/>
      <c r="W40" s="17"/>
    </row>
    <row r="41" spans="1:34" ht="11.25" customHeight="1" outlineLevel="1">
      <c r="A41" s="17"/>
      <c r="B41" s="17"/>
      <c r="C41" s="127"/>
      <c r="D41" s="120" t="s">
        <v>96</v>
      </c>
      <c r="E41" s="120" t="str">
        <f t="shared" si="30"/>
        <v>Per cent</v>
      </c>
      <c r="F41" s="120"/>
      <c r="G41" s="120"/>
      <c r="H41" s="120"/>
      <c r="I41" s="120"/>
      <c r="J41" s="157"/>
      <c r="K41" s="158"/>
      <c r="L41" s="158"/>
      <c r="M41" s="158"/>
      <c r="N41" s="158"/>
      <c r="O41" s="158"/>
      <c r="P41" s="160"/>
      <c r="Q41" s="160"/>
      <c r="R41" s="160"/>
      <c r="S41" s="160"/>
      <c r="T41" s="160"/>
      <c r="U41" s="162"/>
      <c r="V41" s="163"/>
      <c r="W41" s="17"/>
    </row>
    <row r="42" spans="1:34" ht="11.25" customHeight="1" outlineLevel="1">
      <c r="A42" s="17"/>
      <c r="B42" s="17"/>
      <c r="C42" s="127"/>
      <c r="D42" s="120" t="s">
        <v>96</v>
      </c>
      <c r="E42" s="120" t="str">
        <f t="shared" si="30"/>
        <v>Per cent</v>
      </c>
      <c r="F42" s="120"/>
      <c r="G42" s="120"/>
      <c r="H42" s="120"/>
      <c r="I42" s="120"/>
      <c r="J42" s="157"/>
      <c r="K42" s="158"/>
      <c r="L42" s="158"/>
      <c r="M42" s="158"/>
      <c r="N42" s="158"/>
      <c r="O42" s="158"/>
      <c r="P42" s="160"/>
      <c r="Q42" s="160"/>
      <c r="R42" s="160"/>
      <c r="S42" s="160"/>
      <c r="T42" s="160"/>
      <c r="U42" s="162"/>
      <c r="V42" s="17"/>
      <c r="W42" s="17"/>
    </row>
    <row r="43" spans="1:34" ht="11.25" customHeight="1" outlineLevel="1">
      <c r="A43" s="17"/>
      <c r="B43" s="17"/>
      <c r="C43" s="127"/>
      <c r="D43" s="120" t="s">
        <v>96</v>
      </c>
      <c r="E43" s="120" t="str">
        <f t="shared" si="30"/>
        <v>Per cent</v>
      </c>
      <c r="F43" s="120"/>
      <c r="G43" s="120"/>
      <c r="H43" s="120"/>
      <c r="I43" s="120"/>
      <c r="J43" s="157"/>
      <c r="K43" s="158"/>
      <c r="L43" s="158"/>
      <c r="M43" s="158"/>
      <c r="N43" s="158"/>
      <c r="O43" s="158"/>
      <c r="P43" s="164"/>
      <c r="Q43" s="164"/>
      <c r="R43" s="164"/>
      <c r="S43" s="164"/>
      <c r="T43" s="164"/>
      <c r="U43" s="162"/>
      <c r="V43" s="17"/>
      <c r="W43" s="17"/>
    </row>
    <row r="44" spans="1:34" ht="11.25" customHeight="1" outlineLevel="1">
      <c r="A44" s="17"/>
      <c r="B44" s="17"/>
      <c r="C44" s="127"/>
      <c r="D44" s="120" t="s">
        <v>96</v>
      </c>
      <c r="E44" s="120" t="str">
        <f t="shared" si="30"/>
        <v>Per cent</v>
      </c>
      <c r="F44" s="120"/>
      <c r="G44" s="120"/>
      <c r="H44" s="120"/>
      <c r="I44" s="120"/>
      <c r="J44" s="157"/>
      <c r="K44" s="158"/>
      <c r="L44" s="158"/>
      <c r="M44" s="158"/>
      <c r="N44" s="158"/>
      <c r="O44" s="158"/>
      <c r="P44" s="164"/>
      <c r="Q44" s="164"/>
      <c r="R44" s="164"/>
      <c r="S44" s="164"/>
      <c r="T44" s="164"/>
      <c r="U44" s="162"/>
      <c r="V44" s="17"/>
      <c r="W44" s="17"/>
    </row>
    <row r="45" spans="1:34" ht="11.25" customHeight="1" outlineLevel="1">
      <c r="A45" s="17"/>
      <c r="B45" s="17"/>
      <c r="C45" s="127" t="s">
        <v>76</v>
      </c>
      <c r="D45" s="120" t="s">
        <v>96</v>
      </c>
      <c r="E45" s="120" t="str">
        <f t="shared" si="30"/>
        <v>Per cent</v>
      </c>
      <c r="F45" s="120"/>
      <c r="G45" s="120"/>
      <c r="H45" s="120"/>
      <c r="I45" s="120"/>
      <c r="J45" s="157"/>
      <c r="K45" s="158"/>
      <c r="L45" s="158"/>
      <c r="M45" s="158"/>
      <c r="N45" s="158"/>
      <c r="O45" s="158"/>
      <c r="P45" s="164">
        <v>0</v>
      </c>
      <c r="Q45" s="164">
        <v>0</v>
      </c>
      <c r="R45" s="164">
        <v>0</v>
      </c>
      <c r="S45" s="164">
        <v>0</v>
      </c>
      <c r="T45" s="164">
        <v>0</v>
      </c>
      <c r="U45" s="162"/>
      <c r="V45" s="17"/>
      <c r="W45" s="17"/>
    </row>
    <row r="46" spans="1:34" ht="11.25" customHeight="1" outlineLevel="1">
      <c r="A46" s="17"/>
      <c r="B46" s="17"/>
      <c r="C46" s="17"/>
      <c r="D46" s="120"/>
      <c r="E46" s="120"/>
      <c r="F46" s="120"/>
      <c r="G46" s="120"/>
      <c r="H46" s="120"/>
      <c r="I46" s="120"/>
      <c r="J46" s="120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</row>
    <row r="47" spans="1:34" ht="11.25" customHeight="1" outlineLevel="1">
      <c r="A47" s="17"/>
      <c r="B47" s="17"/>
      <c r="C47" s="17" t="s">
        <v>40</v>
      </c>
      <c r="D47" s="120" t="s">
        <v>93</v>
      </c>
      <c r="E47" s="120" t="s">
        <v>28</v>
      </c>
      <c r="F47" s="120" t="s">
        <v>36</v>
      </c>
      <c r="G47" s="120"/>
      <c r="H47" s="120"/>
      <c r="I47" s="120"/>
      <c r="J47" s="165" t="str">
        <f t="shared" ref="J47:S47" si="32">IF(J36=J4,IF(COUNTA($C38:$C45)=COUNT(J38:J45),"Ok","Check"),"")</f>
        <v/>
      </c>
      <c r="K47" s="165" t="str">
        <f t="shared" si="32"/>
        <v/>
      </c>
      <c r="L47" s="165" t="str">
        <f t="shared" si="32"/>
        <v/>
      </c>
      <c r="M47" s="165" t="str">
        <f t="shared" si="32"/>
        <v/>
      </c>
      <c r="N47" s="165" t="str">
        <f t="shared" si="32"/>
        <v/>
      </c>
      <c r="O47" s="165" t="str">
        <f t="shared" si="32"/>
        <v/>
      </c>
      <c r="P47" s="165" t="str">
        <f t="shared" si="32"/>
        <v>Ok</v>
      </c>
      <c r="Q47" s="165" t="str">
        <f t="shared" si="32"/>
        <v>Ok</v>
      </c>
      <c r="R47" s="165" t="str">
        <f t="shared" si="32"/>
        <v>Ok</v>
      </c>
      <c r="S47" s="165" t="str">
        <f t="shared" si="32"/>
        <v>Ok</v>
      </c>
      <c r="T47" s="165" t="str">
        <f>IF(T36=T4,IF(COUNTA($C38:$C45)=COUNT(T38:T45),"Ok","Check"),"")</f>
        <v>Ok</v>
      </c>
      <c r="U47" s="165" t="str">
        <f>IF(U36=U4,IF(COUNTA($C38:$C45)=COUNT(U38:U45),"Ok","Check"),"")</f>
        <v/>
      </c>
      <c r="V47" s="166"/>
      <c r="W47" s="17"/>
      <c r="X47" s="81" t="str">
        <f>IF(COUNTIF(J47:U47,"Check")=0,"Ok","Check")</f>
        <v>Ok</v>
      </c>
    </row>
    <row r="48" spans="1:34" ht="11.25" customHeight="1" outlineLevel="1">
      <c r="A48" s="17"/>
      <c r="B48" s="17"/>
      <c r="C48" s="17"/>
      <c r="D48" s="120"/>
      <c r="E48" s="120"/>
      <c r="F48" s="120"/>
      <c r="G48" s="120"/>
      <c r="H48" s="120"/>
      <c r="I48" s="120"/>
      <c r="J48" s="120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</row>
    <row r="49" spans="1:34" ht="11.25" customHeight="1" outlineLevel="1">
      <c r="A49" s="17"/>
      <c r="B49" s="17"/>
      <c r="C49" s="122" t="s">
        <v>43</v>
      </c>
      <c r="D49" s="121" t="s">
        <v>7</v>
      </c>
      <c r="E49" s="121" t="s">
        <v>8</v>
      </c>
      <c r="F49" s="120"/>
      <c r="G49" s="120"/>
      <c r="H49" s="120"/>
      <c r="I49" s="120"/>
      <c r="J49" s="138" t="str">
        <f t="shared" ref="J49:U49" si="33">IF(YEAR(J$4)&gt;=FPFirstYear,IF(YEAR(J$4)&lt;=FPLastYear,J$4,""),"")</f>
        <v/>
      </c>
      <c r="K49" s="138" t="str">
        <f t="shared" si="33"/>
        <v/>
      </c>
      <c r="L49" s="138" t="str">
        <f t="shared" si="33"/>
        <v/>
      </c>
      <c r="M49" s="138" t="str">
        <f t="shared" si="33"/>
        <v/>
      </c>
      <c r="N49" s="138" t="str">
        <f t="shared" si="33"/>
        <v/>
      </c>
      <c r="O49" s="138" t="str">
        <f t="shared" si="33"/>
        <v/>
      </c>
      <c r="P49" s="138">
        <f t="shared" si="33"/>
        <v>46539</v>
      </c>
      <c r="Q49" s="138">
        <f t="shared" si="33"/>
        <v>46905</v>
      </c>
      <c r="R49" s="138">
        <f t="shared" si="33"/>
        <v>47270</v>
      </c>
      <c r="S49" s="138">
        <f t="shared" si="33"/>
        <v>47635</v>
      </c>
      <c r="T49" s="138">
        <f t="shared" si="33"/>
        <v>48000</v>
      </c>
      <c r="U49" s="138" t="str">
        <f t="shared" si="33"/>
        <v/>
      </c>
      <c r="V49" s="17"/>
      <c r="W49" s="17"/>
    </row>
    <row r="50" spans="1:34" ht="11.25" customHeight="1" outlineLevel="1">
      <c r="A50" s="17"/>
      <c r="B50" s="17"/>
      <c r="C50" s="17"/>
      <c r="D50" s="120"/>
      <c r="E50" s="120"/>
      <c r="F50" s="120"/>
      <c r="G50" s="120"/>
      <c r="H50" s="120"/>
      <c r="I50" s="120"/>
      <c r="J50" s="120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</row>
    <row r="51" spans="1:34" ht="11.25" customHeight="1" outlineLevel="1">
      <c r="A51" s="17"/>
      <c r="B51" s="17"/>
      <c r="C51" s="167" t="str">
        <f t="shared" ref="C51:C58" si="34">C38</f>
        <v>WPI - Deloitte Access Economics</v>
      </c>
      <c r="D51" s="120" t="s">
        <v>96</v>
      </c>
      <c r="E51" s="120" t="str">
        <f t="shared" ref="E51:E58" si="35">percent</f>
        <v>Per cent</v>
      </c>
      <c r="F51" s="120"/>
      <c r="G51" s="120"/>
      <c r="H51" s="120"/>
      <c r="I51" s="120"/>
      <c r="J51" s="157"/>
      <c r="K51" s="158"/>
      <c r="L51" s="158"/>
      <c r="M51" s="158"/>
      <c r="N51" s="158"/>
      <c r="O51" s="158"/>
      <c r="P51" s="143"/>
      <c r="Q51" s="143"/>
      <c r="R51" s="143"/>
      <c r="S51" s="143"/>
      <c r="T51" s="143"/>
      <c r="U51" s="168"/>
      <c r="V51" s="17"/>
      <c r="W51" s="17"/>
    </row>
    <row r="52" spans="1:34" ht="11.25" customHeight="1" outlineLevel="1">
      <c r="A52" s="17"/>
      <c r="B52" s="17"/>
      <c r="C52" s="167" t="str">
        <f t="shared" si="34"/>
        <v>WPI - BIS Oxford Economics</v>
      </c>
      <c r="D52" s="120" t="s">
        <v>96</v>
      </c>
      <c r="E52" s="120" t="str">
        <f t="shared" si="35"/>
        <v>Per cent</v>
      </c>
      <c r="F52" s="120"/>
      <c r="G52" s="120"/>
      <c r="H52" s="120"/>
      <c r="I52" s="120"/>
      <c r="J52" s="157"/>
      <c r="K52" s="158"/>
      <c r="L52" s="158"/>
      <c r="M52" s="158"/>
      <c r="N52" s="158"/>
      <c r="O52" s="158"/>
      <c r="P52" s="143"/>
      <c r="Q52" s="143"/>
      <c r="R52" s="143"/>
      <c r="S52" s="143"/>
      <c r="T52" s="143"/>
      <c r="U52" s="168"/>
      <c r="V52" s="17"/>
      <c r="W52" s="17"/>
    </row>
    <row r="53" spans="1:34" ht="11.25" customHeight="1" outlineLevel="1">
      <c r="A53" s="17"/>
      <c r="B53" s="17"/>
      <c r="C53" s="167" t="str">
        <f t="shared" si="34"/>
        <v>WPI - average</v>
      </c>
      <c r="D53" s="120" t="s">
        <v>96</v>
      </c>
      <c r="E53" s="120" t="str">
        <f t="shared" si="35"/>
        <v>Per cent</v>
      </c>
      <c r="F53" s="120"/>
      <c r="G53" s="120"/>
      <c r="H53" s="120"/>
      <c r="I53" s="120"/>
      <c r="J53" s="157"/>
      <c r="K53" s="158"/>
      <c r="L53" s="158"/>
      <c r="M53" s="158"/>
      <c r="N53" s="158"/>
      <c r="O53" s="158"/>
      <c r="P53" s="143">
        <v>0.59199999999999997</v>
      </c>
      <c r="Q53" s="143">
        <v>0.59199999999999997</v>
      </c>
      <c r="R53" s="143">
        <v>0.59199999999999997</v>
      </c>
      <c r="S53" s="143">
        <v>0.59199999999999997</v>
      </c>
      <c r="T53" s="143">
        <v>0.59199999999999997</v>
      </c>
      <c r="U53" s="168"/>
      <c r="V53" s="17"/>
      <c r="W53" s="17"/>
    </row>
    <row r="54" spans="1:34" ht="11.25" customHeight="1" outlineLevel="1">
      <c r="A54" s="17"/>
      <c r="B54" s="17"/>
      <c r="C54" s="167">
        <f t="shared" si="34"/>
        <v>0</v>
      </c>
      <c r="D54" s="120" t="s">
        <v>96</v>
      </c>
      <c r="E54" s="120" t="str">
        <f t="shared" si="35"/>
        <v>Per cent</v>
      </c>
      <c r="F54" s="120"/>
      <c r="G54" s="120"/>
      <c r="H54" s="120"/>
      <c r="I54" s="120"/>
      <c r="J54" s="157"/>
      <c r="K54" s="158"/>
      <c r="L54" s="158"/>
      <c r="M54" s="158"/>
      <c r="N54" s="158"/>
      <c r="O54" s="158"/>
      <c r="P54" s="143"/>
      <c r="Q54" s="143"/>
      <c r="R54" s="143"/>
      <c r="S54" s="143"/>
      <c r="T54" s="143"/>
      <c r="U54" s="168"/>
      <c r="V54" s="163"/>
      <c r="W54" s="17"/>
    </row>
    <row r="55" spans="1:34" ht="11.25" customHeight="1" outlineLevel="1">
      <c r="A55" s="17"/>
      <c r="B55" s="17"/>
      <c r="C55" s="167">
        <f t="shared" si="34"/>
        <v>0</v>
      </c>
      <c r="D55" s="120" t="s">
        <v>96</v>
      </c>
      <c r="E55" s="120" t="str">
        <f t="shared" si="35"/>
        <v>Per cent</v>
      </c>
      <c r="F55" s="120"/>
      <c r="G55" s="120"/>
      <c r="H55" s="120"/>
      <c r="I55" s="120"/>
      <c r="J55" s="157"/>
      <c r="K55" s="158"/>
      <c r="L55" s="158"/>
      <c r="M55" s="158"/>
      <c r="N55" s="158"/>
      <c r="O55" s="158"/>
      <c r="P55" s="169"/>
      <c r="Q55" s="169"/>
      <c r="R55" s="169"/>
      <c r="S55" s="169"/>
      <c r="T55" s="169"/>
      <c r="U55" s="168"/>
      <c r="V55" s="17"/>
      <c r="W55" s="17"/>
    </row>
    <row r="56" spans="1:34" ht="11.25" customHeight="1" outlineLevel="1">
      <c r="A56" s="17"/>
      <c r="B56" s="17"/>
      <c r="C56" s="167">
        <f t="shared" si="34"/>
        <v>0</v>
      </c>
      <c r="D56" s="120" t="s">
        <v>96</v>
      </c>
      <c r="E56" s="120" t="str">
        <f t="shared" si="35"/>
        <v>Per cent</v>
      </c>
      <c r="F56" s="120"/>
      <c r="G56" s="120"/>
      <c r="H56" s="120"/>
      <c r="I56" s="120"/>
      <c r="J56" s="157"/>
      <c r="K56" s="158"/>
      <c r="L56" s="158"/>
      <c r="M56" s="158"/>
      <c r="N56" s="158"/>
      <c r="O56" s="158"/>
      <c r="P56" s="143"/>
      <c r="Q56" s="143"/>
      <c r="R56" s="143"/>
      <c r="S56" s="143"/>
      <c r="T56" s="143"/>
      <c r="U56" s="168"/>
      <c r="V56" s="17"/>
      <c r="W56" s="17"/>
    </row>
    <row r="57" spans="1:34" ht="11.25" customHeight="1" outlineLevel="1">
      <c r="A57" s="17"/>
      <c r="B57" s="17"/>
      <c r="C57" s="167">
        <f t="shared" si="34"/>
        <v>0</v>
      </c>
      <c r="D57" s="120" t="s">
        <v>96</v>
      </c>
      <c r="E57" s="120" t="str">
        <f t="shared" si="35"/>
        <v>Per cent</v>
      </c>
      <c r="F57" s="120"/>
      <c r="G57" s="120"/>
      <c r="H57" s="120"/>
      <c r="I57" s="120"/>
      <c r="J57" s="157"/>
      <c r="K57" s="158"/>
      <c r="L57" s="158"/>
      <c r="M57" s="158"/>
      <c r="N57" s="158"/>
      <c r="O57" s="158"/>
      <c r="P57" s="143"/>
      <c r="Q57" s="143"/>
      <c r="R57" s="143"/>
      <c r="S57" s="143"/>
      <c r="T57" s="143"/>
      <c r="U57" s="168"/>
      <c r="V57" s="17"/>
      <c r="W57" s="17"/>
    </row>
    <row r="58" spans="1:34" ht="11.25" customHeight="1" outlineLevel="1">
      <c r="A58" s="17"/>
      <c r="B58" s="17"/>
      <c r="C58" s="167" t="str">
        <f t="shared" si="34"/>
        <v>CPI</v>
      </c>
      <c r="D58" s="120" t="s">
        <v>96</v>
      </c>
      <c r="E58" s="120" t="str">
        <f t="shared" si="35"/>
        <v>Per cent</v>
      </c>
      <c r="F58" s="120"/>
      <c r="G58" s="120"/>
      <c r="H58" s="120"/>
      <c r="I58" s="120"/>
      <c r="J58" s="157"/>
      <c r="K58" s="158"/>
      <c r="L58" s="158"/>
      <c r="M58" s="158"/>
      <c r="N58" s="158"/>
      <c r="O58" s="158"/>
      <c r="P58" s="143">
        <v>0.40800000000000003</v>
      </c>
      <c r="Q58" s="143">
        <v>0.40800000000000003</v>
      </c>
      <c r="R58" s="143">
        <v>0.40800000000000003</v>
      </c>
      <c r="S58" s="143">
        <v>0.40800000000000003</v>
      </c>
      <c r="T58" s="143">
        <v>0.40800000000000003</v>
      </c>
      <c r="U58" s="168"/>
      <c r="V58" s="17"/>
      <c r="W58" s="17"/>
    </row>
    <row r="59" spans="1:34" ht="11.25" customHeight="1" outlineLevel="1">
      <c r="A59" s="17"/>
      <c r="B59" s="17"/>
      <c r="C59" s="17"/>
      <c r="D59" s="120"/>
      <c r="E59" s="120"/>
      <c r="F59" s="120"/>
      <c r="G59" s="120"/>
      <c r="H59" s="120"/>
      <c r="I59" s="120"/>
      <c r="J59" s="120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</row>
    <row r="60" spans="1:34" outlineLevel="1">
      <c r="A60" s="17"/>
      <c r="B60" s="17"/>
      <c r="C60" s="17" t="s">
        <v>40</v>
      </c>
      <c r="D60" s="120" t="s">
        <v>93</v>
      </c>
      <c r="E60" s="120" t="s">
        <v>28</v>
      </c>
      <c r="F60" s="120" t="s">
        <v>36</v>
      </c>
      <c r="G60" s="120"/>
      <c r="H60" s="120"/>
      <c r="I60" s="120"/>
      <c r="J60" s="165" t="str">
        <f t="shared" ref="J60:S60" si="36">IF(J49=J$4,IF(SUM(J51:J58)=1,"Ok","Check"),"")</f>
        <v/>
      </c>
      <c r="K60" s="165" t="str">
        <f t="shared" si="36"/>
        <v/>
      </c>
      <c r="L60" s="165" t="str">
        <f t="shared" si="36"/>
        <v/>
      </c>
      <c r="M60" s="165" t="str">
        <f t="shared" si="36"/>
        <v/>
      </c>
      <c r="N60" s="165" t="str">
        <f t="shared" si="36"/>
        <v/>
      </c>
      <c r="O60" s="165" t="str">
        <f t="shared" si="36"/>
        <v/>
      </c>
      <c r="P60" s="165" t="str">
        <f t="shared" si="36"/>
        <v>Ok</v>
      </c>
      <c r="Q60" s="165" t="str">
        <f t="shared" si="36"/>
        <v>Ok</v>
      </c>
      <c r="R60" s="165" t="str">
        <f t="shared" si="36"/>
        <v>Ok</v>
      </c>
      <c r="S60" s="165" t="str">
        <f t="shared" si="36"/>
        <v>Ok</v>
      </c>
      <c r="T60" s="165" t="str">
        <f>IF(T49=T$4,IF(SUM(T51:T58)=1,"Ok","Check"),"")</f>
        <v>Ok</v>
      </c>
      <c r="U60" s="165" t="str">
        <f>IF(U49=U$4,IF(SUM(U51:U58)=1,"Ok","Check"),"")</f>
        <v/>
      </c>
      <c r="V60" s="166"/>
      <c r="W60" s="17"/>
      <c r="X60" s="81" t="str">
        <f>IF(COUNTIF(J60:U60,"Check")=0,"Ok","Check")</f>
        <v>Ok</v>
      </c>
    </row>
    <row r="61" spans="1:34">
      <c r="A61" s="17"/>
      <c r="B61" s="17"/>
      <c r="C61" s="17"/>
      <c r="D61" s="120"/>
      <c r="E61" s="120"/>
      <c r="F61" s="120"/>
      <c r="G61" s="120"/>
      <c r="H61" s="120"/>
      <c r="I61" s="120"/>
      <c r="J61" s="120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</row>
    <row r="62" spans="1:34" customFormat="1" ht="12.75">
      <c r="A62" s="32"/>
      <c r="B62" s="38" t="s">
        <v>79</v>
      </c>
      <c r="C62" s="32"/>
      <c r="D62" s="32"/>
      <c r="E62" s="32"/>
      <c r="F62" s="118"/>
      <c r="G62" s="118"/>
      <c r="H62" s="118"/>
      <c r="I62" s="118"/>
      <c r="J62" s="118"/>
      <c r="K62" s="34"/>
      <c r="L62" s="119"/>
      <c r="M62" s="34"/>
      <c r="N62" s="119"/>
      <c r="O62" s="34"/>
      <c r="P62" s="34"/>
      <c r="Q62" s="34"/>
      <c r="R62" s="34"/>
      <c r="S62" s="34"/>
      <c r="T62" s="34"/>
      <c r="U62" s="34"/>
      <c r="V62" s="34"/>
      <c r="W62" s="34"/>
      <c r="X62" s="35"/>
      <c r="Y62" s="36"/>
      <c r="Z62" s="36"/>
      <c r="AA62" s="36"/>
      <c r="AB62" s="36"/>
      <c r="AC62" s="36"/>
      <c r="AD62" s="36"/>
      <c r="AE62" s="36"/>
      <c r="AF62" s="36"/>
      <c r="AG62" s="37"/>
      <c r="AH62" s="37"/>
    </row>
    <row r="63" spans="1:34" outlineLevel="1">
      <c r="A63" s="17"/>
      <c r="B63" s="17"/>
      <c r="C63" s="17"/>
      <c r="D63" s="120"/>
      <c r="E63" s="120"/>
      <c r="F63" s="120"/>
      <c r="G63" s="121"/>
      <c r="H63" s="121"/>
      <c r="I63" s="120"/>
      <c r="J63" s="120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</row>
    <row r="64" spans="1:34" outlineLevel="1">
      <c r="A64" s="17"/>
      <c r="B64" s="17"/>
      <c r="C64" s="122" t="s">
        <v>80</v>
      </c>
      <c r="D64" s="121" t="s">
        <v>7</v>
      </c>
      <c r="E64" s="121" t="s">
        <v>8</v>
      </c>
      <c r="F64" s="121" t="s">
        <v>22</v>
      </c>
      <c r="G64" s="121"/>
      <c r="H64" s="121"/>
      <c r="I64" s="120"/>
      <c r="J64" s="138" t="str">
        <f t="shared" ref="J64:U64" si="37">IF(YEAR(J$4)&gt;=PPLastYear,IF(YEAR(J$4)&lt;=FPLastYear,J$4,""),"")</f>
        <v/>
      </c>
      <c r="K64" s="138" t="str">
        <f t="shared" si="37"/>
        <v/>
      </c>
      <c r="L64" s="138" t="str">
        <f t="shared" si="37"/>
        <v/>
      </c>
      <c r="M64" s="138" t="str">
        <f t="shared" si="37"/>
        <v/>
      </c>
      <c r="N64" s="138" t="str">
        <f t="shared" si="37"/>
        <v/>
      </c>
      <c r="O64" s="138">
        <f t="shared" si="37"/>
        <v>46174</v>
      </c>
      <c r="P64" s="138">
        <f t="shared" si="37"/>
        <v>46539</v>
      </c>
      <c r="Q64" s="138">
        <f t="shared" si="37"/>
        <v>46905</v>
      </c>
      <c r="R64" s="138">
        <f t="shared" si="37"/>
        <v>47270</v>
      </c>
      <c r="S64" s="138">
        <f t="shared" si="37"/>
        <v>47635</v>
      </c>
      <c r="T64" s="138">
        <f t="shared" si="37"/>
        <v>48000</v>
      </c>
      <c r="U64" s="138" t="str">
        <f t="shared" si="37"/>
        <v/>
      </c>
      <c r="V64" s="17"/>
      <c r="W64" s="17"/>
    </row>
    <row r="65" spans="1:24" outlineLevel="1">
      <c r="A65" s="17"/>
      <c r="B65" s="17"/>
      <c r="C65" s="125"/>
      <c r="D65" s="120"/>
      <c r="E65" s="120"/>
      <c r="F65" s="120"/>
      <c r="G65" s="121"/>
      <c r="H65" s="121"/>
      <c r="I65" s="120"/>
      <c r="J65" s="120"/>
      <c r="K65" s="126"/>
      <c r="L65" s="126"/>
      <c r="M65" s="126"/>
      <c r="N65" s="126"/>
      <c r="O65" s="126"/>
      <c r="P65" s="17"/>
      <c r="Q65" s="17"/>
      <c r="R65" s="17"/>
      <c r="S65" s="17"/>
      <c r="T65" s="17"/>
      <c r="U65" s="17"/>
      <c r="V65" s="17"/>
      <c r="W65" s="17"/>
    </row>
    <row r="66" spans="1:24" outlineLevel="1">
      <c r="A66" s="17"/>
      <c r="B66" s="17"/>
      <c r="C66" s="127" t="s">
        <v>175</v>
      </c>
      <c r="D66" s="120" t="s">
        <v>96</v>
      </c>
      <c r="E66" s="120" t="s">
        <v>18</v>
      </c>
      <c r="F66" s="120" t="s">
        <v>36</v>
      </c>
      <c r="G66" s="121"/>
      <c r="H66" s="121"/>
      <c r="I66" s="120"/>
      <c r="J66" s="157"/>
      <c r="K66" s="170"/>
      <c r="L66" s="170"/>
      <c r="M66" s="170"/>
      <c r="N66" s="170"/>
      <c r="O66" s="141">
        <v>972845.27348533599</v>
      </c>
      <c r="P66" s="141">
        <v>991869.72808553395</v>
      </c>
      <c r="Q66" s="141">
        <v>1010954.81638681</v>
      </c>
      <c r="R66" s="141">
        <v>1029970.504716282</v>
      </c>
      <c r="S66" s="141">
        <v>1048905.7947393181</v>
      </c>
      <c r="T66" s="141">
        <v>1067711.698240529</v>
      </c>
      <c r="U66" s="141"/>
      <c r="V66" s="17"/>
      <c r="W66" s="17"/>
    </row>
    <row r="67" spans="1:24" outlineLevel="1">
      <c r="A67" s="17"/>
      <c r="B67" s="17"/>
      <c r="C67" s="127" t="s">
        <v>176</v>
      </c>
      <c r="D67" s="120" t="s">
        <v>96</v>
      </c>
      <c r="E67" s="120" t="s">
        <v>18</v>
      </c>
      <c r="F67" s="120" t="s">
        <v>36</v>
      </c>
      <c r="G67" s="121"/>
      <c r="H67" s="121"/>
      <c r="I67" s="120"/>
      <c r="J67" s="157"/>
      <c r="K67" s="170"/>
      <c r="L67" s="170"/>
      <c r="M67" s="170"/>
      <c r="N67" s="170"/>
      <c r="O67" s="141">
        <v>78628.627912578595</v>
      </c>
      <c r="P67" s="141">
        <v>79095.481990353408</v>
      </c>
      <c r="Q67" s="141">
        <v>79580.7214997704</v>
      </c>
      <c r="R67" s="141">
        <v>80085.141347140656</v>
      </c>
      <c r="S67" s="141">
        <v>80609.570855560858</v>
      </c>
      <c r="T67" s="141">
        <v>81154.87525507524</v>
      </c>
      <c r="U67" s="141"/>
      <c r="V67" s="17"/>
      <c r="W67" s="17"/>
    </row>
    <row r="68" spans="1:24" outlineLevel="1">
      <c r="A68" s="17"/>
      <c r="B68" s="17"/>
      <c r="C68" s="127" t="s">
        <v>177</v>
      </c>
      <c r="D68" s="120" t="s">
        <v>96</v>
      </c>
      <c r="E68" s="120" t="s">
        <v>18</v>
      </c>
      <c r="F68" s="120" t="s">
        <v>36</v>
      </c>
      <c r="G68" s="121"/>
      <c r="H68" s="121"/>
      <c r="I68" s="120"/>
      <c r="J68" s="157"/>
      <c r="K68" s="170"/>
      <c r="L68" s="170"/>
      <c r="M68" s="170"/>
      <c r="N68" s="170"/>
      <c r="O68" s="141">
        <v>2924.0574596981392</v>
      </c>
      <c r="P68" s="141">
        <v>3094.3837748011911</v>
      </c>
      <c r="Q68" s="141">
        <v>3384.7544331191771</v>
      </c>
      <c r="R68" s="141">
        <v>3532.6449256860428</v>
      </c>
      <c r="S68" s="141">
        <v>3612.8142777264716</v>
      </c>
      <c r="T68" s="141">
        <v>3687.1907019091759</v>
      </c>
      <c r="U68" s="141"/>
      <c r="V68" s="17"/>
      <c r="W68" s="17"/>
    </row>
    <row r="69" spans="1:24" outlineLevel="1">
      <c r="A69" s="17"/>
      <c r="B69" s="17"/>
      <c r="C69" s="127"/>
      <c r="D69" s="120" t="s">
        <v>96</v>
      </c>
      <c r="E69" s="120" t="s">
        <v>18</v>
      </c>
      <c r="F69" s="120" t="s">
        <v>36</v>
      </c>
      <c r="G69" s="121"/>
      <c r="H69" s="121"/>
      <c r="I69" s="120"/>
      <c r="J69" s="157"/>
      <c r="K69" s="170"/>
      <c r="L69" s="170"/>
      <c r="M69" s="170"/>
      <c r="N69" s="170"/>
      <c r="O69" s="141"/>
      <c r="P69" s="141"/>
      <c r="Q69" s="141"/>
      <c r="R69" s="141"/>
      <c r="S69" s="141"/>
      <c r="T69" s="141"/>
      <c r="U69" s="141"/>
      <c r="V69" s="17"/>
      <c r="W69" s="17"/>
    </row>
    <row r="70" spans="1:24" outlineLevel="1">
      <c r="A70" s="17"/>
      <c r="B70" s="17"/>
      <c r="C70" s="127"/>
      <c r="D70" s="120" t="s">
        <v>96</v>
      </c>
      <c r="E70" s="120" t="s">
        <v>18</v>
      </c>
      <c r="F70" s="120" t="s">
        <v>36</v>
      </c>
      <c r="G70" s="121"/>
      <c r="H70" s="121"/>
      <c r="I70" s="120"/>
      <c r="J70" s="157"/>
      <c r="K70" s="170"/>
      <c r="L70" s="170"/>
      <c r="M70" s="170"/>
      <c r="N70" s="170"/>
      <c r="O70" s="141"/>
      <c r="P70" s="141"/>
      <c r="Q70" s="141"/>
      <c r="R70" s="141"/>
      <c r="S70" s="141"/>
      <c r="T70" s="141"/>
      <c r="U70" s="141"/>
      <c r="V70" s="17"/>
      <c r="W70" s="17"/>
    </row>
    <row r="71" spans="1:24" outlineLevel="1">
      <c r="A71" s="17"/>
      <c r="B71" s="17"/>
      <c r="C71" s="127"/>
      <c r="D71" s="120" t="s">
        <v>96</v>
      </c>
      <c r="E71" s="120" t="s">
        <v>18</v>
      </c>
      <c r="F71" s="120" t="s">
        <v>36</v>
      </c>
      <c r="G71" s="121"/>
      <c r="H71" s="121"/>
      <c r="I71" s="120"/>
      <c r="J71" s="157"/>
      <c r="K71" s="170"/>
      <c r="L71" s="170"/>
      <c r="M71" s="170"/>
      <c r="N71" s="170"/>
      <c r="O71" s="141"/>
      <c r="P71" s="141"/>
      <c r="Q71" s="141"/>
      <c r="R71" s="141"/>
      <c r="S71" s="141"/>
      <c r="T71" s="141"/>
      <c r="U71" s="141"/>
      <c r="V71" s="17"/>
      <c r="W71" s="17"/>
    </row>
    <row r="72" spans="1:24" outlineLevel="1">
      <c r="A72" s="17"/>
      <c r="B72" s="17"/>
      <c r="C72" s="125"/>
      <c r="D72" s="120"/>
      <c r="E72" s="120"/>
      <c r="F72" s="120"/>
      <c r="G72" s="121"/>
      <c r="H72" s="121"/>
      <c r="I72" s="120"/>
      <c r="J72" s="120"/>
      <c r="K72" s="126"/>
      <c r="L72" s="126"/>
      <c r="M72" s="126"/>
      <c r="N72" s="126"/>
      <c r="O72" s="126"/>
      <c r="P72" s="17"/>
      <c r="Q72" s="17"/>
      <c r="R72" s="17"/>
      <c r="S72" s="17"/>
      <c r="T72" s="17"/>
      <c r="U72" s="17"/>
      <c r="V72" s="17"/>
      <c r="W72" s="17"/>
    </row>
    <row r="73" spans="1:24" outlineLevel="1">
      <c r="A73" s="17"/>
      <c r="B73" s="17"/>
      <c r="C73" s="17" t="s">
        <v>40</v>
      </c>
      <c r="D73" s="120" t="s">
        <v>93</v>
      </c>
      <c r="E73" s="120" t="s">
        <v>28</v>
      </c>
      <c r="F73" s="120" t="s">
        <v>36</v>
      </c>
      <c r="G73" s="120"/>
      <c r="H73" s="120"/>
      <c r="I73" s="120"/>
      <c r="J73" s="165" t="str">
        <f t="shared" ref="J73:S73" si="38">IF(J64=J$4,IF(COUNTA($C66:$C71)=COUNT(J66:J71),"Ok","Check"),"")</f>
        <v/>
      </c>
      <c r="K73" s="165" t="str">
        <f t="shared" si="38"/>
        <v/>
      </c>
      <c r="L73" s="165" t="str">
        <f t="shared" si="38"/>
        <v/>
      </c>
      <c r="M73" s="165" t="str">
        <f t="shared" si="38"/>
        <v/>
      </c>
      <c r="N73" s="165" t="str">
        <f t="shared" si="38"/>
        <v/>
      </c>
      <c r="O73" s="165" t="str">
        <f t="shared" si="38"/>
        <v>Ok</v>
      </c>
      <c r="P73" s="165" t="str">
        <f t="shared" si="38"/>
        <v>Ok</v>
      </c>
      <c r="Q73" s="165" t="str">
        <f t="shared" si="38"/>
        <v>Ok</v>
      </c>
      <c r="R73" s="165" t="str">
        <f t="shared" si="38"/>
        <v>Ok</v>
      </c>
      <c r="S73" s="165" t="str">
        <f t="shared" si="38"/>
        <v>Ok</v>
      </c>
      <c r="T73" s="165" t="str">
        <f>IF(T64=T$4,IF(COUNTA($C66:$C71)=COUNT(T66:T71),"Ok","Check"),"")</f>
        <v>Ok</v>
      </c>
      <c r="U73" s="165" t="str">
        <f>IF(U64=U$4,IF(COUNTA($C66:$C71)=COUNT(U66:U71),"Ok","Check"),"")</f>
        <v/>
      </c>
      <c r="V73" s="166"/>
      <c r="W73" s="17"/>
      <c r="X73" s="81" t="str">
        <f>IF(COUNTIF(J73:U73,"Check")=0,"Ok","Check")</f>
        <v>Ok</v>
      </c>
    </row>
    <row r="74" spans="1:24" outlineLevel="1">
      <c r="A74" s="17"/>
      <c r="B74" s="17"/>
      <c r="C74" s="125"/>
      <c r="D74" s="120"/>
      <c r="E74" s="120"/>
      <c r="F74" s="120"/>
      <c r="G74" s="121"/>
      <c r="H74" s="121"/>
      <c r="I74" s="120"/>
      <c r="J74" s="120"/>
      <c r="K74" s="126"/>
      <c r="L74" s="126"/>
      <c r="M74" s="126"/>
      <c r="N74" s="126"/>
      <c r="O74" s="126"/>
      <c r="P74" s="17"/>
      <c r="Q74" s="17"/>
      <c r="R74" s="17"/>
      <c r="S74" s="17"/>
      <c r="T74" s="17"/>
      <c r="U74" s="17"/>
      <c r="V74" s="17"/>
      <c r="W74" s="17"/>
    </row>
    <row r="75" spans="1:24" outlineLevel="1">
      <c r="A75" s="17"/>
      <c r="B75" s="17"/>
      <c r="C75" s="122" t="s">
        <v>83</v>
      </c>
      <c r="D75" s="121" t="s">
        <v>7</v>
      </c>
      <c r="E75" s="121" t="s">
        <v>8</v>
      </c>
      <c r="F75" s="121" t="s">
        <v>22</v>
      </c>
      <c r="G75" s="121"/>
      <c r="H75" s="121"/>
      <c r="I75" s="120"/>
      <c r="J75" s="138" t="str">
        <f t="shared" ref="J75:U75" si="39">IF(YEAR(J$4)&gt;=FPFirstYear,IF(YEAR(J$4)&lt;=FPLastYear,J$4,""),"")</f>
        <v/>
      </c>
      <c r="K75" s="138" t="str">
        <f t="shared" si="39"/>
        <v/>
      </c>
      <c r="L75" s="138" t="str">
        <f t="shared" si="39"/>
        <v/>
      </c>
      <c r="M75" s="138" t="str">
        <f t="shared" si="39"/>
        <v/>
      </c>
      <c r="N75" s="138" t="str">
        <f t="shared" si="39"/>
        <v/>
      </c>
      <c r="O75" s="138" t="str">
        <f t="shared" si="39"/>
        <v/>
      </c>
      <c r="P75" s="138">
        <f t="shared" si="39"/>
        <v>46539</v>
      </c>
      <c r="Q75" s="138">
        <f t="shared" si="39"/>
        <v>46905</v>
      </c>
      <c r="R75" s="138">
        <f t="shared" si="39"/>
        <v>47270</v>
      </c>
      <c r="S75" s="138">
        <f t="shared" si="39"/>
        <v>47635</v>
      </c>
      <c r="T75" s="138">
        <f t="shared" si="39"/>
        <v>48000</v>
      </c>
      <c r="U75" s="138" t="str">
        <f t="shared" si="39"/>
        <v/>
      </c>
      <c r="V75" s="17" t="str">
        <f>IF(RIGHT(V$4,2)&gt;=RIGHT('Input|General'!$G$13,2),IF(RIGHT(V$4,2)&lt;='Input|General'!$G$14,'Input|Reported opex'!U$4,""),"")</f>
        <v/>
      </c>
      <c r="W75" s="17"/>
    </row>
    <row r="76" spans="1:24" outlineLevel="1">
      <c r="A76" s="17"/>
      <c r="B76" s="17"/>
      <c r="C76" s="125"/>
      <c r="D76" s="120"/>
      <c r="E76" s="120"/>
      <c r="F76" s="120"/>
      <c r="G76" s="121"/>
      <c r="H76" s="121"/>
      <c r="I76" s="120"/>
      <c r="J76" s="120"/>
      <c r="K76" s="126"/>
      <c r="L76" s="126"/>
      <c r="M76" s="126"/>
      <c r="N76" s="126"/>
      <c r="O76" s="126"/>
      <c r="P76" s="17"/>
      <c r="Q76" s="17"/>
      <c r="R76" s="17"/>
      <c r="S76" s="17"/>
      <c r="T76" s="17"/>
      <c r="U76" s="17"/>
      <c r="V76" s="17"/>
      <c r="W76" s="17"/>
    </row>
    <row r="77" spans="1:24" outlineLevel="1">
      <c r="A77" s="17"/>
      <c r="B77" s="17"/>
      <c r="C77" s="167" t="str">
        <f>C66</f>
        <v>Customer numbers (#)</v>
      </c>
      <c r="D77" s="120" t="s">
        <v>93</v>
      </c>
      <c r="E77" s="120" t="s">
        <v>18</v>
      </c>
      <c r="F77" s="120" t="s">
        <v>36</v>
      </c>
      <c r="G77" s="121"/>
      <c r="H77" s="121"/>
      <c r="I77" s="120"/>
      <c r="J77" s="171" t="str">
        <f t="shared" ref="J77:M77" si="40">IF(ISBLANK(I66),"",IF(ISBLANK(J66),"",LN(J66)-LN(I66)))</f>
        <v/>
      </c>
      <c r="K77" s="171" t="str">
        <f t="shared" si="40"/>
        <v/>
      </c>
      <c r="L77" s="171" t="str">
        <f t="shared" si="40"/>
        <v/>
      </c>
      <c r="M77" s="171" t="str">
        <f t="shared" si="40"/>
        <v/>
      </c>
      <c r="N77" s="171" t="str">
        <f>IF(ISBLANK(M66),"",IF(ISBLANK(N66),"",LN(N66)-LN(M66)))</f>
        <v/>
      </c>
      <c r="O77" s="171" t="str">
        <f t="shared" ref="O77:U77" si="41">IF(ISBLANK(N66),"",IF(ISBLANK(O66),"",LN(O66)-LN(N66)))</f>
        <v/>
      </c>
      <c r="P77" s="171">
        <f t="shared" si="41"/>
        <v>1.9366726682102708E-2</v>
      </c>
      <c r="Q77" s="171">
        <f t="shared" si="41"/>
        <v>1.9058749853680723E-2</v>
      </c>
      <c r="R77" s="171">
        <f t="shared" si="41"/>
        <v>1.8634918595296313E-2</v>
      </c>
      <c r="S77" s="171">
        <f t="shared" si="41"/>
        <v>1.8217354923436346E-2</v>
      </c>
      <c r="T77" s="171">
        <f t="shared" si="41"/>
        <v>1.777023807132494E-2</v>
      </c>
      <c r="U77" s="171" t="str">
        <f t="shared" si="41"/>
        <v/>
      </c>
      <c r="V77" s="17"/>
      <c r="W77" s="17"/>
    </row>
    <row r="78" spans="1:24" outlineLevel="1">
      <c r="A78" s="17"/>
      <c r="B78" s="17"/>
      <c r="C78" s="167" t="str">
        <f t="shared" ref="C78:C82" si="42">C67</f>
        <v>Circuit Length (km)</v>
      </c>
      <c r="D78" s="120" t="s">
        <v>93</v>
      </c>
      <c r="E78" s="120" t="s">
        <v>18</v>
      </c>
      <c r="F78" s="120" t="s">
        <v>36</v>
      </c>
      <c r="G78" s="121"/>
      <c r="H78" s="121"/>
      <c r="I78" s="120"/>
      <c r="J78" s="171" t="str">
        <f t="shared" ref="J78:U78" si="43">IF(ISBLANK(I67),"",IF(ISBLANK(J67),"",LN(J67)-LN(I67)))</f>
        <v/>
      </c>
      <c r="K78" s="171" t="str">
        <f t="shared" si="43"/>
        <v/>
      </c>
      <c r="L78" s="171" t="str">
        <f t="shared" si="43"/>
        <v/>
      </c>
      <c r="M78" s="171" t="str">
        <f t="shared" si="43"/>
        <v/>
      </c>
      <c r="N78" s="171" t="str">
        <f t="shared" si="43"/>
        <v/>
      </c>
      <c r="O78" s="171" t="str">
        <f t="shared" si="43"/>
        <v/>
      </c>
      <c r="P78" s="171">
        <f t="shared" si="43"/>
        <v>5.9198995192044634E-3</v>
      </c>
      <c r="Q78" s="171">
        <f t="shared" si="43"/>
        <v>6.1161158554430273E-3</v>
      </c>
      <c r="R78" s="171">
        <f t="shared" si="43"/>
        <v>6.3184642795590662E-3</v>
      </c>
      <c r="S78" s="171">
        <f t="shared" si="43"/>
        <v>6.5270519864686349E-3</v>
      </c>
      <c r="T78" s="171">
        <f t="shared" si="43"/>
        <v>6.7419816673002231E-3</v>
      </c>
      <c r="U78" s="171" t="str">
        <f t="shared" si="43"/>
        <v/>
      </c>
      <c r="V78" s="17"/>
      <c r="W78" s="17"/>
    </row>
    <row r="79" spans="1:24" outlineLevel="1">
      <c r="A79" s="17"/>
      <c r="B79" s="17"/>
      <c r="C79" s="167" t="str">
        <f t="shared" si="42"/>
        <v xml:space="preserve">Ratcheted maximum demand </v>
      </c>
      <c r="D79" s="120" t="s">
        <v>93</v>
      </c>
      <c r="E79" s="120" t="s">
        <v>18</v>
      </c>
      <c r="F79" s="120" t="s">
        <v>36</v>
      </c>
      <c r="G79" s="121"/>
      <c r="H79" s="121"/>
      <c r="I79" s="120"/>
      <c r="J79" s="171" t="str">
        <f t="shared" ref="J79:U79" si="44">IF(ISBLANK(I68),"",IF(ISBLANK(J68),"",LN(J68)-LN(I68)))</f>
        <v/>
      </c>
      <c r="K79" s="171" t="str">
        <f t="shared" si="44"/>
        <v/>
      </c>
      <c r="L79" s="171" t="str">
        <f t="shared" si="44"/>
        <v/>
      </c>
      <c r="M79" s="171" t="str">
        <f t="shared" si="44"/>
        <v/>
      </c>
      <c r="N79" s="171" t="str">
        <f t="shared" si="44"/>
        <v/>
      </c>
      <c r="O79" s="171" t="str">
        <f t="shared" si="44"/>
        <v/>
      </c>
      <c r="P79" s="171">
        <f t="shared" si="44"/>
        <v>5.6616590102023245E-2</v>
      </c>
      <c r="Q79" s="171">
        <f t="shared" si="44"/>
        <v>8.969257526931429E-2</v>
      </c>
      <c r="R79" s="171">
        <f t="shared" si="44"/>
        <v>4.2765502989272619E-2</v>
      </c>
      <c r="S79" s="171">
        <f t="shared" si="44"/>
        <v>2.2440185834412318E-2</v>
      </c>
      <c r="T79" s="171">
        <f t="shared" si="44"/>
        <v>2.0377793750640194E-2</v>
      </c>
      <c r="U79" s="171" t="str">
        <f t="shared" si="44"/>
        <v/>
      </c>
      <c r="V79" s="17"/>
      <c r="W79" s="17"/>
    </row>
    <row r="80" spans="1:24" outlineLevel="1">
      <c r="A80" s="17"/>
      <c r="B80" s="17"/>
      <c r="C80" s="167">
        <f t="shared" si="42"/>
        <v>0</v>
      </c>
      <c r="D80" s="120" t="s">
        <v>93</v>
      </c>
      <c r="E80" s="120" t="s">
        <v>18</v>
      </c>
      <c r="F80" s="120" t="s">
        <v>36</v>
      </c>
      <c r="G80" s="121"/>
      <c r="H80" s="121"/>
      <c r="I80" s="120"/>
      <c r="J80" s="171" t="str">
        <f t="shared" ref="J80:U80" si="45">IF(ISBLANK(I69),"",IF(ISBLANK(J69),"",LN(J69)-LN(I69)))</f>
        <v/>
      </c>
      <c r="K80" s="171" t="str">
        <f t="shared" si="45"/>
        <v/>
      </c>
      <c r="L80" s="171" t="str">
        <f t="shared" si="45"/>
        <v/>
      </c>
      <c r="M80" s="171" t="str">
        <f t="shared" si="45"/>
        <v/>
      </c>
      <c r="N80" s="171" t="str">
        <f t="shared" si="45"/>
        <v/>
      </c>
      <c r="O80" s="171" t="str">
        <f t="shared" si="45"/>
        <v/>
      </c>
      <c r="P80" s="171" t="str">
        <f t="shared" si="45"/>
        <v/>
      </c>
      <c r="Q80" s="171" t="str">
        <f t="shared" si="45"/>
        <v/>
      </c>
      <c r="R80" s="171" t="str">
        <f t="shared" si="45"/>
        <v/>
      </c>
      <c r="S80" s="171" t="str">
        <f t="shared" si="45"/>
        <v/>
      </c>
      <c r="T80" s="171" t="str">
        <f t="shared" si="45"/>
        <v/>
      </c>
      <c r="U80" s="171" t="str">
        <f t="shared" si="45"/>
        <v/>
      </c>
      <c r="V80" s="17"/>
      <c r="W80" s="17"/>
    </row>
    <row r="81" spans="1:24" outlineLevel="1">
      <c r="A81" s="17"/>
      <c r="B81" s="17"/>
      <c r="C81" s="167">
        <f t="shared" si="42"/>
        <v>0</v>
      </c>
      <c r="D81" s="120" t="s">
        <v>93</v>
      </c>
      <c r="E81" s="120" t="s">
        <v>18</v>
      </c>
      <c r="F81" s="120" t="s">
        <v>36</v>
      </c>
      <c r="G81" s="121"/>
      <c r="H81" s="121"/>
      <c r="I81" s="120"/>
      <c r="J81" s="171" t="str">
        <f t="shared" ref="J81:T81" si="46">IF(ISBLANK(I70),"",IF(ISBLANK(J70),"",LN(J70)-LN(I70)))</f>
        <v/>
      </c>
      <c r="K81" s="171" t="str">
        <f t="shared" si="46"/>
        <v/>
      </c>
      <c r="L81" s="171" t="str">
        <f t="shared" si="46"/>
        <v/>
      </c>
      <c r="M81" s="171" t="str">
        <f t="shared" si="46"/>
        <v/>
      </c>
      <c r="N81" s="171" t="str">
        <f t="shared" si="46"/>
        <v/>
      </c>
      <c r="O81" s="171" t="str">
        <f t="shared" si="46"/>
        <v/>
      </c>
      <c r="P81" s="171" t="str">
        <f t="shared" si="46"/>
        <v/>
      </c>
      <c r="Q81" s="171" t="str">
        <f t="shared" si="46"/>
        <v/>
      </c>
      <c r="R81" s="171" t="str">
        <f t="shared" si="46"/>
        <v/>
      </c>
      <c r="S81" s="171" t="str">
        <f t="shared" si="46"/>
        <v/>
      </c>
      <c r="T81" s="171" t="str">
        <f t="shared" si="46"/>
        <v/>
      </c>
      <c r="U81" s="171"/>
      <c r="V81" s="17"/>
      <c r="W81" s="17"/>
    </row>
    <row r="82" spans="1:24" outlineLevel="1">
      <c r="A82" s="17"/>
      <c r="B82" s="17"/>
      <c r="C82" s="167">
        <f t="shared" si="42"/>
        <v>0</v>
      </c>
      <c r="D82" s="120" t="s">
        <v>93</v>
      </c>
      <c r="E82" s="120" t="s">
        <v>18</v>
      </c>
      <c r="F82" s="120" t="s">
        <v>36</v>
      </c>
      <c r="G82" s="121"/>
      <c r="H82" s="121"/>
      <c r="I82" s="120"/>
      <c r="J82" s="171" t="str">
        <f t="shared" ref="J82:T82" si="47">IF(ISBLANK(I71),"",IF(ISBLANK(J71),"",LN(J71)-LN(I71)))</f>
        <v/>
      </c>
      <c r="K82" s="171" t="str">
        <f t="shared" si="47"/>
        <v/>
      </c>
      <c r="L82" s="171" t="str">
        <f t="shared" si="47"/>
        <v/>
      </c>
      <c r="M82" s="171" t="str">
        <f t="shared" si="47"/>
        <v/>
      </c>
      <c r="N82" s="171" t="str">
        <f t="shared" si="47"/>
        <v/>
      </c>
      <c r="O82" s="171" t="str">
        <f t="shared" si="47"/>
        <v/>
      </c>
      <c r="P82" s="171" t="str">
        <f t="shared" si="47"/>
        <v/>
      </c>
      <c r="Q82" s="171" t="str">
        <f t="shared" si="47"/>
        <v/>
      </c>
      <c r="R82" s="171" t="str">
        <f t="shared" si="47"/>
        <v/>
      </c>
      <c r="S82" s="171" t="str">
        <f t="shared" si="47"/>
        <v/>
      </c>
      <c r="T82" s="171" t="str">
        <f t="shared" si="47"/>
        <v/>
      </c>
      <c r="U82" s="171"/>
      <c r="V82" s="17"/>
      <c r="W82" s="17"/>
    </row>
    <row r="83" spans="1:24" outlineLevel="1">
      <c r="A83" s="17"/>
      <c r="B83" s="17"/>
      <c r="C83" s="125"/>
      <c r="D83" s="120"/>
      <c r="E83" s="120"/>
      <c r="F83" s="120"/>
      <c r="G83" s="121"/>
      <c r="H83" s="121"/>
      <c r="I83" s="120"/>
      <c r="J83" s="120"/>
      <c r="K83" s="126"/>
      <c r="L83" s="126"/>
      <c r="M83" s="126"/>
      <c r="N83" s="126"/>
      <c r="O83" s="126"/>
      <c r="P83" s="17"/>
      <c r="Q83" s="17"/>
      <c r="R83" s="17"/>
      <c r="S83" s="17"/>
      <c r="T83" s="17"/>
      <c r="U83" s="17"/>
      <c r="V83" s="17"/>
      <c r="W83" s="17"/>
    </row>
    <row r="84" spans="1:24" outlineLevel="1">
      <c r="A84" s="17"/>
      <c r="B84" s="17"/>
      <c r="C84" s="122" t="s">
        <v>188</v>
      </c>
      <c r="D84" s="121" t="s">
        <v>7</v>
      </c>
      <c r="E84" s="121" t="s">
        <v>8</v>
      </c>
      <c r="F84" s="121" t="s">
        <v>22</v>
      </c>
      <c r="G84" s="121"/>
      <c r="H84" s="121"/>
      <c r="I84" s="120"/>
      <c r="J84" s="172" t="s">
        <v>226</v>
      </c>
      <c r="K84" s="172" t="s">
        <v>227</v>
      </c>
      <c r="L84" s="172" t="s">
        <v>228</v>
      </c>
      <c r="M84" s="172"/>
      <c r="N84" s="126"/>
      <c r="O84" s="193" t="s">
        <v>209</v>
      </c>
      <c r="P84" s="17"/>
      <c r="Q84" s="17"/>
      <c r="R84" s="17"/>
      <c r="S84" s="17"/>
      <c r="T84" s="17"/>
      <c r="U84" s="17"/>
      <c r="V84" s="17"/>
      <c r="W84" s="17"/>
    </row>
    <row r="85" spans="1:24" outlineLevel="1">
      <c r="A85" s="17"/>
      <c r="B85" s="17"/>
      <c r="C85" s="125"/>
      <c r="D85" s="120"/>
      <c r="E85" s="120"/>
      <c r="F85" s="120"/>
      <c r="G85" s="121"/>
      <c r="H85" s="121"/>
      <c r="I85" s="120"/>
      <c r="J85" s="120"/>
      <c r="K85" s="126"/>
      <c r="L85" s="126"/>
      <c r="M85" s="126"/>
      <c r="N85" s="126"/>
      <c r="O85" s="126"/>
      <c r="P85" s="17"/>
      <c r="Q85" s="17"/>
      <c r="R85" s="17"/>
      <c r="S85" s="17"/>
      <c r="T85" s="17"/>
      <c r="U85" s="17"/>
      <c r="V85" s="17"/>
      <c r="W85" s="17"/>
    </row>
    <row r="86" spans="1:24" outlineLevel="1">
      <c r="A86" s="17"/>
      <c r="B86" s="17"/>
      <c r="C86" s="167" t="str">
        <f>C66</f>
        <v>Customer numbers (#)</v>
      </c>
      <c r="D86" s="120" t="s">
        <v>96</v>
      </c>
      <c r="E86" s="120" t="s">
        <v>18</v>
      </c>
      <c r="F86" s="120" t="s">
        <v>36</v>
      </c>
      <c r="G86" s="121"/>
      <c r="H86" s="121"/>
      <c r="I86" s="120"/>
      <c r="J86" s="173">
        <v>0.24244830000000001</v>
      </c>
      <c r="K86" s="173">
        <v>0.5183875</v>
      </c>
      <c r="L86" s="173">
        <v>0.35791430000000002</v>
      </c>
      <c r="M86" s="173"/>
      <c r="N86" s="126"/>
      <c r="O86" s="126"/>
      <c r="P86" s="17"/>
      <c r="Q86" s="17"/>
      <c r="R86" s="17"/>
      <c r="S86" s="17"/>
      <c r="T86" s="17"/>
      <c r="U86" s="17"/>
      <c r="V86" s="17"/>
      <c r="W86" s="17"/>
    </row>
    <row r="87" spans="1:24" outlineLevel="1">
      <c r="A87" s="17"/>
      <c r="B87" s="17"/>
      <c r="C87" s="167" t="str">
        <f t="shared" ref="C87:C91" si="48">C67</f>
        <v>Circuit Length (km)</v>
      </c>
      <c r="D87" s="120" t="s">
        <v>96</v>
      </c>
      <c r="E87" s="120" t="s">
        <v>18</v>
      </c>
      <c r="F87" s="120" t="s">
        <v>36</v>
      </c>
      <c r="G87" s="121"/>
      <c r="H87" s="121"/>
      <c r="I87" s="120"/>
      <c r="J87" s="173">
        <v>0.1390005</v>
      </c>
      <c r="K87" s="173">
        <v>0.2287825</v>
      </c>
      <c r="L87" s="173">
        <v>0.2330788</v>
      </c>
      <c r="M87" s="173"/>
      <c r="N87" s="126"/>
      <c r="O87" s="126"/>
      <c r="P87" s="17"/>
      <c r="Q87" s="17"/>
      <c r="R87" s="17"/>
      <c r="S87" s="17"/>
      <c r="T87" s="17"/>
      <c r="U87" s="17"/>
      <c r="V87" s="17"/>
      <c r="W87" s="17"/>
    </row>
    <row r="88" spans="1:24" outlineLevel="1">
      <c r="A88" s="17"/>
      <c r="B88" s="17"/>
      <c r="C88" s="167" t="str">
        <f t="shared" si="48"/>
        <v xml:space="preserve">Ratcheted maximum demand </v>
      </c>
      <c r="D88" s="120" t="s">
        <v>96</v>
      </c>
      <c r="E88" s="120" t="s">
        <v>18</v>
      </c>
      <c r="F88" s="120" t="s">
        <v>36</v>
      </c>
      <c r="G88" s="121"/>
      <c r="H88" s="121"/>
      <c r="I88" s="120"/>
      <c r="J88" s="173">
        <v>0.58343420000000001</v>
      </c>
      <c r="K88" s="173">
        <v>0.2159809</v>
      </c>
      <c r="L88" s="173">
        <v>0.36370520000000001</v>
      </c>
      <c r="M88" s="173"/>
      <c r="N88" s="126"/>
      <c r="O88" s="126"/>
      <c r="P88" s="17"/>
      <c r="Q88" s="17"/>
      <c r="R88" s="17"/>
      <c r="S88" s="17"/>
      <c r="T88" s="17"/>
      <c r="U88" s="17"/>
      <c r="V88" s="17"/>
      <c r="W88" s="17"/>
    </row>
    <row r="89" spans="1:24" outlineLevel="1">
      <c r="A89" s="17"/>
      <c r="B89" s="17"/>
      <c r="C89" s="167">
        <f t="shared" si="48"/>
        <v>0</v>
      </c>
      <c r="D89" s="120" t="s">
        <v>96</v>
      </c>
      <c r="E89" s="120" t="s">
        <v>18</v>
      </c>
      <c r="F89" s="120" t="s">
        <v>36</v>
      </c>
      <c r="G89" s="121"/>
      <c r="H89" s="121"/>
      <c r="I89" s="120"/>
      <c r="J89" s="173"/>
      <c r="K89" s="173"/>
      <c r="L89" s="173"/>
      <c r="M89" s="173"/>
      <c r="N89" s="126"/>
      <c r="O89" s="126"/>
      <c r="P89" s="17"/>
      <c r="Q89" s="17"/>
      <c r="R89" s="17"/>
      <c r="S89" s="17"/>
      <c r="T89" s="17"/>
      <c r="U89" s="17"/>
      <c r="V89" s="17"/>
      <c r="W89" s="17"/>
    </row>
    <row r="90" spans="1:24" outlineLevel="1">
      <c r="A90" s="17"/>
      <c r="B90" s="17"/>
      <c r="C90" s="167">
        <f t="shared" si="48"/>
        <v>0</v>
      </c>
      <c r="D90" s="120" t="s">
        <v>96</v>
      </c>
      <c r="E90" s="120" t="s">
        <v>18</v>
      </c>
      <c r="F90" s="120" t="s">
        <v>36</v>
      </c>
      <c r="G90" s="121"/>
      <c r="H90" s="121"/>
      <c r="I90" s="120"/>
      <c r="J90" s="173"/>
      <c r="K90" s="173"/>
      <c r="L90" s="173"/>
      <c r="M90" s="173"/>
      <c r="N90" s="126"/>
      <c r="O90" s="126"/>
      <c r="P90" s="17"/>
      <c r="Q90" s="17"/>
      <c r="R90" s="17"/>
      <c r="S90" s="17"/>
      <c r="T90" s="17"/>
      <c r="U90" s="17"/>
      <c r="V90" s="17"/>
      <c r="W90" s="17"/>
    </row>
    <row r="91" spans="1:24" outlineLevel="1">
      <c r="A91" s="17"/>
      <c r="B91" s="17"/>
      <c r="C91" s="167">
        <f t="shared" si="48"/>
        <v>0</v>
      </c>
      <c r="D91" s="120" t="s">
        <v>96</v>
      </c>
      <c r="E91" s="120" t="s">
        <v>18</v>
      </c>
      <c r="F91" s="120" t="s">
        <v>36</v>
      </c>
      <c r="G91" s="121"/>
      <c r="H91" s="121"/>
      <c r="I91" s="120"/>
      <c r="J91" s="173"/>
      <c r="K91" s="173"/>
      <c r="L91" s="173"/>
      <c r="M91" s="173"/>
      <c r="N91" s="126"/>
      <c r="O91" s="126"/>
      <c r="P91" s="17"/>
      <c r="Q91" s="17"/>
      <c r="R91" s="17"/>
      <c r="S91" s="17"/>
      <c r="T91" s="17"/>
      <c r="U91" s="17"/>
      <c r="V91" s="17"/>
      <c r="W91" s="17"/>
    </row>
    <row r="92" spans="1:24" outlineLevel="1">
      <c r="A92" s="17"/>
      <c r="B92" s="17"/>
      <c r="C92" s="125"/>
      <c r="D92" s="120"/>
      <c r="E92" s="120"/>
      <c r="F92" s="120"/>
      <c r="G92" s="121"/>
      <c r="H92" s="121"/>
      <c r="I92" s="120"/>
      <c r="J92" s="120"/>
      <c r="K92" s="126"/>
      <c r="L92" s="126"/>
      <c r="M92" s="126"/>
      <c r="N92" s="126"/>
      <c r="O92" s="126"/>
      <c r="P92" s="17"/>
      <c r="Q92" s="17"/>
      <c r="R92" s="17"/>
      <c r="S92" s="17"/>
      <c r="T92" s="17"/>
      <c r="U92" s="17"/>
      <c r="V92" s="17"/>
      <c r="W92" s="17"/>
    </row>
    <row r="93" spans="1:24" outlineLevel="1">
      <c r="A93" s="17"/>
      <c r="B93" s="17"/>
      <c r="C93" s="17" t="s">
        <v>40</v>
      </c>
      <c r="D93" s="120" t="s">
        <v>93</v>
      </c>
      <c r="E93" s="120" t="s">
        <v>28</v>
      </c>
      <c r="F93" s="120" t="s">
        <v>36</v>
      </c>
      <c r="G93" s="120"/>
      <c r="H93" s="120"/>
      <c r="I93" s="120"/>
      <c r="J93" s="165" t="str">
        <f>IF(AND(ISBLANK(J84),COUNT(J86:J91)=0),"Ok",IF(AND(COUNTA($C66:$C71)=COUNT(J86:J91),COUNTA(J84)=1),"Ok","Check"))</f>
        <v>Ok</v>
      </c>
      <c r="K93" s="165" t="str">
        <f t="shared" ref="K93:M93" si="49">IF(AND(ISBLANK(K84),COUNT(K86:K91)=0),"Ok",IF(AND(COUNTA($C66:$C71)=COUNT(K86:K91),COUNTA(K84)=1),"Ok","Check"))</f>
        <v>Ok</v>
      </c>
      <c r="L93" s="165" t="str">
        <f t="shared" si="49"/>
        <v>Ok</v>
      </c>
      <c r="M93" s="165" t="str">
        <f t="shared" si="49"/>
        <v>Ok</v>
      </c>
      <c r="N93" s="165"/>
      <c r="O93" s="165"/>
      <c r="P93" s="165"/>
      <c r="Q93" s="165"/>
      <c r="R93" s="165"/>
      <c r="S93" s="165"/>
      <c r="T93" s="165"/>
      <c r="U93" s="165"/>
      <c r="V93" s="166"/>
      <c r="W93" s="17"/>
      <c r="X93" s="81" t="str">
        <f>IF(COUNTIF(J93:T93,"Check")=0,"Ok","Check")</f>
        <v>Ok</v>
      </c>
    </row>
    <row r="94" spans="1:24" outlineLevel="1">
      <c r="A94" s="17"/>
      <c r="B94" s="17"/>
      <c r="C94" s="125"/>
      <c r="D94" s="120"/>
      <c r="E94" s="120"/>
      <c r="F94" s="120"/>
      <c r="G94" s="121"/>
      <c r="H94" s="121"/>
      <c r="I94" s="120"/>
      <c r="J94" s="120"/>
      <c r="K94" s="126"/>
      <c r="L94" s="126"/>
      <c r="M94" s="126"/>
      <c r="N94" s="126"/>
      <c r="O94" s="126"/>
      <c r="P94" s="17"/>
      <c r="Q94" s="17"/>
      <c r="R94" s="17"/>
      <c r="S94" s="17"/>
      <c r="T94" s="17"/>
      <c r="U94" s="17"/>
      <c r="V94" s="17"/>
      <c r="W94" s="17"/>
    </row>
    <row r="95" spans="1:24" outlineLevel="1">
      <c r="A95" s="17"/>
      <c r="B95" s="17"/>
      <c r="C95" s="122" t="s">
        <v>152</v>
      </c>
      <c r="D95" s="121" t="s">
        <v>7</v>
      </c>
      <c r="E95" s="121" t="s">
        <v>8</v>
      </c>
      <c r="F95" s="121" t="s">
        <v>22</v>
      </c>
      <c r="G95" s="121"/>
      <c r="H95" s="121"/>
      <c r="I95" s="120"/>
      <c r="J95" s="190" t="str">
        <f>J84</f>
        <v>SFA CD</v>
      </c>
      <c r="K95" s="190" t="str">
        <f>K84</f>
        <v>LSE CD</v>
      </c>
      <c r="L95" s="190" t="str">
        <f>L84</f>
        <v>LSE TLG</v>
      </c>
      <c r="M95" s="190">
        <f>M84</f>
        <v>0</v>
      </c>
      <c r="N95" s="138"/>
      <c r="O95" s="138"/>
      <c r="P95" s="138"/>
      <c r="Q95" s="138"/>
      <c r="R95" s="138"/>
      <c r="S95" s="138"/>
      <c r="T95" s="138"/>
      <c r="U95" s="138"/>
      <c r="V95" s="17"/>
      <c r="W95" s="17"/>
    </row>
    <row r="96" spans="1:24" outlineLevel="1">
      <c r="A96" s="17"/>
      <c r="B96" s="17"/>
      <c r="C96" s="125"/>
      <c r="D96" s="120"/>
      <c r="E96" s="120"/>
      <c r="F96" s="120"/>
      <c r="G96" s="121"/>
      <c r="H96" s="121"/>
      <c r="I96" s="120"/>
      <c r="J96" s="120"/>
      <c r="K96" s="126"/>
      <c r="L96" s="126"/>
      <c r="M96" s="126"/>
      <c r="N96" s="126"/>
      <c r="O96" s="174"/>
      <c r="P96" s="174"/>
      <c r="Q96" s="174"/>
      <c r="R96" s="174"/>
      <c r="S96" s="174"/>
      <c r="T96" s="174"/>
      <c r="U96" s="174"/>
      <c r="V96" s="17"/>
      <c r="W96" s="17"/>
    </row>
    <row r="97" spans="1:34" outlineLevel="1">
      <c r="A97" s="17"/>
      <c r="B97" s="17"/>
      <c r="C97" s="167" t="str">
        <f t="shared" ref="C97:C102" si="50">C66</f>
        <v>Customer numbers (#)</v>
      </c>
      <c r="D97" s="120" t="s">
        <v>93</v>
      </c>
      <c r="E97" s="120" t="str">
        <f t="shared" ref="E97:E102" si="51">percent</f>
        <v>Per cent</v>
      </c>
      <c r="F97" s="120" t="s">
        <v>36</v>
      </c>
      <c r="G97" s="121"/>
      <c r="H97" s="121"/>
      <c r="I97" s="120"/>
      <c r="J97" s="191">
        <f t="shared" ref="J97:M102" si="52">J86/SUM(J$86:J$91)</f>
        <v>0.25127222678811834</v>
      </c>
      <c r="K97" s="191">
        <f t="shared" si="52"/>
        <v>0.53822043877029024</v>
      </c>
      <c r="L97" s="191">
        <f t="shared" si="52"/>
        <v>0.3748978080300342</v>
      </c>
      <c r="M97" s="191" t="e">
        <f t="shared" si="52"/>
        <v>#DIV/0!</v>
      </c>
      <c r="N97" s="175"/>
      <c r="O97" s="175"/>
      <c r="P97" s="175"/>
      <c r="Q97" s="175"/>
      <c r="R97" s="175"/>
      <c r="S97" s="175"/>
      <c r="T97" s="175"/>
      <c r="U97" s="175"/>
      <c r="V97" s="17"/>
      <c r="W97" s="17"/>
    </row>
    <row r="98" spans="1:34" outlineLevel="1">
      <c r="A98" s="17"/>
      <c r="B98" s="17"/>
      <c r="C98" s="167" t="str">
        <f t="shared" si="50"/>
        <v>Circuit Length (km)</v>
      </c>
      <c r="D98" s="120" t="s">
        <v>93</v>
      </c>
      <c r="E98" s="120" t="str">
        <f t="shared" si="51"/>
        <v>Per cent</v>
      </c>
      <c r="F98" s="120" t="s">
        <v>36</v>
      </c>
      <c r="G98" s="121"/>
      <c r="H98" s="121"/>
      <c r="I98" s="120"/>
      <c r="J98" s="191">
        <f t="shared" si="52"/>
        <v>0.1440594351854059</v>
      </c>
      <c r="K98" s="191">
        <f t="shared" si="52"/>
        <v>0.23753546822206156</v>
      </c>
      <c r="L98" s="191">
        <f t="shared" si="52"/>
        <v>0.24413869805780528</v>
      </c>
      <c r="M98" s="191" t="e">
        <f t="shared" si="52"/>
        <v>#DIV/0!</v>
      </c>
      <c r="N98" s="175"/>
      <c r="O98" s="175"/>
      <c r="P98" s="175"/>
      <c r="Q98" s="175"/>
      <c r="R98" s="175"/>
      <c r="S98" s="175"/>
      <c r="T98" s="175"/>
      <c r="U98" s="175"/>
      <c r="V98" s="17"/>
      <c r="W98" s="17"/>
    </row>
    <row r="99" spans="1:34" outlineLevel="1">
      <c r="A99" s="17"/>
      <c r="B99" s="17"/>
      <c r="C99" s="167" t="str">
        <f t="shared" si="50"/>
        <v xml:space="preserve">Ratcheted maximum demand </v>
      </c>
      <c r="D99" s="120" t="s">
        <v>93</v>
      </c>
      <c r="E99" s="120" t="str">
        <f t="shared" si="51"/>
        <v>Per cent</v>
      </c>
      <c r="F99" s="120" t="s">
        <v>36</v>
      </c>
      <c r="G99" s="121"/>
      <c r="H99" s="121"/>
      <c r="I99" s="120"/>
      <c r="J99" s="191">
        <f t="shared" si="52"/>
        <v>0.60466833802647568</v>
      </c>
      <c r="K99" s="191">
        <f t="shared" si="52"/>
        <v>0.22424409300764811</v>
      </c>
      <c r="L99" s="191">
        <f t="shared" si="52"/>
        <v>0.38096349391216056</v>
      </c>
      <c r="M99" s="191" t="e">
        <f t="shared" si="52"/>
        <v>#DIV/0!</v>
      </c>
      <c r="N99" s="175"/>
      <c r="O99" s="175"/>
      <c r="P99" s="175"/>
      <c r="Q99" s="175"/>
      <c r="R99" s="175"/>
      <c r="S99" s="175"/>
      <c r="T99" s="175"/>
      <c r="U99" s="175"/>
      <c r="V99" s="17"/>
      <c r="W99" s="17"/>
    </row>
    <row r="100" spans="1:34" outlineLevel="1">
      <c r="A100" s="17"/>
      <c r="B100" s="17"/>
      <c r="C100" s="167">
        <f t="shared" si="50"/>
        <v>0</v>
      </c>
      <c r="D100" s="120" t="s">
        <v>93</v>
      </c>
      <c r="E100" s="120" t="str">
        <f t="shared" si="51"/>
        <v>Per cent</v>
      </c>
      <c r="F100" s="120" t="s">
        <v>36</v>
      </c>
      <c r="G100" s="121"/>
      <c r="H100" s="121"/>
      <c r="I100" s="120"/>
      <c r="J100" s="191">
        <f t="shared" si="52"/>
        <v>0</v>
      </c>
      <c r="K100" s="191">
        <f t="shared" si="52"/>
        <v>0</v>
      </c>
      <c r="L100" s="191">
        <f t="shared" si="52"/>
        <v>0</v>
      </c>
      <c r="M100" s="191" t="e">
        <f t="shared" si="52"/>
        <v>#DIV/0!</v>
      </c>
      <c r="N100" s="175"/>
      <c r="O100" s="175"/>
      <c r="P100" s="175"/>
      <c r="Q100" s="175"/>
      <c r="R100" s="175"/>
      <c r="S100" s="175"/>
      <c r="T100" s="175"/>
      <c r="U100" s="175"/>
      <c r="V100" s="17"/>
      <c r="W100" s="17"/>
    </row>
    <row r="101" spans="1:34" outlineLevel="1">
      <c r="A101" s="17"/>
      <c r="B101" s="17"/>
      <c r="C101" s="167">
        <f t="shared" si="50"/>
        <v>0</v>
      </c>
      <c r="D101" s="120" t="s">
        <v>93</v>
      </c>
      <c r="E101" s="120" t="str">
        <f t="shared" si="51"/>
        <v>Per cent</v>
      </c>
      <c r="F101" s="120" t="s">
        <v>36</v>
      </c>
      <c r="G101" s="121"/>
      <c r="H101" s="121"/>
      <c r="I101" s="120"/>
      <c r="J101" s="191">
        <f t="shared" si="52"/>
        <v>0</v>
      </c>
      <c r="K101" s="191">
        <f t="shared" si="52"/>
        <v>0</v>
      </c>
      <c r="L101" s="191">
        <f t="shared" si="52"/>
        <v>0</v>
      </c>
      <c r="M101" s="191" t="e">
        <f t="shared" si="52"/>
        <v>#DIV/0!</v>
      </c>
      <c r="N101" s="175"/>
      <c r="O101" s="175"/>
      <c r="P101" s="175"/>
      <c r="Q101" s="175"/>
      <c r="R101" s="175"/>
      <c r="S101" s="175"/>
      <c r="T101" s="175"/>
      <c r="U101" s="175"/>
      <c r="V101" s="17"/>
      <c r="W101" s="17"/>
    </row>
    <row r="102" spans="1:34" outlineLevel="1">
      <c r="A102" s="17"/>
      <c r="B102" s="17"/>
      <c r="C102" s="167">
        <f t="shared" si="50"/>
        <v>0</v>
      </c>
      <c r="D102" s="120" t="s">
        <v>93</v>
      </c>
      <c r="E102" s="120" t="str">
        <f t="shared" si="51"/>
        <v>Per cent</v>
      </c>
      <c r="F102" s="120" t="s">
        <v>36</v>
      </c>
      <c r="G102" s="121"/>
      <c r="H102" s="121"/>
      <c r="I102" s="120"/>
      <c r="J102" s="191">
        <f t="shared" si="52"/>
        <v>0</v>
      </c>
      <c r="K102" s="191">
        <f t="shared" si="52"/>
        <v>0</v>
      </c>
      <c r="L102" s="191">
        <f t="shared" si="52"/>
        <v>0</v>
      </c>
      <c r="M102" s="191" t="e">
        <f t="shared" si="52"/>
        <v>#DIV/0!</v>
      </c>
      <c r="N102" s="175"/>
      <c r="O102" s="175"/>
      <c r="P102" s="175"/>
      <c r="Q102" s="175"/>
      <c r="R102" s="175"/>
      <c r="S102" s="175"/>
      <c r="T102" s="175"/>
      <c r="U102" s="175"/>
      <c r="V102" s="17"/>
      <c r="W102" s="17"/>
    </row>
    <row r="103" spans="1:34" outlineLevel="1">
      <c r="A103" s="17"/>
      <c r="B103" s="17"/>
      <c r="C103" s="17"/>
      <c r="D103" s="120"/>
      <c r="E103" s="120"/>
      <c r="F103" s="120"/>
      <c r="G103" s="121"/>
      <c r="H103" s="121"/>
      <c r="I103" s="120"/>
      <c r="J103" s="176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</row>
    <row r="104" spans="1:34" outlineLevel="1">
      <c r="A104" s="17"/>
      <c r="B104" s="17"/>
      <c r="C104" s="122" t="s">
        <v>153</v>
      </c>
      <c r="D104" s="121" t="s">
        <v>7</v>
      </c>
      <c r="E104" s="121" t="s">
        <v>8</v>
      </c>
      <c r="F104" s="121" t="s">
        <v>22</v>
      </c>
      <c r="G104" s="120"/>
      <c r="H104" s="120"/>
      <c r="I104" s="120"/>
      <c r="J104" s="138" t="str">
        <f t="shared" ref="J104:U104" si="53">IF(YEAR(J$4)&gt;=FPFirstYear,IF(YEAR(J$4)&lt;=FPLastYear,J$4,""),"")</f>
        <v/>
      </c>
      <c r="K104" s="138" t="str">
        <f t="shared" si="53"/>
        <v/>
      </c>
      <c r="L104" s="138" t="str">
        <f t="shared" si="53"/>
        <v/>
      </c>
      <c r="M104" s="138" t="str">
        <f t="shared" si="53"/>
        <v/>
      </c>
      <c r="N104" s="138" t="str">
        <f t="shared" si="53"/>
        <v/>
      </c>
      <c r="O104" s="138" t="str">
        <f t="shared" si="53"/>
        <v/>
      </c>
      <c r="P104" s="138">
        <f t="shared" si="53"/>
        <v>46539</v>
      </c>
      <c r="Q104" s="138">
        <f t="shared" si="53"/>
        <v>46905</v>
      </c>
      <c r="R104" s="138">
        <f t="shared" si="53"/>
        <v>47270</v>
      </c>
      <c r="S104" s="138">
        <f t="shared" si="53"/>
        <v>47635</v>
      </c>
      <c r="T104" s="138">
        <f t="shared" si="53"/>
        <v>48000</v>
      </c>
      <c r="U104" s="138" t="str">
        <f t="shared" si="53"/>
        <v/>
      </c>
      <c r="V104" s="166"/>
      <c r="W104" s="17"/>
      <c r="X104" s="82"/>
    </row>
    <row r="105" spans="1:34" outlineLevel="1">
      <c r="A105" s="17"/>
      <c r="B105" s="17"/>
      <c r="C105" s="17"/>
      <c r="D105" s="120"/>
      <c r="E105" s="120"/>
      <c r="F105" s="120"/>
      <c r="G105" s="120"/>
      <c r="H105" s="120"/>
      <c r="I105" s="120"/>
      <c r="J105" s="165"/>
      <c r="K105" s="165"/>
      <c r="L105" s="165"/>
      <c r="M105" s="165"/>
      <c r="N105" s="165"/>
      <c r="O105" s="165"/>
      <c r="P105" s="165"/>
      <c r="Q105" s="165"/>
      <c r="R105" s="165"/>
      <c r="S105" s="165"/>
      <c r="T105" s="165"/>
      <c r="U105" s="165"/>
      <c r="V105" s="166"/>
      <c r="W105" s="17"/>
      <c r="X105" s="82"/>
    </row>
    <row r="106" spans="1:34" outlineLevel="1">
      <c r="A106" s="17"/>
      <c r="B106" s="17"/>
      <c r="C106" s="167" t="str">
        <f t="array" ref="C106:C109">TRANSPOSE(J95:M95)</f>
        <v>SFA CD</v>
      </c>
      <c r="D106" s="120" t="s">
        <v>93</v>
      </c>
      <c r="E106" s="120" t="s">
        <v>18</v>
      </c>
      <c r="F106" s="120" t="s">
        <v>36</v>
      </c>
      <c r="G106" s="120"/>
      <c r="H106" s="120"/>
      <c r="I106" s="120"/>
      <c r="J106" s="171" t="str">
        <f t="shared" ref="J106:U106" si="54">IF(J$104=J$4,SUMPRODUCT(J$77:J$82,$J$97:$J$102),"")</f>
        <v/>
      </c>
      <c r="K106" s="171" t="str">
        <f t="shared" si="54"/>
        <v/>
      </c>
      <c r="L106" s="171" t="str">
        <f t="shared" si="54"/>
        <v/>
      </c>
      <c r="M106" s="171" t="str">
        <f t="shared" si="54"/>
        <v/>
      </c>
      <c r="N106" s="171" t="str">
        <f t="shared" si="54"/>
        <v/>
      </c>
      <c r="O106" s="171" t="str">
        <f t="shared" si="54"/>
        <v/>
      </c>
      <c r="P106" s="171">
        <f t="shared" si="54"/>
        <v>3.9953397361816377E-2</v>
      </c>
      <c r="Q106" s="171">
        <f t="shared" si="54"/>
        <v>5.9904279132606549E-2</v>
      </c>
      <c r="R106" s="171">
        <f t="shared" si="54"/>
        <v>3.1451617504197615E-2</v>
      </c>
      <c r="S106" s="171">
        <f t="shared" si="54"/>
        <v>1.9086668633897151E-2</v>
      </c>
      <c r="T106" s="171">
        <f t="shared" si="54"/>
        <v>1.7758220041604354E-2</v>
      </c>
      <c r="U106" s="171" t="str">
        <f t="shared" si="54"/>
        <v/>
      </c>
      <c r="V106" s="166"/>
      <c r="W106" s="17"/>
      <c r="X106" s="82"/>
    </row>
    <row r="107" spans="1:34" outlineLevel="1">
      <c r="A107" s="17"/>
      <c r="B107" s="17"/>
      <c r="C107" s="167" t="str">
        <v>LSE CD</v>
      </c>
      <c r="D107" s="120" t="s">
        <v>93</v>
      </c>
      <c r="E107" s="120" t="s">
        <v>18</v>
      </c>
      <c r="F107" s="120" t="s">
        <v>36</v>
      </c>
      <c r="G107" s="120"/>
      <c r="H107" s="120"/>
      <c r="I107" s="120"/>
      <c r="J107" s="171" t="str">
        <f t="shared" ref="J107:U107" si="55">IF(J$104=J$4,SUMPRODUCT(J$77:J$82,$K$97:$K$102),"")</f>
        <v/>
      </c>
      <c r="K107" s="171" t="str">
        <f t="shared" si="55"/>
        <v/>
      </c>
      <c r="L107" s="171" t="str">
        <f t="shared" si="55"/>
        <v/>
      </c>
      <c r="M107" s="171" t="str">
        <f t="shared" si="55"/>
        <v/>
      </c>
      <c r="N107" s="171" t="str">
        <f t="shared" si="55"/>
        <v/>
      </c>
      <c r="O107" s="171" t="str">
        <f t="shared" si="55"/>
        <v/>
      </c>
      <c r="P107" s="171">
        <f t="shared" si="55"/>
        <v>2.4525690133121385E-2</v>
      </c>
      <c r="Q107" s="171">
        <f t="shared" si="55"/>
        <v>3.1823633342871874E-2</v>
      </c>
      <c r="R107" s="171">
        <f t="shared" si="55"/>
        <v>2.1120464863743759E-2</v>
      </c>
      <c r="S107" s="171">
        <f t="shared" si="55"/>
        <v>1.6387438229202446E-2</v>
      </c>
      <c r="T107" s="171">
        <f t="shared" si="55"/>
        <v>1.5735364980996969E-2</v>
      </c>
      <c r="U107" s="171" t="str">
        <f t="shared" si="55"/>
        <v/>
      </c>
      <c r="V107" s="166"/>
      <c r="W107" s="17"/>
      <c r="X107" s="82"/>
    </row>
    <row r="108" spans="1:34" outlineLevel="1">
      <c r="A108" s="17"/>
      <c r="B108" s="17"/>
      <c r="C108" s="167" t="str">
        <v>LSE TLG</v>
      </c>
      <c r="D108" s="120" t="s">
        <v>93</v>
      </c>
      <c r="E108" s="120" t="s">
        <v>18</v>
      </c>
      <c r="F108" s="120" t="s">
        <v>36</v>
      </c>
      <c r="G108" s="120"/>
      <c r="H108" s="120"/>
      <c r="I108" s="120"/>
      <c r="J108" s="171" t="str">
        <f t="shared" ref="J108:U108" si="56">IF(J$104=J$4,SUMPRODUCT(J$77:J$82,$L$97:$L$102),"")</f>
        <v/>
      </c>
      <c r="K108" s="171" t="str">
        <f t="shared" si="56"/>
        <v/>
      </c>
      <c r="L108" s="171" t="str">
        <f t="shared" si="56"/>
        <v/>
      </c>
      <c r="M108" s="171" t="str">
        <f t="shared" si="56"/>
        <v/>
      </c>
      <c r="N108" s="171" t="str">
        <f t="shared" si="56"/>
        <v/>
      </c>
      <c r="O108" s="171" t="str">
        <f t="shared" si="56"/>
        <v/>
      </c>
      <c r="P108" s="171">
        <f t="shared" si="56"/>
        <v>3.027467392174811E-2</v>
      </c>
      <c r="Q108" s="171">
        <f t="shared" si="56"/>
        <v>4.2807860958633613E-2</v>
      </c>
      <c r="R108" s="171">
        <f t="shared" si="56"/>
        <v>2.4820867214835254E-2</v>
      </c>
      <c r="S108" s="171">
        <f t="shared" si="56"/>
        <v>1.697204400254939E-2</v>
      </c>
      <c r="T108" s="171">
        <f t="shared" si="56"/>
        <v>1.6071197433161127E-2</v>
      </c>
      <c r="U108" s="171" t="str">
        <f t="shared" si="56"/>
        <v/>
      </c>
      <c r="V108" s="166"/>
      <c r="W108" s="17"/>
      <c r="X108" s="82"/>
    </row>
    <row r="109" spans="1:34" outlineLevel="1">
      <c r="A109" s="17"/>
      <c r="B109" s="17"/>
      <c r="C109" s="167">
        <v>0</v>
      </c>
      <c r="D109" s="120" t="s">
        <v>93</v>
      </c>
      <c r="E109" s="120" t="s">
        <v>18</v>
      </c>
      <c r="F109" s="120" t="s">
        <v>36</v>
      </c>
      <c r="G109" s="120"/>
      <c r="H109" s="120"/>
      <c r="I109" s="120"/>
      <c r="J109" s="171" t="str">
        <f t="shared" ref="J109:U109" si="57">IF(J$104=J$4,SUMPRODUCT(J$77:J$82,$M$97:$M$102),"")</f>
        <v/>
      </c>
      <c r="K109" s="171" t="str">
        <f t="shared" si="57"/>
        <v/>
      </c>
      <c r="L109" s="171" t="str">
        <f t="shared" si="57"/>
        <v/>
      </c>
      <c r="M109" s="171" t="str">
        <f t="shared" si="57"/>
        <v/>
      </c>
      <c r="N109" s="171" t="str">
        <f t="shared" si="57"/>
        <v/>
      </c>
      <c r="O109" s="171" t="str">
        <f t="shared" si="57"/>
        <v/>
      </c>
      <c r="P109" s="171" t="e">
        <f t="shared" si="57"/>
        <v>#DIV/0!</v>
      </c>
      <c r="Q109" s="171" t="e">
        <f t="shared" si="57"/>
        <v>#DIV/0!</v>
      </c>
      <c r="R109" s="171" t="e">
        <f t="shared" si="57"/>
        <v>#DIV/0!</v>
      </c>
      <c r="S109" s="171" t="e">
        <f t="shared" si="57"/>
        <v>#DIV/0!</v>
      </c>
      <c r="T109" s="171" t="e">
        <f t="shared" si="57"/>
        <v>#DIV/0!</v>
      </c>
      <c r="U109" s="171" t="str">
        <f t="shared" si="57"/>
        <v/>
      </c>
      <c r="V109" s="166"/>
      <c r="W109" s="17"/>
      <c r="X109" s="82"/>
    </row>
    <row r="110" spans="1:34" outlineLevel="1">
      <c r="A110" s="17"/>
      <c r="B110" s="17"/>
      <c r="C110" s="125"/>
      <c r="D110" s="120"/>
      <c r="E110" s="120"/>
      <c r="F110" s="120"/>
      <c r="G110" s="121"/>
      <c r="H110" s="121"/>
      <c r="I110" s="120"/>
      <c r="J110" s="120"/>
      <c r="K110" s="126"/>
      <c r="L110" s="126"/>
      <c r="M110" s="126"/>
      <c r="N110" s="126"/>
      <c r="O110" s="126"/>
      <c r="P110" s="17"/>
      <c r="Q110" s="17"/>
      <c r="R110" s="17"/>
      <c r="S110" s="17"/>
      <c r="T110" s="17"/>
      <c r="U110" s="17"/>
      <c r="V110" s="17"/>
      <c r="W110" s="17"/>
    </row>
    <row r="111" spans="1:34" customFormat="1" ht="12.75">
      <c r="A111" s="32"/>
      <c r="B111" s="38" t="s">
        <v>73</v>
      </c>
      <c r="C111" s="32"/>
      <c r="D111" s="32"/>
      <c r="E111" s="32"/>
      <c r="F111" s="118"/>
      <c r="G111" s="118"/>
      <c r="H111" s="118"/>
      <c r="I111" s="118"/>
      <c r="J111" s="118"/>
      <c r="K111" s="34"/>
      <c r="L111" s="119"/>
      <c r="M111" s="34"/>
      <c r="N111" s="119"/>
      <c r="O111" s="34"/>
      <c r="P111" s="34"/>
      <c r="Q111" s="34"/>
      <c r="R111" s="34"/>
      <c r="S111" s="34"/>
      <c r="T111" s="34"/>
      <c r="U111" s="34"/>
      <c r="V111" s="34"/>
      <c r="W111" s="34"/>
      <c r="X111" s="35"/>
      <c r="Y111" s="36"/>
      <c r="Z111" s="36"/>
      <c r="AA111" s="36"/>
      <c r="AB111" s="36"/>
      <c r="AC111" s="36"/>
      <c r="AD111" s="36"/>
      <c r="AE111" s="36"/>
      <c r="AF111" s="36"/>
      <c r="AG111" s="37"/>
      <c r="AH111" s="37"/>
    </row>
    <row r="112" spans="1:34" outlineLevel="1">
      <c r="A112" s="17"/>
      <c r="B112" s="17"/>
      <c r="C112" s="17"/>
      <c r="D112" s="120"/>
      <c r="E112" s="120"/>
      <c r="F112" s="120"/>
      <c r="G112" s="121"/>
      <c r="H112" s="121"/>
      <c r="I112" s="120"/>
      <c r="J112" s="120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</row>
    <row r="113" spans="1:34" outlineLevel="1">
      <c r="A113" s="17"/>
      <c r="B113" s="17"/>
      <c r="C113" s="122" t="s">
        <v>47</v>
      </c>
      <c r="D113" s="121" t="s">
        <v>7</v>
      </c>
      <c r="E113" s="121" t="s">
        <v>8</v>
      </c>
      <c r="F113" s="121" t="s">
        <v>22</v>
      </c>
      <c r="G113" s="121"/>
      <c r="H113" s="121"/>
      <c r="I113" s="120"/>
      <c r="J113" s="138" t="str">
        <f t="shared" ref="J113:U113" si="58">IF(YEAR(J$4)&gt;=FPFirstYear,IF(YEAR(J$4)&lt;=FPLastYear,J$4,""),"")</f>
        <v/>
      </c>
      <c r="K113" s="138" t="str">
        <f t="shared" si="58"/>
        <v/>
      </c>
      <c r="L113" s="138" t="str">
        <f t="shared" si="58"/>
        <v/>
      </c>
      <c r="M113" s="138" t="str">
        <f t="shared" si="58"/>
        <v/>
      </c>
      <c r="N113" s="138" t="str">
        <f t="shared" si="58"/>
        <v/>
      </c>
      <c r="O113" s="138" t="str">
        <f t="shared" si="58"/>
        <v/>
      </c>
      <c r="P113" s="138">
        <f t="shared" si="58"/>
        <v>46539</v>
      </c>
      <c r="Q113" s="138">
        <f t="shared" si="58"/>
        <v>46905</v>
      </c>
      <c r="R113" s="138">
        <f t="shared" si="58"/>
        <v>47270</v>
      </c>
      <c r="S113" s="138">
        <f t="shared" si="58"/>
        <v>47635</v>
      </c>
      <c r="T113" s="138">
        <f t="shared" si="58"/>
        <v>48000</v>
      </c>
      <c r="U113" s="138" t="str">
        <f t="shared" si="58"/>
        <v/>
      </c>
      <c r="V113" s="17"/>
      <c r="W113" s="17"/>
    </row>
    <row r="114" spans="1:34" outlineLevel="1">
      <c r="A114" s="17"/>
      <c r="B114" s="17"/>
      <c r="C114" s="125"/>
      <c r="D114" s="120"/>
      <c r="E114" s="120"/>
      <c r="F114" s="120"/>
      <c r="G114" s="121"/>
      <c r="H114" s="121"/>
      <c r="I114" s="120"/>
      <c r="J114" s="120"/>
      <c r="K114" s="126"/>
      <c r="L114" s="126"/>
      <c r="M114" s="126"/>
      <c r="N114" s="126"/>
      <c r="O114" s="126"/>
      <c r="P114" s="17"/>
      <c r="Q114" s="17"/>
      <c r="R114" s="17"/>
      <c r="S114" s="17"/>
      <c r="T114" s="17"/>
      <c r="U114" s="17"/>
      <c r="V114" s="17"/>
      <c r="W114" s="17"/>
    </row>
    <row r="115" spans="1:34" outlineLevel="1">
      <c r="A115" s="17"/>
      <c r="B115" s="17"/>
      <c r="C115" s="125" t="s">
        <v>47</v>
      </c>
      <c r="D115" s="120" t="s">
        <v>96</v>
      </c>
      <c r="E115" s="120" t="str">
        <f>percent</f>
        <v>Per cent</v>
      </c>
      <c r="F115" s="120" t="s">
        <v>36</v>
      </c>
      <c r="G115" s="121"/>
      <c r="H115" s="121"/>
      <c r="I115" s="120"/>
      <c r="J115" s="157"/>
      <c r="K115" s="177"/>
      <c r="L115" s="177"/>
      <c r="M115" s="177"/>
      <c r="N115" s="177"/>
      <c r="O115" s="168"/>
      <c r="P115" s="168">
        <v>5.0000000000000001E-3</v>
      </c>
      <c r="Q115" s="168">
        <f>$P$115</f>
        <v>5.0000000000000001E-3</v>
      </c>
      <c r="R115" s="168">
        <f t="shared" ref="R115:T115" si="59">$P$115</f>
        <v>5.0000000000000001E-3</v>
      </c>
      <c r="S115" s="168">
        <f t="shared" si="59"/>
        <v>5.0000000000000001E-3</v>
      </c>
      <c r="T115" s="168">
        <f t="shared" si="59"/>
        <v>5.0000000000000001E-3</v>
      </c>
      <c r="U115" s="168"/>
      <c r="V115" s="17"/>
      <c r="W115" s="17"/>
    </row>
    <row r="116" spans="1:34" outlineLevel="1">
      <c r="A116" s="17"/>
      <c r="B116" s="17"/>
      <c r="C116" s="125"/>
      <c r="D116" s="120"/>
      <c r="E116" s="120"/>
      <c r="F116" s="120"/>
      <c r="G116" s="121"/>
      <c r="H116" s="121"/>
      <c r="I116" s="120"/>
      <c r="J116" s="120"/>
      <c r="K116" s="126"/>
      <c r="L116" s="126"/>
      <c r="M116" s="126"/>
      <c r="N116" s="126"/>
      <c r="O116" s="126"/>
      <c r="P116" s="178"/>
      <c r="Q116" s="178"/>
      <c r="R116" s="178"/>
      <c r="S116" s="178"/>
      <c r="T116" s="178"/>
      <c r="U116" s="178"/>
      <c r="V116" s="17"/>
      <c r="W116" s="17"/>
    </row>
    <row r="117" spans="1:34" outlineLevel="1">
      <c r="A117" s="17"/>
      <c r="B117" s="17"/>
      <c r="C117" s="17" t="s">
        <v>40</v>
      </c>
      <c r="D117" s="120" t="s">
        <v>93</v>
      </c>
      <c r="E117" s="120" t="s">
        <v>28</v>
      </c>
      <c r="F117" s="120" t="s">
        <v>36</v>
      </c>
      <c r="G117" s="120"/>
      <c r="H117" s="120"/>
      <c r="I117" s="120"/>
      <c r="J117" s="165" t="str">
        <f t="shared" ref="J117:S117" si="60">IF(J113=J$4,IF(ISBLANK(J115),"Check","Ok"),"")</f>
        <v/>
      </c>
      <c r="K117" s="165" t="str">
        <f t="shared" si="60"/>
        <v/>
      </c>
      <c r="L117" s="165" t="str">
        <f t="shared" si="60"/>
        <v/>
      </c>
      <c r="M117" s="165" t="str">
        <f t="shared" si="60"/>
        <v/>
      </c>
      <c r="N117" s="165" t="str">
        <f t="shared" si="60"/>
        <v/>
      </c>
      <c r="O117" s="165" t="str">
        <f t="shared" si="60"/>
        <v/>
      </c>
      <c r="P117" s="165" t="str">
        <f t="shared" si="60"/>
        <v>Ok</v>
      </c>
      <c r="Q117" s="165" t="str">
        <f t="shared" si="60"/>
        <v>Ok</v>
      </c>
      <c r="R117" s="165" t="str">
        <f t="shared" si="60"/>
        <v>Ok</v>
      </c>
      <c r="S117" s="165" t="str">
        <f t="shared" si="60"/>
        <v>Ok</v>
      </c>
      <c r="T117" s="165" t="str">
        <f>IF(T113=T$4,IF(ISBLANK(T115),"Check","Ok"),"")</f>
        <v>Ok</v>
      </c>
      <c r="U117" s="165" t="str">
        <f>IF(U113=U$4,IF(ISBLANK(U115),"Check","Ok"),"")</f>
        <v/>
      </c>
      <c r="V117" s="166"/>
      <c r="W117" s="17"/>
      <c r="X117" s="81" t="str">
        <f>IF(COUNTIF(J117:T117,"Check")=0,"Ok","Check")</f>
        <v>Ok</v>
      </c>
    </row>
    <row r="118" spans="1:34" outlineLevel="1">
      <c r="A118" s="17"/>
      <c r="B118" s="17"/>
      <c r="C118" s="125"/>
      <c r="D118" s="120"/>
      <c r="E118" s="120"/>
      <c r="F118" s="120"/>
      <c r="G118" s="121"/>
      <c r="H118" s="121"/>
      <c r="I118" s="120"/>
      <c r="J118" s="120"/>
      <c r="K118" s="126"/>
      <c r="L118" s="126"/>
      <c r="M118" s="126"/>
      <c r="N118" s="126"/>
      <c r="O118" s="126"/>
      <c r="P118" s="17"/>
      <c r="Q118" s="17"/>
      <c r="R118" s="17"/>
      <c r="S118" s="17"/>
      <c r="T118" s="17"/>
      <c r="U118" s="17"/>
      <c r="V118" s="17"/>
      <c r="W118" s="17"/>
    </row>
    <row r="119" spans="1:34" customFormat="1" ht="12.75">
      <c r="A119" s="32"/>
      <c r="B119" s="38" t="s">
        <v>21</v>
      </c>
      <c r="C119" s="32"/>
      <c r="D119" s="32"/>
      <c r="E119" s="32"/>
      <c r="F119" s="118"/>
      <c r="G119" s="118"/>
      <c r="H119" s="118"/>
      <c r="I119" s="118"/>
      <c r="J119" s="118"/>
      <c r="K119" s="34"/>
      <c r="L119" s="119"/>
      <c r="M119" s="34"/>
      <c r="N119" s="119"/>
      <c r="O119" s="34"/>
      <c r="P119" s="34"/>
      <c r="Q119" s="34"/>
      <c r="R119" s="34"/>
      <c r="S119" s="34"/>
      <c r="T119" s="34"/>
      <c r="U119" s="34"/>
      <c r="V119" s="34"/>
      <c r="W119" s="34"/>
      <c r="X119" s="35"/>
      <c r="Y119" s="36"/>
      <c r="Z119" s="36"/>
      <c r="AA119" s="36"/>
      <c r="AB119" s="36"/>
      <c r="AC119" s="36"/>
      <c r="AD119" s="36"/>
      <c r="AE119" s="36"/>
      <c r="AF119" s="36"/>
      <c r="AG119" s="37"/>
      <c r="AH119" s="37"/>
    </row>
  </sheetData>
  <mergeCells count="2">
    <mergeCell ref="K3:M3"/>
    <mergeCell ref="O3:T3"/>
  </mergeCells>
  <conditionalFormatting sqref="J38:O38 T38 J39:T40 J41:U45">
    <cfRule type="expression" dxfId="106" priority="56">
      <formula>J$36=J$4</formula>
    </cfRule>
  </conditionalFormatting>
  <conditionalFormatting sqref="J16:U22">
    <cfRule type="cellIs" dxfId="105" priority="23" operator="equal">
      <formula>0</formula>
    </cfRule>
  </conditionalFormatting>
  <conditionalFormatting sqref="J26:U32">
    <cfRule type="cellIs" dxfId="104" priority="24" operator="equal">
      <formula>0</formula>
    </cfRule>
  </conditionalFormatting>
  <conditionalFormatting sqref="J36:U36">
    <cfRule type="expression" dxfId="103" priority="58">
      <formula>J$36=J$4</formula>
    </cfRule>
  </conditionalFormatting>
  <conditionalFormatting sqref="J47:U47">
    <cfRule type="cellIs" dxfId="102" priority="43" operator="equal">
      <formula>"Check"</formula>
    </cfRule>
    <cfRule type="cellIs" dxfId="101" priority="44" operator="equal">
      <formula>"Ok"</formula>
    </cfRule>
  </conditionalFormatting>
  <conditionalFormatting sqref="J49:U49">
    <cfRule type="expression" dxfId="100" priority="28">
      <formula>J$36=J$4</formula>
    </cfRule>
  </conditionalFormatting>
  <conditionalFormatting sqref="J51:U58">
    <cfRule type="expression" dxfId="99" priority="9">
      <formula>J$49=J$4</formula>
    </cfRule>
  </conditionalFormatting>
  <conditionalFormatting sqref="J60:U60">
    <cfRule type="cellIs" dxfId="98" priority="67" operator="equal">
      <formula>"Check"</formula>
    </cfRule>
    <cfRule type="cellIs" dxfId="97" priority="68" operator="equal">
      <formula>"Ok"</formula>
    </cfRule>
  </conditionalFormatting>
  <conditionalFormatting sqref="J64:U64">
    <cfRule type="expression" dxfId="96" priority="33">
      <formula>J$64=J$4</formula>
    </cfRule>
  </conditionalFormatting>
  <conditionalFormatting sqref="J66:U71">
    <cfRule type="expression" dxfId="95" priority="31">
      <formula>J$64=J$4</formula>
    </cfRule>
  </conditionalFormatting>
  <conditionalFormatting sqref="J73:U73">
    <cfRule type="cellIs" dxfId="94" priority="39" operator="equal">
      <formula>"Check"</formula>
    </cfRule>
    <cfRule type="cellIs" dxfId="93" priority="40" operator="equal">
      <formula>"Ok"</formula>
    </cfRule>
  </conditionalFormatting>
  <conditionalFormatting sqref="J75:U75">
    <cfRule type="expression" dxfId="92" priority="27">
      <formula>J$36=J$4</formula>
    </cfRule>
  </conditionalFormatting>
  <conditionalFormatting sqref="J93:U93">
    <cfRule type="cellIs" dxfId="91" priority="3" operator="equal">
      <formula>"Check"</formula>
    </cfRule>
    <cfRule type="cellIs" dxfId="90" priority="4" operator="equal">
      <formula>"Ok"</formula>
    </cfRule>
  </conditionalFormatting>
  <conditionalFormatting sqref="J104:U104">
    <cfRule type="expression" dxfId="89" priority="178">
      <formula>J$104=J$4</formula>
    </cfRule>
  </conditionalFormatting>
  <conditionalFormatting sqref="J105:U105">
    <cfRule type="cellIs" dxfId="88" priority="16" operator="equal">
      <formula>"Check"</formula>
    </cfRule>
    <cfRule type="cellIs" dxfId="87" priority="17" operator="equal">
      <formula>"Ok"</formula>
    </cfRule>
  </conditionalFormatting>
  <conditionalFormatting sqref="J113:U113">
    <cfRule type="expression" dxfId="86" priority="26">
      <formula>J$36=J$4</formula>
    </cfRule>
  </conditionalFormatting>
  <conditionalFormatting sqref="J115:U115">
    <cfRule type="expression" dxfId="85" priority="179">
      <formula>J$113=J$4</formula>
    </cfRule>
  </conditionalFormatting>
  <conditionalFormatting sqref="J117:U117">
    <cfRule type="cellIs" dxfId="84" priority="47" operator="equal">
      <formula>"Check"</formula>
    </cfRule>
    <cfRule type="cellIs" dxfId="83" priority="48" operator="equal">
      <formula>"Ok"</formula>
    </cfRule>
  </conditionalFormatting>
  <conditionalFormatting sqref="L86:M88">
    <cfRule type="expression" dxfId="82" priority="175">
      <formula>L$95=L$4</formula>
    </cfRule>
  </conditionalFormatting>
  <conditionalFormatting sqref="P38:T45">
    <cfRule type="expression" dxfId="81" priority="11">
      <formula>P$36=P$4</formula>
    </cfRule>
  </conditionalFormatting>
  <conditionalFormatting sqref="T1:U1">
    <cfRule type="cellIs" dxfId="80" priority="87" operator="equal">
      <formula>"Check"</formula>
    </cfRule>
    <cfRule type="cellIs" dxfId="79" priority="88" operator="equal">
      <formula>"Ok"</formula>
    </cfRule>
  </conditionalFormatting>
  <conditionalFormatting sqref="X1 X104:X109">
    <cfRule type="cellIs" dxfId="78" priority="123" operator="equal">
      <formula>"Check"</formula>
    </cfRule>
    <cfRule type="cellIs" dxfId="77" priority="124" operator="equal">
      <formula>"Ok"</formula>
    </cfRule>
  </conditionalFormatting>
  <conditionalFormatting sqref="X47">
    <cfRule type="cellIs" dxfId="76" priority="45" operator="equal">
      <formula>"Check"</formula>
    </cfRule>
    <cfRule type="cellIs" dxfId="75" priority="46" operator="equal">
      <formula>"Ok"</formula>
    </cfRule>
  </conditionalFormatting>
  <conditionalFormatting sqref="X60">
    <cfRule type="cellIs" dxfId="74" priority="75" operator="equal">
      <formula>"Check"</formula>
    </cfRule>
    <cfRule type="cellIs" dxfId="73" priority="76" operator="equal">
      <formula>"Ok"</formula>
    </cfRule>
  </conditionalFormatting>
  <conditionalFormatting sqref="X73">
    <cfRule type="cellIs" dxfId="72" priority="41" operator="equal">
      <formula>"Check"</formula>
    </cfRule>
    <cfRule type="cellIs" dxfId="71" priority="42" operator="equal">
      <formula>"Ok"</formula>
    </cfRule>
  </conditionalFormatting>
  <conditionalFormatting sqref="X93">
    <cfRule type="cellIs" dxfId="70" priority="5" operator="equal">
      <formula>"Check"</formula>
    </cfRule>
    <cfRule type="cellIs" dxfId="69" priority="6" operator="equal">
      <formula>"Ok"</formula>
    </cfRule>
  </conditionalFormatting>
  <conditionalFormatting sqref="X117">
    <cfRule type="cellIs" dxfId="68" priority="49" operator="equal">
      <formula>"Check"</formula>
    </cfRule>
    <cfRule type="cellIs" dxfId="67" priority="50" operator="equal">
      <formula>"Ok"</formula>
    </cfRule>
  </conditionalFormatting>
  <dataValidations count="2">
    <dataValidation type="list" allowBlank="1" showInputMessage="1" showErrorMessage="1" sqref="F118 F74 F110 F96 F83 F85 F92 F94" xr:uid="{00000000-0002-0000-0500-000000000000}">
      <formula1>#REF!</formula1>
    </dataValidation>
    <dataValidation type="custom" allowBlank="1" showInputMessage="1" showErrorMessage="1" sqref="K1 W1" xr:uid="{77DCFC4D-E71B-4A00-A9B9-1B3CC4DB97BB}">
      <formula1>"&lt;0&gt;0"</formula1>
    </dataValidation>
  </dataValidations>
  <hyperlinks>
    <hyperlink ref="K1" location="Index!A1" display="Back to Index" xr:uid="{467195FD-1D3F-4959-814A-60335B1CE9BD}"/>
    <hyperlink ref="W1" location="'Check|List'!A1" display="Overall Check:" xr:uid="{AF43FC78-1DFC-4D02-9DDE-733C829EDF5B}"/>
  </hyperlinks>
  <pageMargins left="0.7" right="0.7" top="0.75" bottom="0.75" header="0.3" footer="0.3"/>
  <pageSetup paperSize="9" orientation="portrait" verticalDpi="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FFFF99"/>
  </sheetPr>
  <dimension ref="A1:AU54"/>
  <sheetViews>
    <sheetView showGridLines="0" zoomScaleNormal="100" workbookViewId="0">
      <selection activeCell="J1" sqref="J1"/>
    </sheetView>
  </sheetViews>
  <sheetFormatPr defaultColWidth="0" defaultRowHeight="11.25" zeroHeight="1" outlineLevelRow="1"/>
  <cols>
    <col min="1" max="2" width="1.5" style="8" customWidth="1"/>
    <col min="3" max="3" width="48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33203125" style="16" customWidth="1"/>
    <col min="10" max="23" width="10.83203125" style="8" customWidth="1"/>
    <col min="24" max="47" width="10.5" style="8" hidden="1" customWidth="1"/>
    <col min="48" max="16384" width="0" style="8" hidden="1"/>
  </cols>
  <sheetData>
    <row r="1" spans="1:30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6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tr">
        <f>IF(COUNTA($W$8:$W$237)=COUNTIF($W$8:$W$237,"OK"),"OK","Check")</f>
        <v>OK</v>
      </c>
      <c r="U1" s="187" t="s">
        <v>24</v>
      </c>
      <c r="V1" s="29" t="str">
        <f>'Check|List'!$S$1</f>
        <v>Ok</v>
      </c>
    </row>
    <row r="2" spans="1:30" s="31" customFormat="1" ht="13.5" thickBot="1">
      <c r="B2" s="30" t="str">
        <f>Index!$C$11</f>
        <v>Input | Step changes</v>
      </c>
      <c r="C2" s="30"/>
      <c r="D2" s="30"/>
      <c r="E2" s="30"/>
      <c r="F2" s="52"/>
      <c r="G2" s="52"/>
      <c r="H2" s="52"/>
      <c r="I2" s="52"/>
    </row>
    <row r="3" spans="1:30" s="53" customFormat="1">
      <c r="D3" s="105"/>
      <c r="E3" s="105"/>
      <c r="F3" s="105"/>
      <c r="G3" s="105"/>
      <c r="H3" s="105"/>
      <c r="I3" s="105"/>
      <c r="J3" s="96" t="s">
        <v>109</v>
      </c>
      <c r="K3" s="100"/>
      <c r="L3" s="100"/>
      <c r="M3" s="105"/>
      <c r="N3" s="196"/>
      <c r="O3" s="196"/>
      <c r="P3" s="196"/>
      <c r="Q3" s="196"/>
      <c r="R3" s="196"/>
      <c r="S3" s="196"/>
      <c r="T3" s="54"/>
      <c r="U3" s="54"/>
      <c r="V3" s="54"/>
      <c r="W3" s="54"/>
      <c r="X3" s="54"/>
      <c r="Y3" s="54"/>
      <c r="Z3" s="54"/>
    </row>
    <row r="4" spans="1:30" customFormat="1">
      <c r="A4" s="55"/>
      <c r="B4" s="55"/>
      <c r="C4" s="55"/>
      <c r="D4" s="56" t="s">
        <v>7</v>
      </c>
      <c r="E4" s="56" t="s">
        <v>8</v>
      </c>
      <c r="F4" s="144" t="s">
        <v>22</v>
      </c>
      <c r="G4" s="145"/>
      <c r="H4" s="145"/>
      <c r="I4" s="145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179"/>
      <c r="W4" s="60"/>
    </row>
    <row r="5" spans="1:30" s="6" customFormat="1" ht="3" customHeight="1">
      <c r="A5" s="146"/>
      <c r="B5" s="146"/>
      <c r="C5" s="146"/>
      <c r="D5" s="147"/>
      <c r="E5" s="147"/>
      <c r="F5" s="147"/>
      <c r="G5" s="147"/>
      <c r="H5" s="147"/>
      <c r="I5" s="147"/>
      <c r="J5" s="146"/>
      <c r="K5" s="146"/>
      <c r="L5" s="146"/>
      <c r="M5" s="146"/>
      <c r="N5" s="146"/>
      <c r="O5" s="146"/>
      <c r="P5" s="146"/>
      <c r="Q5" s="146"/>
      <c r="R5" s="146"/>
      <c r="S5" s="146"/>
      <c r="T5" s="146"/>
      <c r="U5" s="146"/>
      <c r="V5" s="146"/>
    </row>
    <row r="6" spans="1:30" s="6" customFormat="1" ht="9" customHeight="1">
      <c r="A6" s="146"/>
      <c r="B6" s="146"/>
      <c r="C6" s="146"/>
      <c r="D6" s="147"/>
      <c r="E6" s="147"/>
      <c r="F6" s="147"/>
      <c r="G6" s="147"/>
      <c r="H6" s="147"/>
      <c r="I6" s="147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46"/>
    </row>
    <row r="7" spans="1:30" s="6" customFormat="1" ht="3" customHeight="1">
      <c r="A7" s="146"/>
      <c r="B7" s="146"/>
      <c r="C7" s="146"/>
      <c r="D7" s="147"/>
      <c r="E7" s="147"/>
      <c r="F7" s="147"/>
      <c r="G7" s="147"/>
      <c r="H7" s="147"/>
      <c r="I7" s="147"/>
      <c r="J7" s="146"/>
      <c r="K7" s="146"/>
      <c r="L7" s="146"/>
      <c r="M7" s="146"/>
      <c r="N7" s="146"/>
      <c r="O7" s="146"/>
      <c r="P7" s="146"/>
      <c r="Q7" s="146"/>
      <c r="R7" s="146"/>
      <c r="S7" s="146"/>
      <c r="T7" s="146"/>
      <c r="U7" s="146"/>
      <c r="V7" s="146"/>
    </row>
    <row r="8" spans="1:30" customFormat="1" ht="12.75">
      <c r="A8" s="32"/>
      <c r="B8" s="38" t="s">
        <v>49</v>
      </c>
      <c r="C8" s="32"/>
      <c r="D8" s="32"/>
      <c r="E8" s="32"/>
      <c r="F8" s="118"/>
      <c r="G8" s="118"/>
      <c r="H8" s="118"/>
      <c r="I8" s="118"/>
      <c r="J8" s="34"/>
      <c r="K8" s="119"/>
      <c r="L8" s="34"/>
      <c r="M8" s="119"/>
      <c r="N8" s="34"/>
      <c r="O8" s="34"/>
      <c r="P8" s="34"/>
      <c r="Q8" s="34"/>
      <c r="R8" s="34"/>
      <c r="S8" s="34"/>
      <c r="T8" s="34"/>
      <c r="U8" s="34"/>
      <c r="V8" s="119"/>
      <c r="W8" s="35"/>
      <c r="X8" s="36"/>
      <c r="Y8" s="36"/>
      <c r="Z8" s="36"/>
      <c r="AA8" s="36"/>
      <c r="AB8" s="36"/>
      <c r="AC8" s="37"/>
      <c r="AD8" s="37"/>
    </row>
    <row r="9" spans="1:30" outlineLevel="1">
      <c r="A9" s="17"/>
      <c r="B9" s="17"/>
      <c r="C9" s="17"/>
      <c r="D9" s="120"/>
      <c r="E9" s="120"/>
      <c r="F9" s="120"/>
      <c r="G9" s="121"/>
      <c r="H9" s="121"/>
      <c r="I9" s="120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</row>
    <row r="10" spans="1:30" outlineLevel="1">
      <c r="A10" s="17"/>
      <c r="B10" s="17"/>
      <c r="C10" s="122" t="s">
        <v>74</v>
      </c>
      <c r="D10" s="121" t="s">
        <v>7</v>
      </c>
      <c r="E10" s="121" t="s">
        <v>8</v>
      </c>
      <c r="F10" s="121" t="s">
        <v>22</v>
      </c>
      <c r="G10" s="121"/>
      <c r="H10" s="121"/>
      <c r="I10" s="138"/>
      <c r="J10" s="138" t="str">
        <f t="shared" ref="J10:T10" si="0">IF(YEAR(J$4)&gt;=FPFirstYear,IF(YEAR(J$4)&lt;=FPLastYear,J$4,""),"")</f>
        <v/>
      </c>
      <c r="K10" s="138" t="str">
        <f t="shared" si="0"/>
        <v/>
      </c>
      <c r="L10" s="138" t="str">
        <f t="shared" si="0"/>
        <v/>
      </c>
      <c r="M10" s="138" t="str">
        <f t="shared" si="0"/>
        <v/>
      </c>
      <c r="N10" s="138" t="str">
        <f t="shared" si="0"/>
        <v/>
      </c>
      <c r="O10" s="138">
        <f t="shared" si="0"/>
        <v>46539</v>
      </c>
      <c r="P10" s="138">
        <f t="shared" si="0"/>
        <v>46905</v>
      </c>
      <c r="Q10" s="138">
        <f t="shared" si="0"/>
        <v>47270</v>
      </c>
      <c r="R10" s="138">
        <f t="shared" si="0"/>
        <v>47635</v>
      </c>
      <c r="S10" s="138">
        <f t="shared" si="0"/>
        <v>48000</v>
      </c>
      <c r="T10" s="138" t="str">
        <f t="shared" si="0"/>
        <v/>
      </c>
      <c r="U10" s="17"/>
      <c r="V10" s="17"/>
    </row>
    <row r="11" spans="1:30" outlineLevel="1">
      <c r="A11" s="17"/>
      <c r="B11" s="17"/>
      <c r="C11" s="17"/>
      <c r="D11" s="120"/>
      <c r="E11" s="120"/>
      <c r="F11" s="120"/>
      <c r="G11" s="121"/>
      <c r="H11" s="121"/>
      <c r="I11" s="120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</row>
    <row r="12" spans="1:30" outlineLevel="1">
      <c r="A12" s="17"/>
      <c r="B12" s="17"/>
      <c r="C12" s="127" t="s">
        <v>214</v>
      </c>
      <c r="D12" s="120" t="s">
        <v>64</v>
      </c>
      <c r="E12" s="120" t="str">
        <f t="shared" ref="E12:E20" si="1">units</f>
        <v>$millions</v>
      </c>
      <c r="F12" s="139">
        <f t="shared" ref="F12:F20" si="2">DATE(PPLastYear,MONTH(month),1)</f>
        <v>46174</v>
      </c>
      <c r="G12" s="121"/>
      <c r="H12" s="121"/>
      <c r="I12" s="120"/>
      <c r="J12" s="158"/>
      <c r="K12" s="158"/>
      <c r="L12" s="158"/>
      <c r="M12" s="158"/>
      <c r="N12" s="158"/>
      <c r="O12" s="180">
        <v>0</v>
      </c>
      <c r="P12" s="180">
        <v>0</v>
      </c>
      <c r="Q12" s="180">
        <v>0</v>
      </c>
      <c r="R12" s="180">
        <v>0</v>
      </c>
      <c r="S12" s="180">
        <v>0</v>
      </c>
      <c r="T12" s="180"/>
      <c r="U12" s="17"/>
      <c r="V12" s="17"/>
      <c r="W12" s="81" t="str">
        <f>IF(ISBLANK(C12),IF(COUNT(J12:T12)=0,"Ok","Check"),IF(COUNT(J12:T12)=COUNT(J$10:T$10),"Ok","Check"))</f>
        <v>Ok</v>
      </c>
    </row>
    <row r="13" spans="1:30" outlineLevel="1">
      <c r="A13" s="17"/>
      <c r="B13" s="17"/>
      <c r="C13" s="127" t="s">
        <v>215</v>
      </c>
      <c r="D13" s="120" t="s">
        <v>64</v>
      </c>
      <c r="E13" s="120" t="str">
        <f t="shared" si="1"/>
        <v>$millions</v>
      </c>
      <c r="F13" s="139">
        <f t="shared" si="2"/>
        <v>46174</v>
      </c>
      <c r="G13" s="121"/>
      <c r="H13" s="121"/>
      <c r="I13" s="120"/>
      <c r="J13" s="158"/>
      <c r="K13" s="158"/>
      <c r="L13" s="158"/>
      <c r="M13" s="158"/>
      <c r="N13" s="158"/>
      <c r="O13" s="180">
        <v>11.509315152655923</v>
      </c>
      <c r="P13" s="180">
        <v>7.1411632916667838</v>
      </c>
      <c r="Q13" s="180">
        <v>4.0907836620689411</v>
      </c>
      <c r="R13" s="180">
        <v>1.6124222371589616</v>
      </c>
      <c r="S13" s="180">
        <v>-0.82449745099777727</v>
      </c>
      <c r="T13" s="180"/>
      <c r="U13" s="17"/>
      <c r="V13" s="17"/>
      <c r="W13" s="81" t="str">
        <f t="shared" ref="W13:W20" si="3">IF(ISBLANK(C13),IF(COUNT(J13:T13)=0,"Ok","Check"),IF(COUNT(J13:T13)=COUNT(J$10:T$10),"Ok","Check"))</f>
        <v>Ok</v>
      </c>
    </row>
    <row r="14" spans="1:30" outlineLevel="1">
      <c r="A14" s="17"/>
      <c r="B14" s="17"/>
      <c r="C14" s="127" t="s">
        <v>216</v>
      </c>
      <c r="D14" s="120" t="s">
        <v>64</v>
      </c>
      <c r="E14" s="120" t="str">
        <f t="shared" si="1"/>
        <v>$millions</v>
      </c>
      <c r="F14" s="139">
        <f t="shared" si="2"/>
        <v>46174</v>
      </c>
      <c r="G14" s="121"/>
      <c r="H14" s="121"/>
      <c r="I14" s="120"/>
      <c r="J14" s="158"/>
      <c r="K14" s="158"/>
      <c r="L14" s="158"/>
      <c r="M14" s="158"/>
      <c r="N14" s="158"/>
      <c r="O14" s="180">
        <v>1.8614228556771728</v>
      </c>
      <c r="P14" s="180">
        <v>6.1519845067189021</v>
      </c>
      <c r="Q14" s="180">
        <v>6.2312593491818058</v>
      </c>
      <c r="R14" s="180">
        <v>6.9768189066976252</v>
      </c>
      <c r="S14" s="180">
        <v>7.3346280783713862</v>
      </c>
      <c r="T14" s="180"/>
      <c r="U14" s="17"/>
      <c r="V14" s="17"/>
      <c r="W14" s="81" t="str">
        <f t="shared" si="3"/>
        <v>Ok</v>
      </c>
    </row>
    <row r="15" spans="1:30" outlineLevel="1">
      <c r="A15" s="17"/>
      <c r="B15" s="17"/>
      <c r="C15" s="127" t="s">
        <v>217</v>
      </c>
      <c r="D15" s="120" t="s">
        <v>64</v>
      </c>
      <c r="E15" s="120" t="str">
        <f t="shared" si="1"/>
        <v>$millions</v>
      </c>
      <c r="F15" s="139">
        <f t="shared" si="2"/>
        <v>46174</v>
      </c>
      <c r="G15" s="121"/>
      <c r="H15" s="121"/>
      <c r="I15" s="120"/>
      <c r="J15" s="158"/>
      <c r="K15" s="158"/>
      <c r="L15" s="158"/>
      <c r="M15" s="158"/>
      <c r="N15" s="158"/>
      <c r="O15" s="180">
        <v>3.4045361282983269</v>
      </c>
      <c r="P15" s="180">
        <v>8.6140913678664557</v>
      </c>
      <c r="Q15" s="180">
        <v>5.2433210787486155</v>
      </c>
      <c r="R15" s="180">
        <v>5.820449755095261</v>
      </c>
      <c r="S15" s="180">
        <v>2.3090011628489657</v>
      </c>
      <c r="T15" s="180"/>
      <c r="U15" s="17"/>
      <c r="V15" s="17"/>
      <c r="W15" s="81" t="str">
        <f t="shared" si="3"/>
        <v>Ok</v>
      </c>
    </row>
    <row r="16" spans="1:30" outlineLevel="1">
      <c r="A16" s="17"/>
      <c r="B16" s="17"/>
      <c r="C16" s="127" t="s">
        <v>218</v>
      </c>
      <c r="D16" s="120" t="s">
        <v>64</v>
      </c>
      <c r="E16" s="120" t="str">
        <f t="shared" si="1"/>
        <v>$millions</v>
      </c>
      <c r="F16" s="139">
        <f t="shared" si="2"/>
        <v>46174</v>
      </c>
      <c r="G16" s="121"/>
      <c r="H16" s="121"/>
      <c r="I16" s="120"/>
      <c r="J16" s="158"/>
      <c r="K16" s="158"/>
      <c r="L16" s="158"/>
      <c r="M16" s="158"/>
      <c r="N16" s="158"/>
      <c r="O16" s="181">
        <v>0.5036600738205782</v>
      </c>
      <c r="P16" s="181">
        <v>2.3467294724958179</v>
      </c>
      <c r="Q16" s="181">
        <v>4.5276809395212565</v>
      </c>
      <c r="R16" s="181">
        <v>6.0301452564543228</v>
      </c>
      <c r="S16" s="181">
        <v>6.703506924543853</v>
      </c>
      <c r="T16" s="180"/>
      <c r="U16" s="17"/>
      <c r="V16" s="17"/>
      <c r="W16" s="81" t="str">
        <f t="shared" si="3"/>
        <v>Ok</v>
      </c>
    </row>
    <row r="17" spans="1:30" outlineLevel="1">
      <c r="A17" s="17"/>
      <c r="B17" s="17"/>
      <c r="C17" s="127" t="s">
        <v>219</v>
      </c>
      <c r="D17" s="120" t="s">
        <v>64</v>
      </c>
      <c r="E17" s="120" t="str">
        <f t="shared" si="1"/>
        <v>$millions</v>
      </c>
      <c r="F17" s="139">
        <f t="shared" si="2"/>
        <v>46174</v>
      </c>
      <c r="G17" s="121"/>
      <c r="H17" s="121"/>
      <c r="I17" s="120"/>
      <c r="J17" s="158"/>
      <c r="K17" s="158"/>
      <c r="L17" s="158"/>
      <c r="M17" s="158"/>
      <c r="N17" s="158"/>
      <c r="O17" s="180">
        <v>0</v>
      </c>
      <c r="P17" s="180">
        <v>0</v>
      </c>
      <c r="Q17" s="180">
        <v>0</v>
      </c>
      <c r="R17" s="180">
        <v>0</v>
      </c>
      <c r="S17" s="180">
        <v>0</v>
      </c>
      <c r="T17" s="180"/>
      <c r="U17" s="17"/>
      <c r="V17" s="17"/>
      <c r="W17" s="81" t="str">
        <f t="shared" si="3"/>
        <v>Ok</v>
      </c>
    </row>
    <row r="18" spans="1:30" outlineLevel="1">
      <c r="A18" s="17"/>
      <c r="B18" s="17"/>
      <c r="C18" s="127" t="s">
        <v>220</v>
      </c>
      <c r="D18" s="120" t="s">
        <v>64</v>
      </c>
      <c r="E18" s="120" t="str">
        <f t="shared" si="1"/>
        <v>$millions</v>
      </c>
      <c r="F18" s="139">
        <f t="shared" si="2"/>
        <v>46174</v>
      </c>
      <c r="G18" s="121"/>
      <c r="H18" s="121"/>
      <c r="I18" s="120"/>
      <c r="J18" s="158"/>
      <c r="K18" s="158"/>
      <c r="L18" s="158"/>
      <c r="M18" s="158"/>
      <c r="N18" s="158"/>
      <c r="O18" s="180">
        <v>0</v>
      </c>
      <c r="P18" s="180">
        <v>-0.16251776761456393</v>
      </c>
      <c r="Q18" s="180">
        <v>-0.25755003300089413</v>
      </c>
      <c r="R18" s="180">
        <v>-0.27720996350045496</v>
      </c>
      <c r="S18" s="180">
        <v>-0.29726153738451494</v>
      </c>
      <c r="T18" s="180"/>
      <c r="U18" s="17"/>
      <c r="V18" s="17"/>
      <c r="W18" s="81" t="str">
        <f t="shared" si="3"/>
        <v>Ok</v>
      </c>
    </row>
    <row r="19" spans="1:30" outlineLevel="1">
      <c r="A19" s="17"/>
      <c r="B19" s="17"/>
      <c r="C19" s="127" t="s">
        <v>223</v>
      </c>
      <c r="D19" s="120" t="s">
        <v>64</v>
      </c>
      <c r="E19" s="120" t="str">
        <f t="shared" si="1"/>
        <v>$millions</v>
      </c>
      <c r="F19" s="139">
        <f t="shared" si="2"/>
        <v>46174</v>
      </c>
      <c r="G19" s="121"/>
      <c r="H19" s="121"/>
      <c r="I19" s="120"/>
      <c r="J19" s="158"/>
      <c r="K19" s="158"/>
      <c r="L19" s="158"/>
      <c r="M19" s="158"/>
      <c r="N19" s="158"/>
      <c r="O19" s="180">
        <v>-1.2889885873443707</v>
      </c>
      <c r="P19" s="180">
        <v>-1.3468610902652449</v>
      </c>
      <c r="Q19" s="180">
        <v>-1.3828587699588655</v>
      </c>
      <c r="R19" s="180">
        <v>-1.409361032453486</v>
      </c>
      <c r="S19" s="180">
        <v>-1.4351753682760215</v>
      </c>
      <c r="T19" s="180"/>
      <c r="U19" s="17"/>
      <c r="V19" s="17"/>
      <c r="W19" s="81" t="str">
        <f t="shared" si="3"/>
        <v>Ok</v>
      </c>
    </row>
    <row r="20" spans="1:30" outlineLevel="1">
      <c r="A20" s="17"/>
      <c r="B20" s="17"/>
      <c r="C20" s="127" t="s">
        <v>225</v>
      </c>
      <c r="D20" s="120" t="s">
        <v>64</v>
      </c>
      <c r="E20" s="120" t="str">
        <f t="shared" si="1"/>
        <v>$millions</v>
      </c>
      <c r="F20" s="139">
        <f t="shared" si="2"/>
        <v>46174</v>
      </c>
      <c r="G20" s="121"/>
      <c r="H20" s="121"/>
      <c r="I20" s="120"/>
      <c r="J20" s="158"/>
      <c r="K20" s="158"/>
      <c r="L20" s="158"/>
      <c r="M20" s="158"/>
      <c r="N20" s="158"/>
      <c r="O20" s="180">
        <v>0.94173691880949451</v>
      </c>
      <c r="P20" s="180">
        <v>8.16942033686928E-4</v>
      </c>
      <c r="Q20" s="180">
        <v>-0.90462424678472375</v>
      </c>
      <c r="R20" s="180">
        <v>-1.5699360976269308</v>
      </c>
      <c r="S20" s="180">
        <v>-1.5990198888806741</v>
      </c>
      <c r="T20" s="180"/>
      <c r="U20" s="17"/>
      <c r="V20" s="17"/>
      <c r="W20" s="81" t="str">
        <f t="shared" si="3"/>
        <v>Ok</v>
      </c>
    </row>
    <row r="21" spans="1:30" outlineLevel="1">
      <c r="A21" s="17"/>
      <c r="B21" s="17"/>
      <c r="C21" s="17"/>
      <c r="D21" s="120"/>
      <c r="E21" s="120"/>
      <c r="F21" s="120"/>
      <c r="G21" s="121"/>
      <c r="H21" s="121"/>
      <c r="I21" s="120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</row>
    <row r="22" spans="1:30" outlineLevel="1">
      <c r="A22" s="17"/>
      <c r="B22" s="17"/>
      <c r="C22" s="17" t="s">
        <v>40</v>
      </c>
      <c r="D22" s="120" t="s">
        <v>93</v>
      </c>
      <c r="E22" s="120" t="s">
        <v>28</v>
      </c>
      <c r="F22" s="120" t="s">
        <v>36</v>
      </c>
      <c r="G22" s="120"/>
      <c r="H22" s="120"/>
      <c r="I22" s="120"/>
      <c r="J22" s="165" t="str">
        <f t="shared" ref="J22:S22" si="4">IF(J10=J4,IF(COUNTA($C12:$C20)=COUNT(J12:J20),"Ok","Check"),"")</f>
        <v/>
      </c>
      <c r="K22" s="165" t="str">
        <f t="shared" si="4"/>
        <v/>
      </c>
      <c r="L22" s="165" t="str">
        <f t="shared" si="4"/>
        <v/>
      </c>
      <c r="M22" s="165" t="str">
        <f t="shared" si="4"/>
        <v/>
      </c>
      <c r="N22" s="165" t="str">
        <f t="shared" si="4"/>
        <v/>
      </c>
      <c r="O22" s="165" t="str">
        <f t="shared" si="4"/>
        <v>Ok</v>
      </c>
      <c r="P22" s="165" t="str">
        <f t="shared" si="4"/>
        <v>Ok</v>
      </c>
      <c r="Q22" s="165" t="str">
        <f t="shared" si="4"/>
        <v>Ok</v>
      </c>
      <c r="R22" s="165" t="str">
        <f t="shared" si="4"/>
        <v>Ok</v>
      </c>
      <c r="S22" s="165" t="str">
        <f t="shared" si="4"/>
        <v>Ok</v>
      </c>
      <c r="T22" s="165" t="str">
        <f t="shared" ref="T22" si="5">IF(T10=T4,IF(COUNTA($C12:$C20)=COUNT(T12:T20),"Ok","Check"),"")</f>
        <v/>
      </c>
      <c r="U22" s="166"/>
      <c r="V22" s="17"/>
      <c r="W22" s="81" t="str">
        <f>IF(COUNTIF(J22:T22,"Check")=0,"Ok","Check")</f>
        <v>Ok</v>
      </c>
    </row>
    <row r="23" spans="1:30">
      <c r="A23" s="17"/>
      <c r="B23" s="17"/>
      <c r="C23" s="17"/>
      <c r="D23" s="120"/>
      <c r="E23" s="120"/>
      <c r="F23" s="120"/>
      <c r="G23" s="121"/>
      <c r="H23" s="121"/>
      <c r="I23" s="120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</row>
    <row r="24" spans="1:30" customFormat="1" ht="12.75">
      <c r="A24" s="32"/>
      <c r="B24" s="38" t="s">
        <v>106</v>
      </c>
      <c r="C24" s="32"/>
      <c r="D24" s="32"/>
      <c r="E24" s="32"/>
      <c r="F24" s="118"/>
      <c r="G24" s="118"/>
      <c r="H24" s="118"/>
      <c r="I24" s="118"/>
      <c r="J24" s="34"/>
      <c r="K24" s="119"/>
      <c r="L24" s="34"/>
      <c r="M24" s="119"/>
      <c r="N24" s="34"/>
      <c r="O24" s="34"/>
      <c r="P24" s="34"/>
      <c r="Q24" s="34"/>
      <c r="R24" s="34"/>
      <c r="S24" s="34"/>
      <c r="T24" s="34"/>
      <c r="U24" s="34"/>
      <c r="V24" s="119"/>
      <c r="W24" s="35"/>
      <c r="X24" s="36"/>
      <c r="Y24" s="36"/>
      <c r="Z24" s="36"/>
      <c r="AA24" s="36"/>
      <c r="AB24" s="36"/>
      <c r="AC24" s="37"/>
      <c r="AD24" s="37"/>
    </row>
    <row r="25" spans="1:30" outlineLevel="1">
      <c r="A25" s="17"/>
      <c r="B25" s="17"/>
      <c r="C25" s="17"/>
      <c r="D25" s="120"/>
      <c r="E25" s="120"/>
      <c r="F25" s="120"/>
      <c r="G25" s="121"/>
      <c r="H25" s="121"/>
      <c r="I25" s="120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</row>
    <row r="26" spans="1:30" outlineLevel="1">
      <c r="A26" s="17"/>
      <c r="B26" s="17"/>
      <c r="C26" s="122" t="s">
        <v>102</v>
      </c>
      <c r="D26" s="121" t="s">
        <v>7</v>
      </c>
      <c r="E26" s="121" t="s">
        <v>8</v>
      </c>
      <c r="F26" s="121" t="s">
        <v>22</v>
      </c>
      <c r="G26" s="121"/>
      <c r="H26" s="121"/>
      <c r="I26" s="120"/>
      <c r="J26" s="138" t="str">
        <f t="shared" ref="J26:T26" si="6">IF(YEAR(J$4)&gt;=FPFirstYear,IF(YEAR(J$4)&lt;=FPLastYear,J$4,""),"")</f>
        <v/>
      </c>
      <c r="K26" s="138" t="str">
        <f t="shared" si="6"/>
        <v/>
      </c>
      <c r="L26" s="138" t="str">
        <f t="shared" si="6"/>
        <v/>
      </c>
      <c r="M26" s="138" t="str">
        <f t="shared" si="6"/>
        <v/>
      </c>
      <c r="N26" s="138" t="str">
        <f t="shared" si="6"/>
        <v/>
      </c>
      <c r="O26" s="138">
        <f t="shared" si="6"/>
        <v>46539</v>
      </c>
      <c r="P26" s="138">
        <f t="shared" si="6"/>
        <v>46905</v>
      </c>
      <c r="Q26" s="138">
        <f t="shared" si="6"/>
        <v>47270</v>
      </c>
      <c r="R26" s="138">
        <f t="shared" si="6"/>
        <v>47635</v>
      </c>
      <c r="S26" s="138">
        <f t="shared" si="6"/>
        <v>48000</v>
      </c>
      <c r="T26" s="138" t="str">
        <f t="shared" si="6"/>
        <v/>
      </c>
      <c r="U26" s="17"/>
      <c r="V26" s="17"/>
    </row>
    <row r="27" spans="1:30" outlineLevel="1">
      <c r="A27" s="17"/>
      <c r="B27" s="17"/>
      <c r="C27" s="17"/>
      <c r="D27" s="120"/>
      <c r="E27" s="120"/>
      <c r="F27" s="120"/>
      <c r="G27" s="121"/>
      <c r="H27" s="121"/>
      <c r="I27" s="120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</row>
    <row r="28" spans="1:30" outlineLevel="1">
      <c r="A28" s="17"/>
      <c r="B28" s="17"/>
      <c r="C28" s="182" t="s">
        <v>210</v>
      </c>
      <c r="D28" s="120" t="s">
        <v>64</v>
      </c>
      <c r="E28" s="120" t="str">
        <f>units</f>
        <v>$millions</v>
      </c>
      <c r="F28" s="139">
        <f>DATE(PPLastYear,MONTH(month),1)</f>
        <v>46174</v>
      </c>
      <c r="G28" s="121"/>
      <c r="H28" s="121"/>
      <c r="I28" s="120"/>
      <c r="J28" s="158"/>
      <c r="K28" s="158"/>
      <c r="L28" s="158"/>
      <c r="M28" s="158"/>
      <c r="N28" s="180"/>
      <c r="O28" s="180">
        <v>3.4233634848485646</v>
      </c>
      <c r="P28" s="180">
        <v>3.3359645752626421</v>
      </c>
      <c r="Q28" s="180">
        <v>3.2507969710670515</v>
      </c>
      <c r="R28" s="180">
        <v>3.1678037067485092</v>
      </c>
      <c r="S28" s="180">
        <v>3.0869292711306069</v>
      </c>
      <c r="T28" s="180"/>
      <c r="U28" s="17"/>
      <c r="V28" s="17"/>
      <c r="W28" s="81" t="str">
        <f>IF(ISBLANK(C28),IF(COUNT(J28:T28)=0,"Ok","Check"),IF(COUNT(J28:T28)=COUNT(J$10:T$10),"Ok","Check"))</f>
        <v>Ok</v>
      </c>
    </row>
    <row r="29" spans="1:30" outlineLevel="1">
      <c r="A29" s="17"/>
      <c r="B29" s="17"/>
      <c r="C29" s="182" t="s">
        <v>221</v>
      </c>
      <c r="D29" s="120" t="s">
        <v>64</v>
      </c>
      <c r="E29" s="120" t="str">
        <f>units</f>
        <v>$millions</v>
      </c>
      <c r="F29" s="139">
        <f>DATE(PPLastYear,MONTH(month),1)</f>
        <v>46174</v>
      </c>
      <c r="G29" s="121"/>
      <c r="H29" s="121"/>
      <c r="I29" s="120"/>
      <c r="J29" s="158"/>
      <c r="K29" s="158"/>
      <c r="L29" s="158"/>
      <c r="M29" s="158"/>
      <c r="N29" s="180"/>
      <c r="O29" s="180">
        <v>0.39185199999999998</v>
      </c>
      <c r="P29" s="180">
        <v>0.39185199999999998</v>
      </c>
      <c r="Q29" s="180">
        <v>0.39185199999999998</v>
      </c>
      <c r="R29" s="180">
        <v>0.39185199999999998</v>
      </c>
      <c r="S29" s="180">
        <v>0.39185199999999998</v>
      </c>
      <c r="T29" s="180"/>
      <c r="U29" s="17"/>
      <c r="V29" s="17"/>
      <c r="W29" s="81" t="str">
        <f>IF(ISBLANK(C29),IF(COUNT(J29:T29)=0,"Ok","Check"),IF(COUNT(J29:T29)=COUNT(J$10:T$10),"Ok","Check"))</f>
        <v>Ok</v>
      </c>
    </row>
    <row r="30" spans="1:30" outlineLevel="1">
      <c r="A30" s="17"/>
      <c r="B30" s="17"/>
      <c r="C30" s="182" t="s">
        <v>214</v>
      </c>
      <c r="D30" s="120" t="s">
        <v>64</v>
      </c>
      <c r="E30" s="120" t="str">
        <f>units</f>
        <v>$millions</v>
      </c>
      <c r="F30" s="139">
        <f>DATE(PPLastYear,MONTH(month),1)</f>
        <v>46174</v>
      </c>
      <c r="G30" s="121"/>
      <c r="H30" s="121"/>
      <c r="I30" s="120"/>
      <c r="J30" s="158"/>
      <c r="K30" s="158"/>
      <c r="L30" s="158"/>
      <c r="M30" s="158"/>
      <c r="N30" s="180"/>
      <c r="O30" s="180">
        <v>3.1040424764344534</v>
      </c>
      <c r="P30" s="180">
        <v>3.128919280713534</v>
      </c>
      <c r="Q30" s="180">
        <v>3.1576264300029884</v>
      </c>
      <c r="R30" s="180">
        <v>3.1896245900421114</v>
      </c>
      <c r="S30" s="180">
        <v>3.2205160191152942</v>
      </c>
      <c r="T30" s="180"/>
      <c r="U30" s="17"/>
      <c r="V30" s="17"/>
      <c r="W30" s="81" t="str">
        <f>IF(ISBLANK(C30),IF(COUNT(J30:T30)=0,"Ok","Check"),IF(COUNT(J30:T30)=COUNT(J$10:T$10),"Ok","Check"))</f>
        <v>Ok</v>
      </c>
    </row>
    <row r="31" spans="1:30" outlineLevel="1">
      <c r="A31" s="17"/>
      <c r="B31" s="17"/>
      <c r="C31" s="183"/>
      <c r="D31" s="120" t="s">
        <v>64</v>
      </c>
      <c r="E31" s="120" t="str">
        <f>units</f>
        <v>$millions</v>
      </c>
      <c r="F31" s="139">
        <f>DATE(PPLastYear,MONTH(month),1)</f>
        <v>46174</v>
      </c>
      <c r="G31" s="121"/>
      <c r="H31" s="121"/>
      <c r="I31" s="120"/>
      <c r="J31" s="158"/>
      <c r="K31" s="158"/>
      <c r="L31" s="158"/>
      <c r="M31" s="158"/>
      <c r="N31" s="180"/>
      <c r="O31" s="180"/>
      <c r="P31" s="180"/>
      <c r="Q31" s="180"/>
      <c r="R31" s="180"/>
      <c r="S31" s="180"/>
      <c r="T31" s="180"/>
      <c r="U31" s="17"/>
      <c r="V31" s="17"/>
      <c r="W31" s="81" t="str">
        <f>IF(ISBLANK(C31),IF(COUNT(J31:T31)=0,"Ok","Check"),IF(COUNT(J31:T31)=COUNT(J$10:T$10),"Ok","Check"))</f>
        <v>Ok</v>
      </c>
    </row>
    <row r="32" spans="1:30" outlineLevel="1">
      <c r="A32" s="17"/>
      <c r="B32" s="17"/>
      <c r="C32" s="127"/>
      <c r="D32" s="120" t="s">
        <v>64</v>
      </c>
      <c r="E32" s="120" t="str">
        <f>units</f>
        <v>$millions</v>
      </c>
      <c r="F32" s="139">
        <f>DATE(PPLastYear,MONTH(month),1)</f>
        <v>46174</v>
      </c>
      <c r="G32" s="121"/>
      <c r="H32" s="121"/>
      <c r="I32" s="120"/>
      <c r="J32" s="158"/>
      <c r="K32" s="158"/>
      <c r="L32" s="158"/>
      <c r="M32" s="158"/>
      <c r="N32" s="180"/>
      <c r="O32" s="180"/>
      <c r="P32" s="180"/>
      <c r="Q32" s="180"/>
      <c r="R32" s="180"/>
      <c r="S32" s="180"/>
      <c r="T32" s="180"/>
      <c r="U32" s="17"/>
      <c r="V32" s="17"/>
      <c r="W32" s="81" t="str">
        <f>IF(ISBLANK(C32),IF(COUNT(J32:T32)=0,"Ok","Check"),IF(COUNT(J32:T32)=COUNT(J$10:T$10),"Ok","Check"))</f>
        <v>Ok</v>
      </c>
    </row>
    <row r="33" spans="1:30" outlineLevel="1">
      <c r="A33" s="17"/>
      <c r="B33" s="17"/>
      <c r="C33" s="17"/>
      <c r="D33" s="120"/>
      <c r="E33" s="120"/>
      <c r="F33" s="120"/>
      <c r="G33" s="121"/>
      <c r="H33" s="121"/>
      <c r="I33" s="120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</row>
    <row r="34" spans="1:30" outlineLevel="1">
      <c r="A34" s="17"/>
      <c r="B34" s="17"/>
      <c r="C34" s="17" t="s">
        <v>40</v>
      </c>
      <c r="D34" s="120" t="s">
        <v>93</v>
      </c>
      <c r="E34" s="120" t="s">
        <v>28</v>
      </c>
      <c r="F34" s="120" t="s">
        <v>36</v>
      </c>
      <c r="G34" s="120"/>
      <c r="H34" s="120"/>
      <c r="I34" s="120"/>
      <c r="J34" s="165" t="str">
        <f t="shared" ref="J34:T34" si="7">IF(J26=J4,IF(COUNTA($C28:$C32)=COUNT(J28:J32),"Ok","Check"),"")</f>
        <v/>
      </c>
      <c r="K34" s="165" t="str">
        <f t="shared" si="7"/>
        <v/>
      </c>
      <c r="L34" s="165" t="str">
        <f t="shared" si="7"/>
        <v/>
      </c>
      <c r="M34" s="165" t="str">
        <f t="shared" si="7"/>
        <v/>
      </c>
      <c r="N34" s="165" t="str">
        <f t="shared" si="7"/>
        <v/>
      </c>
      <c r="O34" s="165" t="str">
        <f t="shared" si="7"/>
        <v>Ok</v>
      </c>
      <c r="P34" s="165" t="str">
        <f t="shared" si="7"/>
        <v>Ok</v>
      </c>
      <c r="Q34" s="165" t="str">
        <f t="shared" si="7"/>
        <v>Ok</v>
      </c>
      <c r="R34" s="165" t="str">
        <f t="shared" si="7"/>
        <v>Ok</v>
      </c>
      <c r="S34" s="165" t="str">
        <f t="shared" si="7"/>
        <v>Ok</v>
      </c>
      <c r="T34" s="165" t="str">
        <f t="shared" si="7"/>
        <v/>
      </c>
      <c r="U34" s="166"/>
      <c r="V34" s="17"/>
      <c r="W34" s="81" t="str">
        <f>IF(COUNTIF(J34:T34,"Check")=0,"Ok","Check")</f>
        <v>Ok</v>
      </c>
    </row>
    <row r="35" spans="1:30">
      <c r="A35" s="17"/>
      <c r="B35" s="17"/>
      <c r="C35" s="17"/>
      <c r="D35" s="120"/>
      <c r="E35" s="120"/>
      <c r="F35" s="120"/>
      <c r="G35" s="121"/>
      <c r="H35" s="121"/>
      <c r="I35" s="120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</row>
    <row r="36" spans="1:30" customFormat="1" ht="12.75">
      <c r="A36" s="32"/>
      <c r="B36" s="38" t="s">
        <v>44</v>
      </c>
      <c r="C36" s="32"/>
      <c r="D36" s="32"/>
      <c r="E36" s="32"/>
      <c r="F36" s="118"/>
      <c r="G36" s="118"/>
      <c r="H36" s="118"/>
      <c r="I36" s="118"/>
      <c r="J36" s="34"/>
      <c r="K36" s="119"/>
      <c r="L36" s="34"/>
      <c r="M36" s="119"/>
      <c r="N36" s="34"/>
      <c r="O36" s="34"/>
      <c r="P36" s="34"/>
      <c r="Q36" s="34"/>
      <c r="R36" s="34"/>
      <c r="S36" s="34"/>
      <c r="T36" s="34"/>
      <c r="U36" s="34"/>
      <c r="V36" s="119"/>
      <c r="W36" s="35"/>
      <c r="X36" s="36"/>
      <c r="Y36" s="36"/>
      <c r="Z36" s="36"/>
      <c r="AA36" s="36"/>
      <c r="AB36" s="36"/>
      <c r="AC36" s="37"/>
      <c r="AD36" s="37"/>
    </row>
    <row r="37" spans="1:30" outlineLevel="1">
      <c r="A37" s="17"/>
      <c r="B37" s="17"/>
      <c r="C37" s="17"/>
      <c r="D37" s="120"/>
      <c r="E37" s="120"/>
      <c r="F37" s="120"/>
      <c r="G37" s="121"/>
      <c r="H37" s="121"/>
      <c r="I37" s="120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</row>
    <row r="38" spans="1:30" outlineLevel="1">
      <c r="A38" s="17"/>
      <c r="B38" s="17"/>
      <c r="C38" s="122" t="s">
        <v>32</v>
      </c>
      <c r="D38" s="121" t="s">
        <v>7</v>
      </c>
      <c r="E38" s="121" t="s">
        <v>8</v>
      </c>
      <c r="F38" s="121" t="s">
        <v>22</v>
      </c>
      <c r="G38" s="121"/>
      <c r="H38" s="121"/>
      <c r="I38" s="120"/>
      <c r="J38" s="138" t="str">
        <f t="shared" ref="J38:T38" si="8">IF(YEAR(J$4)&gt;=FPFirstYear,IF(YEAR(J$4)&lt;=FPLastYear,J$4,""),"")</f>
        <v/>
      </c>
      <c r="K38" s="138" t="str">
        <f t="shared" si="8"/>
        <v/>
      </c>
      <c r="L38" s="138" t="str">
        <f t="shared" si="8"/>
        <v/>
      </c>
      <c r="M38" s="138" t="str">
        <f t="shared" si="8"/>
        <v/>
      </c>
      <c r="N38" s="138" t="str">
        <f t="shared" si="8"/>
        <v/>
      </c>
      <c r="O38" s="138">
        <f t="shared" si="8"/>
        <v>46539</v>
      </c>
      <c r="P38" s="138">
        <f t="shared" si="8"/>
        <v>46905</v>
      </c>
      <c r="Q38" s="138">
        <f t="shared" si="8"/>
        <v>47270</v>
      </c>
      <c r="R38" s="138">
        <f t="shared" si="8"/>
        <v>47635</v>
      </c>
      <c r="S38" s="138">
        <f t="shared" si="8"/>
        <v>48000</v>
      </c>
      <c r="T38" s="138" t="str">
        <f t="shared" si="8"/>
        <v/>
      </c>
      <c r="U38" s="17"/>
      <c r="V38" s="17"/>
    </row>
    <row r="39" spans="1:30" outlineLevel="1">
      <c r="A39" s="17"/>
      <c r="B39" s="17"/>
      <c r="C39" s="17"/>
      <c r="D39" s="120"/>
      <c r="E39" s="120"/>
      <c r="F39" s="120"/>
      <c r="G39" s="121"/>
      <c r="H39" s="121"/>
      <c r="I39" s="120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</row>
    <row r="40" spans="1:30" outlineLevel="1">
      <c r="A40" s="17"/>
      <c r="B40" s="17"/>
      <c r="C40" s="125" t="s">
        <v>39</v>
      </c>
      <c r="D40" s="120" t="s">
        <v>67</v>
      </c>
      <c r="E40" s="120" t="s">
        <v>15</v>
      </c>
      <c r="F40" s="139">
        <f>DATE(PPLastYear,MONTH(month),1)</f>
        <v>46174</v>
      </c>
      <c r="G40" s="121"/>
      <c r="H40" s="121"/>
      <c r="I40" s="121"/>
      <c r="J40" s="180"/>
      <c r="K40" s="180"/>
      <c r="L40" s="180"/>
      <c r="M40" s="180"/>
      <c r="N40" s="180"/>
      <c r="O40" s="180">
        <v>3.2407697746892832</v>
      </c>
      <c r="P40" s="180">
        <v>3.4562697291252524</v>
      </c>
      <c r="Q40" s="180">
        <v>3.6355672086803446</v>
      </c>
      <c r="R40" s="180">
        <v>3.7640178919483565</v>
      </c>
      <c r="S40" s="180">
        <v>3.8837073586112121</v>
      </c>
      <c r="T40" s="180"/>
      <c r="U40" s="17"/>
      <c r="V40" s="17"/>
    </row>
    <row r="41" spans="1:30" outlineLevel="1">
      <c r="A41" s="17"/>
      <c r="B41" s="17"/>
      <c r="C41" s="17"/>
      <c r="D41" s="120"/>
      <c r="E41" s="120"/>
      <c r="F41" s="120"/>
      <c r="G41" s="121"/>
      <c r="H41" s="121"/>
      <c r="I41" s="120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</row>
    <row r="42" spans="1:30" outlineLevel="1">
      <c r="A42" s="17"/>
      <c r="B42" s="17"/>
      <c r="C42" s="17" t="s">
        <v>40</v>
      </c>
      <c r="D42" s="120" t="s">
        <v>93</v>
      </c>
      <c r="E42" s="120" t="s">
        <v>28</v>
      </c>
      <c r="F42" s="120" t="s">
        <v>36</v>
      </c>
      <c r="G42" s="120"/>
      <c r="H42" s="120"/>
      <c r="I42" s="120"/>
      <c r="J42" s="165" t="str">
        <f t="shared" ref="J42:T42" si="9">IF(J38=J4,IF(ISBLANK(J40),"Check","Ok"),"")</f>
        <v/>
      </c>
      <c r="K42" s="165" t="str">
        <f t="shared" si="9"/>
        <v/>
      </c>
      <c r="L42" s="165" t="str">
        <f t="shared" si="9"/>
        <v/>
      </c>
      <c r="M42" s="165" t="str">
        <f t="shared" si="9"/>
        <v/>
      </c>
      <c r="N42" s="165" t="str">
        <f t="shared" si="9"/>
        <v/>
      </c>
      <c r="O42" s="165" t="str">
        <f t="shared" si="9"/>
        <v>Ok</v>
      </c>
      <c r="P42" s="165" t="str">
        <f t="shared" si="9"/>
        <v>Ok</v>
      </c>
      <c r="Q42" s="165" t="str">
        <f t="shared" si="9"/>
        <v>Ok</v>
      </c>
      <c r="R42" s="165" t="str">
        <f t="shared" si="9"/>
        <v>Ok</v>
      </c>
      <c r="S42" s="165" t="str">
        <f t="shared" si="9"/>
        <v>Ok</v>
      </c>
      <c r="T42" s="165" t="str">
        <f t="shared" si="9"/>
        <v/>
      </c>
      <c r="U42" s="166"/>
      <c r="V42" s="17"/>
      <c r="W42" s="81" t="str">
        <f>IF(COUNTIF(J42:T42,"Check")=0,"Ok","Check")</f>
        <v>Ok</v>
      </c>
    </row>
    <row r="43" spans="1:30">
      <c r="A43" s="17"/>
      <c r="B43" s="17"/>
      <c r="C43" s="17"/>
      <c r="D43" s="120"/>
      <c r="E43" s="120"/>
      <c r="F43" s="120"/>
      <c r="G43" s="121"/>
      <c r="H43" s="121"/>
      <c r="I43" s="120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</row>
    <row r="44" spans="1:30" customFormat="1" ht="12.75">
      <c r="A44" s="32"/>
      <c r="B44" s="38" t="s">
        <v>21</v>
      </c>
      <c r="C44" s="32"/>
      <c r="D44" s="32"/>
      <c r="E44" s="32"/>
      <c r="F44" s="118"/>
      <c r="G44" s="118"/>
      <c r="H44" s="118"/>
      <c r="I44" s="118"/>
      <c r="J44" s="34"/>
      <c r="K44" s="119"/>
      <c r="L44" s="34"/>
      <c r="M44" s="119"/>
      <c r="N44" s="34"/>
      <c r="O44" s="34"/>
      <c r="P44" s="34"/>
      <c r="Q44" s="34"/>
      <c r="R44" s="34"/>
      <c r="S44" s="34"/>
      <c r="T44" s="34"/>
      <c r="U44" s="34"/>
      <c r="V44" s="119"/>
      <c r="W44" s="35"/>
      <c r="X44" s="36"/>
      <c r="Y44" s="36"/>
      <c r="Z44" s="36"/>
      <c r="AA44" s="36"/>
      <c r="AB44" s="36"/>
      <c r="AC44" s="37"/>
      <c r="AD44" s="37"/>
    </row>
    <row r="45" spans="1:30" hidden="1">
      <c r="G45" s="20"/>
      <c r="H45" s="20"/>
    </row>
    <row r="46" spans="1:30" hidden="1">
      <c r="G46" s="20"/>
      <c r="H46" s="20"/>
    </row>
    <row r="47" spans="1:30" hidden="1">
      <c r="G47" s="20"/>
      <c r="H47" s="20"/>
    </row>
    <row r="48" spans="1:30" hidden="1">
      <c r="G48" s="20"/>
      <c r="H48" s="20"/>
    </row>
    <row r="49" spans="7:8" hidden="1">
      <c r="G49" s="20"/>
      <c r="H49" s="20"/>
    </row>
    <row r="50" spans="7:8" hidden="1">
      <c r="G50" s="20"/>
      <c r="H50" s="20"/>
    </row>
    <row r="51" spans="7:8" hidden="1">
      <c r="G51" s="20"/>
      <c r="H51" s="20"/>
    </row>
    <row r="52" spans="7:8" hidden="1">
      <c r="G52" s="20"/>
      <c r="H52" s="20"/>
    </row>
    <row r="53" spans="7:8" hidden="1">
      <c r="G53" s="20"/>
      <c r="H53" s="20"/>
    </row>
    <row r="54" spans="7:8" hidden="1">
      <c r="G54" s="20"/>
      <c r="H54" s="20"/>
    </row>
  </sheetData>
  <mergeCells count="1">
    <mergeCell ref="N3:S3"/>
  </mergeCells>
  <conditionalFormatting sqref="J28:M32 O31:O32">
    <cfRule type="expression" dxfId="66" priority="25">
      <formula>J$26=J$4</formula>
    </cfRule>
  </conditionalFormatting>
  <conditionalFormatting sqref="J10:T10">
    <cfRule type="expression" dxfId="65" priority="37">
      <formula>J$10=J$4</formula>
    </cfRule>
  </conditionalFormatting>
  <conditionalFormatting sqref="J12:T20">
    <cfRule type="expression" dxfId="64" priority="13">
      <formula>J$10=J$4</formula>
    </cfRule>
  </conditionalFormatting>
  <conditionalFormatting sqref="J22:T22">
    <cfRule type="cellIs" dxfId="63" priority="30" operator="equal">
      <formula>"Check"</formula>
    </cfRule>
    <cfRule type="cellIs" dxfId="62" priority="31" operator="equal">
      <formula>"Ok"</formula>
    </cfRule>
  </conditionalFormatting>
  <conditionalFormatting sqref="J26:T26">
    <cfRule type="expression" dxfId="61" priority="15">
      <formula>J$10=J$4</formula>
    </cfRule>
  </conditionalFormatting>
  <conditionalFormatting sqref="J34:T34">
    <cfRule type="cellIs" dxfId="60" priority="26" operator="equal">
      <formula>"Check"</formula>
    </cfRule>
    <cfRule type="cellIs" dxfId="59" priority="27" operator="equal">
      <formula>"Ok"</formula>
    </cfRule>
  </conditionalFormatting>
  <conditionalFormatting sqref="J38:T38">
    <cfRule type="expression" dxfId="58" priority="14">
      <formula>J$10=J$4</formula>
    </cfRule>
  </conditionalFormatting>
  <conditionalFormatting sqref="J40:T40">
    <cfRule type="expression" dxfId="57" priority="16">
      <formula>J$38=J$4</formula>
    </cfRule>
  </conditionalFormatting>
  <conditionalFormatting sqref="J42:T42">
    <cfRule type="cellIs" dxfId="56" priority="21" operator="equal">
      <formula>"Check"</formula>
    </cfRule>
    <cfRule type="cellIs" dxfId="55" priority="22" operator="equal">
      <formula>"Ok"</formula>
    </cfRule>
  </conditionalFormatting>
  <conditionalFormatting sqref="N28:N32">
    <cfRule type="expression" dxfId="54" priority="19">
      <formula>N$10=N$4</formula>
    </cfRule>
  </conditionalFormatting>
  <conditionalFormatting sqref="O28:T30 P31:T32">
    <cfRule type="expression" dxfId="53" priority="20">
      <formula>O$10=O$4</formula>
    </cfRule>
  </conditionalFormatting>
  <conditionalFormatting sqref="S1">
    <cfRule type="cellIs" dxfId="52" priority="39" operator="equal">
      <formula>"Check"</formula>
    </cfRule>
    <cfRule type="cellIs" dxfId="51" priority="40" operator="equal">
      <formula>"Ok"</formula>
    </cfRule>
  </conditionalFormatting>
  <conditionalFormatting sqref="V1">
    <cfRule type="cellIs" dxfId="50" priority="41" operator="equal">
      <formula>"Check"</formula>
    </cfRule>
    <cfRule type="cellIs" dxfId="49" priority="42" operator="equal">
      <formula>"Ok"</formula>
    </cfRule>
  </conditionalFormatting>
  <conditionalFormatting sqref="W12:W20">
    <cfRule type="cellIs" dxfId="48" priority="11" operator="equal">
      <formula>"Check"</formula>
    </cfRule>
    <cfRule type="cellIs" dxfId="47" priority="12" operator="equal">
      <formula>"Ok"</formula>
    </cfRule>
  </conditionalFormatting>
  <conditionalFormatting sqref="W22">
    <cfRule type="cellIs" dxfId="46" priority="32" operator="equal">
      <formula>"Check"</formula>
    </cfRule>
    <cfRule type="cellIs" dxfId="45" priority="33" operator="equal">
      <formula>"Ok"</formula>
    </cfRule>
  </conditionalFormatting>
  <conditionalFormatting sqref="W28:W32">
    <cfRule type="cellIs" dxfId="44" priority="1" operator="equal">
      <formula>"Check"</formula>
    </cfRule>
    <cfRule type="cellIs" dxfId="43" priority="2" operator="equal">
      <formula>"Ok"</formula>
    </cfRule>
  </conditionalFormatting>
  <conditionalFormatting sqref="W34">
    <cfRule type="cellIs" dxfId="42" priority="28" operator="equal">
      <formula>"Check"</formula>
    </cfRule>
    <cfRule type="cellIs" dxfId="41" priority="29" operator="equal">
      <formula>"Ok"</formula>
    </cfRule>
  </conditionalFormatting>
  <conditionalFormatting sqref="W42">
    <cfRule type="cellIs" dxfId="40" priority="23" operator="equal">
      <formula>"Check"</formula>
    </cfRule>
    <cfRule type="cellIs" dxfId="39" priority="24" operator="equal">
      <formula>"Ok"</formula>
    </cfRule>
  </conditionalFormatting>
  <dataValidations count="4">
    <dataValidation type="list" allowBlank="1" showInputMessage="1" showErrorMessage="1" sqref="F23 F33 F35 F43" xr:uid="{00000000-0002-0000-0600-000000000000}">
      <formula1>"Real 2010,Real 2011,Real 2012,Real 2013,Real 2014,Real 2015,Nominal"</formula1>
    </dataValidation>
    <dataValidation type="list" allowBlank="1" showInputMessage="1" showErrorMessage="1" sqref="U28:U33 I43 U23 I23 U12:U21 I28:I33 U35 I35 U43" xr:uid="{00000000-0002-0000-0600-000001000000}">
      <formula1>#REF!</formula1>
    </dataValidation>
    <dataValidation type="decimal" operator="greaterThanOrEqual" allowBlank="1" showInputMessage="1" showErrorMessage="1" sqref="J40:T40" xr:uid="{80F2B718-D8D1-497F-9BD2-2FB2D4DACBE5}">
      <formula1>0</formula1>
    </dataValidation>
    <dataValidation type="custom" allowBlank="1" showInputMessage="1" showErrorMessage="1" sqref="J1 U1" xr:uid="{AB39F078-D63D-4DBC-BFE2-2A40C1C46E4E}">
      <formula1>"&lt;0&gt;0"</formula1>
    </dataValidation>
  </dataValidations>
  <hyperlinks>
    <hyperlink ref="J1" location="Index!A1" display="Back to Index" xr:uid="{E03268FB-3E59-4C09-B042-5F902C870DEB}"/>
    <hyperlink ref="U1" location="'Check|List'!A1" display="Overall Check:" xr:uid="{013EBAF1-D7E8-427A-AD97-06DD29D95C05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2000000}">
          <x14:formula1>
            <xm:f>'Lookup|Tables'!$G$17:$G$19</xm:f>
          </x14:formula1>
          <xm:sqref>E40 E21</xm:sqref>
        </x14:dataValidation>
        <x14:dataValidation type="list" allowBlank="1" showInputMessage="1" showErrorMessage="1" xr:uid="{00000000-0002-0000-0600-000003000000}">
          <x14:formula1>
            <xm:f>'Lookup|Tables'!$C$74:$C$83</xm:f>
          </x14:formula1>
          <xm:sqref>F21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>
    <tabColor rgb="FFCCFFCC"/>
  </sheetPr>
  <dimension ref="A1:AM194"/>
  <sheetViews>
    <sheetView showGridLines="0" showZeros="0" zoomScaleNormal="100" workbookViewId="0">
      <selection activeCell="J1" sqref="J1"/>
    </sheetView>
  </sheetViews>
  <sheetFormatPr defaultColWidth="0" defaultRowHeight="11.25" zeroHeight="1" outlineLevelRow="1"/>
  <cols>
    <col min="1" max="2" width="1.5" style="8" customWidth="1"/>
    <col min="3" max="3" width="76.5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5" style="16" customWidth="1"/>
    <col min="10" max="24" width="10.83203125" style="8" customWidth="1"/>
    <col min="25" max="39" width="10.5" style="8" hidden="1" customWidth="1"/>
    <col min="40" max="16384" width="10.5" style="8" hidden="1"/>
  </cols>
  <sheetData>
    <row r="1" spans="1:31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6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">
        <v>36</v>
      </c>
      <c r="T1" s="29"/>
      <c r="V1" s="187" t="s">
        <v>24</v>
      </c>
      <c r="W1" s="29" t="str">
        <f>'Check|List'!$S$1</f>
        <v>Ok</v>
      </c>
    </row>
    <row r="2" spans="1:31" s="31" customFormat="1" ht="13.5" thickBot="1">
      <c r="B2" s="30" t="str">
        <f>Index!$C$12</f>
        <v>Calc | Opex Forecast</v>
      </c>
      <c r="C2" s="30"/>
      <c r="D2" s="30"/>
      <c r="E2" s="30"/>
      <c r="F2" s="52"/>
      <c r="G2" s="52"/>
      <c r="H2" s="52"/>
      <c r="I2" s="52"/>
    </row>
    <row r="3" spans="1:31" s="53" customFormat="1">
      <c r="D3" s="105"/>
      <c r="E3" s="105"/>
      <c r="F3" s="105"/>
      <c r="G3" s="105"/>
      <c r="H3" s="105"/>
      <c r="I3" s="105"/>
      <c r="J3" s="100" t="s">
        <v>109</v>
      </c>
      <c r="K3" s="100"/>
      <c r="L3" s="100"/>
      <c r="M3" s="105"/>
      <c r="N3" s="196"/>
      <c r="O3" s="196"/>
      <c r="P3" s="196"/>
      <c r="Q3" s="196"/>
      <c r="R3" s="196"/>
      <c r="S3" s="196"/>
      <c r="T3" s="105"/>
      <c r="U3" s="54"/>
      <c r="V3" s="54"/>
      <c r="W3" s="54"/>
      <c r="X3" s="54"/>
      <c r="Y3" s="54"/>
      <c r="Z3" s="54"/>
      <c r="AA3" s="54"/>
    </row>
    <row r="4" spans="1:31" customFormat="1">
      <c r="A4" s="55"/>
      <c r="B4" s="55"/>
      <c r="C4" s="55"/>
      <c r="D4" s="56" t="s">
        <v>7</v>
      </c>
      <c r="E4" s="56" t="s">
        <v>8</v>
      </c>
      <c r="F4" s="57" t="s">
        <v>22</v>
      </c>
      <c r="G4" s="58"/>
      <c r="H4" s="58"/>
      <c r="I4" s="5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59"/>
      <c r="W4" s="60"/>
      <c r="X4" s="60"/>
    </row>
    <row r="5" spans="1:31" s="6" customFormat="1" ht="3" customHeight="1">
      <c r="D5" s="21"/>
      <c r="E5" s="21"/>
      <c r="F5" s="21"/>
      <c r="G5" s="21"/>
      <c r="H5" s="21"/>
      <c r="I5" s="21"/>
    </row>
    <row r="6" spans="1:31" s="6" customFormat="1" ht="9" customHeight="1">
      <c r="D6" s="21"/>
      <c r="E6" s="21"/>
      <c r="F6" s="21"/>
      <c r="G6" s="21"/>
      <c r="H6" s="21"/>
      <c r="I6" s="21"/>
    </row>
    <row r="7" spans="1:31" s="6" customFormat="1" ht="3" customHeight="1">
      <c r="D7" s="21"/>
      <c r="E7" s="21"/>
      <c r="F7" s="21"/>
      <c r="G7" s="21"/>
      <c r="H7" s="21"/>
      <c r="I7" s="21"/>
    </row>
    <row r="8" spans="1:31" customFormat="1" ht="12.75">
      <c r="A8" s="32"/>
      <c r="B8" s="38" t="s">
        <v>81</v>
      </c>
      <c r="C8" s="32"/>
      <c r="D8" s="32"/>
      <c r="E8" s="51" t="s">
        <v>15</v>
      </c>
      <c r="F8" s="111">
        <f>DATE(PPLastYear,MONTH('Input|General'!$G$9),1)</f>
        <v>46174</v>
      </c>
      <c r="G8" s="33"/>
      <c r="H8" s="33"/>
      <c r="I8" s="33"/>
      <c r="J8" s="34"/>
      <c r="K8" s="35"/>
      <c r="L8" s="34"/>
      <c r="M8" s="35"/>
      <c r="N8" s="34"/>
      <c r="O8" s="34"/>
      <c r="P8" s="34"/>
      <c r="Q8" s="34"/>
      <c r="R8" s="34"/>
      <c r="S8" s="34"/>
      <c r="T8" s="34"/>
      <c r="U8" s="34"/>
      <c r="V8" s="34"/>
      <c r="W8" s="35"/>
      <c r="X8" s="35"/>
      <c r="Y8" s="36"/>
      <c r="Z8" s="36"/>
      <c r="AA8" s="36"/>
      <c r="AB8" s="36"/>
      <c r="AC8" s="36"/>
      <c r="AD8" s="37"/>
      <c r="AE8" s="37"/>
    </row>
    <row r="9" spans="1:31" outlineLevel="1"/>
    <row r="10" spans="1:31" outlineLevel="1">
      <c r="C10" s="9"/>
      <c r="D10" s="20" t="s">
        <v>7</v>
      </c>
      <c r="E10" s="20" t="s">
        <v>8</v>
      </c>
      <c r="F10" s="20" t="s">
        <v>22</v>
      </c>
      <c r="J10" s="99">
        <f t="shared" ref="J10:S10" si="0">IF(YEAR(J$4)&lt;=PPLastYear,J$4,"")</f>
        <v>44713</v>
      </c>
      <c r="K10" s="99">
        <f t="shared" si="0"/>
        <v>45078</v>
      </c>
      <c r="L10" s="99">
        <f t="shared" si="0"/>
        <v>45444</v>
      </c>
      <c r="M10" s="99">
        <f t="shared" si="0"/>
        <v>45809</v>
      </c>
      <c r="N10" s="99">
        <f t="shared" si="0"/>
        <v>46174</v>
      </c>
      <c r="O10" s="99" t="str">
        <f t="shared" si="0"/>
        <v/>
      </c>
      <c r="P10" s="99" t="str">
        <f t="shared" si="0"/>
        <v/>
      </c>
      <c r="Q10" s="99" t="str">
        <f t="shared" si="0"/>
        <v/>
      </c>
      <c r="R10" s="99" t="str">
        <f t="shared" si="0"/>
        <v/>
      </c>
      <c r="S10" s="99" t="str">
        <f t="shared" si="0"/>
        <v/>
      </c>
      <c r="T10" s="99"/>
    </row>
    <row r="11" spans="1:31" outlineLevel="1">
      <c r="C11" s="15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</row>
    <row r="12" spans="1:31" outlineLevel="1">
      <c r="C12" s="15" t="s">
        <v>147</v>
      </c>
      <c r="D12" s="65" t="s">
        <v>87</v>
      </c>
      <c r="E12" s="16" t="str">
        <f>'Input|Reported opex'!E57</f>
        <v>$millions</v>
      </c>
      <c r="F12" s="98" t="str">
        <f>'Input|Reported opex'!F57</f>
        <v>nominal</v>
      </c>
      <c r="J12" s="66">
        <f>IF(YEAR(J$4)=BaseYear,'Input|Reported opex'!J47,0)</f>
        <v>0</v>
      </c>
      <c r="K12" s="66">
        <f>IF(YEAR(K$4)=BaseYear,'Input|Reported opex'!K47,0)</f>
        <v>0</v>
      </c>
      <c r="L12" s="66">
        <f>IF(YEAR(L$4)=BaseYear,'Input|Reported opex'!L47,0)</f>
        <v>0</v>
      </c>
      <c r="M12" s="66">
        <f>IF(YEAR(M$4)=BaseYear,'Input|Reported opex'!M47,0)</f>
        <v>322.34973668000003</v>
      </c>
      <c r="N12" s="66">
        <f>IF(YEAR(N$4)=BaseYear,'Input|Reported opex'!N47,0)</f>
        <v>0</v>
      </c>
      <c r="O12" s="66">
        <f>IF(YEAR(O$4)=BaseYear,'Input|Reported opex'!O47,0)</f>
        <v>0</v>
      </c>
      <c r="P12" s="66">
        <f>IF(YEAR(P$4)=BaseYear,'Input|Reported opex'!P47,0)</f>
        <v>0</v>
      </c>
      <c r="Q12" s="66">
        <f>IF(YEAR(Q$4)=BaseYear,'Input|Reported opex'!Q47,0)</f>
        <v>0</v>
      </c>
      <c r="R12" s="66">
        <f>IF(YEAR(R$4)=BaseYear,'Input|Reported opex'!R47,0)</f>
        <v>0</v>
      </c>
      <c r="S12" s="66">
        <f>IF(YEAR(S$4)=BaseYear,'Input|Reported opex'!S47,0)</f>
        <v>0</v>
      </c>
      <c r="T12" s="66">
        <f>IF(YEAR(T$4)=BaseYear,'Input|Reported opex'!T47,0)</f>
        <v>0</v>
      </c>
    </row>
    <row r="13" spans="1:31" outlineLevel="1">
      <c r="C13" s="15" t="s">
        <v>147</v>
      </c>
      <c r="D13" s="16" t="s">
        <v>30</v>
      </c>
      <c r="E13" s="16" t="str">
        <f>$E$8</f>
        <v>$millions</v>
      </c>
      <c r="F13" s="98">
        <f>$F$8</f>
        <v>46174</v>
      </c>
      <c r="J13" s="66">
        <f ca="1">J12*IF($F12="nominal",LOOKUP($F13,Nominal_to_Real,'Input|Rate of change'!K$26:K$31),INDEX('Input|Rate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K13" s="66">
        <f ca="1">K12*IF($F12="nominal",LOOKUP($F13,Nominal_to_Real,'Input|Rate of change'!L$26:L$31),INDEX('Input|Rate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L13" s="66">
        <f ca="1">L12*IF($F12="nominal",LOOKUP($F13,Nominal_to_Real,'Input|Rate of change'!M$26:M$31),INDEX('Input|Rate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M13" s="66">
        <f ca="1">M12*IF($F12="nominal",LOOKUP($F13,Nominal_to_Real,'Input|Rate of change'!N$26:N$31),INDEX('Input|Rate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339.37920720201367</v>
      </c>
      <c r="N13" s="66">
        <f ca="1">N12*IF($F12="nominal",LOOKUP($F13,Nominal_to_Real,'Input|Rate of change'!O$26:O$31),INDEX('Input|Rate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O13" s="66">
        <f ca="1">O12*IF($F12="nominal",LOOKUP($F13,Nominal_to_Real,'Input|Rate of change'!P$26:P$31),INDEX('Input|Rate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P13" s="66">
        <f ca="1">P12*IF($F12="nominal",LOOKUP($F13,Nominal_to_Real,'Input|Rate of change'!Q$26:Q$31),INDEX('Input|Rate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Q13" s="66">
        <f ca="1">Q12*IF($F12="nominal",LOOKUP($F13,Nominal_to_Real,'Input|Rate of change'!R$26:R$31),INDEX('Input|Rate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R13" s="66">
        <f ca="1">R12*IF($F12="nominal",LOOKUP($F13,Nominal_to_Real,'Input|Rate of change'!S$26:S$31),INDEX('Input|Rate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S13" s="66">
        <f ca="1">S12*IF($F12="nominal",LOOKUP($F13,Nominal_to_Real,'Input|Rate of change'!T$26:T$31),INDEX('Input|Rate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T13" s="66">
        <f ca="1">T12*IF($F12="nominal",LOOKUP($F13,Nominal_to_Real,'Input|Rate of change'!U$26:U$31),INDEX('Input|Rate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</row>
    <row r="14" spans="1:31" outlineLevel="1">
      <c r="C14" s="15" t="s">
        <v>204</v>
      </c>
      <c r="D14" s="65" t="s">
        <v>87</v>
      </c>
      <c r="E14" s="16" t="str">
        <f>'Input|Reported opex'!E15</f>
        <v>$millions</v>
      </c>
      <c r="F14" s="98">
        <f>'Input|Reported opex'!F15</f>
        <v>44348</v>
      </c>
      <c r="J14" s="66">
        <f>IF(YEAR(J$4)=BaseYear,'Input|Reported opex'!J15,0)</f>
        <v>0</v>
      </c>
      <c r="K14" s="66">
        <f>IF(YEAR(K$4)=BaseYear,'Input|Reported opex'!K15,0)</f>
        <v>0</v>
      </c>
      <c r="L14" s="66">
        <f>IF(YEAR(L$4)=BaseYear,'Input|Reported opex'!L15,0)</f>
        <v>0</v>
      </c>
      <c r="M14" s="66">
        <f>IF(YEAR(M$4)=BaseYear,'Input|Reported opex'!M15,0)</f>
        <v>293.34347848527818</v>
      </c>
      <c r="N14" s="66">
        <f>IF(YEAR(N$4)=BaseYear,'Input|Reported opex'!N15,0)</f>
        <v>0</v>
      </c>
      <c r="O14" s="66">
        <f>IF(YEAR(O$4)=BaseYear,'Input|Reported opex'!O15,0)</f>
        <v>0</v>
      </c>
      <c r="P14" s="66">
        <f>IF(YEAR(P$4)=BaseYear,'Input|Reported opex'!P15,0)</f>
        <v>0</v>
      </c>
      <c r="Q14" s="66">
        <f>IF(YEAR(Q$4)=BaseYear,'Input|Reported opex'!Q15,0)</f>
        <v>0</v>
      </c>
      <c r="R14" s="66">
        <f>IF(YEAR(R$4)=BaseYear,'Input|Reported opex'!R15,0)</f>
        <v>0</v>
      </c>
      <c r="S14" s="66">
        <f>IF(YEAR(S$4)=BaseYear,'Input|Reported opex'!S15,0)</f>
        <v>0</v>
      </c>
      <c r="T14" s="66"/>
    </row>
    <row r="15" spans="1:31" outlineLevel="1">
      <c r="C15" s="15" t="s">
        <v>204</v>
      </c>
      <c r="D15" s="16" t="s">
        <v>30</v>
      </c>
      <c r="E15" s="16" t="str">
        <f>$E$8</f>
        <v>$millions</v>
      </c>
      <c r="F15" s="98">
        <f>$F$8</f>
        <v>46174</v>
      </c>
      <c r="J15" s="66">
        <f>J14*IF($F14="nominal",LOOKUP($F15,Nominal_to_Real,'Input|Rate of change'!K$26:K$32),INDEX('Input|Rate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K15" s="66">
        <f>K14*IF($F14="nominal",LOOKUP($F15,Nominal_to_Real,'Input|Rate of change'!L$26:L$32),INDEX('Input|Rate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L15" s="66">
        <f>L14*IF($F14="nominal",LOOKUP($F15,Nominal_to_Real,'Input|Rate of change'!M$26:M$32),INDEX('Input|Rate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M15" s="66">
        <f>M14*IF($F14="nominal",LOOKUP($F15,Nominal_to_Real,'Input|Rate of change'!N$26:N$32),INDEX('Input|Rate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364.58396699681145</v>
      </c>
      <c r="N15" s="66">
        <f>N14*IF($F14="nominal",LOOKUP($F15,Nominal_to_Real,'Input|Rate of change'!O$26:O$32),INDEX('Input|Rate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O15" s="66">
        <f>O14*IF($F14="nominal",LOOKUP($F15,Nominal_to_Real,'Input|Rate of change'!P$26:P$32),INDEX('Input|Rate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P15" s="66">
        <f>P14*IF($F14="nominal",LOOKUP($F15,Nominal_to_Real,'Input|Rate of change'!Q$26:Q$32),INDEX('Input|Rate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Q15" s="66">
        <f>Q14*IF($F14="nominal",LOOKUP($F15,Nominal_to_Real,'Input|Rate of change'!R$26:R$32),INDEX('Input|Rate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R15" s="66">
        <f>R14*IF($F14="nominal",LOOKUP($F15,Nominal_to_Real,'Input|Rate of change'!S$26:S$32),INDEX('Input|Rate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S15" s="66">
        <f>S14*IF($F14="nominal",LOOKUP($F15,Nominal_to_Real,'Input|Rate of change'!T$26:T$32),INDEX('Input|Rate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T15" s="66">
        <f>T14*IF($F14="nominal",LOOKUP($F15,Nominal_to_Real,'Input|Rate of change'!U$26:U$32),INDEX('Input|Rate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</row>
    <row r="16" spans="1:31" outlineLevel="1">
      <c r="C16" s="15" t="s">
        <v>205</v>
      </c>
      <c r="D16" s="65" t="s">
        <v>87</v>
      </c>
      <c r="E16" s="16" t="str">
        <f>'Input|Reported opex'!E15</f>
        <v>$millions</v>
      </c>
      <c r="F16" s="98">
        <f>'Input|Reported opex'!F15</f>
        <v>44348</v>
      </c>
      <c r="J16" s="66">
        <f>IF(YEAR(J$4)=PPLastYear,'Input|Reported opex'!J15,0)</f>
        <v>0</v>
      </c>
      <c r="K16" s="66">
        <f>IF(YEAR(K$4)=PPLastYear,'Input|Reported opex'!K15,0)</f>
        <v>0</v>
      </c>
      <c r="L16" s="66">
        <f>IF(YEAR(L$4)=PPLastYear,'Input|Reported opex'!L15,0)</f>
        <v>0</v>
      </c>
      <c r="M16" s="66">
        <f>IF(YEAR(M$4)=PPLastYear,'Input|Reported opex'!M15,0)</f>
        <v>0</v>
      </c>
      <c r="N16" s="66">
        <f>IF(YEAR(N$4)=PPLastYear,'Input|Reported opex'!N15,0)</f>
        <v>299.86936699450672</v>
      </c>
      <c r="O16" s="66">
        <f>IF(YEAR(O$4)=PPLastYear,'Input|Reported opex'!O15,0)</f>
        <v>0</v>
      </c>
      <c r="P16" s="66">
        <f>IF(YEAR(P$4)=PPLastYear,'Input|Reported opex'!P15,0)</f>
        <v>0</v>
      </c>
      <c r="Q16" s="66">
        <f>IF(YEAR(Q$4)=PPLastYear,'Input|Reported opex'!Q15,0)</f>
        <v>0</v>
      </c>
      <c r="R16" s="66">
        <f>IF(YEAR(R$4)=PPLastYear,'Input|Reported opex'!R15,0)</f>
        <v>0</v>
      </c>
      <c r="S16" s="66">
        <f>IF(YEAR(S$4)=PPLastYear,'Input|Reported opex'!S15,0)</f>
        <v>0</v>
      </c>
      <c r="T16" s="66"/>
    </row>
    <row r="17" spans="3:20" outlineLevel="1">
      <c r="C17" s="15" t="s">
        <v>205</v>
      </c>
      <c r="D17" s="16" t="s">
        <v>30</v>
      </c>
      <c r="E17" s="16" t="str">
        <f>$E$8</f>
        <v>$millions</v>
      </c>
      <c r="F17" s="98">
        <f>$F$8</f>
        <v>46174</v>
      </c>
      <c r="J17" s="66">
        <f>J16*IF($F16="nominal",LOOKUP($F17,Nominal_to_Real,'Input|Rate of change'!K$26:K$32),INDEX('Input|Rate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K17" s="66">
        <f>K16*IF($F16="nominal",LOOKUP($F17,Nominal_to_Real,'Input|Rate of change'!L$26:L$32),INDEX('Input|Rate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L17" s="66">
        <f>L16*IF($F16="nominal",LOOKUP($F17,Nominal_to_Real,'Input|Rate of change'!M$26:M$32),INDEX('Input|Rate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M17" s="66">
        <f>M16*IF($F16="nominal",LOOKUP($F17,Nominal_to_Real,'Input|Rate of change'!N$26:N$32),INDEX('Input|Rate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N17" s="66">
        <f>N16*IF($F16="nominal",LOOKUP($F17,Nominal_to_Real,'Input|Rate of change'!O$26:O$32),INDEX('Input|Rate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372.69471257451772</v>
      </c>
      <c r="O17" s="66">
        <f>O16*IF($F16="nominal",LOOKUP($F17,Nominal_to_Real,'Input|Rate of change'!P$26:P$32),INDEX('Input|Rate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P17" s="66">
        <f>P16*IF($F16="nominal",LOOKUP($F17,Nominal_to_Real,'Input|Rate of change'!Q$26:Q$32),INDEX('Input|Rate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Q17" s="66">
        <f>Q16*IF($F16="nominal",LOOKUP($F17,Nominal_to_Real,'Input|Rate of change'!R$26:R$32),INDEX('Input|Rate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R17" s="66">
        <f>R16*IF($F16="nominal",LOOKUP($F17,Nominal_to_Real,'Input|Rate of change'!S$26:S$32),INDEX('Input|Rate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S17" s="66">
        <f>S16*IF($F16="nominal",LOOKUP($F17,Nominal_to_Real,'Input|Rate of change'!T$26:T$32),INDEX('Input|Rate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T17" s="66">
        <f>T16*IF($F16="nominal",LOOKUP($F17,Nominal_to_Real,'Input|Rate of change'!U$26:U$32),INDEX('Input|Rate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</row>
    <row r="18" spans="3:20" outlineLevel="1">
      <c r="C18" s="15"/>
      <c r="F18" s="98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</row>
    <row r="19" spans="3:20" outlineLevel="1">
      <c r="C19" s="15" t="s">
        <v>148</v>
      </c>
      <c r="D19" s="65" t="s">
        <v>87</v>
      </c>
      <c r="E19" s="16" t="str">
        <f>'Input|Reported opex'!E64</f>
        <v>$millions</v>
      </c>
      <c r="F19" s="98" t="str">
        <f>'Input|Reported opex'!F57</f>
        <v>nominal</v>
      </c>
      <c r="J19" s="66">
        <f>IF(YEAR(J$4)=BaseYear,'Input|Reported opex'!J57,0)</f>
        <v>0</v>
      </c>
      <c r="K19" s="66">
        <f>IF(YEAR(K$4)=BaseYear,'Input|Reported opex'!K57,0)</f>
        <v>0</v>
      </c>
      <c r="L19" s="66">
        <f>IF(YEAR(L$4)=BaseYear,'Input|Reported opex'!L57,0)</f>
        <v>0</v>
      </c>
      <c r="M19" s="66">
        <f>IF(YEAR(M$4)=BaseYear,'Input|Reported opex'!M57,0)</f>
        <v>1.6951350000000001</v>
      </c>
      <c r="N19" s="66">
        <f>IF(YEAR(N$4)=BaseYear,'Input|Reported opex'!N57,0)</f>
        <v>0</v>
      </c>
      <c r="O19" s="66">
        <f>IF(YEAR(O$4)=BaseYear,'Input|Reported opex'!O57,0)</f>
        <v>0</v>
      </c>
      <c r="P19" s="66">
        <f>IF(YEAR(P$4)=BaseYear,'Input|Reported opex'!P57,0)</f>
        <v>0</v>
      </c>
      <c r="Q19" s="66">
        <f>IF(YEAR(Q$4)=BaseYear,'Input|Reported opex'!Q57,0)</f>
        <v>0</v>
      </c>
      <c r="R19" s="66">
        <f>IF(YEAR(R$4)=BaseYear,'Input|Reported opex'!R57,0)</f>
        <v>0</v>
      </c>
      <c r="S19" s="66">
        <f>IF(YEAR(S$4)=BaseYear,'Input|Reported opex'!S57,0)</f>
        <v>0</v>
      </c>
      <c r="T19" s="66"/>
    </row>
    <row r="20" spans="3:20" outlineLevel="1">
      <c r="C20" s="15" t="s">
        <v>148</v>
      </c>
      <c r="D20" s="16" t="s">
        <v>30</v>
      </c>
      <c r="E20" s="16" t="str">
        <f>$E$8</f>
        <v>$millions</v>
      </c>
      <c r="F20" s="98">
        <f>$F$8</f>
        <v>46174</v>
      </c>
      <c r="J20" s="66">
        <f>J19*IF($F19="nominal",LOOKUP($F20,Nominal_to_Real,'Input|Rate of change'!K$26:K$32),INDEX('Input|Rate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K20" s="66">
        <f>K19*IF($F19="nominal",LOOKUP($F20,Nominal_to_Real,'Input|Rate of change'!L$26:L$32),INDEX('Input|Rate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L20" s="66">
        <f>L19*IF($F19="nominal",LOOKUP($F20,Nominal_to_Real,'Input|Rate of change'!M$26:M$32),INDEX('Input|Rate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M20" s="66">
        <f>M19*IF($F19="nominal",LOOKUP($F20,Nominal_to_Real,'Input|Rate of change'!N$26:N$32),INDEX('Input|Rate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1.7846875828891571</v>
      </c>
      <c r="N20" s="66">
        <f>N19*IF($F19="nominal",LOOKUP($F20,Nominal_to_Real,'Input|Rate of change'!O$26:O$32),INDEX('Input|Rate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O20" s="66">
        <f>O19*IF($F19="nominal",LOOKUP($F20,Nominal_to_Real,'Input|Rate of change'!P$26:P$32),INDEX('Input|Rate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P20" s="66">
        <f>P19*IF($F19="nominal",LOOKUP($F20,Nominal_to_Real,'Input|Rate of change'!Q$26:Q$32),INDEX('Input|Rate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Q20" s="66">
        <f>Q19*IF($F19="nominal",LOOKUP($F20,Nominal_to_Real,'Input|Rate of change'!R$26:R$32),INDEX('Input|Rate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R20" s="66">
        <f>R19*IF($F19="nominal",LOOKUP($F20,Nominal_to_Real,'Input|Rate of change'!S$26:S$32),INDEX('Input|Rate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S20" s="66">
        <f>S19*IF($F19="nominal",LOOKUP($F20,Nominal_to_Real,'Input|Rate of change'!T$26:T$32),INDEX('Input|Rate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T20" s="66">
        <f>T19*IF($F19="nominal",LOOKUP($F20,Nominal_to_Real,'Input|Rate of change'!U$26:U$32),INDEX('Input|Rate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</row>
    <row r="21" spans="3:20" outlineLevel="1">
      <c r="C21" s="15" t="s">
        <v>206</v>
      </c>
      <c r="D21" s="65" t="s">
        <v>87</v>
      </c>
      <c r="E21" s="16" t="str">
        <f>'Input|Reported opex'!E22</f>
        <v>$millions</v>
      </c>
      <c r="F21" s="98">
        <f>'Input|Reported opex'!F29</f>
        <v>44348</v>
      </c>
      <c r="J21" s="66">
        <f>IF(YEAR(J$4)=BaseYear,'Input|Reported opex'!J29,0)</f>
        <v>0</v>
      </c>
      <c r="K21" s="66">
        <f>IF(YEAR(K$4)=BaseYear,'Input|Reported opex'!K29,0)</f>
        <v>0</v>
      </c>
      <c r="L21" s="66">
        <f>IF(YEAR(L$4)=BaseYear,'Input|Reported opex'!L29,0)</f>
        <v>0</v>
      </c>
      <c r="M21" s="66">
        <f>IF(YEAR(M$4)=BaseYear,'Input|Reported opex'!M29,0)</f>
        <v>5.2754029207773101</v>
      </c>
      <c r="N21" s="66">
        <f>IF(YEAR(N$4)=BaseYear,'Input|Reported opex'!N29,0)</f>
        <v>0</v>
      </c>
      <c r="O21" s="66">
        <f>IF(YEAR(O$4)=BaseYear,'Input|Reported opex'!O29,0)</f>
        <v>0</v>
      </c>
      <c r="P21" s="66">
        <f>IF(YEAR(P$4)=BaseYear,'Input|Reported opex'!P29,0)</f>
        <v>0</v>
      </c>
      <c r="Q21" s="66">
        <f>IF(YEAR(Q$4)=BaseYear,'Input|Reported opex'!Q29,0)</f>
        <v>0</v>
      </c>
      <c r="R21" s="66">
        <f>IF(YEAR(R$4)=BaseYear,'Input|Reported opex'!R29,0)</f>
        <v>0</v>
      </c>
      <c r="S21" s="66">
        <f>IF(YEAR(S$4)=BaseYear,'Input|Reported opex'!S29,0)</f>
        <v>0</v>
      </c>
      <c r="T21" s="66"/>
    </row>
    <row r="22" spans="3:20" outlineLevel="1">
      <c r="C22" s="15" t="s">
        <v>206</v>
      </c>
      <c r="D22" s="16" t="s">
        <v>30</v>
      </c>
      <c r="E22" s="16" t="str">
        <f>$E$8</f>
        <v>$millions</v>
      </c>
      <c r="F22" s="98">
        <f>$F$8</f>
        <v>46174</v>
      </c>
      <c r="J22" s="66">
        <f>J21*IF($F21="nominal",LOOKUP($F22,Nominal_to_Real,'Input|Rate of change'!K$26:K$32),INDEX('Input|Rate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K22" s="66">
        <f>K21*IF($F21="nominal",LOOKUP($F22,Nominal_to_Real,'Input|Rate of change'!L$26:L$32),INDEX('Input|Rate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L22" s="66">
        <f>L21*IF($F21="nominal",LOOKUP($F22,Nominal_to_Real,'Input|Rate of change'!M$26:M$32),INDEX('Input|Rate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M22" s="66">
        <f>M21*IF($F21="nominal",LOOKUP($F22,Nominal_to_Real,'Input|Rate of change'!N$26:N$32),INDEX('Input|Rate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6.5565709328018427</v>
      </c>
      <c r="N22" s="66">
        <f>N21*IF($F21="nominal",LOOKUP($F22,Nominal_to_Real,'Input|Rate of change'!O$26:O$32),INDEX('Input|Rate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O22" s="66">
        <f>O21*IF($F21="nominal",LOOKUP($F22,Nominal_to_Real,'Input|Rate of change'!P$26:P$32),INDEX('Input|Rate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P22" s="66">
        <f>P21*IF($F21="nominal",LOOKUP($F22,Nominal_to_Real,'Input|Rate of change'!Q$26:Q$32),INDEX('Input|Rate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Q22" s="66">
        <f>Q21*IF($F21="nominal",LOOKUP($F22,Nominal_to_Real,'Input|Rate of change'!R$26:R$32),INDEX('Input|Rate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R22" s="66">
        <f>R21*IF($F21="nominal",LOOKUP($F22,Nominal_to_Real,'Input|Rate of change'!S$26:S$32),INDEX('Input|Rate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S22" s="66">
        <f>S21*IF($F21="nominal",LOOKUP($F22,Nominal_to_Real,'Input|Rate of change'!T$26:T$32),INDEX('Input|Rate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T22" s="66">
        <f>T21*IF($F21="nominal",LOOKUP($F22,Nominal_to_Real,'Input|Rate of change'!U$26:U$32),INDEX('Input|Rate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</row>
    <row r="23" spans="3:20" outlineLevel="1">
      <c r="C23" s="15" t="s">
        <v>207</v>
      </c>
      <c r="D23" s="65" t="s">
        <v>87</v>
      </c>
      <c r="E23" s="16" t="str">
        <f>'Input|Reported opex'!E22</f>
        <v>$millions</v>
      </c>
      <c r="F23" s="98">
        <f>'Input|Reported opex'!F29</f>
        <v>44348</v>
      </c>
      <c r="J23" s="66">
        <f>IF(YEAR(J$4)=PPLastYear,'Input|Reported opex'!J29,0)</f>
        <v>0</v>
      </c>
      <c r="K23" s="66">
        <f>IF(YEAR(K$4)=PPLastYear,'Input|Reported opex'!K29,0)</f>
        <v>0</v>
      </c>
      <c r="L23" s="66">
        <f>IF(YEAR(L$4)=PPLastYear,'Input|Reported opex'!L29,0)</f>
        <v>0</v>
      </c>
      <c r="M23" s="66">
        <f>IF(YEAR(M$4)=PPLastYear,'Input|Reported opex'!M29,0)</f>
        <v>0</v>
      </c>
      <c r="N23" s="66">
        <f>IF(YEAR(N$4)=PPLastYear,'Input|Reported opex'!N29,0)</f>
        <v>5.3078770471930898</v>
      </c>
      <c r="O23" s="66">
        <f>IF(YEAR(O$4)=PPLastYear,'Input|Reported opex'!O29,0)</f>
        <v>0</v>
      </c>
      <c r="P23" s="66">
        <f>IF(YEAR(P$4)=PPLastYear,'Input|Reported opex'!P29,0)</f>
        <v>0</v>
      </c>
      <c r="Q23" s="66">
        <f>IF(YEAR(Q$4)=PPLastYear,'Input|Reported opex'!Q29,0)</f>
        <v>0</v>
      </c>
      <c r="R23" s="66">
        <f>IF(YEAR(R$4)=PPLastYear,'Input|Reported opex'!R29,0)</f>
        <v>0</v>
      </c>
      <c r="S23" s="66">
        <f>IF(YEAR(S$4)=PPLastYear,'Input|Reported opex'!S29,0)</f>
        <v>0</v>
      </c>
      <c r="T23" s="66"/>
    </row>
    <row r="24" spans="3:20" outlineLevel="1">
      <c r="C24" s="15" t="s">
        <v>207</v>
      </c>
      <c r="D24" s="16" t="s">
        <v>30</v>
      </c>
      <c r="E24" s="16" t="str">
        <f>$E$8</f>
        <v>$millions</v>
      </c>
      <c r="F24" s="98">
        <f>$F$8</f>
        <v>46174</v>
      </c>
      <c r="J24" s="66">
        <f>J23*IF($F23="nominal",LOOKUP($F24,Nominal_to_Real,'Input|Rate of change'!K$26:K$32),INDEX('Input|Rate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K24" s="66">
        <f>K23*IF($F23="nominal",LOOKUP($F24,Nominal_to_Real,'Input|Rate of change'!L$26:L$32),INDEX('Input|Rate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L24" s="66">
        <f>L23*IF($F23="nominal",LOOKUP($F24,Nominal_to_Real,'Input|Rate of change'!M$26:M$32),INDEX('Input|Rate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M24" s="66">
        <f>M23*IF($F23="nominal",LOOKUP($F24,Nominal_to_Real,'Input|Rate of change'!N$26:N$32),INDEX('Input|Rate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N24" s="66">
        <f>N23*IF($F23="nominal",LOOKUP($F24,Nominal_to_Real,'Input|Rate of change'!O$26:O$32),INDEX('Input|Rate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6.5969316249657046</v>
      </c>
      <c r="O24" s="66">
        <f>O23*IF($F23="nominal",LOOKUP($F24,Nominal_to_Real,'Input|Rate of change'!P$26:P$32),INDEX('Input|Rate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P24" s="66">
        <f>P23*IF($F23="nominal",LOOKUP($F24,Nominal_to_Real,'Input|Rate of change'!Q$26:Q$32),INDEX('Input|Rate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Q24" s="66">
        <f>Q23*IF($F23="nominal",LOOKUP($F24,Nominal_to_Real,'Input|Rate of change'!R$26:R$32),INDEX('Input|Rate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R24" s="66">
        <f>R23*IF($F23="nominal",LOOKUP($F24,Nominal_to_Real,'Input|Rate of change'!S$26:S$32),INDEX('Input|Rate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S24" s="66">
        <f>S23*IF($F23="nominal",LOOKUP($F24,Nominal_to_Real,'Input|Rate of change'!T$26:T$32),INDEX('Input|Rate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T24" s="66">
        <f>T23*IF($F23="nominal",LOOKUP($F24,Nominal_to_Real,'Input|Rate of change'!U$26:U$32),INDEX('Input|Rate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</row>
    <row r="25" spans="3:20" outlineLevel="1">
      <c r="C25" s="15"/>
      <c r="F25" s="67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</row>
    <row r="26" spans="3:20" outlineLevel="1">
      <c r="C26" s="68" t="s">
        <v>126</v>
      </c>
      <c r="D26" s="69" t="s">
        <v>30</v>
      </c>
      <c r="E26" s="69" t="str">
        <f>$E$8</f>
        <v>$millions</v>
      </c>
      <c r="F26" s="98">
        <f>$F$8</f>
        <v>46174</v>
      </c>
      <c r="J26" s="70">
        <f ca="1">J13</f>
        <v>0</v>
      </c>
      <c r="K26" s="70">
        <f t="shared" ref="K26:S26" ca="1" si="1">K13</f>
        <v>0</v>
      </c>
      <c r="L26" s="70">
        <f t="shared" ca="1" si="1"/>
        <v>0</v>
      </c>
      <c r="M26" s="70">
        <f t="shared" ca="1" si="1"/>
        <v>339.37920720201367</v>
      </c>
      <c r="N26" s="70">
        <f t="shared" ca="1" si="1"/>
        <v>0</v>
      </c>
      <c r="O26" s="70">
        <f t="shared" ca="1" si="1"/>
        <v>0</v>
      </c>
      <c r="P26" s="70">
        <f t="shared" ca="1" si="1"/>
        <v>0</v>
      </c>
      <c r="Q26" s="70">
        <f t="shared" ca="1" si="1"/>
        <v>0</v>
      </c>
      <c r="R26" s="70">
        <f t="shared" ca="1" si="1"/>
        <v>0</v>
      </c>
      <c r="S26" s="70">
        <f t="shared" ca="1" si="1"/>
        <v>0</v>
      </c>
      <c r="T26" s="70"/>
    </row>
    <row r="27" spans="3:20" outlineLevel="1">
      <c r="C27" s="77"/>
      <c r="F27" s="98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</row>
    <row r="28" spans="3:20" outlineLevel="1">
      <c r="C28" s="77" t="s">
        <v>146</v>
      </c>
      <c r="D28" s="65" t="s">
        <v>87</v>
      </c>
      <c r="E28" s="16" t="str">
        <f>'Input|Reported opex'!E69</f>
        <v>$millions</v>
      </c>
      <c r="F28" s="98">
        <f>'Input|Reported opex'!F69</f>
        <v>46174</v>
      </c>
      <c r="J28" s="70">
        <f>IF('Input|Reported opex'!J$61='Input|Reported opex'!J$10,'Input|Reported opex'!J69,0)</f>
        <v>0</v>
      </c>
      <c r="K28" s="70">
        <f>IF('Input|Reported opex'!K$61='Input|Reported opex'!K$10,'Input|Reported opex'!K69,0)</f>
        <v>0</v>
      </c>
      <c r="L28" s="70">
        <f>IF('Input|Reported opex'!L$61='Input|Reported opex'!L$10,'Input|Reported opex'!L69,0)</f>
        <v>0</v>
      </c>
      <c r="M28" s="70">
        <f>IF('Input|Reported opex'!M$61='Input|Reported opex'!M$10,'Input|Reported opex'!M69,0)</f>
        <v>0</v>
      </c>
      <c r="N28" s="70">
        <f>IF('Input|Reported opex'!N$61='Input|Reported opex'!N$10,'Input|Reported opex'!N69,0)</f>
        <v>0</v>
      </c>
      <c r="O28" s="70">
        <f>IF('Input|Reported opex'!O$61='Input|Reported opex'!O$10,'Input|Reported opex'!O69,0)</f>
        <v>0</v>
      </c>
      <c r="P28" s="70">
        <f>IF('Input|Reported opex'!P$61='Input|Reported opex'!P$10,'Input|Reported opex'!P69,0)</f>
        <v>0</v>
      </c>
      <c r="Q28" s="70">
        <f>IF('Input|Reported opex'!Q$61='Input|Reported opex'!Q$10,'Input|Reported opex'!Q69,0)</f>
        <v>0</v>
      </c>
      <c r="R28" s="70">
        <f>IF('Input|Reported opex'!R$61='Input|Reported opex'!R$10,'Input|Reported opex'!R69,0)</f>
        <v>0</v>
      </c>
      <c r="S28" s="70">
        <f>IF('Input|Reported opex'!S$61='Input|Reported opex'!S$10,'Input|Reported opex'!S69,0)</f>
        <v>0</v>
      </c>
      <c r="T28" s="70"/>
    </row>
    <row r="29" spans="3:20" outlineLevel="1">
      <c r="C29" s="77" t="str">
        <f>C28</f>
        <v>Add back non-recurrent efficiency gains in the base year</v>
      </c>
      <c r="D29" s="16" t="s">
        <v>30</v>
      </c>
      <c r="E29" s="16" t="str">
        <f>$E$8</f>
        <v>$millions</v>
      </c>
      <c r="F29" s="98">
        <f>$F$8</f>
        <v>46174</v>
      </c>
      <c r="J29" s="70">
        <f>J28*IF($F28="nominal",LOOKUP($F29,Nominal_to_Real,'Input|Rate of change'!K$26:K$32),INDEX('Input|Rate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K29" s="70">
        <f>K28*IF($F28="nominal",LOOKUP($F29,Nominal_to_Real,'Input|Rate of change'!L$26:L$32),INDEX('Input|Rate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L29" s="70">
        <f>L28*IF($F28="nominal",LOOKUP($F29,Nominal_to_Real,'Input|Rate of change'!M$26:M$32),INDEX('Input|Rate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M29" s="70">
        <f>M28*IF($F28="nominal",LOOKUP($F29,Nominal_to_Real,'Input|Rate of change'!N$26:N$32),INDEX('Input|Rate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N29" s="70">
        <f>N28*IF($F28="nominal",LOOKUP($F29,Nominal_to_Real,'Input|Rate of change'!O$26:O$32),INDEX('Input|Rate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O29" s="70">
        <f>O28*IF($F28="nominal",LOOKUP($F29,Nominal_to_Real,'Input|Rate of change'!P$26:P$32),INDEX('Input|Rate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P29" s="70">
        <f>P28*IF($F28="nominal",LOOKUP($F29,Nominal_to_Real,'Input|Rate of change'!Q$26:Q$32),INDEX('Input|Rate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Q29" s="70">
        <f>Q28*IF($F28="nominal",LOOKUP($F29,Nominal_to_Real,'Input|Rate of change'!R$26:R$32),INDEX('Input|Rate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R29" s="70">
        <f>R28*IF($F28="nominal",LOOKUP($F29,Nominal_to_Real,'Input|Rate of change'!S$26:S$32),INDEX('Input|Rate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S29" s="70">
        <f>S28*IF($F28="nominal",LOOKUP($F29,Nominal_to_Real,'Input|Rate of change'!T$26:T$32),INDEX('Input|Rate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T29" s="70">
        <f>T28*IF($F28="nominal",LOOKUP($F29,Nominal_to_Real,'Input|Rate of change'!U$26:U$32),INDEX('Input|Rate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</row>
    <row r="30" spans="3:20" outlineLevel="1">
      <c r="C30" s="77"/>
      <c r="F30" s="98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</row>
    <row r="31" spans="3:20" outlineLevel="1">
      <c r="C31" s="77" t="s">
        <v>144</v>
      </c>
      <c r="D31" s="16" t="s">
        <v>30</v>
      </c>
      <c r="E31" s="16" t="str">
        <f>$E$8</f>
        <v>$millions</v>
      </c>
      <c r="F31" s="98">
        <f>$F$8</f>
        <v>46174</v>
      </c>
      <c r="J31" s="70">
        <f t="shared" ref="J31:S31" si="2">IF(YEAR(J$4)=PPLastYear,-SUM($J15:$S15)+SUM($J17:$S17),0)</f>
        <v>0</v>
      </c>
      <c r="K31" s="70">
        <f t="shared" si="2"/>
        <v>0</v>
      </c>
      <c r="L31" s="70">
        <f t="shared" si="2"/>
        <v>0</v>
      </c>
      <c r="M31" s="70">
        <f t="shared" si="2"/>
        <v>0</v>
      </c>
      <c r="N31" s="70">
        <f t="shared" si="2"/>
        <v>8.1107455777062683</v>
      </c>
      <c r="O31" s="70">
        <f t="shared" si="2"/>
        <v>0</v>
      </c>
      <c r="P31" s="70">
        <f t="shared" si="2"/>
        <v>0</v>
      </c>
      <c r="Q31" s="70">
        <f t="shared" si="2"/>
        <v>0</v>
      </c>
      <c r="R31" s="70">
        <f t="shared" si="2"/>
        <v>0</v>
      </c>
      <c r="S31" s="70">
        <f t="shared" si="2"/>
        <v>0</v>
      </c>
      <c r="T31" s="70"/>
    </row>
    <row r="32" spans="3:20" outlineLevel="1">
      <c r="C32" s="77"/>
      <c r="F32" s="98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</row>
    <row r="33" spans="3:20" outlineLevel="1">
      <c r="C33" s="77" t="s">
        <v>99</v>
      </c>
      <c r="D33" s="16" t="s">
        <v>30</v>
      </c>
      <c r="E33" s="16" t="str">
        <f>$E$8</f>
        <v>$millions</v>
      </c>
      <c r="F33" s="98">
        <f>$F$8</f>
        <v>46174</v>
      </c>
      <c r="J33" s="70">
        <f t="shared" ref="J33:S33" si="3">IF(YEAR(J$4)=PPLastYear,SUM($J26:$S26,$J29:$S29,$J31:$S31),0)</f>
        <v>0</v>
      </c>
      <c r="K33" s="70">
        <f t="shared" si="3"/>
        <v>0</v>
      </c>
      <c r="L33" s="70">
        <f t="shared" si="3"/>
        <v>0</v>
      </c>
      <c r="M33" s="70">
        <f t="shared" si="3"/>
        <v>0</v>
      </c>
      <c r="N33" s="70">
        <f t="shared" ca="1" si="3"/>
        <v>347.48995277971994</v>
      </c>
      <c r="O33" s="70">
        <f t="shared" si="3"/>
        <v>0</v>
      </c>
      <c r="P33" s="70">
        <f t="shared" si="3"/>
        <v>0</v>
      </c>
      <c r="Q33" s="70">
        <f t="shared" si="3"/>
        <v>0</v>
      </c>
      <c r="R33" s="70">
        <f t="shared" si="3"/>
        <v>0</v>
      </c>
      <c r="S33" s="70">
        <f t="shared" si="3"/>
        <v>0</v>
      </c>
      <c r="T33" s="70"/>
    </row>
    <row r="34" spans="3:20" outlineLevel="1">
      <c r="C34" s="77"/>
      <c r="F34" s="98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</row>
    <row r="35" spans="3:20" outlineLevel="1">
      <c r="C35" s="77" t="s">
        <v>149</v>
      </c>
      <c r="D35" s="16" t="s">
        <v>30</v>
      </c>
      <c r="E35" s="16" t="str">
        <f>$E$8</f>
        <v>$millions</v>
      </c>
      <c r="F35" s="98">
        <f>$F$8</f>
        <v>46174</v>
      </c>
      <c r="J35" s="70">
        <f t="shared" ref="J35:S35" si="4">IF(YEAR(J$4)=PPLastYear,-(SUM($J20:$S20)-SUM($J22:$S22)+SUM($J24:$S24)),0)</f>
        <v>0</v>
      </c>
      <c r="K35" s="70">
        <f t="shared" si="4"/>
        <v>0</v>
      </c>
      <c r="L35" s="70">
        <f t="shared" si="4"/>
        <v>0</v>
      </c>
      <c r="M35" s="70">
        <f t="shared" si="4"/>
        <v>0</v>
      </c>
      <c r="N35" s="70">
        <f t="shared" si="4"/>
        <v>-1.8250482750530193</v>
      </c>
      <c r="O35" s="70">
        <f t="shared" si="4"/>
        <v>0</v>
      </c>
      <c r="P35" s="70">
        <f t="shared" si="4"/>
        <v>0</v>
      </c>
      <c r="Q35" s="70">
        <f t="shared" si="4"/>
        <v>0</v>
      </c>
      <c r="R35" s="70">
        <f t="shared" si="4"/>
        <v>0</v>
      </c>
      <c r="S35" s="70">
        <f t="shared" si="4"/>
        <v>0</v>
      </c>
      <c r="T35" s="70"/>
    </row>
    <row r="36" spans="3:20" outlineLevel="1">
      <c r="C36" s="77"/>
      <c r="F36" s="98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</row>
    <row r="37" spans="3:20" outlineLevel="1">
      <c r="C37" s="77" t="str">
        <f>'Input|Reported opex'!$C$63</f>
        <v>Licence fee</v>
      </c>
      <c r="D37" s="65" t="s">
        <v>87</v>
      </c>
      <c r="E37" s="16" t="str">
        <f>'Input|Reported opex'!E63</f>
        <v>$millions</v>
      </c>
      <c r="F37" s="98">
        <f>'Input|Reported opex'!F63</f>
        <v>46174</v>
      </c>
      <c r="J37" s="66">
        <f>IF(YEAR(J$4)=PPLastYear,'Input|Reported opex'!J63,0)</f>
        <v>0</v>
      </c>
      <c r="K37" s="66">
        <f>IF(YEAR(K$4)=PPLastYear,'Input|Reported opex'!K63,0)</f>
        <v>0</v>
      </c>
      <c r="L37" s="66">
        <f>IF(YEAR(L$4)=PPLastYear,'Input|Reported opex'!L63,0)</f>
        <v>0</v>
      </c>
      <c r="M37" s="66">
        <f>IF(YEAR(M$4)=PPLastYear,'Input|Reported opex'!M63,0)</f>
        <v>0</v>
      </c>
      <c r="N37" s="66">
        <f>IF(YEAR(N$4)=PPLastYear,'Input|Reported opex'!N63,0)</f>
        <v>-0.94307039805042392</v>
      </c>
      <c r="O37" s="66">
        <f>IF(YEAR(O$4)=PPLastYear,'Input|Reported opex'!O63,0)</f>
        <v>0</v>
      </c>
      <c r="P37" s="66">
        <f>IF(YEAR(P$4)=PPLastYear,'Input|Reported opex'!P63,0)</f>
        <v>0</v>
      </c>
      <c r="Q37" s="66">
        <f>IF(YEAR(Q$4)=PPLastYear,'Input|Reported opex'!Q63,0)</f>
        <v>0</v>
      </c>
      <c r="R37" s="66">
        <f>IF(YEAR(R$4)=PPLastYear,'Input|Reported opex'!R63,0)</f>
        <v>0</v>
      </c>
      <c r="S37" s="66">
        <f>IF(YEAR(S$4)=PPLastYear,'Input|Reported opex'!S63,0)</f>
        <v>0</v>
      </c>
      <c r="T37" s="66"/>
    </row>
    <row r="38" spans="3:20" outlineLevel="1">
      <c r="C38" s="77" t="str">
        <f>C37</f>
        <v>Licence fee</v>
      </c>
      <c r="D38" s="16" t="s">
        <v>30</v>
      </c>
      <c r="E38" s="16" t="str">
        <f>$E$8</f>
        <v>$millions</v>
      </c>
      <c r="F38" s="98">
        <f>$F$8</f>
        <v>46174</v>
      </c>
      <c r="J38" s="70">
        <f>J37*IF($F37="nominal",LOOKUP($F38,Nominal_to_Real,'Input|Rate of change'!K$26:K$32),INDEX('Input|Rate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K38" s="70">
        <f>K37*IF($F37="nominal",LOOKUP($F38,Nominal_to_Real,'Input|Rate of change'!L$26:L$32),INDEX('Input|Rate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L38" s="70">
        <f>L37*IF($F37="nominal",LOOKUP($F38,Nominal_to_Real,'Input|Rate of change'!M$26:M$32),INDEX('Input|Rate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M38" s="70">
        <f>M37*IF($F37="nominal",LOOKUP($F38,Nominal_to_Real,'Input|Rate of change'!N$26:N$32),INDEX('Input|Rate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N38" s="70">
        <f>N37*IF($F37="nominal",LOOKUP($F38,Nominal_to_Real,'Input|Rate of change'!O$26:O$32),INDEX('Input|Rate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-0.94307039805042392</v>
      </c>
      <c r="O38" s="70">
        <f>O37*IF($F37="nominal",LOOKUP($F38,Nominal_to_Real,'Input|Rate of change'!P$26:P$32),INDEX('Input|Rate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P38" s="70">
        <f>P37*IF($F37="nominal",LOOKUP($F38,Nominal_to_Real,'Input|Rate of change'!Q$26:Q$32),INDEX('Input|Rate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Q38" s="70">
        <f>Q37*IF($F37="nominal",LOOKUP($F38,Nominal_to_Real,'Input|Rate of change'!R$26:R$32),INDEX('Input|Rate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R38" s="70">
        <f>R37*IF($F37="nominal",LOOKUP($F38,Nominal_to_Real,'Input|Rate of change'!S$26:S$32),INDEX('Input|Rate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S38" s="70">
        <f>S37*IF($F37="nominal",LOOKUP($F38,Nominal_to_Real,'Input|Rate of change'!T$26:T$32),INDEX('Input|Rate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T38" s="70">
        <f>T37*IF($F37="nominal",LOOKUP($F38,Nominal_to_Real,'Input|Rate of change'!U$26:U$32),INDEX('Input|Rate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</row>
    <row r="39" spans="3:20" outlineLevel="1">
      <c r="C39" s="77"/>
      <c r="F39" s="98"/>
      <c r="J39" s="70"/>
      <c r="K39" s="70"/>
      <c r="L39" s="70"/>
      <c r="M39" s="70"/>
      <c r="N39" s="70"/>
      <c r="O39" s="70"/>
      <c r="P39" s="70"/>
      <c r="Q39" s="70"/>
      <c r="R39" s="66"/>
      <c r="S39" s="66"/>
      <c r="T39" s="66"/>
    </row>
    <row r="40" spans="3:20" outlineLevel="1">
      <c r="C40" s="77">
        <f>'Input|Reported opex'!$C$64</f>
        <v>0</v>
      </c>
      <c r="D40" s="65" t="s">
        <v>87</v>
      </c>
      <c r="E40" s="16" t="str">
        <f>'Input|Reported opex'!$E$64</f>
        <v>$millions</v>
      </c>
      <c r="F40" s="98">
        <f>'Input|Reported opex'!$F$64</f>
        <v>46174</v>
      </c>
      <c r="J40" s="66">
        <f>IF(YEAR(J$4)=PPLastYear,'Input|Reported opex'!J64,0)</f>
        <v>0</v>
      </c>
      <c r="K40" s="66">
        <f>IF(YEAR(K$4)=PPLastYear,'Input|Reported opex'!K64,0)</f>
        <v>0</v>
      </c>
      <c r="L40" s="66">
        <f>IF(YEAR(L$4)=PPLastYear,'Input|Reported opex'!L64,0)</f>
        <v>0</v>
      </c>
      <c r="M40" s="66">
        <f>IF(YEAR(M$4)=PPLastYear,'Input|Reported opex'!M64,0)</f>
        <v>0</v>
      </c>
      <c r="N40" s="66">
        <f>IF(YEAR(N$4)=PPLastYear,'Input|Reported opex'!N64,0)</f>
        <v>0</v>
      </c>
      <c r="O40" s="66">
        <f>IF(YEAR(O$4)=PPLastYear,'Input|Reported opex'!O64,0)</f>
        <v>0</v>
      </c>
      <c r="P40" s="66">
        <f>IF(YEAR(P$4)=PPLastYear,'Input|Reported opex'!P64,0)</f>
        <v>0</v>
      </c>
      <c r="Q40" s="66">
        <f>IF(YEAR(Q$4)=PPLastYear,'Input|Reported opex'!Q64,0)</f>
        <v>0</v>
      </c>
      <c r="R40" s="66">
        <f>IF(YEAR(R$4)=PPLastYear,'Input|Reported opex'!R64,0)</f>
        <v>0</v>
      </c>
      <c r="S40" s="66">
        <f>IF(YEAR(S$4)=PPLastYear,'Input|Reported opex'!S64,0)</f>
        <v>0</v>
      </c>
      <c r="T40" s="66"/>
    </row>
    <row r="41" spans="3:20" outlineLevel="1">
      <c r="C41" s="77">
        <f>C40</f>
        <v>0</v>
      </c>
      <c r="D41" s="16" t="s">
        <v>30</v>
      </c>
      <c r="E41" s="16" t="str">
        <f>$E$8</f>
        <v>$millions</v>
      </c>
      <c r="F41" s="98">
        <f>$F$8</f>
        <v>46174</v>
      </c>
      <c r="J41" s="70">
        <f>J40*IF($F40="nominal",LOOKUP($F41,Nominal_to_Real,'Input|Rate of change'!K$26:K$32),INDEX('Input|Rate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K41" s="70">
        <f>K40*IF($F40="nominal",LOOKUP($F41,Nominal_to_Real,'Input|Rate of change'!L$26:L$32),INDEX('Input|Rate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L41" s="70">
        <f>L40*IF($F40="nominal",LOOKUP($F41,Nominal_to_Real,'Input|Rate of change'!M$26:M$32),INDEX('Input|Rate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M41" s="70">
        <f>M40*IF($F40="nominal",LOOKUP($F41,Nominal_to_Real,'Input|Rate of change'!N$26:N$32),INDEX('Input|Rate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N41" s="70">
        <f>N40*IF($F40="nominal",LOOKUP($F41,Nominal_to_Real,'Input|Rate of change'!O$26:O$32),INDEX('Input|Rate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O41" s="70">
        <f>O40*IF($F40="nominal",LOOKUP($F41,Nominal_to_Real,'Input|Rate of change'!P$26:P$32),INDEX('Input|Rate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P41" s="70">
        <f>P40*IF($F40="nominal",LOOKUP($F41,Nominal_to_Real,'Input|Rate of change'!Q$26:Q$32),INDEX('Input|Rate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Q41" s="70">
        <f>Q40*IF($F40="nominal",LOOKUP($F41,Nominal_to_Real,'Input|Rate of change'!R$26:R$32),INDEX('Input|Rate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R41" s="70">
        <f>R40*IF($F40="nominal",LOOKUP($F41,Nominal_to_Real,'Input|Rate of change'!S$26:S$32),INDEX('Input|Rate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S41" s="70">
        <f>S40*IF($F40="nominal",LOOKUP($F41,Nominal_to_Real,'Input|Rate of change'!T$26:T$32),INDEX('Input|Rate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T41" s="70">
        <f>T40*IF($F40="nominal",LOOKUP($F41,Nominal_to_Real,'Input|Rate of change'!U$26:U$32),INDEX('Input|Rate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</row>
    <row r="42" spans="3:20" outlineLevel="1">
      <c r="C42" s="77"/>
      <c r="F42" s="98"/>
      <c r="J42" s="70"/>
      <c r="K42" s="70"/>
      <c r="L42" s="70"/>
      <c r="M42" s="70"/>
      <c r="N42" s="70"/>
      <c r="O42" s="70"/>
      <c r="P42" s="70"/>
      <c r="Q42" s="70"/>
      <c r="R42" s="66"/>
      <c r="S42" s="66"/>
      <c r="T42" s="66"/>
    </row>
    <row r="43" spans="3:20" outlineLevel="1">
      <c r="C43" s="77">
        <f>'Input|Reported opex'!$C$65</f>
        <v>0</v>
      </c>
      <c r="D43" s="65" t="s">
        <v>87</v>
      </c>
      <c r="E43" s="16" t="str">
        <f>'Input|Reported opex'!$E$65</f>
        <v>$millions</v>
      </c>
      <c r="F43" s="98">
        <f>'Input|Reported opex'!$F$65</f>
        <v>46174</v>
      </c>
      <c r="J43" s="66">
        <f>IF(YEAR(J$4)=PPLastYear,'Input|Reported opex'!J65,0)</f>
        <v>0</v>
      </c>
      <c r="K43" s="66">
        <f>IF(YEAR(K$4)=PPLastYear,'Input|Reported opex'!K65,0)</f>
        <v>0</v>
      </c>
      <c r="L43" s="66">
        <f>IF(YEAR(L$4)=PPLastYear,'Input|Reported opex'!L65,0)</f>
        <v>0</v>
      </c>
      <c r="M43" s="66">
        <f>IF(YEAR(M$4)=PPLastYear,'Input|Reported opex'!M65,0)</f>
        <v>0</v>
      </c>
      <c r="N43" s="66">
        <f>IF(YEAR(N$4)=PPLastYear,'Input|Reported opex'!N65,0)</f>
        <v>0</v>
      </c>
      <c r="O43" s="66">
        <f>IF(YEAR(O$4)=PPLastYear,'Input|Reported opex'!O65,0)</f>
        <v>0</v>
      </c>
      <c r="P43" s="66">
        <f>IF(YEAR(P$4)=PPLastYear,'Input|Reported opex'!P65,0)</f>
        <v>0</v>
      </c>
      <c r="Q43" s="66">
        <f>IF(YEAR(Q$4)=PPLastYear,'Input|Reported opex'!Q65,0)</f>
        <v>0</v>
      </c>
      <c r="R43" s="66">
        <f>IF(YEAR(R$4)=PPLastYear,'Input|Reported opex'!R65,0)</f>
        <v>0</v>
      </c>
      <c r="S43" s="66">
        <f>IF(YEAR(S$4)=PPLastYear,'Input|Reported opex'!S65,0)</f>
        <v>0</v>
      </c>
      <c r="T43" s="66"/>
    </row>
    <row r="44" spans="3:20" outlineLevel="1">
      <c r="C44" s="77">
        <f>C43</f>
        <v>0</v>
      </c>
      <c r="D44" s="16" t="s">
        <v>30</v>
      </c>
      <c r="E44" s="16" t="str">
        <f>$E$8</f>
        <v>$millions</v>
      </c>
      <c r="F44" s="98">
        <f>$F$8</f>
        <v>46174</v>
      </c>
      <c r="J44" s="70">
        <f>J43*IF($F43="nominal",LOOKUP($F44,Nominal_to_Real,'Input|Rate of change'!K$26:K$32),INDEX('Input|Rate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K44" s="70">
        <f>K43*IF($F43="nominal",LOOKUP($F44,Nominal_to_Real,'Input|Rate of change'!L$26:L$32),INDEX('Input|Rate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L44" s="70">
        <f>L43*IF($F43="nominal",LOOKUP($F44,Nominal_to_Real,'Input|Rate of change'!M$26:M$32),INDEX('Input|Rate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M44" s="70">
        <f>M43*IF($F43="nominal",LOOKUP($F44,Nominal_to_Real,'Input|Rate of change'!N$26:N$32),INDEX('Input|Rate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N44" s="70">
        <f>N43*IF($F43="nominal",LOOKUP($F44,Nominal_to_Real,'Input|Rate of change'!O$26:O$32),INDEX('Input|Rate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O44" s="70">
        <f>O43*IF($F43="nominal",LOOKUP($F44,Nominal_to_Real,'Input|Rate of change'!P$26:P$32),INDEX('Input|Rate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P44" s="70">
        <f>P43*IF($F43="nominal",LOOKUP($F44,Nominal_to_Real,'Input|Rate of change'!Q$26:Q$32),INDEX('Input|Rate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Q44" s="70">
        <f>Q43*IF($F43="nominal",LOOKUP($F44,Nominal_to_Real,'Input|Rate of change'!R$26:R$32),INDEX('Input|Rate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R44" s="70">
        <f>R43*IF($F43="nominal",LOOKUP($F44,Nominal_to_Real,'Input|Rate of change'!S$26:S$32),INDEX('Input|Rate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S44" s="70">
        <f>S43*IF($F43="nominal",LOOKUP($F44,Nominal_to_Real,'Input|Rate of change'!T$26:T$32),INDEX('Input|Rate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T44" s="70">
        <f>T43*IF($F43="nominal",LOOKUP($F44,Nominal_to_Real,'Input|Rate of change'!U$26:U$32),INDEX('Input|Rate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</row>
    <row r="45" spans="3:20" outlineLevel="1">
      <c r="C45" s="77"/>
      <c r="F45" s="98"/>
      <c r="J45" s="70"/>
      <c r="K45" s="70"/>
      <c r="L45" s="70"/>
      <c r="M45" s="70"/>
      <c r="N45" s="70"/>
      <c r="O45" s="70"/>
      <c r="P45" s="70"/>
      <c r="Q45" s="70"/>
      <c r="R45" s="66"/>
      <c r="S45" s="66"/>
      <c r="T45" s="66"/>
    </row>
    <row r="46" spans="3:20" outlineLevel="1">
      <c r="C46" s="77">
        <f>'Input|Reported opex'!$C$66</f>
        <v>0</v>
      </c>
      <c r="D46" s="65" t="s">
        <v>87</v>
      </c>
      <c r="E46" s="16" t="str">
        <f>'Input|Reported opex'!$E$66</f>
        <v>$millions</v>
      </c>
      <c r="F46" s="98">
        <f>'Input|Reported opex'!$F$66</f>
        <v>46174</v>
      </c>
      <c r="J46" s="66">
        <f>IF(YEAR(J$4)=PPLastYear,'Input|Reported opex'!J66,0)</f>
        <v>0</v>
      </c>
      <c r="K46" s="66">
        <f>IF(YEAR(K$4)=PPLastYear,'Input|Reported opex'!K66,0)</f>
        <v>0</v>
      </c>
      <c r="L46" s="66">
        <f>IF(YEAR(L$4)=PPLastYear,'Input|Reported opex'!L66,0)</f>
        <v>0</v>
      </c>
      <c r="M46" s="66">
        <f>IF(YEAR(M$4)=PPLastYear,'Input|Reported opex'!M66,0)</f>
        <v>0</v>
      </c>
      <c r="N46" s="66">
        <f>IF(YEAR(N$4)=PPLastYear,'Input|Reported opex'!N66,0)</f>
        <v>0</v>
      </c>
      <c r="O46" s="66">
        <f>IF(YEAR(O$4)=PPLastYear,'Input|Reported opex'!O66,0)</f>
        <v>0</v>
      </c>
      <c r="P46" s="66">
        <f>IF(YEAR(P$4)=PPLastYear,'Input|Reported opex'!P66,0)</f>
        <v>0</v>
      </c>
      <c r="Q46" s="66">
        <f>IF(YEAR(Q$4)=PPLastYear,'Input|Reported opex'!Q66,0)</f>
        <v>0</v>
      </c>
      <c r="R46" s="66">
        <f>IF(YEAR(R$4)=PPLastYear,'Input|Reported opex'!R66,0)</f>
        <v>0</v>
      </c>
      <c r="S46" s="66">
        <f>IF(YEAR(S$4)=PPLastYear,'Input|Reported opex'!S66,0)</f>
        <v>0</v>
      </c>
      <c r="T46" s="66"/>
    </row>
    <row r="47" spans="3:20" outlineLevel="1">
      <c r="C47" s="77">
        <f>C46</f>
        <v>0</v>
      </c>
      <c r="D47" s="16" t="s">
        <v>30</v>
      </c>
      <c r="E47" s="16" t="str">
        <f>$E$8</f>
        <v>$millions</v>
      </c>
      <c r="F47" s="98">
        <f>$F$8</f>
        <v>46174</v>
      </c>
      <c r="J47" s="70">
        <f>J46*IF($F46="nominal",LOOKUP($F47,Nominal_to_Real,'Input|Rate of change'!K$26:K$32),INDEX('Input|Rate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K47" s="70">
        <f>K46*IF($F46="nominal",LOOKUP($F47,Nominal_to_Real,'Input|Rate of change'!L$26:L$32),INDEX('Input|Rate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L47" s="70">
        <f>L46*IF($F46="nominal",LOOKUP($F47,Nominal_to_Real,'Input|Rate of change'!M$26:M$32),INDEX('Input|Rate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M47" s="70">
        <f>M46*IF($F46="nominal",LOOKUP($F47,Nominal_to_Real,'Input|Rate of change'!N$26:N$32),INDEX('Input|Rate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N47" s="70">
        <f>N46*IF($F46="nominal",LOOKUP($F47,Nominal_to_Real,'Input|Rate of change'!O$26:O$32),INDEX('Input|Rate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O47" s="70">
        <f>O46*IF($F46="nominal",LOOKUP($F47,Nominal_to_Real,'Input|Rate of change'!P$26:P$32),INDEX('Input|Rate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P47" s="70">
        <f>P46*IF($F46="nominal",LOOKUP($F47,Nominal_to_Real,'Input|Rate of change'!Q$26:Q$32),INDEX('Input|Rate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Q47" s="70">
        <f>Q46*IF($F46="nominal",LOOKUP($F47,Nominal_to_Real,'Input|Rate of change'!R$26:R$32),INDEX('Input|Rate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R47" s="70">
        <f>R46*IF($F46="nominal",LOOKUP($F47,Nominal_to_Real,'Input|Rate of change'!S$26:S$32),INDEX('Input|Rate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S47" s="70">
        <f>S46*IF($F46="nominal",LOOKUP($F47,Nominal_to_Real,'Input|Rate of change'!T$26:T$32),INDEX('Input|Rate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T47" s="70">
        <f>T46*IF($F46="nominal",LOOKUP($F47,Nominal_to_Real,'Input|Rate of change'!U$26:U$32),INDEX('Input|Rate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</row>
    <row r="48" spans="3:20" outlineLevel="1">
      <c r="C48" s="77"/>
      <c r="F48" s="98"/>
      <c r="J48" s="70"/>
      <c r="K48" s="70"/>
      <c r="L48" s="70"/>
      <c r="M48" s="70"/>
      <c r="N48" s="70"/>
      <c r="O48" s="70"/>
      <c r="P48" s="70"/>
      <c r="Q48" s="70"/>
      <c r="R48" s="66"/>
      <c r="S48" s="66"/>
      <c r="T48" s="66"/>
    </row>
    <row r="49" spans="1:31" outlineLevel="1">
      <c r="C49" s="77">
        <f>'Input|Reported opex'!$C$67</f>
        <v>0</v>
      </c>
      <c r="D49" s="65" t="s">
        <v>87</v>
      </c>
      <c r="E49" s="16" t="str">
        <f>'Input|Reported opex'!$E$67</f>
        <v>$millions</v>
      </c>
      <c r="F49" s="98">
        <f>'Input|Reported opex'!$F$67</f>
        <v>46174</v>
      </c>
      <c r="J49" s="66">
        <f>IF(YEAR(J$4)=PPLastYear,'Input|Reported opex'!J67,0)</f>
        <v>0</v>
      </c>
      <c r="K49" s="66">
        <f>IF(YEAR(K$4)=PPLastYear,'Input|Reported opex'!K67,0)</f>
        <v>0</v>
      </c>
      <c r="L49" s="66">
        <f>IF(YEAR(L$4)=PPLastYear,'Input|Reported opex'!L67,0)</f>
        <v>0</v>
      </c>
      <c r="M49" s="66">
        <f>IF(YEAR(M$4)=PPLastYear,'Input|Reported opex'!M67,0)</f>
        <v>0</v>
      </c>
      <c r="N49" s="66">
        <f>IF(YEAR(N$4)=PPLastYear,'Input|Reported opex'!N67,0)</f>
        <v>0</v>
      </c>
      <c r="O49" s="66">
        <f>IF(YEAR(O$4)=PPLastYear,'Input|Reported opex'!O67,0)</f>
        <v>0</v>
      </c>
      <c r="P49" s="66">
        <f>IF(YEAR(P$4)=PPLastYear,'Input|Reported opex'!P67,0)</f>
        <v>0</v>
      </c>
      <c r="Q49" s="66">
        <f>IF(YEAR(Q$4)=PPLastYear,'Input|Reported opex'!Q67,0)</f>
        <v>0</v>
      </c>
      <c r="R49" s="66">
        <f>IF(YEAR(R$4)=PPLastYear,'Input|Reported opex'!R67,0)</f>
        <v>0</v>
      </c>
      <c r="S49" s="66">
        <f>IF(YEAR(S$4)=PPLastYear,'Input|Reported opex'!S67,0)</f>
        <v>0</v>
      </c>
      <c r="T49" s="66"/>
    </row>
    <row r="50" spans="1:31" outlineLevel="1">
      <c r="C50" s="77">
        <f>C49</f>
        <v>0</v>
      </c>
      <c r="D50" s="16" t="s">
        <v>30</v>
      </c>
      <c r="E50" s="16" t="str">
        <f>$E$8</f>
        <v>$millions</v>
      </c>
      <c r="F50" s="98">
        <f>$F$8</f>
        <v>46174</v>
      </c>
      <c r="J50" s="70">
        <f>J49*IF($F49="nominal",LOOKUP($F50,Nominal_to_Real,'Input|Rate of change'!K$26:K$32),INDEX('Input|Rate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K50" s="70">
        <f>K49*IF($F49="nominal",LOOKUP($F50,Nominal_to_Real,'Input|Rate of change'!L$26:L$32),INDEX('Input|Rate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L50" s="70">
        <f>L49*IF($F49="nominal",LOOKUP($F50,Nominal_to_Real,'Input|Rate of change'!M$26:M$32),INDEX('Input|Rate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M50" s="70">
        <f>M49*IF($F49="nominal",LOOKUP($F50,Nominal_to_Real,'Input|Rate of change'!N$26:N$32),INDEX('Input|Rate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N50" s="70">
        <f>N49*IF($F49="nominal",LOOKUP($F50,Nominal_to_Real,'Input|Rate of change'!O$26:O$32),INDEX('Input|Rate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O50" s="70">
        <f>O49*IF($F49="nominal",LOOKUP($F50,Nominal_to_Real,'Input|Rate of change'!P$26:P$32),INDEX('Input|Rate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P50" s="70">
        <f>P49*IF($F49="nominal",LOOKUP($F50,Nominal_to_Real,'Input|Rate of change'!Q$26:Q$32),INDEX('Input|Rate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Q50" s="70">
        <f>Q49*IF($F49="nominal",LOOKUP($F50,Nominal_to_Real,'Input|Rate of change'!R$26:R$32),INDEX('Input|Rate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R50" s="70">
        <f>R49*IF($F49="nominal",LOOKUP($F50,Nominal_to_Real,'Input|Rate of change'!S$26:S$32),INDEX('Input|Rate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S50" s="70">
        <f>S49*IF($F49="nominal",LOOKUP($F50,Nominal_to_Real,'Input|Rate of change'!T$26:T$32),INDEX('Input|Rate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T50" s="70">
        <f>T49*IF($F49="nominal",LOOKUP($F50,Nominal_to_Real,'Input|Rate of change'!U$26:U$32),INDEX('Input|Rate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</row>
    <row r="51" spans="1:31" outlineLevel="1">
      <c r="C51" s="77"/>
      <c r="F51" s="98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</row>
    <row r="52" spans="1:31" outlineLevel="1">
      <c r="C52" s="77" t="s">
        <v>84</v>
      </c>
      <c r="D52" s="16" t="s">
        <v>93</v>
      </c>
      <c r="E52" s="16" t="str">
        <f>$E$8</f>
        <v>$millions</v>
      </c>
      <c r="F52" s="98">
        <f>$F$8</f>
        <v>46174</v>
      </c>
      <c r="J52" s="70">
        <f>SUM(J33,J38,J41,J44,J47,J50)*'Input|Reported opex'!J71</f>
        <v>0</v>
      </c>
      <c r="K52" s="70">
        <f>SUM(K33,K38,K41,K44,K47,K50)*'Input|Reported opex'!K71</f>
        <v>0</v>
      </c>
      <c r="L52" s="70">
        <f>SUM(L33,L38,L41,L44,L47,L50)*'Input|Reported opex'!L71</f>
        <v>0</v>
      </c>
      <c r="M52" s="70">
        <f>SUM(M33,M38,M41,M44,M47,M50)*'Input|Reported opex'!M71</f>
        <v>0</v>
      </c>
      <c r="N52" s="70">
        <f ca="1">SUM(N33,N38,N41,N44,N47,N50)*'Input|Reported opex'!N71</f>
        <v>0</v>
      </c>
      <c r="O52" s="70">
        <f>SUM(O33,O38,O41,O44,O47,O50)*'Input|Reported opex'!O71</f>
        <v>0</v>
      </c>
      <c r="P52" s="70">
        <f>SUM(P33,P38,P41,P44,P47,P50)*'Input|Reported opex'!P71</f>
        <v>0</v>
      </c>
      <c r="Q52" s="70">
        <f>SUM(Q33,Q38,Q41,Q44,Q47,Q50)*'Input|Reported opex'!Q71</f>
        <v>0</v>
      </c>
      <c r="R52" s="70">
        <f>SUM(R33,R38,R41,R44,R47,R50)*'Input|Reported opex'!R71</f>
        <v>0</v>
      </c>
      <c r="S52" s="70">
        <f>SUM(S33,S38,S41,S44,S47,S50)*'Input|Reported opex'!S71</f>
        <v>0</v>
      </c>
      <c r="T52" s="70"/>
    </row>
    <row r="53" spans="1:31" outlineLevel="1">
      <c r="C53" s="77"/>
      <c r="F53" s="98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</row>
    <row r="54" spans="1:31" outlineLevel="1">
      <c r="C54" s="102" t="s">
        <v>150</v>
      </c>
      <c r="D54" s="67" t="s">
        <v>93</v>
      </c>
      <c r="E54" s="67" t="str">
        <f>$E$8</f>
        <v>$millions</v>
      </c>
      <c r="F54" s="103">
        <f>$F$8</f>
        <v>46174</v>
      </c>
      <c r="J54" s="70">
        <f>SUM(J33,J35,J38,J41,J44,J47,J50,J52)</f>
        <v>0</v>
      </c>
      <c r="K54" s="70">
        <f t="shared" ref="K54:S54" si="5">SUM(K33,K35,K38,K41,K44,K47,K50,K52)</f>
        <v>0</v>
      </c>
      <c r="L54" s="70">
        <f t="shared" si="5"/>
        <v>0</v>
      </c>
      <c r="M54" s="70">
        <f t="shared" si="5"/>
        <v>0</v>
      </c>
      <c r="N54" s="70">
        <f t="shared" ca="1" si="5"/>
        <v>344.72183410661648</v>
      </c>
      <c r="O54" s="70">
        <f t="shared" si="5"/>
        <v>0</v>
      </c>
      <c r="P54" s="70">
        <f t="shared" si="5"/>
        <v>0</v>
      </c>
      <c r="Q54" s="70">
        <f t="shared" si="5"/>
        <v>0</v>
      </c>
      <c r="R54" s="70">
        <f t="shared" si="5"/>
        <v>0</v>
      </c>
      <c r="S54" s="70">
        <f t="shared" si="5"/>
        <v>0</v>
      </c>
      <c r="T54" s="70"/>
    </row>
    <row r="55" spans="1:31">
      <c r="J55" s="64"/>
      <c r="K55" s="64"/>
      <c r="L55" s="64"/>
    </row>
    <row r="56" spans="1:31" customFormat="1" ht="12.75">
      <c r="A56" s="32"/>
      <c r="B56" s="38" t="s">
        <v>82</v>
      </c>
      <c r="C56" s="32"/>
      <c r="D56" s="32"/>
      <c r="E56" s="32"/>
      <c r="F56" s="33"/>
      <c r="G56" s="33"/>
      <c r="H56" s="33"/>
      <c r="I56" s="33"/>
      <c r="J56" s="34"/>
      <c r="K56" s="35"/>
      <c r="L56" s="34"/>
      <c r="M56" s="35"/>
      <c r="N56" s="34"/>
      <c r="O56" s="34"/>
      <c r="P56" s="34"/>
      <c r="Q56" s="34"/>
      <c r="R56" s="34"/>
      <c r="S56" s="34"/>
      <c r="T56" s="34"/>
      <c r="U56" s="34"/>
      <c r="V56" s="34"/>
      <c r="W56" s="35"/>
      <c r="X56" s="35"/>
      <c r="Y56" s="36"/>
      <c r="Z56" s="36"/>
      <c r="AA56" s="36"/>
      <c r="AB56" s="36"/>
      <c r="AC56" s="36"/>
      <c r="AD56" s="37"/>
      <c r="AE56" s="37"/>
    </row>
    <row r="57" spans="1:31" outlineLevel="1"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</row>
    <row r="58" spans="1:31" outlineLevel="1">
      <c r="C58" s="9" t="s">
        <v>42</v>
      </c>
      <c r="D58" s="20" t="s">
        <v>7</v>
      </c>
      <c r="E58" s="20" t="s">
        <v>8</v>
      </c>
      <c r="F58" s="20" t="s">
        <v>22</v>
      </c>
      <c r="J58" s="99" t="str">
        <f>IF(YEAR(J$4)&gt;='Input|General'!$G$13,IF(YEAR(J$4)&lt;='Input|General'!$G$14,J$4,""),"")</f>
        <v/>
      </c>
      <c r="K58" s="99" t="str">
        <f>IF(YEAR(K$4)&gt;='Input|General'!$G$13,IF(YEAR(K$4)&lt;='Input|General'!$G$14,K$4,""),"")</f>
        <v/>
      </c>
      <c r="L58" s="99" t="str">
        <f>IF(YEAR(L$4)&gt;='Input|General'!$G$13,IF(YEAR(L$4)&lt;='Input|General'!$G$14,L$4,""),"")</f>
        <v/>
      </c>
      <c r="M58" s="99" t="str">
        <f>IF(YEAR(M$4)&gt;='Input|General'!$G$13,IF(YEAR(M$4)&lt;='Input|General'!$G$14,M$4,""),"")</f>
        <v/>
      </c>
      <c r="N58" s="99" t="str">
        <f>IF(YEAR(N$4)&gt;='Input|General'!$G$13,IF(YEAR(N$4)&lt;='Input|General'!$G$14,N$4,""),"")</f>
        <v/>
      </c>
      <c r="O58" s="99">
        <f>IF(YEAR(O$4)&gt;='Input|General'!$G$13,IF(YEAR(O$4)&lt;='Input|General'!$G$14,O$4,""),"")</f>
        <v>46539</v>
      </c>
      <c r="P58" s="99">
        <f>IF(YEAR(P$4)&gt;='Input|General'!$G$13,IF(YEAR(P$4)&lt;='Input|General'!$G$14,P$4,""),"")</f>
        <v>46905</v>
      </c>
      <c r="Q58" s="99">
        <f>IF(YEAR(Q$4)&gt;='Input|General'!$G$13,IF(YEAR(Q$4)&lt;='Input|General'!$G$14,Q$4,""),"")</f>
        <v>47270</v>
      </c>
      <c r="R58" s="99">
        <f>IF(YEAR(R$4)&gt;='Input|General'!$G$13,IF(YEAR(R$4)&lt;='Input|General'!$G$14,R$4,""),"")</f>
        <v>47635</v>
      </c>
      <c r="S58" s="99">
        <f>IF(YEAR(S$4)&gt;='Input|General'!$G$13,IF(YEAR(S$4)&lt;='Input|General'!$G$14,S$4,""),"")</f>
        <v>48000</v>
      </c>
      <c r="T58" s="99" t="str">
        <f>IF(YEAR(T$4)&gt;='Input|General'!$G$13,IF(YEAR(T$4)&lt;='Input|General'!$G$14,T$4,""),"")</f>
        <v/>
      </c>
    </row>
    <row r="59" spans="1:31" outlineLevel="1">
      <c r="C59" s="9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</row>
    <row r="60" spans="1:31" outlineLevel="1">
      <c r="B60" s="9"/>
      <c r="C60" s="71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</row>
    <row r="61" spans="1:31" outlineLevel="1">
      <c r="C61" s="15" t="s">
        <v>163</v>
      </c>
      <c r="D61" s="16" t="s">
        <v>30</v>
      </c>
      <c r="E61" s="16" t="s">
        <v>31</v>
      </c>
      <c r="F61" s="16" t="s">
        <v>36</v>
      </c>
      <c r="J61" s="72">
        <f ca="1">IF(J58=J4,AVERAGE(OFFSET('Input|Rate of change'!K106,0,0,COUNTA('Input|Rate of change'!$J$84:$M$84),1)),0)</f>
        <v>0</v>
      </c>
      <c r="K61" s="72">
        <f ca="1">IF(K58=K4,AVERAGE(OFFSET('Input|Rate of change'!L106,0,0,COUNTA('Input|Rate of change'!$J$84:$M$84),1)),0)</f>
        <v>0</v>
      </c>
      <c r="L61" s="72">
        <f ca="1">IF(L58=L4,AVERAGE(OFFSET('Input|Rate of change'!M106,0,0,COUNTA('Input|Rate of change'!$J$84:$M$84),1)),0)</f>
        <v>0</v>
      </c>
      <c r="M61" s="72">
        <f ca="1">IF(M58=M4,AVERAGE(OFFSET('Input|Rate of change'!N106,0,0,COUNTA('Input|Rate of change'!$J$84:$M$84),1)),0)</f>
        <v>0</v>
      </c>
      <c r="N61" s="72">
        <f ca="1">IF(N58=N4,AVERAGE(OFFSET('Input|Rate of change'!O106,0,0,COUNTA('Input|Rate of change'!$J$84:$M$84),1)),0)</f>
        <v>0</v>
      </c>
      <c r="O61" s="72">
        <f ca="1">IF(O58=O4,AVERAGE(OFFSET('Input|Rate of change'!P106,0,0,COUNTA('Input|Rate of change'!$J$84:$M$84),1)),0)</f>
        <v>3.1584587138895288E-2</v>
      </c>
      <c r="P61" s="72">
        <f ca="1">IF(P58=P4,AVERAGE(OFFSET('Input|Rate of change'!Q106,0,0,COUNTA('Input|Rate of change'!$J$84:$M$84),1)),0)</f>
        <v>4.4845257811370685E-2</v>
      </c>
      <c r="Q61" s="72">
        <f ca="1">IF(Q58=Q4,AVERAGE(OFFSET('Input|Rate of change'!R106,0,0,COUNTA('Input|Rate of change'!$J$84:$M$84),1)),0)</f>
        <v>2.5797649860925545E-2</v>
      </c>
      <c r="R61" s="72">
        <f ca="1">IF(R58=R4,AVERAGE(OFFSET('Input|Rate of change'!S106,0,0,COUNTA('Input|Rate of change'!$J$84:$M$84),1)),0)</f>
        <v>1.7482050288549662E-2</v>
      </c>
      <c r="S61" s="72">
        <f ca="1">IF(S58=S4,AVERAGE(OFFSET('Input|Rate of change'!T106,0,0,COUNTA('Input|Rate of change'!$J$84:$M$84),1)),0)</f>
        <v>1.6521594151920817E-2</v>
      </c>
      <c r="T61" s="72">
        <f ca="1">IF(T58=T4,AVERAGE(OFFSET('Input|Rate of change'!U106,0,0,COUNTA('Input|Rate of change'!$J$95:$M$95),1)),0)</f>
        <v>0</v>
      </c>
    </row>
    <row r="62" spans="1:31" outlineLevel="1">
      <c r="C62" s="15" t="s">
        <v>166</v>
      </c>
      <c r="D62" s="16" t="s">
        <v>30</v>
      </c>
      <c r="E62" s="16" t="s">
        <v>31</v>
      </c>
      <c r="F62" s="16" t="s">
        <v>36</v>
      </c>
      <c r="J62" s="72">
        <f t="array" ref="J62">IF(J$58=J$4,PRODUCT(1+$J61:J61)-1,0)</f>
        <v>0</v>
      </c>
      <c r="K62" s="72">
        <f t="array" ref="K62">IF(K$58=K$4,PRODUCT(1+$J61:K61)-1,0)</f>
        <v>0</v>
      </c>
      <c r="L62" s="72">
        <f t="array" ref="L62">IF(L$58=L$4,PRODUCT(1+$J61:L61)-1,0)</f>
        <v>0</v>
      </c>
      <c r="M62" s="72">
        <f t="array" ref="M62">IF(M$58=M$4,PRODUCT(1+$J61:M61)-1,0)</f>
        <v>0</v>
      </c>
      <c r="N62" s="72">
        <f t="array" ref="N62">IF(N$58=N$4,PRODUCT(1+$J61:N61)-1,0)</f>
        <v>0</v>
      </c>
      <c r="O62" s="72">
        <f t="array" aca="1" ref="O62" ca="1">IF(O$58=O$4,PRODUCT(1+$J61:O61)-1,0)</f>
        <v>3.1584587138895337E-2</v>
      </c>
      <c r="P62" s="72">
        <f t="array" aca="1" ref="P62" ca="1">IF(P$58=P$4,PRODUCT(1+$J61:P61)-1,0)</f>
        <v>7.7846263903375457E-2</v>
      </c>
      <c r="Q62" s="72">
        <f t="array" aca="1" ref="Q62" ca="1">IF(Q$58=Q$4,PRODUCT(1+$J61:Q61)-1,0)</f>
        <v>0.10565216442346159</v>
      </c>
      <c r="R62" s="72">
        <f t="array" aca="1" ref="R62" ca="1">IF(R$58=R$4,PRODUCT(1+$J61:R61)-1,0)</f>
        <v>0.12498123116355653</v>
      </c>
      <c r="S62" s="72">
        <f t="array" aca="1" ref="S62" ca="1">IF(S$58=S$4,PRODUCT(1+$J61:S61)-1,0)</f>
        <v>0.14356771449336891</v>
      </c>
      <c r="T62" s="72">
        <f t="array" ref="T62">IF(T$58=T$4,PRODUCT(1+$J61:T61)-1,0)</f>
        <v>0</v>
      </c>
    </row>
    <row r="63" spans="1:31" outlineLevel="1"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</row>
    <row r="64" spans="1:31" outlineLevel="1">
      <c r="C64" s="15" t="s">
        <v>164</v>
      </c>
      <c r="D64" s="16" t="s">
        <v>30</v>
      </c>
      <c r="E64" s="16" t="s">
        <v>31</v>
      </c>
      <c r="F64" s="16" t="s">
        <v>36</v>
      </c>
      <c r="J64" s="72">
        <f>SUMPRODUCT('Input|Rate of change'!K38:K45,'Input|Rate of change'!K51:K58)</f>
        <v>0</v>
      </c>
      <c r="K64" s="72">
        <f>SUMPRODUCT('Input|Rate of change'!L38:L45,'Input|Rate of change'!L51:L58)</f>
        <v>0</v>
      </c>
      <c r="L64" s="72">
        <f>SUMPRODUCT('Input|Rate of change'!M38:M45,'Input|Rate of change'!M51:M58)</f>
        <v>0</v>
      </c>
      <c r="M64" s="72">
        <f>SUMPRODUCT('Input|Rate of change'!N38:N45,'Input|Rate of change'!N51:N58)</f>
        <v>0</v>
      </c>
      <c r="N64" s="72">
        <f>SUMPRODUCT('Input|Rate of change'!O38:O45,'Input|Rate of change'!O51:O58)</f>
        <v>0</v>
      </c>
      <c r="O64" s="72">
        <f>SUMPRODUCT('Input|Rate of change'!P38:P45,'Input|Rate of change'!P51:P58)</f>
        <v>3.7972329041071366E-3</v>
      </c>
      <c r="P64" s="72">
        <f>SUMPRODUCT('Input|Rate of change'!Q38:Q45,'Input|Rate of change'!Q51:Q58)</f>
        <v>5.07547965959262E-3</v>
      </c>
      <c r="Q64" s="72">
        <f>SUMPRODUCT('Input|Rate of change'!R38:R45,'Input|Rate of change'!R51:R58)</f>
        <v>5.9357460337038899E-3</v>
      </c>
      <c r="R64" s="72">
        <f>SUMPRODUCT('Input|Rate of change'!S38:S45,'Input|Rate of change'!S51:S58)</f>
        <v>6.6873098565911155E-3</v>
      </c>
      <c r="S64" s="72">
        <f>SUMPRODUCT('Input|Rate of change'!T38:T45,'Input|Rate of change'!T51:T58)</f>
        <v>6.7995735690094495E-3</v>
      </c>
      <c r="T64" s="72">
        <f>SUMPRODUCT('Input|Rate of change'!U38:U45,'Input|Rate of change'!U51:U58)</f>
        <v>0</v>
      </c>
    </row>
    <row r="65" spans="1:31" outlineLevel="1">
      <c r="C65" s="15" t="s">
        <v>167</v>
      </c>
      <c r="D65" s="16" t="s">
        <v>30</v>
      </c>
      <c r="E65" s="16" t="s">
        <v>31</v>
      </c>
      <c r="F65" s="16" t="s">
        <v>36</v>
      </c>
      <c r="J65" s="72">
        <f t="array" ref="J65">IF(J$58=J$4,PRODUCT(1+$J64:J64)-1,0)</f>
        <v>0</v>
      </c>
      <c r="K65" s="72">
        <f t="array" ref="K65">IF(K$58=K$4,PRODUCT(1+$J64:K64)-1,0)</f>
        <v>0</v>
      </c>
      <c r="L65" s="72">
        <f t="array" ref="L65">IF(L$58=L$4,PRODUCT(1+$J64:L64)-1,0)</f>
        <v>0</v>
      </c>
      <c r="M65" s="72">
        <f t="array" ref="M65">IF(M$58=M$4,PRODUCT(1+$J64:M64)-1,0)</f>
        <v>0</v>
      </c>
      <c r="N65" s="72">
        <f t="array" ref="N65">IF(N$58=N$4,PRODUCT(1+$J64:N64)-1,0)</f>
        <v>0</v>
      </c>
      <c r="O65" s="72">
        <f t="array" ref="O65">IF(O$58=O$4,PRODUCT(1+$J64:O64)-1,0)</f>
        <v>3.7972329041071617E-3</v>
      </c>
      <c r="P65" s="72">
        <f t="array" ref="P65">IF(P$58=P$4,PRODUCT(1+$J64:P64)-1,0)</f>
        <v>8.8919853420672545E-3</v>
      </c>
      <c r="Q65" s="72">
        <f t="array" ref="Q65">IF(Q$58=Q$4,PRODUCT(1+$J64:Q64)-1,0)</f>
        <v>1.4880511942497066E-2</v>
      </c>
      <c r="R65" s="72">
        <f t="array" ref="R65">IF(R$58=R$4,PRODUCT(1+$J64:R64)-1,0)</f>
        <v>2.1667332393272343E-2</v>
      </c>
      <c r="S65" s="72">
        <f t="array" ref="S65">IF(S$58=S$4,PRODUCT(1+$J64:S64)-1,0)</f>
        <v>2.8614234582933884E-2</v>
      </c>
      <c r="T65" s="72">
        <f t="array" ref="T65">IF(T$58=T$4,PRODUCT(1+$J64:T64)-1,0)</f>
        <v>0</v>
      </c>
    </row>
    <row r="66" spans="1:31" outlineLevel="1">
      <c r="C66" s="15"/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</row>
    <row r="67" spans="1:31" outlineLevel="1">
      <c r="C67" s="15" t="s">
        <v>165</v>
      </c>
      <c r="D67" s="16" t="s">
        <v>30</v>
      </c>
      <c r="E67" s="16" t="s">
        <v>31</v>
      </c>
      <c r="F67" s="16" t="s">
        <v>36</v>
      </c>
      <c r="J67" s="72">
        <f>'Input|Rate of change'!K115</f>
        <v>0</v>
      </c>
      <c r="K67" s="72">
        <f>'Input|Rate of change'!L115</f>
        <v>0</v>
      </c>
      <c r="L67" s="72">
        <f>'Input|Rate of change'!M115</f>
        <v>0</v>
      </c>
      <c r="M67" s="72">
        <f>'Input|Rate of change'!N115</f>
        <v>0</v>
      </c>
      <c r="N67" s="72">
        <f>'Input|Rate of change'!O115</f>
        <v>0</v>
      </c>
      <c r="O67" s="72">
        <f>'Input|Rate of change'!P115</f>
        <v>5.0000000000000001E-3</v>
      </c>
      <c r="P67" s="72">
        <f>'Input|Rate of change'!Q115</f>
        <v>5.0000000000000001E-3</v>
      </c>
      <c r="Q67" s="72">
        <f>'Input|Rate of change'!R115</f>
        <v>5.0000000000000001E-3</v>
      </c>
      <c r="R67" s="72">
        <f>'Input|Rate of change'!S115</f>
        <v>5.0000000000000001E-3</v>
      </c>
      <c r="S67" s="72">
        <f>'Input|Rate of change'!T115</f>
        <v>5.0000000000000001E-3</v>
      </c>
      <c r="T67" s="72">
        <f>'Input|Rate of change'!U115</f>
        <v>0</v>
      </c>
    </row>
    <row r="68" spans="1:31" outlineLevel="1">
      <c r="C68" s="15" t="s">
        <v>168</v>
      </c>
      <c r="D68" s="16" t="s">
        <v>30</v>
      </c>
      <c r="E68" s="16" t="s">
        <v>31</v>
      </c>
      <c r="F68" s="16" t="s">
        <v>36</v>
      </c>
      <c r="J68" s="72">
        <f t="array" ref="J68">IF(J$58=J$4,PRODUCT(1+$J67:J67)-1,0)</f>
        <v>0</v>
      </c>
      <c r="K68" s="72">
        <f t="array" ref="K68">IF(K$58=K$4,PRODUCT(1+$J67:K67)-1,0)</f>
        <v>0</v>
      </c>
      <c r="L68" s="72">
        <f t="array" ref="L68">IF(L$58=L$4,PRODUCT(1+$J67:L67)-1,0)</f>
        <v>0</v>
      </c>
      <c r="M68" s="72">
        <f t="array" ref="M68">IF(M$58=M$4,PRODUCT(1+$J67:M67)-1,0)</f>
        <v>0</v>
      </c>
      <c r="N68" s="72">
        <f t="array" ref="N68">IF(N$58=N$4,PRODUCT(1+$J67:N67)-1,0)</f>
        <v>0</v>
      </c>
      <c r="O68" s="72">
        <f t="array" ref="O68">IF(O$58=O$4,PRODUCT(1+$J67:O67)-1,0)</f>
        <v>4.9999999999998934E-3</v>
      </c>
      <c r="P68" s="72">
        <f t="array" ref="P68">IF(P$58=P$4,PRODUCT(1+$J67:P67)-1,0)</f>
        <v>1.0024999999999729E-2</v>
      </c>
      <c r="Q68" s="72">
        <f t="array" ref="Q68">IF(Q$58=Q$4,PRODUCT(1+$J67:Q67)-1,0)</f>
        <v>1.5075124999999634E-2</v>
      </c>
      <c r="R68" s="72">
        <f t="array" ref="R68">IF(R$58=R$4,PRODUCT(1+$J67:R67)-1,0)</f>
        <v>2.0150500624999568E-2</v>
      </c>
      <c r="S68" s="72">
        <f t="array" ref="S68">IF(S$58=S$4,PRODUCT(1+$J67:S67)-1,0)</f>
        <v>2.5251253128124374E-2</v>
      </c>
      <c r="T68" s="72">
        <f t="array" ref="T68">IF(T$58=T$4,PRODUCT(1+$J67:T67)-1,0)</f>
        <v>0</v>
      </c>
    </row>
    <row r="69" spans="1:31" outlineLevel="1">
      <c r="C69" s="15"/>
      <c r="J69" s="64"/>
      <c r="K69" s="64"/>
      <c r="L69" s="64"/>
      <c r="M69" s="64"/>
      <c r="N69" s="64"/>
      <c r="O69" s="64"/>
      <c r="P69" s="64"/>
      <c r="Q69" s="64"/>
      <c r="R69" s="64"/>
      <c r="S69" s="64"/>
      <c r="T69" s="64"/>
    </row>
    <row r="70" spans="1:31" outlineLevel="1">
      <c r="C70" s="73" t="s">
        <v>127</v>
      </c>
      <c r="D70" s="69" t="s">
        <v>30</v>
      </c>
      <c r="E70" s="69" t="s">
        <v>31</v>
      </c>
      <c r="F70" s="69" t="s">
        <v>36</v>
      </c>
      <c r="J70" s="88">
        <f ca="1">(1+J61)*(1+J64)*(1-J67)-1</f>
        <v>0</v>
      </c>
      <c r="K70" s="88">
        <f t="shared" ref="K70:S70" ca="1" si="6">(1+K61)*(1+K64)*(1-K67)-1</f>
        <v>0</v>
      </c>
      <c r="L70" s="88">
        <f t="shared" ca="1" si="6"/>
        <v>0</v>
      </c>
      <c r="M70" s="88">
        <f t="shared" ca="1" si="6"/>
        <v>0</v>
      </c>
      <c r="N70" s="88">
        <f t="shared" ca="1" si="6"/>
        <v>0</v>
      </c>
      <c r="O70" s="88">
        <f t="shared" ca="1" si="6"/>
        <v>3.0324245306166286E-2</v>
      </c>
      <c r="P70" s="88">
        <f t="shared" ca="1" si="6"/>
        <v>4.4897606921490141E-2</v>
      </c>
      <c r="Q70" s="88">
        <f t="shared" ca="1" si="6"/>
        <v>2.6727091571508099E-2</v>
      </c>
      <c r="R70" s="88">
        <f t="shared" ca="1" si="6"/>
        <v>1.916483669218727E-2</v>
      </c>
      <c r="S70" s="88">
        <f t="shared" ca="1" si="6"/>
        <v>1.8316339978264207E-2</v>
      </c>
      <c r="T70" s="88">
        <f t="shared" ref="T70" ca="1" si="7">(1+T61)*(1+T64)*(1-T67)-1</f>
        <v>0</v>
      </c>
    </row>
    <row r="71" spans="1:31" outlineLevel="1">
      <c r="C71" s="9" t="s">
        <v>128</v>
      </c>
      <c r="D71" s="16" t="s">
        <v>30</v>
      </c>
      <c r="E71" s="16" t="s">
        <v>31</v>
      </c>
      <c r="F71" s="16" t="s">
        <v>36</v>
      </c>
      <c r="J71" s="72" t="str">
        <f t="array" ref="J71">IF(J$58=J$4,PRODUCT(1+$J70:J70)-1,"")</f>
        <v/>
      </c>
      <c r="K71" s="72" t="str">
        <f t="array" ref="K71">IF(K$58=K$4,PRODUCT(1+$J70:K70)-1,"")</f>
        <v/>
      </c>
      <c r="L71" s="72" t="str">
        <f t="array" ref="L71">IF(L$58=L$4,PRODUCT(1+$J70:L70)-1,"")</f>
        <v/>
      </c>
      <c r="M71" s="72" t="str">
        <f t="array" ref="M71">IF(M$58=M$4,PRODUCT(1+$J70:M70)-1,"")</f>
        <v/>
      </c>
      <c r="N71" s="72" t="str">
        <f t="array" ref="N71">IF(N$58=N$4,PRODUCT(1+$J70:N70)-1,"")</f>
        <v/>
      </c>
      <c r="O71" s="72">
        <f t="array" aca="1" ref="O71" ca="1">IF(O$58=O$4,PRODUCT(1+$J70:O70)-1,"")</f>
        <v>3.0324245306166286E-2</v>
      </c>
      <c r="P71" s="72">
        <f t="array" aca="1" ref="P71" ca="1">IF(P$58=P$4,PRODUCT(1+$J70:P70)-1,"")</f>
        <v>7.6583338273603419E-2</v>
      </c>
      <c r="Q71" s="72">
        <f t="array" aca="1" ref="Q71" ca="1">IF(Q$58=Q$4,PRODUCT(1+$J70:Q70)-1,"")</f>
        <v>0.10535727974000197</v>
      </c>
      <c r="R71" s="72">
        <f t="array" aca="1" ref="R71" ca="1">IF(R$58=R$4,PRODUCT(1+$J70:R70)-1,"")</f>
        <v>0.12654127149273942</v>
      </c>
      <c r="S71" s="72">
        <f t="array" aca="1" ref="S71" ca="1">IF(S$58=S$4,PRODUCT(1+$J70:S70)-1,"")</f>
        <v>0.14717538442094646</v>
      </c>
      <c r="T71" s="72" t="str">
        <f t="array" ref="T71">IF(T$58=T$4,PRODUCT(1+$J70:T70)-1,"")</f>
        <v/>
      </c>
    </row>
    <row r="72" spans="1:31">
      <c r="J72" s="64"/>
      <c r="K72" s="64"/>
      <c r="L72" s="64"/>
      <c r="M72" s="64"/>
      <c r="N72" s="64"/>
      <c r="O72" s="74"/>
      <c r="P72" s="74"/>
      <c r="Q72" s="74"/>
      <c r="R72" s="74"/>
      <c r="S72" s="74"/>
      <c r="T72" s="74"/>
    </row>
    <row r="73" spans="1:31" customFormat="1" ht="12.75">
      <c r="A73" s="32"/>
      <c r="B73" s="38" t="s">
        <v>85</v>
      </c>
      <c r="C73" s="32"/>
      <c r="D73" s="32"/>
      <c r="E73" s="32"/>
      <c r="F73" s="33"/>
      <c r="G73" s="33"/>
      <c r="H73" s="33"/>
      <c r="I73" s="33"/>
      <c r="J73" s="34"/>
      <c r="K73" s="35"/>
      <c r="L73" s="34"/>
      <c r="M73" s="35"/>
      <c r="N73" s="34"/>
      <c r="O73" s="34"/>
      <c r="P73" s="34"/>
      <c r="Q73" s="34"/>
      <c r="R73" s="34"/>
      <c r="S73" s="34"/>
      <c r="T73" s="34"/>
      <c r="U73" s="34"/>
      <c r="V73" s="34"/>
      <c r="W73" s="35"/>
      <c r="X73" s="35"/>
      <c r="Y73" s="36"/>
      <c r="Z73" s="36"/>
      <c r="AA73" s="36"/>
      <c r="AB73" s="36"/>
      <c r="AC73" s="36"/>
      <c r="AD73" s="37"/>
      <c r="AE73" s="37"/>
    </row>
    <row r="74" spans="1:31" outlineLevel="1">
      <c r="C74" s="15"/>
      <c r="J74" s="64"/>
      <c r="K74" s="64"/>
      <c r="L74" s="64"/>
    </row>
    <row r="75" spans="1:31" outlineLevel="1">
      <c r="C75" s="9" t="s">
        <v>97</v>
      </c>
      <c r="D75" s="20" t="s">
        <v>7</v>
      </c>
      <c r="E75" s="20" t="s">
        <v>8</v>
      </c>
      <c r="F75" s="20" t="s">
        <v>22</v>
      </c>
      <c r="J75" s="99" t="str">
        <f>IF(YEAR(J$4)&gt;='Input|General'!$G$13,IF(YEAR(J$4)&lt;='Input|General'!$G$14,J$4,""),"")</f>
        <v/>
      </c>
      <c r="K75" s="99" t="str">
        <f>IF(YEAR(K$4)&gt;='Input|General'!$G$13,IF(YEAR(K$4)&lt;='Input|General'!$G$14,K$4,""),"")</f>
        <v/>
      </c>
      <c r="L75" s="99" t="str">
        <f>IF(YEAR(L$4)&gt;='Input|General'!$G$13,IF(YEAR(L$4)&lt;='Input|General'!$G$14,L$4,""),"")</f>
        <v/>
      </c>
      <c r="M75" s="99" t="str">
        <f>IF(YEAR(M$4)&gt;='Input|General'!$G$13,IF(YEAR(M$4)&lt;='Input|General'!$G$14,M$4,""),"")</f>
        <v/>
      </c>
      <c r="N75" s="99" t="str">
        <f>IF(YEAR(N$4)&gt;='Input|General'!$G$13,IF(YEAR(N$4)&lt;='Input|General'!$G$14,N$4,""),"")</f>
        <v/>
      </c>
      <c r="O75" s="99">
        <f>IF(YEAR(O$4)&gt;='Input|General'!$G$13,IF(YEAR(O$4)&lt;='Input|General'!$G$14,O$4,""),"")</f>
        <v>46539</v>
      </c>
      <c r="P75" s="99">
        <f>IF(YEAR(P$4)&gt;='Input|General'!$G$13,IF(YEAR(P$4)&lt;='Input|General'!$G$14,P$4,""),"")</f>
        <v>46905</v>
      </c>
      <c r="Q75" s="99">
        <f>IF(YEAR(Q$4)&gt;='Input|General'!$G$13,IF(YEAR(Q$4)&lt;='Input|General'!$G$14,Q$4,""),"")</f>
        <v>47270</v>
      </c>
      <c r="R75" s="99">
        <f>IF(YEAR(R$4)&gt;='Input|General'!$G$13,IF(YEAR(R$4)&lt;='Input|General'!$G$14,R$4,""),"")</f>
        <v>47635</v>
      </c>
      <c r="S75" s="99">
        <f>IF(YEAR(S$4)&gt;='Input|General'!$G$13,IF(YEAR(S$4)&lt;='Input|General'!$G$14,S$4,""),"")</f>
        <v>48000</v>
      </c>
      <c r="T75" s="99" t="str">
        <f>IF(YEAR(T$4)&gt;='Input|General'!$G$13,IF(YEAR(T$4)&lt;='Input|General'!$G$14,T$4,""),"")</f>
        <v/>
      </c>
    </row>
    <row r="76" spans="1:31" outlineLevel="1">
      <c r="C76" s="9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</row>
    <row r="77" spans="1:31" outlineLevel="1">
      <c r="C77" s="75" t="str">
        <f>'Input|Step changes'!C12</f>
        <v>Customer assistance package</v>
      </c>
      <c r="D77" s="16" t="s">
        <v>30</v>
      </c>
      <c r="E77" s="16" t="str">
        <f t="shared" ref="E77:E97" si="8">$E$8</f>
        <v>$millions</v>
      </c>
      <c r="F77" s="98">
        <f t="shared" ref="F77:F87" si="9">$F$8</f>
        <v>46174</v>
      </c>
      <c r="J77" s="79">
        <f>'Input|Step changes'!J12*INDEX('Input|Rate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K77" s="79">
        <f>'Input|Step changes'!K12*INDEX('Input|Rate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L77" s="79">
        <f>'Input|Step changes'!L12*INDEX('Input|Rate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M77" s="79">
        <f>'Input|Step changes'!M12*INDEX('Input|Rate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N77" s="79">
        <f>'Input|Step changes'!N12*INDEX('Input|Rate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O77" s="79">
        <f>'Input|Step changes'!O12*INDEX('Input|Rate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P77" s="79">
        <f>'Input|Step changes'!P12*INDEX('Input|Rate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Q77" s="79">
        <f>'Input|Step changes'!Q12*INDEX('Input|Rate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R77" s="79">
        <f>'Input|Step changes'!R12*INDEX('Input|Rate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S77" s="79">
        <f>'Input|Step changes'!S12*INDEX('Input|Rate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T77" s="79">
        <f>'Input|Step changes'!T12*INDEX('Input|Rate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</row>
    <row r="78" spans="1:31" outlineLevel="1">
      <c r="C78" s="75" t="str">
        <f>'Input|Step changes'!C13</f>
        <v>Vegetation management</v>
      </c>
      <c r="D78" s="16" t="s">
        <v>30</v>
      </c>
      <c r="E78" s="16" t="str">
        <f t="shared" si="8"/>
        <v>$millions</v>
      </c>
      <c r="F78" s="98">
        <f t="shared" si="9"/>
        <v>46174</v>
      </c>
      <c r="J78" s="79">
        <f>'Input|Step changes'!J13*INDEX('Input|Rate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K78" s="79">
        <f>'Input|Step changes'!K13*INDEX('Input|Rate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L78" s="79">
        <f>'Input|Step changes'!L13*INDEX('Input|Rate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M78" s="79">
        <f>'Input|Step changes'!M13*INDEX('Input|Rate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N78" s="79">
        <f>'Input|Step changes'!N13*INDEX('Input|Rate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O78" s="79">
        <f>'Input|Step changes'!O13*INDEX('Input|Rate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11.509315152655923</v>
      </c>
      <c r="P78" s="79">
        <f>'Input|Step changes'!P13*INDEX('Input|Rate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7.1411632916667838</v>
      </c>
      <c r="Q78" s="79">
        <f>'Input|Step changes'!Q13*INDEX('Input|Rate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4.0907836620689411</v>
      </c>
      <c r="R78" s="79">
        <f>'Input|Step changes'!R13*INDEX('Input|Rate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1.6124222371589616</v>
      </c>
      <c r="S78" s="79">
        <f>'Input|Step changes'!S13*INDEX('Input|Rate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-0.82449745099777727</v>
      </c>
      <c r="T78" s="79">
        <f>'Input|Step changes'!T13*INDEX('Input|Rate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</row>
    <row r="79" spans="1:31" outlineLevel="1">
      <c r="C79" s="75" t="str">
        <f>'Input|Step changes'!C14</f>
        <v>CER integration</v>
      </c>
      <c r="D79" s="16" t="s">
        <v>30</v>
      </c>
      <c r="E79" s="16" t="str">
        <f t="shared" si="8"/>
        <v>$millions</v>
      </c>
      <c r="F79" s="98">
        <f t="shared" si="9"/>
        <v>46174</v>
      </c>
      <c r="J79" s="79">
        <f>'Input|Step changes'!J14*INDEX('Input|Rate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K79" s="79">
        <f>'Input|Step changes'!K14*INDEX('Input|Rate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L79" s="79">
        <f>'Input|Step changes'!L14*INDEX('Input|Rate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M79" s="79">
        <f>'Input|Step changes'!M14*INDEX('Input|Rate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N79" s="79">
        <f>'Input|Step changes'!N14*INDEX('Input|Rate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O79" s="79">
        <f>'Input|Step changes'!O14*INDEX('Input|Rate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1.8614228556771728</v>
      </c>
      <c r="P79" s="79">
        <f>'Input|Step changes'!P14*INDEX('Input|Rate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6.1519845067189021</v>
      </c>
      <c r="Q79" s="79">
        <f>'Input|Step changes'!Q14*INDEX('Input|Rate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6.2312593491818058</v>
      </c>
      <c r="R79" s="79">
        <f>'Input|Step changes'!R14*INDEX('Input|Rate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6.9768189066976252</v>
      </c>
      <c r="S79" s="79">
        <f>'Input|Step changes'!S14*INDEX('Input|Rate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7.3346280783713862</v>
      </c>
      <c r="T79" s="79">
        <f>'Input|Step changes'!T14*INDEX('Input|Rate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</row>
    <row r="80" spans="1:31" outlineLevel="1">
      <c r="C80" s="75" t="str">
        <f>'Input|Step changes'!C15</f>
        <v>Cloud services</v>
      </c>
      <c r="D80" s="16" t="s">
        <v>30</v>
      </c>
      <c r="E80" s="16" t="str">
        <f t="shared" si="8"/>
        <v>$millions</v>
      </c>
      <c r="F80" s="98">
        <f t="shared" si="9"/>
        <v>46174</v>
      </c>
      <c r="J80" s="79">
        <f>'Input|Step changes'!J15*INDEX('Input|Rate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K80" s="79">
        <f>'Input|Step changes'!K15*INDEX('Input|Rate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L80" s="79">
        <f>'Input|Step changes'!L15*INDEX('Input|Rate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M80" s="79">
        <f>'Input|Step changes'!M15*INDEX('Input|Rate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N80" s="79">
        <f>'Input|Step changes'!N15*INDEX('Input|Rate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O80" s="79">
        <f>'Input|Step changes'!O15*INDEX('Input|Rate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3.4045361282983269</v>
      </c>
      <c r="P80" s="79">
        <f>'Input|Step changes'!P15*INDEX('Input|Rate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8.6140913678664557</v>
      </c>
      <c r="Q80" s="79">
        <f>'Input|Step changes'!Q15*INDEX('Input|Rate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5.2433210787486155</v>
      </c>
      <c r="R80" s="79">
        <f>'Input|Step changes'!R15*INDEX('Input|Rate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5.820449755095261</v>
      </c>
      <c r="S80" s="79">
        <f>'Input|Step changes'!S15*INDEX('Input|Rate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2.3090011628489657</v>
      </c>
      <c r="T80" s="79">
        <f>'Input|Step changes'!T15*INDEX('Input|Rate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</row>
    <row r="81" spans="1:31" outlineLevel="1">
      <c r="C81" s="75" t="str">
        <f>'Input|Step changes'!C16</f>
        <v>ICT modernisation and new capability</v>
      </c>
      <c r="D81" s="16" t="s">
        <v>30</v>
      </c>
      <c r="E81" s="16" t="str">
        <f t="shared" si="8"/>
        <v>$millions</v>
      </c>
      <c r="F81" s="98">
        <f t="shared" si="9"/>
        <v>46174</v>
      </c>
      <c r="J81" s="79">
        <f>'Input|Step changes'!J16*INDEX('Input|Rate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K81" s="79">
        <f>'Input|Step changes'!K16*INDEX('Input|Rate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L81" s="79">
        <f>'Input|Step changes'!L16*INDEX('Input|Rate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M81" s="79">
        <f>'Input|Step changes'!M16*INDEX('Input|Rate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N81" s="79">
        <f>'Input|Step changes'!N16*INDEX('Input|Rate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O81" s="79">
        <f>'Input|Step changes'!O16*INDEX('Input|Rate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0.5036600738205782</v>
      </c>
      <c r="P81" s="79">
        <f>'Input|Step changes'!P16*INDEX('Input|Rate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2.3467294724958179</v>
      </c>
      <c r="Q81" s="79">
        <f>'Input|Step changes'!Q16*INDEX('Input|Rate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4.5276809395212565</v>
      </c>
      <c r="R81" s="79">
        <f>'Input|Step changes'!R16*INDEX('Input|Rate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6.0301452564543228</v>
      </c>
      <c r="S81" s="79">
        <f>'Input|Step changes'!S16*INDEX('Input|Rate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6.703506924543853</v>
      </c>
      <c r="T81" s="79">
        <f>'Input|Step changes'!T16*INDEX('Input|Rate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</row>
    <row r="82" spans="1:31" outlineLevel="1">
      <c r="C82" s="75" t="str">
        <f>'Input|Step changes'!C17</f>
        <v>Network and community resilience</v>
      </c>
      <c r="D82" s="16" t="s">
        <v>30</v>
      </c>
      <c r="E82" s="16" t="str">
        <f t="shared" si="8"/>
        <v>$millions</v>
      </c>
      <c r="F82" s="98">
        <f t="shared" si="9"/>
        <v>46174</v>
      </c>
      <c r="J82" s="79">
        <f>'Input|Step changes'!J17*INDEX('Input|Rate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K82" s="79">
        <f>'Input|Step changes'!K17*INDEX('Input|Rate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L82" s="79">
        <f>'Input|Step changes'!L17*INDEX('Input|Rate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M82" s="79">
        <f>'Input|Step changes'!M17*INDEX('Input|Rate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N82" s="79">
        <f>'Input|Step changes'!N17*INDEX('Input|Rate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O82" s="79">
        <f>'Input|Step changes'!O17*INDEX('Input|Rate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P82" s="79">
        <f>'Input|Step changes'!P17*INDEX('Input|Rate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Q82" s="79">
        <f>'Input|Step changes'!Q17*INDEX('Input|Rate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R82" s="79">
        <f>'Input|Step changes'!R17*INDEX('Input|Rate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S82" s="79">
        <f>'Input|Step changes'!S17*INDEX('Input|Rate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T82" s="79">
        <f>'Input|Step changes'!T17*INDEX('Input|Rate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</row>
    <row r="83" spans="1:31" outlineLevel="1">
      <c r="C83" s="75" t="str">
        <f>'Input|Step changes'!C18</f>
        <v>Fleet electrification</v>
      </c>
      <c r="D83" s="16" t="s">
        <v>30</v>
      </c>
      <c r="E83" s="16" t="str">
        <f t="shared" si="8"/>
        <v>$millions</v>
      </c>
      <c r="F83" s="98">
        <f t="shared" si="9"/>
        <v>46174</v>
      </c>
      <c r="J83" s="79">
        <f>'Input|Step changes'!J18*INDEX('Input|Rate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K83" s="79">
        <f>'Input|Step changes'!K18*INDEX('Input|Rate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L83" s="79">
        <f>'Input|Step changes'!L18*INDEX('Input|Rate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M83" s="79">
        <f>'Input|Step changes'!M18*INDEX('Input|Rate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N83" s="79">
        <f>'Input|Step changes'!N18*INDEX('Input|Rate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O83" s="79">
        <f>'Input|Step changes'!O18*INDEX('Input|Rate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P83" s="79">
        <f>'Input|Step changes'!P18*INDEX('Input|Rate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-0.16251776761456393</v>
      </c>
      <c r="Q83" s="79">
        <f>'Input|Step changes'!Q18*INDEX('Input|Rate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-0.25755003300089413</v>
      </c>
      <c r="R83" s="79">
        <f>'Input|Step changes'!R18*INDEX('Input|Rate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-0.27720996350045496</v>
      </c>
      <c r="S83" s="79">
        <f>'Input|Step changes'!S18*INDEX('Input|Rate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-0.29726153738451494</v>
      </c>
      <c r="T83" s="79">
        <f>'Input|Step changes'!T18*INDEX('Input|Rate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</row>
    <row r="84" spans="1:31" outlineLevel="1">
      <c r="C84" s="75" t="str">
        <f>'Input|Step changes'!C19</f>
        <v>Insurance</v>
      </c>
      <c r="D84" s="16" t="s">
        <v>30</v>
      </c>
      <c r="E84" s="16" t="str">
        <f t="shared" si="8"/>
        <v>$millions</v>
      </c>
      <c r="F84" s="98">
        <f t="shared" si="9"/>
        <v>46174</v>
      </c>
      <c r="J84" s="79">
        <f>'Input|Step changes'!J19*INDEX('Input|Rate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K84" s="79">
        <f>'Input|Step changes'!K19*INDEX('Input|Rate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L84" s="79">
        <f>'Input|Step changes'!L19*INDEX('Input|Rate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M84" s="79">
        <f>'Input|Step changes'!M19*INDEX('Input|Rate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N84" s="79">
        <f>'Input|Step changes'!N19*INDEX('Input|Rate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O84" s="79">
        <f>'Input|Step changes'!O19*INDEX('Input|Rate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-1.2889885873443707</v>
      </c>
      <c r="P84" s="79">
        <f>'Input|Step changes'!P19*INDEX('Input|Rate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-1.3468610902652449</v>
      </c>
      <c r="Q84" s="79">
        <f>'Input|Step changes'!Q19*INDEX('Input|Rate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-1.3828587699588653</v>
      </c>
      <c r="R84" s="79">
        <f>'Input|Step changes'!R19*INDEX('Input|Rate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-1.409361032453486</v>
      </c>
      <c r="S84" s="79">
        <f>'Input|Step changes'!S19*INDEX('Input|Rate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-1.4351753682760215</v>
      </c>
      <c r="T84" s="79">
        <f>'Input|Step changes'!T19*INDEX('Input|Rate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</row>
    <row r="85" spans="1:31" outlineLevel="1">
      <c r="C85" s="75" t="str">
        <f>'Input|Step changes'!C20</f>
        <v>Flexible trading arrangements pass through</v>
      </c>
      <c r="D85" s="16" t="s">
        <v>30</v>
      </c>
      <c r="E85" s="16" t="str">
        <f t="shared" si="8"/>
        <v>$millions</v>
      </c>
      <c r="F85" s="98">
        <f t="shared" si="9"/>
        <v>46174</v>
      </c>
      <c r="J85" s="79">
        <f>'Input|Step changes'!J20*INDEX('Input|Rate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K85" s="79">
        <f>'Input|Step changes'!K20*INDEX('Input|Rate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L85" s="79">
        <f>'Input|Step changes'!L20*INDEX('Input|Rate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M85" s="79">
        <f>'Input|Step changes'!M20*INDEX('Input|Rate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N85" s="79">
        <f>'Input|Step changes'!N20*INDEX('Input|Rate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O85" s="79">
        <f>'Input|Step changes'!O20*INDEX('Input|Rate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0.94173691880949451</v>
      </c>
      <c r="P85" s="79">
        <f>'Input|Step changes'!P20*INDEX('Input|Rate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8.16942033686928E-4</v>
      </c>
      <c r="Q85" s="79">
        <f>'Input|Step changes'!Q20*INDEX('Input|Rate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-0.90462424678472375</v>
      </c>
      <c r="R85" s="79">
        <f>'Input|Step changes'!R20*INDEX('Input|Rate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-1.5699360976269308</v>
      </c>
      <c r="S85" s="79">
        <f>'Input|Step changes'!S20*INDEX('Input|Rate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-1.5990198888806739</v>
      </c>
      <c r="T85" s="79">
        <f>'Input|Step changes'!T20*INDEX('Input|Rate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</row>
    <row r="86" spans="1:31" outlineLevel="1">
      <c r="C86" s="75"/>
      <c r="F86" s="67"/>
      <c r="J86" s="79"/>
      <c r="K86" s="79"/>
      <c r="L86" s="79"/>
      <c r="M86" s="79"/>
      <c r="N86" s="79"/>
      <c r="O86" s="79"/>
      <c r="P86" s="79"/>
      <c r="Q86" s="79"/>
      <c r="R86" s="79"/>
      <c r="S86" s="79"/>
      <c r="T86" s="79"/>
    </row>
    <row r="87" spans="1:31" outlineLevel="1">
      <c r="C87" s="68" t="s">
        <v>48</v>
      </c>
      <c r="D87" s="76" t="s">
        <v>30</v>
      </c>
      <c r="E87" s="76" t="str">
        <f>$E$8</f>
        <v>$millions</v>
      </c>
      <c r="F87" s="101">
        <f t="shared" si="9"/>
        <v>46174</v>
      </c>
      <c r="G87" s="20"/>
      <c r="H87" s="20"/>
      <c r="I87" s="20"/>
      <c r="J87" s="80">
        <f>SUM(J76:J86)</f>
        <v>0</v>
      </c>
      <c r="K87" s="80">
        <f t="shared" ref="K87:S87" si="10">SUM(K76:K86)</f>
        <v>0</v>
      </c>
      <c r="L87" s="80">
        <f t="shared" si="10"/>
        <v>0</v>
      </c>
      <c r="M87" s="80">
        <f t="shared" si="10"/>
        <v>0</v>
      </c>
      <c r="N87" s="80">
        <f t="shared" si="10"/>
        <v>0</v>
      </c>
      <c r="O87" s="80">
        <f t="shared" si="10"/>
        <v>16.931682541917127</v>
      </c>
      <c r="P87" s="80">
        <f t="shared" si="10"/>
        <v>22.745406722901834</v>
      </c>
      <c r="Q87" s="80">
        <f t="shared" si="10"/>
        <v>17.548011979776138</v>
      </c>
      <c r="R87" s="80">
        <f t="shared" si="10"/>
        <v>17.183329061825297</v>
      </c>
      <c r="S87" s="80">
        <f t="shared" si="10"/>
        <v>12.191181920225215</v>
      </c>
      <c r="T87" s="80">
        <f t="shared" ref="T87" si="11">SUM(T76:T86)</f>
        <v>0</v>
      </c>
    </row>
    <row r="88" spans="1:31">
      <c r="C88" s="77"/>
      <c r="J88" s="64"/>
      <c r="K88" s="64"/>
      <c r="L88" s="64"/>
      <c r="M88" s="64"/>
      <c r="N88" s="22"/>
      <c r="O88" s="22"/>
      <c r="P88" s="22"/>
      <c r="Q88" s="22"/>
      <c r="R88" s="22"/>
      <c r="S88" s="22"/>
      <c r="T88" s="22"/>
    </row>
    <row r="89" spans="1:31" customFormat="1" ht="12.75">
      <c r="A89" s="32"/>
      <c r="B89" s="38" t="s">
        <v>107</v>
      </c>
      <c r="C89" s="32"/>
      <c r="D89" s="32"/>
      <c r="E89" s="32"/>
      <c r="F89" s="33"/>
      <c r="G89" s="33"/>
      <c r="H89" s="33"/>
      <c r="I89" s="33"/>
      <c r="J89" s="34"/>
      <c r="K89" s="35"/>
      <c r="L89" s="34"/>
      <c r="M89" s="35"/>
      <c r="N89" s="34"/>
      <c r="O89" s="34"/>
      <c r="P89" s="34"/>
      <c r="Q89" s="34"/>
      <c r="R89" s="34"/>
      <c r="S89" s="34"/>
      <c r="T89" s="34"/>
      <c r="U89" s="34"/>
      <c r="V89" s="34"/>
      <c r="W89" s="35"/>
      <c r="X89" s="35"/>
      <c r="Y89" s="36"/>
      <c r="Z89" s="36"/>
      <c r="AA89" s="36"/>
      <c r="AB89" s="36"/>
      <c r="AC89" s="36"/>
      <c r="AD89" s="37"/>
      <c r="AE89" s="37"/>
    </row>
    <row r="90" spans="1:31" outlineLevel="1">
      <c r="C90" s="15"/>
      <c r="J90" s="64"/>
      <c r="K90" s="64"/>
      <c r="L90" s="64"/>
    </row>
    <row r="91" spans="1:31" outlineLevel="1">
      <c r="C91" s="9" t="s">
        <v>102</v>
      </c>
      <c r="D91" s="20" t="s">
        <v>7</v>
      </c>
      <c r="E91" s="20" t="s">
        <v>8</v>
      </c>
      <c r="F91" s="20" t="s">
        <v>22</v>
      </c>
      <c r="J91" s="99" t="str">
        <f>IF(YEAR(J$4)&gt;='Input|General'!$G$13,IF(YEAR(J$4)&lt;='Input|General'!$G$14,J$4,""),"")</f>
        <v/>
      </c>
      <c r="K91" s="99" t="str">
        <f>IF(YEAR(K$4)&gt;='Input|General'!$G$13,IF(YEAR(K$4)&lt;='Input|General'!$G$14,K$4,""),"")</f>
        <v/>
      </c>
      <c r="L91" s="99" t="str">
        <f>IF(YEAR(L$4)&gt;='Input|General'!$G$13,IF(YEAR(L$4)&lt;='Input|General'!$G$14,L$4,""),"")</f>
        <v/>
      </c>
      <c r="M91" s="99" t="str">
        <f>IF(YEAR(M$4)&gt;='Input|General'!$G$13,IF(YEAR(M$4)&lt;='Input|General'!$G$14,M$4,""),"")</f>
        <v/>
      </c>
      <c r="N91" s="99" t="str">
        <f>IF(YEAR(N$4)&gt;='Input|General'!$G$13,IF(YEAR(N$4)&lt;='Input|General'!$G$14,N$4,""),"")</f>
        <v/>
      </c>
      <c r="O91" s="99">
        <f>IF(YEAR(O$4)&gt;='Input|General'!$G$13,IF(YEAR(O$4)&lt;='Input|General'!$G$14,O$4,""),"")</f>
        <v>46539</v>
      </c>
      <c r="P91" s="99">
        <f>IF(YEAR(P$4)&gt;='Input|General'!$G$13,IF(YEAR(P$4)&lt;='Input|General'!$G$14,P$4,""),"")</f>
        <v>46905</v>
      </c>
      <c r="Q91" s="99">
        <f>IF(YEAR(Q$4)&gt;='Input|General'!$G$13,IF(YEAR(Q$4)&lt;='Input|General'!$G$14,Q$4,""),"")</f>
        <v>47270</v>
      </c>
      <c r="R91" s="99">
        <f>IF(YEAR(R$4)&gt;='Input|General'!$G$13,IF(YEAR(R$4)&lt;='Input|General'!$G$14,R$4,""),"")</f>
        <v>47635</v>
      </c>
      <c r="S91" s="99">
        <f>IF(YEAR(S$4)&gt;='Input|General'!$G$13,IF(YEAR(S$4)&lt;='Input|General'!$G$14,S$4,""),"")</f>
        <v>48000</v>
      </c>
      <c r="T91" s="99" t="str">
        <f>IF(YEAR(T$4)&gt;='Input|General'!$G$13,IF(YEAR(T$4)&lt;='Input|General'!$G$14,T$4,""),"")</f>
        <v/>
      </c>
    </row>
    <row r="92" spans="1:31" outlineLevel="1">
      <c r="C92" s="9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</row>
    <row r="93" spans="1:31" outlineLevel="1">
      <c r="C93" s="75" t="str">
        <f>'Input|Step changes'!C28</f>
        <v>GSL payments</v>
      </c>
      <c r="D93" s="16" t="s">
        <v>30</v>
      </c>
      <c r="E93" s="16" t="str">
        <f t="shared" si="8"/>
        <v>$millions</v>
      </c>
      <c r="F93" s="98">
        <f t="shared" ref="F93:F97" si="12">$F$8</f>
        <v>46174</v>
      </c>
      <c r="J93" s="79">
        <f>'Input|Step changes'!J28*INDEX('Input|Rate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K93" s="79">
        <f>'Input|Step changes'!K28*INDEX('Input|Rate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L93" s="79">
        <f>'Input|Step changes'!L28*INDEX('Input|Rate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M93" s="79">
        <f>'Input|Step changes'!M28*INDEX('Input|Rate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N93" s="79">
        <f>'Input|Step changes'!N28*INDEX('Input|Rate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O93" s="79">
        <f>'Input|Step changes'!O28*INDEX('Input|Rate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3.4233634848485646</v>
      </c>
      <c r="P93" s="79">
        <f>'Input|Step changes'!P28*INDEX('Input|Rate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3.3359645752626421</v>
      </c>
      <c r="Q93" s="79">
        <f>'Input|Step changes'!Q28*INDEX('Input|Rate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3.2507969710670515</v>
      </c>
      <c r="R93" s="79">
        <f>'Input|Step changes'!R28*INDEX('Input|Rate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3.1678037067485092</v>
      </c>
      <c r="S93" s="79">
        <f>'Input|Step changes'!S28*INDEX('Input|Rate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3.0869292711306069</v>
      </c>
      <c r="T93" s="79">
        <f>'Input|Step changes'!T28*INDEX('Input|Rate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</row>
    <row r="94" spans="1:31" outlineLevel="1">
      <c r="C94" s="75" t="str">
        <f>'Input|Step changes'!C29</f>
        <v>Network innovation fund</v>
      </c>
      <c r="D94" s="16" t="s">
        <v>30</v>
      </c>
      <c r="E94" s="16" t="str">
        <f t="shared" si="8"/>
        <v>$millions</v>
      </c>
      <c r="F94" s="98">
        <f t="shared" si="12"/>
        <v>46174</v>
      </c>
      <c r="J94" s="79">
        <f>'Input|Step changes'!J29*INDEX('Input|Rate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K94" s="79">
        <f>'Input|Step changes'!K29*INDEX('Input|Rate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L94" s="79">
        <f>'Input|Step changes'!L29*INDEX('Input|Rate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M94" s="79">
        <f>'Input|Step changes'!M29*INDEX('Input|Rate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N94" s="79">
        <f>'Input|Step changes'!N29*INDEX('Input|Rate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O94" s="79">
        <f>'Input|Step changes'!O29*INDEX('Input|Rate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0.39185199999999998</v>
      </c>
      <c r="P94" s="79">
        <f>'Input|Step changes'!P29*INDEX('Input|Rate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0.39185199999999998</v>
      </c>
      <c r="Q94" s="79">
        <f>'Input|Step changes'!Q29*INDEX('Input|Rate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0.39185199999999998</v>
      </c>
      <c r="R94" s="79">
        <f>'Input|Step changes'!R29*INDEX('Input|Rate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0.39185199999999998</v>
      </c>
      <c r="S94" s="79">
        <f>'Input|Step changes'!S29*INDEX('Input|Rate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0.39185199999999998</v>
      </c>
      <c r="T94" s="79">
        <f>'Input|Step changes'!T29*INDEX('Input|Rate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</row>
    <row r="95" spans="1:31" outlineLevel="1">
      <c r="C95" s="75" t="str">
        <f>'Input|Step changes'!C30</f>
        <v>Customer assistance package</v>
      </c>
      <c r="D95" s="16" t="s">
        <v>30</v>
      </c>
      <c r="E95" s="16" t="str">
        <f t="shared" si="8"/>
        <v>$millions</v>
      </c>
      <c r="F95" s="98">
        <f t="shared" si="12"/>
        <v>46174</v>
      </c>
      <c r="J95" s="79">
        <f>'Input|Step changes'!J30*INDEX('Input|Rate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K95" s="79">
        <f>'Input|Step changes'!K30*INDEX('Input|Rate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L95" s="79">
        <f>'Input|Step changes'!L30*INDEX('Input|Rate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M95" s="79">
        <f>'Input|Step changes'!M30*INDEX('Input|Rate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N95" s="79">
        <f>'Input|Step changes'!N30*INDEX('Input|Rate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O95" s="79">
        <f>'Input|Step changes'!O30*INDEX('Input|Rate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3.1040424764344534</v>
      </c>
      <c r="P95" s="79">
        <f>'Input|Step changes'!P30*INDEX('Input|Rate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3.128919280713534</v>
      </c>
      <c r="Q95" s="79">
        <f>'Input|Step changes'!Q30*INDEX('Input|Rate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3.1576264300029884</v>
      </c>
      <c r="R95" s="79">
        <f>'Input|Step changes'!R30*INDEX('Input|Rate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3.1896245900421114</v>
      </c>
      <c r="S95" s="79">
        <f>'Input|Step changes'!S30*INDEX('Input|Rate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3.2205160191152942</v>
      </c>
      <c r="T95" s="79">
        <f>'Input|Step changes'!T30*INDEX('Input|Rate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</row>
    <row r="96" spans="1:31" outlineLevel="1">
      <c r="C96" s="75">
        <f>'Input|Step changes'!C31</f>
        <v>0</v>
      </c>
      <c r="D96" s="16" t="s">
        <v>30</v>
      </c>
      <c r="E96" s="16" t="str">
        <f t="shared" si="8"/>
        <v>$millions</v>
      </c>
      <c r="F96" s="98">
        <f t="shared" si="12"/>
        <v>46174</v>
      </c>
      <c r="J96" s="79">
        <f>'Input|Step changes'!J31*INDEX('Input|Rate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K96" s="79">
        <f>'Input|Step changes'!K31*INDEX('Input|Rate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L96" s="79">
        <f>'Input|Step changes'!L31*INDEX('Input|Rate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M96" s="79">
        <f>'Input|Step changes'!M31*INDEX('Input|Rate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N96" s="79">
        <f>'Input|Step changes'!N31*INDEX('Input|Rate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O96" s="79">
        <f>'Input|Step changes'!O31*INDEX('Input|Rate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P96" s="79">
        <f>'Input|Step changes'!P31*INDEX('Input|Rate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Q96" s="79">
        <f>'Input|Step changes'!Q31*INDEX('Input|Rate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R96" s="79">
        <f>'Input|Step changes'!R31*INDEX('Input|Rate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S96" s="79">
        <f>'Input|Step changes'!S31*INDEX('Input|Rate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T96" s="79">
        <f>'Input|Step changes'!T31*INDEX('Input|Rate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</row>
    <row r="97" spans="1:39" outlineLevel="1">
      <c r="C97" s="75">
        <f>'Input|Step changes'!C32</f>
        <v>0</v>
      </c>
      <c r="D97" s="16" t="s">
        <v>30</v>
      </c>
      <c r="E97" s="16" t="str">
        <f t="shared" si="8"/>
        <v>$millions</v>
      </c>
      <c r="F97" s="98">
        <f t="shared" si="12"/>
        <v>46174</v>
      </c>
      <c r="J97" s="79">
        <f>'Input|Step changes'!J32*INDEX('Input|Rate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K97" s="79">
        <f>'Input|Step changes'!K32*INDEX('Input|Rate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L97" s="79">
        <f>'Input|Step changes'!L32*INDEX('Input|Rate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M97" s="79">
        <f>'Input|Step changes'!M32*INDEX('Input|Rate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N97" s="79">
        <f>'Input|Step changes'!N32*INDEX('Input|Rate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O97" s="79">
        <f>'Input|Step changes'!O32*INDEX('Input|Rate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P97" s="79">
        <f>'Input|Step changes'!P32*INDEX('Input|Rate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Q97" s="79">
        <f>'Input|Step changes'!Q32*INDEX('Input|Rate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R97" s="79">
        <f>'Input|Step changes'!R32*INDEX('Input|Rate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S97" s="79">
        <f>'Input|Step changes'!S32*INDEX('Input|Rate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T97" s="79">
        <f>'Input|Step changes'!T32*INDEX('Input|Rate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U97" s="64"/>
      <c r="V97" s="64"/>
      <c r="W97" s="64"/>
      <c r="X97" s="64"/>
      <c r="Y97" s="64"/>
      <c r="Z97" s="64"/>
      <c r="AA97" s="64"/>
      <c r="AB97" s="64"/>
      <c r="AC97" s="64"/>
      <c r="AD97" s="64"/>
      <c r="AE97" s="64"/>
      <c r="AF97" s="64"/>
      <c r="AG97" s="64"/>
      <c r="AH97" s="64"/>
      <c r="AI97" s="64"/>
      <c r="AJ97" s="64"/>
      <c r="AK97" s="64"/>
      <c r="AL97" s="64"/>
      <c r="AM97" s="64"/>
    </row>
    <row r="98" spans="1:39" outlineLevel="1">
      <c r="C98" s="75"/>
      <c r="F98" s="67"/>
      <c r="J98" s="79"/>
      <c r="K98" s="79"/>
      <c r="L98" s="79"/>
      <c r="M98" s="79"/>
      <c r="N98" s="79"/>
      <c r="O98" s="79"/>
      <c r="P98" s="79"/>
      <c r="Q98" s="79"/>
      <c r="R98" s="79"/>
      <c r="S98" s="79"/>
      <c r="T98" s="79"/>
      <c r="U98" s="64"/>
      <c r="V98" s="64"/>
      <c r="W98" s="64"/>
      <c r="X98" s="64"/>
      <c r="Y98" s="64"/>
      <c r="Z98" s="64"/>
      <c r="AA98" s="64"/>
      <c r="AB98" s="64"/>
      <c r="AC98" s="64"/>
      <c r="AD98" s="64"/>
      <c r="AE98" s="64"/>
      <c r="AF98" s="64"/>
      <c r="AG98" s="64"/>
      <c r="AH98" s="64"/>
      <c r="AI98" s="64"/>
      <c r="AJ98" s="64"/>
      <c r="AK98" s="64"/>
      <c r="AL98" s="64"/>
      <c r="AM98" s="64"/>
    </row>
    <row r="99" spans="1:39" outlineLevel="1">
      <c r="C99" s="68" t="s">
        <v>108</v>
      </c>
      <c r="D99" s="76" t="s">
        <v>30</v>
      </c>
      <c r="E99" s="76" t="str">
        <f>$E$8</f>
        <v>$millions</v>
      </c>
      <c r="F99" s="101">
        <f t="shared" ref="F99" si="13">$F$8</f>
        <v>46174</v>
      </c>
      <c r="G99" s="20"/>
      <c r="H99" s="20"/>
      <c r="I99" s="20"/>
      <c r="J99" s="80">
        <f t="shared" ref="J99:T99" si="14">SUM(J92:J97)</f>
        <v>0</v>
      </c>
      <c r="K99" s="80">
        <f t="shared" si="14"/>
        <v>0</v>
      </c>
      <c r="L99" s="80">
        <f t="shared" si="14"/>
        <v>0</v>
      </c>
      <c r="M99" s="80">
        <f t="shared" si="14"/>
        <v>0</v>
      </c>
      <c r="N99" s="80">
        <f t="shared" si="14"/>
        <v>0</v>
      </c>
      <c r="O99" s="80">
        <f t="shared" si="14"/>
        <v>6.9192579612830176</v>
      </c>
      <c r="P99" s="80">
        <f t="shared" si="14"/>
        <v>6.8567358559761757</v>
      </c>
      <c r="Q99" s="80">
        <f t="shared" si="14"/>
        <v>6.8002754010700404</v>
      </c>
      <c r="R99" s="80">
        <f t="shared" si="14"/>
        <v>6.7492802967906211</v>
      </c>
      <c r="S99" s="80">
        <f t="shared" si="14"/>
        <v>6.6992972902459016</v>
      </c>
      <c r="T99" s="80">
        <f t="shared" si="14"/>
        <v>0</v>
      </c>
    </row>
    <row r="100" spans="1:39">
      <c r="C100" s="77"/>
      <c r="J100" s="64"/>
      <c r="K100" s="64"/>
      <c r="L100" s="64"/>
      <c r="M100" s="64"/>
      <c r="N100" s="22"/>
      <c r="O100" s="22"/>
      <c r="P100" s="22"/>
      <c r="Q100" s="22"/>
      <c r="R100" s="22"/>
      <c r="S100" s="22"/>
      <c r="T100" s="22"/>
    </row>
    <row r="101" spans="1:39" customFormat="1" ht="12.75">
      <c r="A101" s="32"/>
      <c r="B101" s="38" t="s">
        <v>86</v>
      </c>
      <c r="C101" s="32"/>
      <c r="D101" s="32"/>
      <c r="E101" s="32"/>
      <c r="F101" s="33"/>
      <c r="G101" s="33"/>
      <c r="H101" s="33"/>
      <c r="I101" s="33"/>
      <c r="J101" s="34"/>
      <c r="K101" s="35"/>
      <c r="L101" s="34"/>
      <c r="M101" s="35"/>
      <c r="N101" s="34"/>
      <c r="O101" s="34"/>
      <c r="P101" s="34"/>
      <c r="Q101" s="34"/>
      <c r="R101" s="34"/>
      <c r="S101" s="34"/>
      <c r="T101" s="34"/>
      <c r="U101" s="34"/>
      <c r="V101" s="34"/>
      <c r="W101" s="35"/>
      <c r="X101" s="35"/>
      <c r="Y101" s="36"/>
      <c r="Z101" s="36"/>
      <c r="AA101" s="36"/>
      <c r="AB101" s="36"/>
      <c r="AC101" s="36"/>
      <c r="AD101" s="37"/>
      <c r="AE101" s="37"/>
    </row>
    <row r="102" spans="1:39" outlineLevel="1">
      <c r="C102" s="15"/>
      <c r="J102" s="64"/>
      <c r="K102" s="64"/>
      <c r="L102" s="64"/>
    </row>
    <row r="103" spans="1:39" outlineLevel="1">
      <c r="C103" s="9"/>
      <c r="J103" s="99" t="str">
        <f>IF(YEAR(J$4)&gt;='Input|General'!$G$13,IF(YEAR(J$4)&lt;='Input|General'!$G$14,J$4,""),"")</f>
        <v/>
      </c>
      <c r="K103" s="99" t="str">
        <f>IF(YEAR(K$4)&gt;='Input|General'!$G$13,IF(YEAR(K$4)&lt;='Input|General'!$G$14,K$4,""),"")</f>
        <v/>
      </c>
      <c r="L103" s="99" t="str">
        <f>IF(YEAR(L$4)&gt;='Input|General'!$G$13,IF(YEAR(L$4)&lt;='Input|General'!$G$14,L$4,""),"")</f>
        <v/>
      </c>
      <c r="M103" s="99" t="str">
        <f>IF(YEAR(M$4)&gt;='Input|General'!$G$13,IF(YEAR(M$4)&lt;='Input|General'!$G$14,M$4,""),"")</f>
        <v/>
      </c>
      <c r="N103" s="99" t="str">
        <f>IF(YEAR(N$4)&gt;='Input|General'!$G$13,IF(YEAR(N$4)&lt;='Input|General'!$G$14,N$4,""),"")</f>
        <v/>
      </c>
      <c r="O103" s="99">
        <f>IF(YEAR(O$4)&gt;='Input|General'!$G$13,IF(YEAR(O$4)&lt;='Input|General'!$G$14,O$4,""),"")</f>
        <v>46539</v>
      </c>
      <c r="P103" s="99">
        <f>IF(YEAR(P$4)&gt;='Input|General'!$G$13,IF(YEAR(P$4)&lt;='Input|General'!$G$14,P$4,""),"")</f>
        <v>46905</v>
      </c>
      <c r="Q103" s="99">
        <f>IF(YEAR(Q$4)&gt;='Input|General'!$G$13,IF(YEAR(Q$4)&lt;='Input|General'!$G$14,Q$4,""),"")</f>
        <v>47270</v>
      </c>
      <c r="R103" s="99">
        <f>IF(YEAR(R$4)&gt;='Input|General'!$G$13,IF(YEAR(R$4)&lt;='Input|General'!$G$14,R$4,""),"")</f>
        <v>47635</v>
      </c>
      <c r="S103" s="99">
        <f>IF(YEAR(S$4)&gt;='Input|General'!$G$13,IF(YEAR(S$4)&lt;='Input|General'!$G$14,S$4,""),"")</f>
        <v>48000</v>
      </c>
      <c r="T103" s="99" t="str">
        <f>IF(YEAR(T$4)&gt;='Input|General'!$G$13,IF(YEAR(T$4)&lt;='Input|General'!$G$14,T$4,""),"")</f>
        <v/>
      </c>
    </row>
    <row r="104" spans="1:39" outlineLevel="1">
      <c r="C104" s="9"/>
      <c r="J104" s="78"/>
      <c r="K104" s="78"/>
      <c r="L104" s="78"/>
      <c r="M104" s="78"/>
      <c r="N104" s="78"/>
      <c r="O104" s="78"/>
      <c r="P104" s="78"/>
      <c r="Q104" s="78"/>
      <c r="R104" s="78"/>
      <c r="S104" s="78"/>
      <c r="T104" s="78"/>
    </row>
    <row r="105" spans="1:39" outlineLevel="1">
      <c r="C105" s="77" t="s">
        <v>124</v>
      </c>
      <c r="D105" s="20" t="s">
        <v>30</v>
      </c>
      <c r="E105" s="20" t="str">
        <f>$E$8</f>
        <v>$millions</v>
      </c>
      <c r="F105" s="101">
        <f t="shared" ref="F105:F107" si="15">$F$8</f>
        <v>46174</v>
      </c>
      <c r="J105" s="90" t="str">
        <f t="shared" ref="J105:T105" si="16">IF(YEAR(J$4)&gt;=FPFirstYear,IF(YEAR(J$4)&lt;=FPLastYear,IF(ISBLANK(J103),"",(1+J71)*SUM($J54:$S54)+J87),""),"")</f>
        <v/>
      </c>
      <c r="K105" s="90" t="str">
        <f t="shared" si="16"/>
        <v/>
      </c>
      <c r="L105" s="90" t="str">
        <f t="shared" si="16"/>
        <v/>
      </c>
      <c r="M105" s="90" t="str">
        <f t="shared" si="16"/>
        <v/>
      </c>
      <c r="N105" s="90" t="str">
        <f t="shared" si="16"/>
        <v/>
      </c>
      <c r="O105" s="90">
        <f t="shared" ca="1" si="16"/>
        <v>372.10694610837425</v>
      </c>
      <c r="P105" s="90">
        <f t="shared" ca="1" si="16"/>
        <v>393.86718966120236</v>
      </c>
      <c r="Q105" s="90">
        <f t="shared" ca="1" si="16"/>
        <v>398.58880079484999</v>
      </c>
      <c r="R105" s="90">
        <f t="shared" ca="1" si="16"/>
        <v>405.52670236760224</v>
      </c>
      <c r="S105" s="90">
        <f t="shared" ca="1" si="16"/>
        <v>407.64758447977675</v>
      </c>
      <c r="T105" s="90" t="str">
        <f t="shared" si="16"/>
        <v/>
      </c>
    </row>
    <row r="106" spans="1:39" outlineLevel="1">
      <c r="C106" s="77" t="s">
        <v>100</v>
      </c>
      <c r="D106" s="20" t="s">
        <v>30</v>
      </c>
      <c r="E106" s="20" t="str">
        <f>$E$8</f>
        <v>$millions</v>
      </c>
      <c r="F106" s="101">
        <f t="shared" si="15"/>
        <v>46174</v>
      </c>
      <c r="J106" s="90" t="str">
        <f t="shared" ref="J106:T106" si="17">IF(YEAR(J$4)&gt;=FPFirstYear,IF(YEAR(J$4)&lt;=FPLastYear,IF(ISBLANK(J103),"",(1+J71)*SUM($J54:$S54)+J87+J99),""),"")</f>
        <v/>
      </c>
      <c r="K106" s="90" t="str">
        <f t="shared" si="17"/>
        <v/>
      </c>
      <c r="L106" s="90" t="str">
        <f t="shared" si="17"/>
        <v/>
      </c>
      <c r="M106" s="90" t="str">
        <f t="shared" si="17"/>
        <v/>
      </c>
      <c r="N106" s="90" t="str">
        <f t="shared" si="17"/>
        <v/>
      </c>
      <c r="O106" s="90">
        <f t="shared" ca="1" si="17"/>
        <v>379.02620406965724</v>
      </c>
      <c r="P106" s="90">
        <f t="shared" ca="1" si="17"/>
        <v>400.72392551717854</v>
      </c>
      <c r="Q106" s="90">
        <f t="shared" ca="1" si="17"/>
        <v>405.38907619592004</v>
      </c>
      <c r="R106" s="90">
        <f t="shared" ca="1" si="17"/>
        <v>412.27598266439287</v>
      </c>
      <c r="S106" s="90">
        <f t="shared" ca="1" si="17"/>
        <v>414.34688177002266</v>
      </c>
      <c r="T106" s="90" t="str">
        <f t="shared" si="17"/>
        <v/>
      </c>
    </row>
    <row r="107" spans="1:39" outlineLevel="1">
      <c r="C107" s="77" t="s">
        <v>101</v>
      </c>
      <c r="D107" s="20" t="s">
        <v>30</v>
      </c>
      <c r="E107" s="20" t="str">
        <f>$E$8</f>
        <v>$millions</v>
      </c>
      <c r="F107" s="101">
        <f t="shared" si="15"/>
        <v>46174</v>
      </c>
      <c r="J107" s="90" t="str">
        <f>IF(YEAR(J$4)&gt;=FPFirstYear,IF(YEAR(J$4)&lt;=FPLastYear,J106+'Input|Step changes'!J40,""),"")</f>
        <v/>
      </c>
      <c r="K107" s="90" t="str">
        <f>IF(YEAR(K$4)&gt;=FPFirstYear,IF(YEAR(K$4)&lt;=FPLastYear,K106+'Input|Step changes'!K40,""),"")</f>
        <v/>
      </c>
      <c r="L107" s="90" t="str">
        <f>IF(YEAR(L$4)&gt;=FPFirstYear,IF(YEAR(L$4)&lt;=FPLastYear,L106+'Input|Step changes'!L40,""),"")</f>
        <v/>
      </c>
      <c r="M107" s="90" t="str">
        <f>IF(YEAR(M$4)&gt;=FPFirstYear,IF(YEAR(M$4)&lt;=FPLastYear,M106+'Input|Step changes'!M40,""),"")</f>
        <v/>
      </c>
      <c r="N107" s="90" t="str">
        <f>IF(YEAR(N$4)&gt;=FPFirstYear,IF(YEAR(N$4)&lt;=FPLastYear,N106+'Input|Step changes'!N40,""),"")</f>
        <v/>
      </c>
      <c r="O107" s="90">
        <f ca="1">IF(YEAR(O$4)&gt;=FPFirstYear,IF(YEAR(O$4)&lt;=FPLastYear,O106+'Input|Step changes'!O40,""),"")</f>
        <v>382.26697384434652</v>
      </c>
      <c r="P107" s="90">
        <f ca="1">IF(YEAR(P$4)&gt;=FPFirstYear,IF(YEAR(P$4)&lt;=FPLastYear,P106+'Input|Step changes'!P40,""),"")</f>
        <v>404.18019524630381</v>
      </c>
      <c r="Q107" s="90">
        <f ca="1">IF(YEAR(Q$4)&gt;=FPFirstYear,IF(YEAR(Q$4)&lt;=FPLastYear,Q106+'Input|Step changes'!Q40,""),"")</f>
        <v>409.0246434046004</v>
      </c>
      <c r="R107" s="90">
        <f ca="1">IF(YEAR(R$4)&gt;=FPFirstYear,IF(YEAR(R$4)&lt;=FPLastYear,R106+'Input|Step changes'!R40,""),"")</f>
        <v>416.04000055634123</v>
      </c>
      <c r="S107" s="90">
        <f ca="1">IF(YEAR(S$4)&gt;=FPFirstYear,IF(YEAR(S$4)&lt;=FPLastYear,S106+'Input|Step changes'!S40,""),"")</f>
        <v>418.23058912863388</v>
      </c>
      <c r="T107" s="90" t="str">
        <f>IF(YEAR(T$4)&gt;=FPFirstYear,IF(YEAR(T$4)&lt;=FPLastYear,T106+'Input|Step changes'!T40,""),"")</f>
        <v/>
      </c>
    </row>
    <row r="108" spans="1:39">
      <c r="C108" s="77"/>
      <c r="J108" s="64"/>
      <c r="K108" s="64"/>
      <c r="L108" s="64"/>
      <c r="M108" s="64"/>
      <c r="N108" s="22"/>
      <c r="O108" s="22"/>
      <c r="P108" s="22"/>
      <c r="Q108" s="22"/>
      <c r="R108" s="22"/>
      <c r="S108" s="22"/>
      <c r="T108" s="22"/>
    </row>
    <row r="109" spans="1:39" customFormat="1" ht="12.75">
      <c r="A109" s="32"/>
      <c r="B109" s="38" t="s">
        <v>21</v>
      </c>
      <c r="C109" s="32"/>
      <c r="D109" s="32"/>
      <c r="E109" s="32"/>
      <c r="F109" s="33"/>
      <c r="G109" s="33"/>
      <c r="H109" s="33"/>
      <c r="I109" s="33"/>
      <c r="J109" s="34"/>
      <c r="K109" s="35"/>
      <c r="L109" s="34"/>
      <c r="M109" s="35"/>
      <c r="N109" s="34"/>
      <c r="O109" s="34"/>
      <c r="P109" s="34"/>
      <c r="Q109" s="34"/>
      <c r="R109" s="34"/>
      <c r="S109" s="34"/>
      <c r="T109" s="34"/>
      <c r="U109" s="34"/>
      <c r="V109" s="34"/>
      <c r="W109" s="35"/>
      <c r="X109" s="35"/>
      <c r="Y109" s="36"/>
      <c r="Z109" s="36"/>
      <c r="AA109" s="36"/>
      <c r="AB109" s="36"/>
      <c r="AC109" s="36"/>
      <c r="AD109" s="37"/>
      <c r="AE109" s="37"/>
    </row>
    <row r="118" s="8" customFormat="1" hidden="1"/>
    <row r="119" s="8" customFormat="1" hidden="1"/>
    <row r="120" s="8" customFormat="1" hidden="1"/>
    <row r="121" s="8" customFormat="1" hidden="1"/>
    <row r="122" s="8" customFormat="1" hidden="1"/>
    <row r="123" s="8" customFormat="1" hidden="1"/>
    <row r="124" s="8" customFormat="1" hidden="1"/>
    <row r="125" s="8" customFormat="1" hidden="1"/>
    <row r="126" s="8" customFormat="1" hidden="1"/>
    <row r="127" s="8" customFormat="1" hidden="1"/>
    <row r="128" s="8" customFormat="1" hidden="1"/>
    <row r="129" s="8" customFormat="1" hidden="1"/>
    <row r="130" s="8" customFormat="1" hidden="1"/>
    <row r="131" s="8" customFormat="1" hidden="1"/>
    <row r="132" s="8" customFormat="1" hidden="1"/>
    <row r="133" s="8" customFormat="1" hidden="1"/>
    <row r="134" s="8" customFormat="1" hidden="1"/>
    <row r="135" s="8" customFormat="1" hidden="1"/>
    <row r="136" s="8" customFormat="1" hidden="1"/>
    <row r="137" s="8" customFormat="1" hidden="1"/>
    <row r="138" s="8" customFormat="1" hidden="1"/>
    <row r="139" s="8" customFormat="1" hidden="1"/>
    <row r="140" s="8" customFormat="1" hidden="1"/>
    <row r="141" s="8" customFormat="1" hidden="1"/>
    <row r="142" s="8" customFormat="1" hidden="1"/>
    <row r="143" s="8" customFormat="1" hidden="1"/>
    <row r="144" s="8" customFormat="1" hidden="1"/>
    <row r="145" s="8" customFormat="1" hidden="1"/>
    <row r="146" s="8" customFormat="1" hidden="1"/>
    <row r="147" s="8" customFormat="1" hidden="1"/>
    <row r="148" s="8" customFormat="1" hidden="1"/>
    <row r="149" s="8" customFormat="1" hidden="1"/>
    <row r="150" s="8" customFormat="1" hidden="1"/>
    <row r="151" s="8" customFormat="1" hidden="1"/>
    <row r="152" s="8" customFormat="1" hidden="1"/>
    <row r="153" s="8" customFormat="1" hidden="1"/>
    <row r="154" s="8" customFormat="1" hidden="1"/>
    <row r="155" s="8" customFormat="1" hidden="1"/>
    <row r="156" s="8" customFormat="1" hidden="1"/>
    <row r="157" s="8" customFormat="1" hidden="1"/>
    <row r="158" s="8" customFormat="1" hidden="1"/>
    <row r="159" s="8" customFormat="1" hidden="1"/>
    <row r="160" s="8" customFormat="1" hidden="1"/>
    <row r="161" s="8" customFormat="1" hidden="1"/>
    <row r="162" s="8" customFormat="1" hidden="1"/>
    <row r="163" s="8" customFormat="1" hidden="1"/>
    <row r="164" s="8" customFormat="1" hidden="1"/>
    <row r="165" s="8" customFormat="1" hidden="1"/>
    <row r="166" s="8" customFormat="1" hidden="1"/>
    <row r="167" s="8" customFormat="1" hidden="1"/>
    <row r="168" s="8" customFormat="1" hidden="1"/>
    <row r="169" s="8" customFormat="1" hidden="1"/>
    <row r="170" s="8" customFormat="1" hidden="1"/>
    <row r="171" s="8" customFormat="1" hidden="1"/>
    <row r="172" s="8" customFormat="1" hidden="1"/>
    <row r="173" s="8" customFormat="1" hidden="1"/>
    <row r="174" s="8" customFormat="1" hidden="1"/>
    <row r="175" s="8" customFormat="1" hidden="1"/>
    <row r="176" s="8" customFormat="1" hidden="1"/>
    <row r="177" s="8" customFormat="1" hidden="1"/>
    <row r="178" s="8" customFormat="1" hidden="1"/>
    <row r="179" s="8" customFormat="1" hidden="1"/>
    <row r="180" s="8" customFormat="1" hidden="1"/>
    <row r="181" s="8" customFormat="1" hidden="1"/>
    <row r="182" s="8" customFormat="1" hidden="1"/>
    <row r="183" s="8" customFormat="1" hidden="1"/>
    <row r="184" s="8" customFormat="1" hidden="1"/>
    <row r="185" s="8" customFormat="1" hidden="1"/>
    <row r="186" s="8" customFormat="1" hidden="1"/>
    <row r="187" s="8" customFormat="1" hidden="1"/>
    <row r="188" s="8" customFormat="1" hidden="1"/>
    <row r="189" s="8" customFormat="1" hidden="1"/>
    <row r="190" s="8" customFormat="1" hidden="1"/>
    <row r="191" s="8" customFormat="1" hidden="1"/>
    <row r="192" s="8" customFormat="1" hidden="1"/>
    <row r="193" s="8" customFormat="1" hidden="1"/>
    <row r="194" s="8" customFormat="1" hidden="1"/>
  </sheetData>
  <mergeCells count="1">
    <mergeCell ref="N3:S3"/>
  </mergeCells>
  <conditionalFormatting sqref="J10:T10">
    <cfRule type="expression" dxfId="38" priority="28">
      <formula>J$10=J$4</formula>
    </cfRule>
  </conditionalFormatting>
  <conditionalFormatting sqref="J12:T24">
    <cfRule type="cellIs" dxfId="37" priority="9" operator="equal">
      <formula>0</formula>
    </cfRule>
  </conditionalFormatting>
  <conditionalFormatting sqref="J25:T25">
    <cfRule type="expression" dxfId="36" priority="27">
      <formula>J$10=J$4</formula>
    </cfRule>
  </conditionalFormatting>
  <conditionalFormatting sqref="J26:T54">
    <cfRule type="cellIs" dxfId="35" priority="1" operator="equal">
      <formula>0</formula>
    </cfRule>
  </conditionalFormatting>
  <conditionalFormatting sqref="J54:T54">
    <cfRule type="expression" dxfId="34" priority="26">
      <formula>J$10=J$4</formula>
    </cfRule>
  </conditionalFormatting>
  <conditionalFormatting sqref="J58:T58 J75:T75 J91:T91">
    <cfRule type="expression" dxfId="33" priority="118">
      <formula>J$58=J$4</formula>
    </cfRule>
  </conditionalFormatting>
  <conditionalFormatting sqref="J61:T68">
    <cfRule type="cellIs" dxfId="32" priority="100" operator="equal">
      <formula>0</formula>
    </cfRule>
  </conditionalFormatting>
  <conditionalFormatting sqref="J70:T70">
    <cfRule type="expression" dxfId="31" priority="112">
      <formula>J$58=J$4</formula>
    </cfRule>
  </conditionalFormatting>
  <conditionalFormatting sqref="J70:T71">
    <cfRule type="cellIs" dxfId="30" priority="19" operator="equal">
      <formula>0</formula>
    </cfRule>
  </conditionalFormatting>
  <conditionalFormatting sqref="J77:T85 J93:T99">
    <cfRule type="cellIs" dxfId="29" priority="98" operator="equal">
      <formula>0</formula>
    </cfRule>
  </conditionalFormatting>
  <conditionalFormatting sqref="J87:T87">
    <cfRule type="expression" dxfId="28" priority="116">
      <formula>J$75=J$4</formula>
    </cfRule>
    <cfRule type="cellIs" dxfId="27" priority="117" operator="equal">
      <formula>0</formula>
    </cfRule>
  </conditionalFormatting>
  <conditionalFormatting sqref="J99:T99">
    <cfRule type="expression" dxfId="26" priority="114">
      <formula>J$91=J$4</formula>
    </cfRule>
  </conditionalFormatting>
  <conditionalFormatting sqref="J103:T103">
    <cfRule type="expression" dxfId="25" priority="121">
      <formula>J$103=J$4</formula>
    </cfRule>
  </conditionalFormatting>
  <conditionalFormatting sqref="J105:T107">
    <cfRule type="cellIs" dxfId="24" priority="29" operator="equal">
      <formula>0</formula>
    </cfRule>
  </conditionalFormatting>
  <conditionalFormatting sqref="S1:T1">
    <cfRule type="cellIs" dxfId="23" priority="107" operator="equal">
      <formula>"Check"</formula>
    </cfRule>
    <cfRule type="cellIs" dxfId="22" priority="108" operator="equal">
      <formula>"Ok"</formula>
    </cfRule>
  </conditionalFormatting>
  <conditionalFormatting sqref="W1">
    <cfRule type="cellIs" dxfId="21" priority="109" operator="equal">
      <formula>"Check"</formula>
    </cfRule>
    <cfRule type="cellIs" dxfId="20" priority="110" operator="equal">
      <formula>"Ok"</formula>
    </cfRule>
  </conditionalFormatting>
  <dataValidations count="3">
    <dataValidation type="list" allowBlank="1" showInputMessage="1" showErrorMessage="1" sqref="F100 F88 F108" xr:uid="{00000000-0002-0000-0700-000000000000}">
      <formula1>"Real 2010,Real 2011,Real 2012,Real 2013,Real 2014,Real 2015,Nominal"</formula1>
    </dataValidation>
    <dataValidation type="list" allowBlank="1" showInputMessage="1" showErrorMessage="1" sqref="F86" xr:uid="{00000000-0002-0000-0700-000001000000}">
      <formula1>$G$60:$G$69</formula1>
    </dataValidation>
    <dataValidation type="custom" allowBlank="1" showInputMessage="1" showErrorMessage="1" sqref="J1 V1" xr:uid="{5FC6E458-CA13-4ABB-A50E-D9DC1432337B}">
      <formula1>"&lt;0&gt;0"</formula1>
    </dataValidation>
  </dataValidations>
  <hyperlinks>
    <hyperlink ref="J1" location="Index!A1" display="Back to Index" xr:uid="{B6568E7B-14EB-4896-8289-6AC0BEC2BED6}"/>
    <hyperlink ref="V1" location="'Check|List'!A1" display="Overall Check:" xr:uid="{061D0031-ED88-47A4-9D5F-2C9C4737936B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700-000002000000}">
          <x14:formula1>
            <xm:f>'Lookup|Tables'!$G$17:$G$19</xm:f>
          </x14:formula1>
          <xm:sqref>E8</xm:sqref>
        </x14:dataValidation>
        <x14:dataValidation type="list" allowBlank="1" showInputMessage="1" showErrorMessage="1" xr:uid="{00000000-0002-0000-0700-000003000000}">
          <x14:formula1>
            <xm:f>'Lookup|Tables'!$H$73:$H$77</xm:f>
          </x14:formula1>
          <xm:sqref>F8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3" tint="0.59999389629810485"/>
  </sheetPr>
  <dimension ref="A1:AV26"/>
  <sheetViews>
    <sheetView showGridLines="0" workbookViewId="0">
      <selection activeCell="O17" sqref="O17"/>
    </sheetView>
  </sheetViews>
  <sheetFormatPr defaultColWidth="0" defaultRowHeight="11.25" zeroHeight="1"/>
  <cols>
    <col min="1" max="2" width="1.5" style="8" customWidth="1"/>
    <col min="3" max="3" width="59.6640625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33203125" style="16" customWidth="1"/>
    <col min="10" max="24" width="10.83203125" style="8" customWidth="1"/>
    <col min="25" max="48" width="0" style="8" hidden="1" customWidth="1"/>
    <col min="49" max="16384" width="10.5" style="8" hidden="1"/>
  </cols>
  <sheetData>
    <row r="1" spans="1:27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6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">
        <v>36</v>
      </c>
      <c r="T1" s="29"/>
      <c r="V1" s="187" t="s">
        <v>24</v>
      </c>
      <c r="W1" s="29" t="str">
        <f>'Check|List'!$S$1</f>
        <v>Ok</v>
      </c>
    </row>
    <row r="2" spans="1:27" s="31" customFormat="1" ht="13.5" thickBot="1">
      <c r="B2" s="30" t="str">
        <f>Index!$C$13</f>
        <v>Output | Models</v>
      </c>
      <c r="C2" s="30"/>
      <c r="D2" s="30"/>
      <c r="E2" s="30"/>
      <c r="F2" s="52"/>
      <c r="G2" s="52"/>
      <c r="H2" s="52"/>
      <c r="I2" s="52"/>
    </row>
    <row r="3" spans="1:27" s="53" customFormat="1">
      <c r="D3" s="105"/>
      <c r="E3" s="105"/>
      <c r="F3" s="105"/>
      <c r="G3" s="105"/>
      <c r="H3" s="105"/>
      <c r="I3" s="105"/>
      <c r="J3" s="100" t="s">
        <v>109</v>
      </c>
      <c r="K3" s="100"/>
      <c r="L3" s="100"/>
      <c r="M3" s="105"/>
      <c r="N3" s="196"/>
      <c r="O3" s="196"/>
      <c r="P3" s="196"/>
      <c r="Q3" s="196"/>
      <c r="R3" s="196"/>
      <c r="S3" s="196"/>
      <c r="T3" s="105"/>
      <c r="U3" s="54"/>
      <c r="V3" s="54"/>
      <c r="W3" s="54"/>
      <c r="X3" s="54"/>
      <c r="Y3" s="54"/>
      <c r="Z3" s="54"/>
      <c r="AA3" s="54"/>
    </row>
    <row r="4" spans="1:27" customFormat="1">
      <c r="A4" s="55"/>
      <c r="B4" s="55"/>
      <c r="C4" s="55"/>
      <c r="D4" s="56" t="s">
        <v>7</v>
      </c>
      <c r="E4" s="56" t="s">
        <v>8</v>
      </c>
      <c r="F4" s="57" t="s">
        <v>22</v>
      </c>
      <c r="G4" s="58"/>
      <c r="H4" s="58"/>
      <c r="I4" s="5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59"/>
      <c r="W4" s="60"/>
      <c r="X4" s="60"/>
    </row>
    <row r="5" spans="1:27" s="6" customFormat="1" ht="3" customHeight="1">
      <c r="D5" s="21"/>
      <c r="E5" s="21"/>
      <c r="F5" s="21"/>
      <c r="G5" s="21"/>
      <c r="H5" s="21"/>
      <c r="I5" s="21"/>
    </row>
    <row r="6" spans="1:27" s="6" customFormat="1" ht="9" customHeight="1">
      <c r="D6" s="21"/>
      <c r="E6" s="21"/>
      <c r="F6" s="21"/>
      <c r="G6" s="21"/>
      <c r="H6" s="21"/>
      <c r="I6" s="21"/>
    </row>
    <row r="7" spans="1:27" s="6" customFormat="1" ht="3" customHeight="1">
      <c r="D7" s="21"/>
      <c r="E7" s="21"/>
      <c r="F7" s="21"/>
      <c r="G7" s="21"/>
      <c r="H7" s="21"/>
      <c r="I7" s="21"/>
    </row>
    <row r="8" spans="1:27" customFormat="1" ht="12.75">
      <c r="A8" s="32"/>
      <c r="B8" s="38" t="s">
        <v>52</v>
      </c>
      <c r="C8" s="32"/>
      <c r="D8" s="32"/>
      <c r="E8" s="51" t="s">
        <v>15</v>
      </c>
      <c r="F8" s="111">
        <f>DATE(PPLastYear,MONTH('Input|General'!$G$9),1)</f>
        <v>46174</v>
      </c>
      <c r="G8" s="33"/>
      <c r="H8" s="33"/>
      <c r="I8" s="33"/>
      <c r="J8" s="40" t="s">
        <v>53</v>
      </c>
      <c r="K8" s="35"/>
      <c r="L8" s="34"/>
      <c r="M8" s="35"/>
      <c r="N8" s="34"/>
      <c r="O8" s="34"/>
      <c r="P8" s="34"/>
      <c r="Q8" s="34"/>
      <c r="R8" s="34"/>
      <c r="S8" s="34"/>
      <c r="T8" s="34"/>
      <c r="U8" s="34"/>
      <c r="V8" s="34"/>
      <c r="W8" s="35"/>
      <c r="X8" s="35"/>
    </row>
    <row r="9" spans="1:27" ht="4.5" customHeight="1"/>
    <row r="10" spans="1:27">
      <c r="M10" s="64"/>
      <c r="N10" s="64"/>
      <c r="O10" s="64"/>
      <c r="P10" s="64"/>
      <c r="Q10" s="64"/>
      <c r="R10" s="64"/>
      <c r="S10" s="64"/>
      <c r="T10" s="64"/>
    </row>
    <row r="11" spans="1:27">
      <c r="C11" s="9" t="s">
        <v>45</v>
      </c>
      <c r="D11" s="20" t="s">
        <v>7</v>
      </c>
      <c r="E11" s="20" t="s">
        <v>8</v>
      </c>
      <c r="F11" s="20" t="s">
        <v>22</v>
      </c>
      <c r="H11" s="20"/>
      <c r="I11" s="20"/>
      <c r="J11" s="99" t="str">
        <f>IF(YEAR(J$4)&gt;='Input|General'!$G$13,IF(YEAR(J$4)&lt;='Input|General'!$G$14,J$4,""),"")</f>
        <v/>
      </c>
      <c r="K11" s="99" t="str">
        <f>IF(YEAR(K$4)&gt;='Input|General'!$G$13,IF(YEAR(K$4)&lt;='Input|General'!$G$14,K$4,""),"")</f>
        <v/>
      </c>
      <c r="L11" s="99" t="str">
        <f>IF(YEAR(L$4)&gt;='Input|General'!$G$13,IF(YEAR(L$4)&lt;='Input|General'!$G$14,L$4,""),"")</f>
        <v/>
      </c>
      <c r="M11" s="99" t="str">
        <f>IF(YEAR(M$4)&gt;='Input|General'!$G$13,IF(YEAR(M$4)&lt;='Input|General'!$G$14,M$4,""),"")</f>
        <v/>
      </c>
      <c r="N11" s="99" t="str">
        <f>IF(YEAR(N$4)&gt;='Input|General'!$G$13,IF(YEAR(N$4)&lt;='Input|General'!$G$14,N$4,""),"")</f>
        <v/>
      </c>
      <c r="O11" s="99">
        <f>IF(YEAR(O$4)&gt;='Input|General'!$G$13,IF(YEAR(O$4)&lt;='Input|General'!$G$14,O$4,""),"")</f>
        <v>46539</v>
      </c>
      <c r="P11" s="99">
        <f>IF(YEAR(P$4)&gt;='Input|General'!$G$13,IF(YEAR(P$4)&lt;='Input|General'!$G$14,P$4,""),"")</f>
        <v>46905</v>
      </c>
      <c r="Q11" s="99">
        <f>IF(YEAR(Q$4)&gt;='Input|General'!$G$13,IF(YEAR(Q$4)&lt;='Input|General'!$G$14,Q$4,""),"")</f>
        <v>47270</v>
      </c>
      <c r="R11" s="99">
        <f>IF(YEAR(R$4)&gt;='Input|General'!$G$13,IF(YEAR(R$4)&lt;='Input|General'!$G$14,R$4,""),"")</f>
        <v>47635</v>
      </c>
      <c r="S11" s="99">
        <f>IF(YEAR(S$4)&gt;='Input|General'!$G$13,IF(YEAR(S$4)&lt;='Input|General'!$G$14,S$4,""),"")</f>
        <v>48000</v>
      </c>
      <c r="T11" s="99" t="str">
        <f>IF(YEAR(T$4)&gt;='Input|General'!$G$13,IF(YEAR(T$4)&lt;='Input|General'!$G$14,T$4,""),"")</f>
        <v/>
      </c>
      <c r="V11" s="86" t="s">
        <v>51</v>
      </c>
      <c r="W11" s="87"/>
      <c r="X11" s="87"/>
    </row>
    <row r="12" spans="1:27">
      <c r="C12" s="9"/>
      <c r="D12" s="20"/>
      <c r="E12" s="20"/>
      <c r="F12" s="20"/>
      <c r="H12" s="20"/>
      <c r="I12" s="20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V12" s="9"/>
    </row>
    <row r="13" spans="1:27">
      <c r="C13" s="15" t="str">
        <f>'Calc|Opex forecast'!C105</f>
        <v>Total forecast opex, excluding category specific forecasts</v>
      </c>
      <c r="D13" s="24" t="s">
        <v>98</v>
      </c>
      <c r="E13" s="16" t="str">
        <f>$E$8</f>
        <v>$millions</v>
      </c>
      <c r="F13" s="98">
        <f>$F$8</f>
        <v>46174</v>
      </c>
      <c r="H13" s="20"/>
      <c r="I13" s="20"/>
      <c r="J13" s="104">
        <f>IF(J11="",0,'Calc|Opex forecast'!J105*INDEX('Input|Rate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K13" s="104">
        <f>IF(K11="",0,'Calc|Opex forecast'!K105*INDEX('Input|Rate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L13" s="104">
        <f>IF(L11="",0,'Calc|Opex forecast'!L105*INDEX('Input|Rate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M13" s="104">
        <f>IF(M11="",0,'Calc|Opex forecast'!M105*INDEX('Input|Rate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N13" s="104">
        <f>IF(N11="",0,'Calc|Opex forecast'!N105*INDEX('Input|Rate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O13" s="104">
        <f ca="1">IF(O11="",0,'Calc|Opex forecast'!O105*INDEX('Input|Rate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372.10694610837425</v>
      </c>
      <c r="P13" s="104">
        <f ca="1">IF(P11="",0,'Calc|Opex forecast'!P105*INDEX('Input|Rate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393.86718966120236</v>
      </c>
      <c r="Q13" s="104">
        <f ca="1">IF(Q11="",0,'Calc|Opex forecast'!Q105*INDEX('Input|Rate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398.58880079484999</v>
      </c>
      <c r="R13" s="104">
        <f ca="1">IF(R11="",0,'Calc|Opex forecast'!R105*INDEX('Input|Rate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405.52670236760224</v>
      </c>
      <c r="S13" s="104">
        <f ca="1">IF(S11="",0,'Calc|Opex forecast'!S105*INDEX('Input|Rate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407.64758447977675</v>
      </c>
      <c r="T13" s="104">
        <f>IF(T11="",0,'Calc|Opex forecast'!T105*INDEX('Input|Rate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U13" s="15"/>
      <c r="V13" s="91"/>
    </row>
    <row r="14" spans="1:27">
      <c r="C14" s="15" t="str">
        <f>'Input|Step changes'!C28</f>
        <v>GSL payments</v>
      </c>
      <c r="D14" s="24" t="s">
        <v>98</v>
      </c>
      <c r="E14" s="16" t="str">
        <f t="shared" ref="E14:E18" si="0">$E$8</f>
        <v>$millions</v>
      </c>
      <c r="F14" s="98">
        <f t="shared" ref="F14:F18" si="1">$F$8</f>
        <v>46174</v>
      </c>
      <c r="H14" s="20"/>
      <c r="I14" s="20"/>
      <c r="J14" s="104">
        <f>IF(J$11="",0,'Calc|Opex forecast'!J93*INDEX('Input|Rate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K14" s="104">
        <f>IF(K$11="",0,'Calc|Opex forecast'!K93*INDEX('Input|Rate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L14" s="104">
        <f>IF(L$11="",0,'Calc|Opex forecast'!L93*INDEX('Input|Rate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M14" s="104">
        <f>IF(M$11="",0,'Calc|Opex forecast'!M93*INDEX('Input|Rate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N14" s="104">
        <f>IF(N$11="",0,'Calc|Opex forecast'!N93*INDEX('Input|Rate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O14" s="104">
        <f>IF(O$11="",0,'Calc|Opex forecast'!O93*INDEX('Input|Rate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3.4233634848485646</v>
      </c>
      <c r="P14" s="104">
        <f>IF(P$11="",0,'Calc|Opex forecast'!P93*INDEX('Input|Rate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3.3359645752626421</v>
      </c>
      <c r="Q14" s="104">
        <f>IF(Q$11="",0,'Calc|Opex forecast'!Q93*INDEX('Input|Rate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3.2507969710670515</v>
      </c>
      <c r="R14" s="104">
        <f>IF(R$11="",0,'Calc|Opex forecast'!R93*INDEX('Input|Rate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3.1678037067485092</v>
      </c>
      <c r="S14" s="104">
        <f>IF(S$11="",0,'Calc|Opex forecast'!S93*INDEX('Input|Rate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3.0869292711306069</v>
      </c>
      <c r="T14" s="104">
        <f>IF(T$11="",0,'Calc|Opex forecast'!T93*INDEX('Input|Rate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U14" s="15"/>
      <c r="V14" s="91"/>
    </row>
    <row r="15" spans="1:27">
      <c r="C15" s="15" t="str">
        <f>'Input|Step changes'!C29</f>
        <v>Network innovation fund</v>
      </c>
      <c r="D15" s="24" t="s">
        <v>98</v>
      </c>
      <c r="E15" s="16" t="str">
        <f t="shared" si="0"/>
        <v>$millions</v>
      </c>
      <c r="F15" s="98">
        <f t="shared" si="1"/>
        <v>46174</v>
      </c>
      <c r="H15" s="20"/>
      <c r="I15" s="20"/>
      <c r="J15" s="104">
        <f>IF(J$11="",0,'Calc|Opex forecast'!J94*INDEX('Input|Rate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K15" s="104">
        <f>IF(K$11="",0,'Calc|Opex forecast'!K94*INDEX('Input|Rate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L15" s="104">
        <f>IF(L$11="",0,'Calc|Opex forecast'!L94*INDEX('Input|Rate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M15" s="104">
        <f>IF(M$11="",0,'Calc|Opex forecast'!M94*INDEX('Input|Rate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N15" s="104">
        <f>IF(N$11="",0,'Calc|Opex forecast'!N94*INDEX('Input|Rate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O15" s="104">
        <f>IF(O$11="",0,'Calc|Opex forecast'!O94*INDEX('Input|Rate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0.39185199999999998</v>
      </c>
      <c r="P15" s="104">
        <f>IF(P$11="",0,'Calc|Opex forecast'!P94*INDEX('Input|Rate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0.39185199999999998</v>
      </c>
      <c r="Q15" s="104">
        <f>IF(Q$11="",0,'Calc|Opex forecast'!Q94*INDEX('Input|Rate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0.39185199999999998</v>
      </c>
      <c r="R15" s="104">
        <f>IF(R$11="",0,'Calc|Opex forecast'!R94*INDEX('Input|Rate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0.39185199999999998</v>
      </c>
      <c r="S15" s="104">
        <f>IF(S$11="",0,'Calc|Opex forecast'!S94*INDEX('Input|Rate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0.39185199999999998</v>
      </c>
      <c r="T15" s="104">
        <f>IF(T$11="",0,'Calc|Opex forecast'!T94*INDEX('Input|Rate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U15" s="15"/>
      <c r="V15" s="91"/>
    </row>
    <row r="16" spans="1:27">
      <c r="C16" s="15" t="str">
        <f>'Input|Step changes'!C30</f>
        <v>Customer assistance package</v>
      </c>
      <c r="D16" s="24" t="s">
        <v>98</v>
      </c>
      <c r="E16" s="16" t="str">
        <f t="shared" si="0"/>
        <v>$millions</v>
      </c>
      <c r="F16" s="98">
        <f t="shared" si="1"/>
        <v>46174</v>
      </c>
      <c r="H16" s="20"/>
      <c r="I16" s="20"/>
      <c r="J16" s="104">
        <f>IF(J$11="",0,'Calc|Opex forecast'!J95*INDEX('Input|Rate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K16" s="104">
        <f>IF(K$11="",0,'Calc|Opex forecast'!K95*INDEX('Input|Rate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L16" s="104">
        <f>IF(L$11="",0,'Calc|Opex forecast'!L95*INDEX('Input|Rate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M16" s="104">
        <f>IF(M$11="",0,'Calc|Opex forecast'!M95*INDEX('Input|Rate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N16" s="104">
        <f>IF(N$11="",0,'Calc|Opex forecast'!N95*INDEX('Input|Rate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O16" s="104">
        <f>IF(O$11="",0,'Calc|Opex forecast'!O95*INDEX('Input|Rate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3.1040424764344534</v>
      </c>
      <c r="P16" s="104">
        <f>IF(P$11="",0,'Calc|Opex forecast'!P95*INDEX('Input|Rate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3.128919280713534</v>
      </c>
      <c r="Q16" s="104">
        <f>IF(Q$11="",0,'Calc|Opex forecast'!Q95*INDEX('Input|Rate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3.1576264300029884</v>
      </c>
      <c r="R16" s="104">
        <f>IF(R$11="",0,'Calc|Opex forecast'!R95*INDEX('Input|Rate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3.1896245900421114</v>
      </c>
      <c r="S16" s="104">
        <f>IF(S$11="",0,'Calc|Opex forecast'!S95*INDEX('Input|Rate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3.2205160191152942</v>
      </c>
      <c r="T16" s="104">
        <f>IF(T$11="",0,'Calc|Opex forecast'!T95*INDEX('Input|Rate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U16" s="15"/>
      <c r="V16" s="91"/>
    </row>
    <row r="17" spans="1:24">
      <c r="C17" s="15">
        <f>'Input|Step changes'!C31</f>
        <v>0</v>
      </c>
      <c r="D17" s="24" t="s">
        <v>98</v>
      </c>
      <c r="E17" s="16" t="str">
        <f t="shared" si="0"/>
        <v>$millions</v>
      </c>
      <c r="F17" s="98">
        <f t="shared" si="1"/>
        <v>46174</v>
      </c>
      <c r="H17" s="20"/>
      <c r="I17" s="20"/>
      <c r="J17" s="104">
        <f>IF(J$11="",0,'Calc|Opex forecast'!J96*INDEX('Input|Rate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K17" s="104">
        <f>IF(K$11="",0,'Calc|Opex forecast'!K96*INDEX('Input|Rate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L17" s="104">
        <f>IF(L$11="",0,'Calc|Opex forecast'!L96*INDEX('Input|Rate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M17" s="104">
        <f>IF(M$11="",0,'Calc|Opex forecast'!M96*INDEX('Input|Rate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N17" s="104">
        <f>IF(N$11="",0,'Calc|Opex forecast'!N96*INDEX('Input|Rate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O17" s="104">
        <f>IF(O$11="",0,'Calc|Opex forecast'!O96*INDEX('Input|Rate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P17" s="104">
        <f>IF(P$11="",0,'Calc|Opex forecast'!P96*INDEX('Input|Rate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Q17" s="104">
        <f>IF(Q$11="",0,'Calc|Opex forecast'!Q96*INDEX('Input|Rate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R17" s="104">
        <f>IF(R$11="",0,'Calc|Opex forecast'!R96*INDEX('Input|Rate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S17" s="104">
        <f>IF(S$11="",0,'Calc|Opex forecast'!S96*INDEX('Input|Rate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T17" s="104">
        <f>IF(T$11="",0,'Calc|Opex forecast'!T96*INDEX('Input|Rate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U17" s="15"/>
      <c r="V17" s="112"/>
    </row>
    <row r="18" spans="1:24">
      <c r="C18" s="15">
        <f>'Input|Step changes'!C32</f>
        <v>0</v>
      </c>
      <c r="D18" s="24" t="s">
        <v>98</v>
      </c>
      <c r="E18" s="16" t="str">
        <f t="shared" si="0"/>
        <v>$millions</v>
      </c>
      <c r="F18" s="98">
        <f t="shared" si="1"/>
        <v>46174</v>
      </c>
      <c r="H18" s="20"/>
      <c r="I18" s="20"/>
      <c r="J18" s="104">
        <f>IF(J$11="",0,'Calc|Opex forecast'!J97*INDEX('Input|Rate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K18" s="104">
        <f>IF(K$11="",0,'Calc|Opex forecast'!K97*INDEX('Input|Rate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L18" s="104">
        <f>IF(L$11="",0,'Calc|Opex forecast'!L97*INDEX('Input|Rate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M18" s="104">
        <f>IF(M$11="",0,'Calc|Opex forecast'!M97*INDEX('Input|Rate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N18" s="104">
        <f>IF(N$11="",0,'Calc|Opex forecast'!N97*INDEX('Input|Rate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O18" s="104">
        <f>IF(O$11="",0,'Calc|Opex forecast'!O97*INDEX('Input|Rate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P18" s="104">
        <f>IF(P$11="",0,'Calc|Opex forecast'!P97*INDEX('Input|Rate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Q18" s="104">
        <f>IF(Q$11="",0,'Calc|Opex forecast'!Q97*INDEX('Input|Rate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R18" s="104">
        <f>IF(R$11="",0,'Calc|Opex forecast'!R97*INDEX('Input|Rate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S18" s="104">
        <f>IF(S$11="",0,'Calc|Opex forecast'!S97*INDEX('Input|Rate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T18" s="104">
        <f>IF(T$11="",0,'Calc|Opex forecast'!T97*INDEX('Input|Rate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U18" s="15"/>
      <c r="V18" s="112"/>
    </row>
    <row r="19" spans="1:24">
      <c r="D19" s="24"/>
      <c r="H19" s="20"/>
      <c r="I19" s="20"/>
      <c r="S19" s="22"/>
      <c r="T19" s="22"/>
    </row>
    <row r="20" spans="1:24" customFormat="1" ht="12.75">
      <c r="A20" s="32"/>
      <c r="B20" s="38" t="s">
        <v>21</v>
      </c>
      <c r="C20" s="32"/>
      <c r="D20" s="32"/>
      <c r="E20" s="32"/>
      <c r="F20" s="33"/>
      <c r="G20" s="33"/>
      <c r="H20" s="33"/>
      <c r="I20" s="33"/>
      <c r="J20" s="34"/>
      <c r="K20" s="35"/>
      <c r="L20" s="34"/>
      <c r="M20" s="35"/>
      <c r="N20" s="34"/>
      <c r="O20" s="34"/>
      <c r="P20" s="34"/>
      <c r="Q20" s="34"/>
      <c r="R20" s="34"/>
      <c r="S20" s="34"/>
      <c r="T20" s="34"/>
      <c r="U20" s="34"/>
      <c r="V20" s="34"/>
      <c r="W20" s="35"/>
      <c r="X20" s="35"/>
    </row>
    <row r="26" spans="1:24" hidden="1">
      <c r="M26" s="89"/>
      <c r="N26" s="89"/>
      <c r="O26" s="89"/>
      <c r="P26" s="89"/>
      <c r="Q26" s="89"/>
      <c r="R26" s="89"/>
      <c r="S26" s="89"/>
      <c r="T26" s="89"/>
    </row>
  </sheetData>
  <mergeCells count="1">
    <mergeCell ref="N3:S3"/>
  </mergeCells>
  <conditionalFormatting sqref="J11:T11">
    <cfRule type="expression" dxfId="19" priority="7">
      <formula>J$11=J$4</formula>
    </cfRule>
  </conditionalFormatting>
  <conditionalFormatting sqref="J13:T18">
    <cfRule type="expression" dxfId="18" priority="3">
      <formula>AND($C13=0,J$11=J$4)</formula>
    </cfRule>
    <cfRule type="expression" dxfId="17" priority="4">
      <formula>NOT(J$11=J$4)</formula>
    </cfRule>
    <cfRule type="expression" dxfId="16" priority="5">
      <formula>J$11=J$4</formula>
    </cfRule>
  </conditionalFormatting>
  <conditionalFormatting sqref="S1:T1">
    <cfRule type="cellIs" dxfId="15" priority="1" operator="equal">
      <formula>"Check"</formula>
    </cfRule>
    <cfRule type="cellIs" dxfId="14" priority="2" operator="equal">
      <formula>"Ok"</formula>
    </cfRule>
  </conditionalFormatting>
  <conditionalFormatting sqref="W1">
    <cfRule type="cellIs" dxfId="13" priority="13" operator="equal">
      <formula>"Check"</formula>
    </cfRule>
    <cfRule type="cellIs" dxfId="12" priority="14" operator="equal">
      <formula>"Ok"</formula>
    </cfRule>
  </conditionalFormatting>
  <dataValidations disablePrompts="1" count="3">
    <dataValidation type="list" allowBlank="1" showInputMessage="1" showErrorMessage="1" sqref="F13:F18" xr:uid="{00000000-0002-0000-0800-000000000000}">
      <formula1>$G$22:$G$28</formula1>
    </dataValidation>
    <dataValidation type="list" allowBlank="1" showInputMessage="1" showErrorMessage="1" sqref="F19" xr:uid="{00000000-0002-0000-0800-000001000000}">
      <formula1>#REF!</formula1>
    </dataValidation>
    <dataValidation type="custom" allowBlank="1" showInputMessage="1" showErrorMessage="1" sqref="J1 V1" xr:uid="{68056A59-E8C5-4CE1-8F50-8DAEC2ACED4B}">
      <formula1>"&lt;0&gt;0"</formula1>
    </dataValidation>
  </dataValidations>
  <hyperlinks>
    <hyperlink ref="D13" location="'Calc|Opex forecast'!A1" display="Calc | Opex forecast" xr:uid="{00000000-0004-0000-0800-000001000000}"/>
    <hyperlink ref="D14" location="'Calc|Opex forecast'!A1" display="Calc | Opex forecast" xr:uid="{00000000-0004-0000-0800-000002000000}"/>
    <hyperlink ref="D15" location="'Calc|Opex forecast'!A1" display="Calc | Opex forecast" xr:uid="{00000000-0004-0000-0800-000003000000}"/>
    <hyperlink ref="D17" location="'Calc|Opex forecast'!A1" display="Calc | Opex forecast" xr:uid="{00000000-0004-0000-0800-000004000000}"/>
    <hyperlink ref="D16" location="'Calc|Opex forecast'!A1" display="Calc | Opex forecast" xr:uid="{00000000-0004-0000-0800-000006000000}"/>
    <hyperlink ref="D18" location="'Calc|Opex forecast'!A1" display="Calc | Opex forecast" xr:uid="{00000000-0004-0000-0800-000007000000}"/>
    <hyperlink ref="J1" location="Index!A1" display="Back to Index" xr:uid="{7EC3E2CF-059A-4212-90A1-DF6400A85CA2}"/>
    <hyperlink ref="V1" location="'Check|List'!A1" display="Overall Check:" xr:uid="{29C20267-C86F-41F6-ACC6-F87DCF4771BE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00000000-0002-0000-0800-000002000000}">
          <x14:formula1>
            <xm:f>'Lookup|Tables'!$G$17:$G$19</xm:f>
          </x14:formula1>
          <xm:sqref>E8</xm:sqref>
        </x14:dataValidation>
        <x14:dataValidation type="list" allowBlank="1" showInputMessage="1" showErrorMessage="1" xr:uid="{00000000-0002-0000-0800-000003000000}">
          <x14:formula1>
            <xm:f>'Lookup|Tables'!$H$48:$H$67</xm:f>
          </x14:formula1>
          <xm:sqref>F8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>
    <tabColor theme="1"/>
  </sheetPr>
  <dimension ref="A1:XER85"/>
  <sheetViews>
    <sheetView showGridLines="0" topLeftCell="A37" workbookViewId="0">
      <selection activeCell="G49" sqref="G49:G67"/>
    </sheetView>
  </sheetViews>
  <sheetFormatPr defaultColWidth="0" defaultRowHeight="11.25" zeroHeight="1"/>
  <cols>
    <col min="1" max="2" width="1.5" style="8" customWidth="1"/>
    <col min="3" max="3" width="42" style="8" customWidth="1"/>
    <col min="4" max="4" width="17" style="7" customWidth="1"/>
    <col min="5" max="5" width="15.83203125" style="7" customWidth="1"/>
    <col min="6" max="6" width="10.6640625" style="7" customWidth="1"/>
    <col min="7" max="7" width="15" style="16" customWidth="1"/>
    <col min="8" max="9" width="15" style="8" customWidth="1"/>
    <col min="10" max="23" width="10.83203125" style="8" customWidth="1"/>
    <col min="24" max="311" width="10.5" style="8" hidden="1" customWidth="1"/>
    <col min="312" max="16371" width="10.5" style="8" hidden="1"/>
    <col min="16372" max="16372" width="0" style="8" hidden="1"/>
    <col min="16373" max="16384" width="10.5" style="8" hidden="1"/>
  </cols>
  <sheetData>
    <row r="1" spans="1:30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6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/>
      <c r="S1" s="29"/>
      <c r="U1" s="187" t="s">
        <v>24</v>
      </c>
      <c r="V1" s="29" t="str">
        <f>'Check|List'!$S$1</f>
        <v>Ok</v>
      </c>
    </row>
    <row r="2" spans="1:30" s="27" customFormat="1" ht="12.75">
      <c r="B2" s="41" t="str">
        <f>Index!$C$14</f>
        <v>Lookup | Tables</v>
      </c>
      <c r="C2" s="41"/>
      <c r="D2" s="41"/>
      <c r="E2" s="41"/>
      <c r="F2" s="42"/>
      <c r="G2" s="42"/>
      <c r="H2" s="42"/>
      <c r="I2" s="42"/>
    </row>
    <row r="3" spans="1:30" s="45" customFormat="1" ht="12.75">
      <c r="A3" s="32"/>
      <c r="B3" s="38"/>
      <c r="C3" s="32"/>
      <c r="D3" s="32"/>
      <c r="E3" s="32"/>
      <c r="F3" s="33"/>
      <c r="G3" s="33"/>
      <c r="H3" s="33"/>
      <c r="I3" s="33"/>
      <c r="J3" s="34"/>
      <c r="K3" s="35"/>
      <c r="L3" s="34"/>
      <c r="M3" s="35"/>
      <c r="N3" s="34"/>
      <c r="O3" s="34"/>
      <c r="P3" s="34"/>
      <c r="Q3" s="34"/>
      <c r="R3" s="34"/>
      <c r="S3" s="34"/>
      <c r="T3" s="34"/>
      <c r="U3" s="34"/>
      <c r="V3" s="35"/>
      <c r="W3" s="35"/>
      <c r="X3" s="43"/>
      <c r="Y3" s="43"/>
      <c r="Z3" s="43"/>
      <c r="AA3" s="43"/>
      <c r="AB3" s="43"/>
      <c r="AC3" s="44"/>
      <c r="AD3" s="44"/>
    </row>
    <row r="4" spans="1:30" s="6" customFormat="1" ht="3" customHeight="1">
      <c r="D4" s="19"/>
      <c r="E4" s="19"/>
    </row>
    <row r="5" spans="1:30" customFormat="1" ht="12.75">
      <c r="A5" s="32"/>
      <c r="B5" s="38" t="s">
        <v>178</v>
      </c>
      <c r="C5" s="32"/>
      <c r="D5" s="32"/>
      <c r="E5" s="32"/>
      <c r="F5" s="33"/>
      <c r="G5" s="33"/>
      <c r="H5" s="33"/>
      <c r="I5" s="33"/>
      <c r="J5" s="34"/>
      <c r="K5" s="35"/>
      <c r="L5" s="34"/>
      <c r="M5" s="35"/>
      <c r="N5" s="34"/>
      <c r="O5" s="34"/>
      <c r="P5" s="34"/>
      <c r="Q5" s="34"/>
      <c r="R5" s="34"/>
      <c r="S5" s="34"/>
      <c r="T5" s="34"/>
      <c r="U5" s="34"/>
      <c r="V5" s="35"/>
      <c r="W5" s="35"/>
      <c r="X5" s="36"/>
      <c r="Y5" s="36"/>
      <c r="Z5" s="36"/>
      <c r="AA5" s="36"/>
      <c r="AB5" s="36"/>
      <c r="AC5" s="37"/>
      <c r="AD5" s="37"/>
    </row>
    <row r="6" spans="1:30"/>
    <row r="7" spans="1:30">
      <c r="C7" s="13" t="str">
        <f>B5</f>
        <v>Stage</v>
      </c>
      <c r="D7" s="20" t="s">
        <v>7</v>
      </c>
      <c r="E7" s="20"/>
      <c r="F7" s="14"/>
      <c r="G7" s="14" t="s">
        <v>9</v>
      </c>
      <c r="H7" s="14"/>
    </row>
    <row r="8" spans="1:30">
      <c r="C8" s="15" t="s">
        <v>179</v>
      </c>
      <c r="D8" s="16" t="s">
        <v>182</v>
      </c>
      <c r="E8" s="16"/>
      <c r="F8" s="16"/>
      <c r="G8" s="39" t="s">
        <v>179</v>
      </c>
    </row>
    <row r="9" spans="1:30">
      <c r="C9" s="15" t="s">
        <v>180</v>
      </c>
      <c r="D9" s="16" t="s">
        <v>182</v>
      </c>
      <c r="E9" s="16"/>
      <c r="F9" s="16"/>
      <c r="G9" s="39" t="s">
        <v>180</v>
      </c>
    </row>
    <row r="10" spans="1:30">
      <c r="C10" s="15" t="s">
        <v>181</v>
      </c>
      <c r="D10" s="16" t="s">
        <v>64</v>
      </c>
      <c r="E10" s="16"/>
      <c r="F10" s="16"/>
      <c r="G10" s="39" t="s">
        <v>181</v>
      </c>
      <c r="T10" s="17"/>
    </row>
    <row r="11" spans="1:30">
      <c r="C11" s="15" t="s">
        <v>183</v>
      </c>
      <c r="D11" s="16" t="s">
        <v>182</v>
      </c>
      <c r="E11" s="16"/>
      <c r="F11" s="16"/>
      <c r="G11" s="39" t="s">
        <v>183</v>
      </c>
    </row>
    <row r="12" spans="1:30">
      <c r="C12" s="15" t="s">
        <v>184</v>
      </c>
      <c r="D12" s="16" t="s">
        <v>64</v>
      </c>
      <c r="E12" s="16"/>
      <c r="F12" s="16"/>
      <c r="G12" s="39" t="s">
        <v>184</v>
      </c>
      <c r="T12" s="17"/>
    </row>
    <row r="13" spans="1:30">
      <c r="F13" s="8"/>
      <c r="G13" s="8"/>
    </row>
    <row r="14" spans="1:30" customFormat="1" ht="12.75">
      <c r="A14" s="32"/>
      <c r="B14" s="38" t="s">
        <v>19</v>
      </c>
      <c r="C14" s="32"/>
      <c r="D14" s="32"/>
      <c r="E14" s="32"/>
      <c r="F14" s="33"/>
      <c r="G14" s="33"/>
      <c r="H14" s="33"/>
      <c r="I14" s="33"/>
      <c r="J14" s="34"/>
      <c r="K14" s="35"/>
      <c r="L14" s="34"/>
      <c r="M14" s="35"/>
      <c r="N14" s="34"/>
      <c r="O14" s="34"/>
      <c r="P14" s="34"/>
      <c r="Q14" s="34"/>
      <c r="R14" s="34"/>
      <c r="S14" s="34"/>
      <c r="T14" s="34"/>
      <c r="U14" s="34"/>
      <c r="V14" s="35"/>
      <c r="W14" s="35"/>
      <c r="X14" s="36"/>
      <c r="Y14" s="36"/>
      <c r="Z14" s="36"/>
      <c r="AA14" s="36"/>
      <c r="AB14" s="36"/>
      <c r="AC14" s="37"/>
      <c r="AD14" s="37"/>
    </row>
    <row r="15" spans="1:30"/>
    <row r="16" spans="1:30">
      <c r="C16" s="13" t="str">
        <f>B14</f>
        <v>Unit Denominations</v>
      </c>
      <c r="D16" s="20" t="s">
        <v>7</v>
      </c>
      <c r="E16" s="20"/>
      <c r="F16" s="14"/>
      <c r="G16" s="14" t="s">
        <v>9</v>
      </c>
      <c r="H16" s="14"/>
    </row>
    <row r="17" spans="1:30">
      <c r="C17" s="15" t="s">
        <v>10</v>
      </c>
      <c r="D17" s="16" t="s">
        <v>64</v>
      </c>
      <c r="E17" s="16"/>
      <c r="F17" s="16"/>
      <c r="G17" s="39" t="s">
        <v>12</v>
      </c>
    </row>
    <row r="18" spans="1:30">
      <c r="C18" s="15" t="s">
        <v>13</v>
      </c>
      <c r="D18" s="16" t="s">
        <v>64</v>
      </c>
      <c r="E18" s="16"/>
      <c r="F18" s="16"/>
      <c r="G18" s="39" t="s">
        <v>20</v>
      </c>
    </row>
    <row r="19" spans="1:30">
      <c r="C19" s="15" t="s">
        <v>14</v>
      </c>
      <c r="D19" s="16" t="s">
        <v>64</v>
      </c>
      <c r="E19" s="16"/>
      <c r="F19" s="16"/>
      <c r="G19" s="39" t="s">
        <v>15</v>
      </c>
      <c r="T19" s="17"/>
    </row>
    <row r="20" spans="1:30">
      <c r="F20" s="8"/>
      <c r="G20" s="8"/>
    </row>
    <row r="21" spans="1:30">
      <c r="C21" s="15" t="s">
        <v>16</v>
      </c>
      <c r="D21" s="16" t="s">
        <v>64</v>
      </c>
      <c r="E21" s="16"/>
      <c r="F21" s="16"/>
      <c r="G21" s="39" t="s">
        <v>31</v>
      </c>
    </row>
    <row r="22" spans="1:30">
      <c r="C22" s="15" t="s">
        <v>8</v>
      </c>
      <c r="D22" s="16" t="s">
        <v>64</v>
      </c>
      <c r="E22" s="16"/>
      <c r="F22" s="16"/>
      <c r="G22" s="39" t="s">
        <v>11</v>
      </c>
    </row>
    <row r="23" spans="1:30">
      <c r="C23" s="15" t="s">
        <v>17</v>
      </c>
      <c r="D23" s="16" t="s">
        <v>64</v>
      </c>
      <c r="E23" s="16"/>
      <c r="F23" s="16"/>
      <c r="G23" s="39" t="s">
        <v>18</v>
      </c>
    </row>
    <row r="24" spans="1:30">
      <c r="C24" s="15" t="s">
        <v>37</v>
      </c>
      <c r="D24" s="16" t="s">
        <v>64</v>
      </c>
      <c r="E24" s="16"/>
      <c r="F24" s="16"/>
      <c r="G24" s="39" t="s">
        <v>38</v>
      </c>
    </row>
    <row r="25" spans="1:30">
      <c r="C25" s="15"/>
      <c r="D25" s="16"/>
      <c r="E25" s="16"/>
      <c r="F25" s="16"/>
      <c r="G25" s="8"/>
    </row>
    <row r="26" spans="1:30">
      <c r="C26" s="15" t="s">
        <v>23</v>
      </c>
      <c r="D26" s="16" t="s">
        <v>64</v>
      </c>
      <c r="E26" s="16"/>
      <c r="F26" s="16"/>
      <c r="G26" s="39" t="s">
        <v>23</v>
      </c>
    </row>
    <row r="27" spans="1:30">
      <c r="C27" s="15" t="s">
        <v>69</v>
      </c>
      <c r="D27" s="16" t="s">
        <v>64</v>
      </c>
      <c r="E27" s="16"/>
      <c r="F27" s="16"/>
      <c r="G27" s="39" t="s">
        <v>69</v>
      </c>
    </row>
    <row r="28" spans="1:30">
      <c r="C28" s="15"/>
      <c r="D28" s="16"/>
      <c r="E28" s="16"/>
      <c r="F28" s="16"/>
      <c r="G28" s="8"/>
    </row>
    <row r="29" spans="1:30" customFormat="1" ht="12.75">
      <c r="A29" s="32"/>
      <c r="B29" s="38" t="s">
        <v>110</v>
      </c>
      <c r="C29" s="32"/>
      <c r="D29" s="32"/>
      <c r="E29" s="32"/>
      <c r="F29" s="33"/>
      <c r="G29" s="33"/>
      <c r="H29" s="33"/>
      <c r="I29" s="33"/>
      <c r="J29" s="34"/>
      <c r="K29" s="35"/>
      <c r="L29" s="34"/>
      <c r="M29" s="35"/>
      <c r="N29" s="34"/>
      <c r="O29" s="34"/>
      <c r="P29" s="34"/>
      <c r="Q29" s="34"/>
      <c r="R29" s="34"/>
      <c r="S29" s="34"/>
      <c r="T29" s="34"/>
      <c r="U29" s="34"/>
      <c r="V29" s="35"/>
      <c r="W29" s="35"/>
      <c r="X29" s="36"/>
      <c r="Y29" s="36"/>
      <c r="Z29" s="36"/>
      <c r="AA29" s="36"/>
      <c r="AB29" s="36"/>
      <c r="AC29" s="37"/>
      <c r="AD29" s="37"/>
    </row>
    <row r="30" spans="1:30"/>
    <row r="31" spans="1:30">
      <c r="C31" s="13" t="str">
        <f>B29</f>
        <v>Months</v>
      </c>
      <c r="D31" s="20" t="s">
        <v>7</v>
      </c>
      <c r="E31" s="20"/>
      <c r="F31" s="14"/>
      <c r="G31" s="14" t="s">
        <v>9</v>
      </c>
      <c r="H31" s="14"/>
    </row>
    <row r="32" spans="1:30">
      <c r="C32" s="15" t="s">
        <v>111</v>
      </c>
      <c r="D32" s="16" t="s">
        <v>64</v>
      </c>
      <c r="E32" s="16"/>
      <c r="F32" s="16"/>
      <c r="G32" s="92">
        <v>36526</v>
      </c>
      <c r="H32" s="14"/>
    </row>
    <row r="33" spans="1:30">
      <c r="C33" s="15" t="s">
        <v>112</v>
      </c>
      <c r="D33" s="16" t="s">
        <v>64</v>
      </c>
      <c r="E33" s="16"/>
      <c r="F33" s="16"/>
      <c r="G33" s="92">
        <v>36557</v>
      </c>
      <c r="H33" s="14"/>
    </row>
    <row r="34" spans="1:30">
      <c r="C34" s="15" t="s">
        <v>113</v>
      </c>
      <c r="D34" s="16" t="s">
        <v>64</v>
      </c>
      <c r="E34" s="16"/>
      <c r="F34" s="16"/>
      <c r="G34" s="92">
        <v>36586</v>
      </c>
      <c r="H34" s="14"/>
    </row>
    <row r="35" spans="1:30">
      <c r="C35" s="15" t="s">
        <v>114</v>
      </c>
      <c r="D35" s="16" t="s">
        <v>64</v>
      </c>
      <c r="E35" s="16"/>
      <c r="F35" s="16"/>
      <c r="G35" s="92">
        <v>36617</v>
      </c>
    </row>
    <row r="36" spans="1:30">
      <c r="C36" s="15" t="s">
        <v>115</v>
      </c>
      <c r="D36" s="16" t="s">
        <v>64</v>
      </c>
      <c r="E36" s="16"/>
      <c r="F36" s="16"/>
      <c r="G36" s="92">
        <v>36647</v>
      </c>
    </row>
    <row r="37" spans="1:30">
      <c r="C37" s="15" t="s">
        <v>116</v>
      </c>
      <c r="D37" s="16" t="s">
        <v>64</v>
      </c>
      <c r="E37" s="16"/>
      <c r="F37" s="16"/>
      <c r="G37" s="92">
        <v>36678</v>
      </c>
      <c r="T37" s="17"/>
    </row>
    <row r="38" spans="1:30">
      <c r="C38" s="15" t="s">
        <v>117</v>
      </c>
      <c r="D38" s="16" t="s">
        <v>64</v>
      </c>
      <c r="E38" s="16"/>
      <c r="F38" s="16"/>
      <c r="G38" s="92">
        <v>36708</v>
      </c>
      <c r="T38" s="17"/>
    </row>
    <row r="39" spans="1:30">
      <c r="C39" s="15" t="s">
        <v>118</v>
      </c>
      <c r="D39" s="16" t="s">
        <v>64</v>
      </c>
      <c r="E39" s="16"/>
      <c r="F39" s="16"/>
      <c r="G39" s="92">
        <v>36739</v>
      </c>
      <c r="T39" s="17"/>
    </row>
    <row r="40" spans="1:30">
      <c r="C40" s="15" t="s">
        <v>119</v>
      </c>
      <c r="D40" s="16" t="s">
        <v>64</v>
      </c>
      <c r="E40" s="16"/>
      <c r="F40" s="16"/>
      <c r="G40" s="92">
        <v>36770</v>
      </c>
      <c r="T40" s="17"/>
    </row>
    <row r="41" spans="1:30">
      <c r="C41" s="15" t="s">
        <v>120</v>
      </c>
      <c r="D41" s="16" t="s">
        <v>64</v>
      </c>
      <c r="E41" s="16"/>
      <c r="F41" s="16"/>
      <c r="G41" s="92">
        <v>36800</v>
      </c>
      <c r="T41" s="17"/>
    </row>
    <row r="42" spans="1:30">
      <c r="C42" s="15" t="s">
        <v>121</v>
      </c>
      <c r="D42" s="16" t="s">
        <v>64</v>
      </c>
      <c r="E42" s="16"/>
      <c r="F42" s="16"/>
      <c r="G42" s="92">
        <v>36831</v>
      </c>
      <c r="T42" s="17"/>
    </row>
    <row r="43" spans="1:30">
      <c r="C43" s="15" t="s">
        <v>122</v>
      </c>
      <c r="D43" s="16" t="s">
        <v>64</v>
      </c>
      <c r="E43" s="16"/>
      <c r="F43" s="16"/>
      <c r="G43" s="92">
        <v>36861</v>
      </c>
      <c r="T43" s="17"/>
    </row>
    <row r="44" spans="1:30">
      <c r="C44" s="15"/>
      <c r="D44" s="16"/>
      <c r="E44" s="16"/>
      <c r="F44" s="16"/>
      <c r="T44" s="17"/>
    </row>
    <row r="45" spans="1:30" customFormat="1" ht="12.75">
      <c r="A45" s="32"/>
      <c r="B45" s="38" t="s">
        <v>65</v>
      </c>
      <c r="C45" s="32"/>
      <c r="D45" s="32"/>
      <c r="E45" s="32"/>
      <c r="F45" s="33"/>
      <c r="G45" s="33"/>
      <c r="H45" s="33"/>
      <c r="I45" s="33"/>
      <c r="J45" s="34"/>
      <c r="K45" s="35"/>
      <c r="L45" s="34"/>
      <c r="M45" s="35"/>
      <c r="N45" s="34"/>
      <c r="O45" s="34"/>
      <c r="P45" s="34"/>
      <c r="Q45" s="34"/>
      <c r="R45" s="34"/>
      <c r="S45" s="34"/>
      <c r="T45" s="34"/>
      <c r="U45" s="34"/>
      <c r="V45" s="35"/>
      <c r="W45" s="35"/>
      <c r="X45" s="36"/>
      <c r="Y45" s="36"/>
      <c r="Z45" s="36"/>
      <c r="AA45" s="36"/>
      <c r="AB45" s="36"/>
      <c r="AC45" s="37"/>
      <c r="AD45" s="37"/>
    </row>
    <row r="46" spans="1:30"/>
    <row r="47" spans="1:30">
      <c r="C47" s="13" t="str">
        <f>B45</f>
        <v>Years</v>
      </c>
      <c r="D47" s="20" t="s">
        <v>7</v>
      </c>
      <c r="E47" s="20"/>
      <c r="F47" s="14"/>
      <c r="G47" s="14" t="s">
        <v>143</v>
      </c>
      <c r="H47" s="14" t="s">
        <v>141</v>
      </c>
      <c r="I47" s="14" t="s">
        <v>142</v>
      </c>
    </row>
    <row r="48" spans="1:30">
      <c r="C48" s="97">
        <v>40695</v>
      </c>
      <c r="D48" s="16" t="s">
        <v>64</v>
      </c>
      <c r="E48" s="16"/>
      <c r="F48" s="16"/>
      <c r="G48" s="93">
        <v>2021</v>
      </c>
      <c r="H48" s="107">
        <f>DATE(G48,MONTH('Input|General'!$G$9),1)</f>
        <v>44348</v>
      </c>
      <c r="I48" s="106" t="str">
        <f>G48-1&amp;"–"&amp;RIGHT(G48,2)</f>
        <v>2020–21</v>
      </c>
    </row>
    <row r="49" spans="3:20">
      <c r="C49" s="97">
        <v>41061</v>
      </c>
      <c r="D49" s="16" t="s">
        <v>64</v>
      </c>
      <c r="E49" s="16"/>
      <c r="F49" s="16"/>
      <c r="G49" s="93">
        <f>G48+1</f>
        <v>2022</v>
      </c>
      <c r="H49" s="107">
        <f>DATE(G49,MONTH('Input|General'!$G$9),1)</f>
        <v>44713</v>
      </c>
      <c r="I49" s="106" t="str">
        <f t="shared" ref="I49:I67" si="0">G49-1&amp;"–"&amp;RIGHT(G49,2)</f>
        <v>2021–22</v>
      </c>
    </row>
    <row r="50" spans="3:20">
      <c r="C50" s="97">
        <v>41426</v>
      </c>
      <c r="D50" s="16" t="s">
        <v>64</v>
      </c>
      <c r="E50" s="16"/>
      <c r="F50" s="16"/>
      <c r="G50" s="93">
        <f t="shared" ref="G50:G67" si="1">G49+1</f>
        <v>2023</v>
      </c>
      <c r="H50" s="107">
        <f>DATE(G50,MONTH('Input|General'!$G$9),1)</f>
        <v>45078</v>
      </c>
      <c r="I50" s="106" t="str">
        <f t="shared" si="0"/>
        <v>2022–23</v>
      </c>
    </row>
    <row r="51" spans="3:20">
      <c r="C51" s="97">
        <v>41791</v>
      </c>
      <c r="D51" s="16" t="s">
        <v>64</v>
      </c>
      <c r="E51" s="16"/>
      <c r="F51" s="16"/>
      <c r="G51" s="93">
        <f t="shared" si="1"/>
        <v>2024</v>
      </c>
      <c r="H51" s="107">
        <f>DATE(G51,MONTH('Input|General'!$G$9),1)</f>
        <v>45444</v>
      </c>
      <c r="I51" s="106" t="str">
        <f t="shared" si="0"/>
        <v>2023–24</v>
      </c>
    </row>
    <row r="52" spans="3:20">
      <c r="C52" s="97">
        <v>42156</v>
      </c>
      <c r="D52" s="16" t="s">
        <v>64</v>
      </c>
      <c r="E52" s="16"/>
      <c r="F52" s="16"/>
      <c r="G52" s="93">
        <f t="shared" si="1"/>
        <v>2025</v>
      </c>
      <c r="H52" s="107">
        <f>DATE(G52,MONTH('Input|General'!$G$9),1)</f>
        <v>45809</v>
      </c>
      <c r="I52" s="106" t="str">
        <f t="shared" si="0"/>
        <v>2024–25</v>
      </c>
      <c r="T52" s="17"/>
    </row>
    <row r="53" spans="3:20">
      <c r="C53" s="97">
        <v>42522</v>
      </c>
      <c r="D53" s="16" t="s">
        <v>64</v>
      </c>
      <c r="E53" s="16"/>
      <c r="F53" s="16"/>
      <c r="G53" s="93">
        <f t="shared" si="1"/>
        <v>2026</v>
      </c>
      <c r="H53" s="107">
        <f>DATE(G53,MONTH('Input|General'!$G$9),1)</f>
        <v>46174</v>
      </c>
      <c r="I53" s="106" t="str">
        <f t="shared" si="0"/>
        <v>2025–26</v>
      </c>
      <c r="T53" s="17"/>
    </row>
    <row r="54" spans="3:20">
      <c r="C54" s="97">
        <v>42887</v>
      </c>
      <c r="D54" s="16" t="s">
        <v>64</v>
      </c>
      <c r="E54" s="16"/>
      <c r="F54" s="16"/>
      <c r="G54" s="93">
        <f t="shared" si="1"/>
        <v>2027</v>
      </c>
      <c r="H54" s="107">
        <f>DATE(G54,MONTH('Input|General'!$G$9),1)</f>
        <v>46539</v>
      </c>
      <c r="I54" s="106" t="str">
        <f t="shared" si="0"/>
        <v>2026–27</v>
      </c>
      <c r="T54" s="17"/>
    </row>
    <row r="55" spans="3:20">
      <c r="C55" s="97">
        <v>43252</v>
      </c>
      <c r="D55" s="16" t="s">
        <v>64</v>
      </c>
      <c r="E55" s="16"/>
      <c r="F55" s="16"/>
      <c r="G55" s="93">
        <f t="shared" si="1"/>
        <v>2028</v>
      </c>
      <c r="H55" s="107">
        <f>DATE(G55,MONTH('Input|General'!$G$9),1)</f>
        <v>46905</v>
      </c>
      <c r="I55" s="106" t="str">
        <f t="shared" si="0"/>
        <v>2027–28</v>
      </c>
      <c r="T55" s="17"/>
    </row>
    <row r="56" spans="3:20">
      <c r="C56" s="97">
        <v>43617</v>
      </c>
      <c r="D56" s="16" t="s">
        <v>64</v>
      </c>
      <c r="E56" s="16"/>
      <c r="F56" s="16"/>
      <c r="G56" s="93">
        <f t="shared" si="1"/>
        <v>2029</v>
      </c>
      <c r="H56" s="107">
        <f>DATE(G56,MONTH('Input|General'!$G$9),1)</f>
        <v>47270</v>
      </c>
      <c r="I56" s="106" t="str">
        <f t="shared" si="0"/>
        <v>2028–29</v>
      </c>
      <c r="T56" s="17"/>
    </row>
    <row r="57" spans="3:20">
      <c r="C57" s="97">
        <v>43983</v>
      </c>
      <c r="D57" s="16" t="s">
        <v>64</v>
      </c>
      <c r="E57" s="16"/>
      <c r="F57" s="16"/>
      <c r="G57" s="93">
        <f t="shared" si="1"/>
        <v>2030</v>
      </c>
      <c r="H57" s="107">
        <f>DATE(G57,MONTH('Input|General'!$G$9),1)</f>
        <v>47635</v>
      </c>
      <c r="I57" s="106" t="str">
        <f t="shared" si="0"/>
        <v>2029–30</v>
      </c>
      <c r="T57" s="17"/>
    </row>
    <row r="58" spans="3:20">
      <c r="C58" s="97">
        <v>44348</v>
      </c>
      <c r="D58" s="16" t="s">
        <v>64</v>
      </c>
      <c r="E58" s="16"/>
      <c r="F58" s="16"/>
      <c r="G58" s="93">
        <f t="shared" si="1"/>
        <v>2031</v>
      </c>
      <c r="H58" s="107">
        <f>DATE(G58,MONTH('Input|General'!$G$9),1)</f>
        <v>48000</v>
      </c>
      <c r="I58" s="106" t="str">
        <f t="shared" si="0"/>
        <v>2030–31</v>
      </c>
      <c r="T58" s="17"/>
    </row>
    <row r="59" spans="3:20">
      <c r="C59" s="97">
        <v>44713</v>
      </c>
      <c r="D59" s="16" t="s">
        <v>64</v>
      </c>
      <c r="E59" s="16"/>
      <c r="F59" s="16"/>
      <c r="G59" s="93">
        <f t="shared" si="1"/>
        <v>2032</v>
      </c>
      <c r="H59" s="107">
        <f>DATE(G59,MONTH('Input|General'!$G$9),1)</f>
        <v>48366</v>
      </c>
      <c r="I59" s="106" t="str">
        <f t="shared" si="0"/>
        <v>2031–32</v>
      </c>
      <c r="T59" s="17"/>
    </row>
    <row r="60" spans="3:20">
      <c r="C60" s="97">
        <v>45078</v>
      </c>
      <c r="D60" s="16" t="s">
        <v>64</v>
      </c>
      <c r="E60" s="16"/>
      <c r="F60" s="16"/>
      <c r="G60" s="93">
        <f t="shared" si="1"/>
        <v>2033</v>
      </c>
      <c r="H60" s="107">
        <f>DATE(G60,MONTH('Input|General'!$G$9),1)</f>
        <v>48731</v>
      </c>
      <c r="I60" s="106" t="str">
        <f t="shared" si="0"/>
        <v>2032–33</v>
      </c>
      <c r="T60" s="17"/>
    </row>
    <row r="61" spans="3:20">
      <c r="C61" s="97">
        <v>45444</v>
      </c>
      <c r="D61" s="16" t="s">
        <v>64</v>
      </c>
      <c r="E61" s="16"/>
      <c r="F61" s="16"/>
      <c r="G61" s="93">
        <f t="shared" si="1"/>
        <v>2034</v>
      </c>
      <c r="H61" s="107">
        <f>DATE(G61,MONTH('Input|General'!$G$9),1)</f>
        <v>49096</v>
      </c>
      <c r="I61" s="106" t="str">
        <f t="shared" si="0"/>
        <v>2033–34</v>
      </c>
      <c r="T61" s="17"/>
    </row>
    <row r="62" spans="3:20">
      <c r="C62" s="97">
        <v>45809</v>
      </c>
      <c r="D62" s="16" t="s">
        <v>64</v>
      </c>
      <c r="E62" s="16"/>
      <c r="F62" s="16"/>
      <c r="G62" s="93">
        <f t="shared" si="1"/>
        <v>2035</v>
      </c>
      <c r="H62" s="107">
        <f>DATE(G62,MONTH('Input|General'!$G$9),1)</f>
        <v>49461</v>
      </c>
      <c r="I62" s="106" t="str">
        <f t="shared" si="0"/>
        <v>2034–35</v>
      </c>
      <c r="T62" s="17"/>
    </row>
    <row r="63" spans="3:20">
      <c r="C63" s="97">
        <v>46174</v>
      </c>
      <c r="D63" s="16" t="s">
        <v>64</v>
      </c>
      <c r="E63" s="16"/>
      <c r="F63" s="16"/>
      <c r="G63" s="93">
        <f t="shared" si="1"/>
        <v>2036</v>
      </c>
      <c r="H63" s="107">
        <f>DATE(G63,MONTH('Input|General'!$G$9),1)</f>
        <v>49827</v>
      </c>
      <c r="I63" s="106" t="str">
        <f t="shared" si="0"/>
        <v>2035–36</v>
      </c>
      <c r="T63" s="17"/>
    </row>
    <row r="64" spans="3:20">
      <c r="C64" s="97">
        <v>46539</v>
      </c>
      <c r="D64" s="16" t="s">
        <v>64</v>
      </c>
      <c r="E64" s="16"/>
      <c r="F64" s="16"/>
      <c r="G64" s="93">
        <f t="shared" si="1"/>
        <v>2037</v>
      </c>
      <c r="H64" s="107">
        <f>DATE(G64,MONTH('Input|General'!$G$9),1)</f>
        <v>50192</v>
      </c>
      <c r="I64" s="106" t="str">
        <f t="shared" si="0"/>
        <v>2036–37</v>
      </c>
      <c r="T64" s="17"/>
    </row>
    <row r="65" spans="1:30">
      <c r="C65" s="97">
        <v>46905</v>
      </c>
      <c r="D65" s="16" t="s">
        <v>64</v>
      </c>
      <c r="E65" s="16"/>
      <c r="F65" s="16"/>
      <c r="G65" s="93">
        <f t="shared" si="1"/>
        <v>2038</v>
      </c>
      <c r="H65" s="107">
        <f>DATE(G65,MONTH('Input|General'!$G$9),1)</f>
        <v>50557</v>
      </c>
      <c r="I65" s="106" t="str">
        <f t="shared" si="0"/>
        <v>2037–38</v>
      </c>
      <c r="T65" s="17"/>
    </row>
    <row r="66" spans="1:30">
      <c r="C66" s="97">
        <v>47270</v>
      </c>
      <c r="D66" s="16" t="s">
        <v>64</v>
      </c>
      <c r="E66" s="16"/>
      <c r="F66" s="16"/>
      <c r="G66" s="93">
        <f t="shared" si="1"/>
        <v>2039</v>
      </c>
      <c r="H66" s="107">
        <f>DATE(G66,MONTH('Input|General'!$G$9),1)</f>
        <v>50922</v>
      </c>
      <c r="I66" s="106" t="str">
        <f t="shared" si="0"/>
        <v>2038–39</v>
      </c>
      <c r="T66" s="17"/>
    </row>
    <row r="67" spans="1:30">
      <c r="C67" s="97">
        <v>47635</v>
      </c>
      <c r="D67" s="16" t="s">
        <v>64</v>
      </c>
      <c r="E67" s="16"/>
      <c r="F67" s="16"/>
      <c r="G67" s="93">
        <f t="shared" si="1"/>
        <v>2040</v>
      </c>
      <c r="H67" s="107">
        <f>DATE(G67,MONTH('Input|General'!$G$9),1)</f>
        <v>51288</v>
      </c>
      <c r="I67" s="106" t="str">
        <f t="shared" si="0"/>
        <v>2039–40</v>
      </c>
      <c r="T67" s="17"/>
    </row>
    <row r="68" spans="1:30"/>
    <row r="69" spans="1:30" customFormat="1" ht="12.75">
      <c r="A69" s="32"/>
      <c r="B69" s="38" t="s">
        <v>139</v>
      </c>
      <c r="C69" s="32"/>
      <c r="D69" s="32"/>
      <c r="E69" s="32"/>
      <c r="F69" s="33"/>
      <c r="G69" s="33"/>
      <c r="H69" s="33"/>
      <c r="I69" s="33"/>
      <c r="J69" s="34"/>
      <c r="K69" s="35"/>
      <c r="L69" s="34"/>
      <c r="M69" s="35"/>
      <c r="N69" s="34"/>
      <c r="O69" s="34"/>
      <c r="P69" s="34"/>
      <c r="Q69" s="34"/>
      <c r="R69" s="34"/>
      <c r="S69" s="34"/>
      <c r="T69" s="34"/>
      <c r="U69" s="34"/>
      <c r="V69" s="35"/>
      <c r="W69" s="35"/>
      <c r="X69" s="36"/>
      <c r="Y69" s="36"/>
      <c r="Z69" s="36"/>
      <c r="AA69" s="36"/>
      <c r="AB69" s="36"/>
      <c r="AC69" s="37"/>
      <c r="AD69" s="37"/>
    </row>
    <row r="70" spans="1:30"/>
    <row r="71" spans="1:30">
      <c r="C71" s="13" t="str">
        <f>B69</f>
        <v>Regulatory years</v>
      </c>
      <c r="D71" s="20" t="s">
        <v>7</v>
      </c>
      <c r="E71" s="20"/>
      <c r="F71" s="14"/>
      <c r="G71" s="14" t="s">
        <v>140</v>
      </c>
      <c r="H71" s="14" t="s">
        <v>109</v>
      </c>
    </row>
    <row r="72" spans="1:30">
      <c r="C72" s="15" t="s">
        <v>160</v>
      </c>
      <c r="D72" s="16" t="s">
        <v>93</v>
      </c>
      <c r="E72" s="20"/>
      <c r="F72" s="14"/>
      <c r="G72" s="106" t="str">
        <f>IF(H72="","",IF(MONTH(H72)=12,YEAR(H72),YEAR(H72)-1&amp;"–"&amp;RIGHT(YEAR(H72),2)))</f>
        <v>2020–21</v>
      </c>
      <c r="H72" s="107">
        <f>DATE(PPFirstYear-1,MONTH('Input|General'!$G$9),1)</f>
        <v>44348</v>
      </c>
    </row>
    <row r="73" spans="1:30">
      <c r="C73" s="15" t="s">
        <v>129</v>
      </c>
      <c r="D73" s="16" t="s">
        <v>93</v>
      </c>
      <c r="E73" s="16"/>
      <c r="F73" s="16"/>
      <c r="G73" s="106" t="str">
        <f t="shared" ref="G73:G82" si="2">IF(H73="","",IF(MONTH(H73)=12,YEAR(H73),YEAR(H73)-1&amp;"–"&amp;RIGHT(YEAR(H73),2)))</f>
        <v>2021–22</v>
      </c>
      <c r="H73" s="107">
        <f>DATE(PPFirstYear,MONTH('Input|General'!$G$9),1)</f>
        <v>44713</v>
      </c>
    </row>
    <row r="74" spans="1:30">
      <c r="C74" s="15" t="s">
        <v>130</v>
      </c>
      <c r="D74" s="16" t="s">
        <v>93</v>
      </c>
      <c r="E74" s="16"/>
      <c r="F74" s="16"/>
      <c r="G74" s="106" t="str">
        <f t="shared" si="2"/>
        <v>2022–23</v>
      </c>
      <c r="H74" s="107">
        <f>IF(PPLastYear-PPFirstYear&lt;1,"",DATE(PPFirstYear+1,MONTH('Input|General'!$G$9),1))</f>
        <v>45078</v>
      </c>
    </row>
    <row r="75" spans="1:30">
      <c r="C75" s="15" t="s">
        <v>131</v>
      </c>
      <c r="D75" s="16" t="s">
        <v>93</v>
      </c>
      <c r="E75" s="16"/>
      <c r="F75" s="16"/>
      <c r="G75" s="106" t="str">
        <f t="shared" si="2"/>
        <v>2023–24</v>
      </c>
      <c r="H75" s="107">
        <f>IF(PPLastYear-PPFirstYear&lt;2,"",DATE(PPFirstYear+2,MONTH('Input|General'!$G$9),1))</f>
        <v>45444</v>
      </c>
    </row>
    <row r="76" spans="1:30">
      <c r="C76" s="15" t="s">
        <v>132</v>
      </c>
      <c r="D76" s="16" t="s">
        <v>93</v>
      </c>
      <c r="E76" s="16"/>
      <c r="F76" s="16"/>
      <c r="G76" s="106" t="str">
        <f t="shared" si="2"/>
        <v>2024–25</v>
      </c>
      <c r="H76" s="107">
        <f>IF(PPLastYear-PPFirstYear&lt;3,"",DATE(PPFirstYear+3,MONTH('Input|General'!$G$9),1))</f>
        <v>45809</v>
      </c>
    </row>
    <row r="77" spans="1:30">
      <c r="C77" s="15" t="s">
        <v>133</v>
      </c>
      <c r="D77" s="16" t="s">
        <v>93</v>
      </c>
      <c r="E77" s="16"/>
      <c r="F77" s="16"/>
      <c r="G77" s="106" t="str">
        <f t="shared" si="2"/>
        <v>2025–26</v>
      </c>
      <c r="H77" s="107">
        <f>IF(PPLastYear-PPFirstYear&lt;4,"",DATE(PPFirstYear+4,MONTH('Input|General'!$G$9),1))</f>
        <v>46174</v>
      </c>
    </row>
    <row r="78" spans="1:30">
      <c r="C78" s="15" t="s">
        <v>162</v>
      </c>
      <c r="D78" s="16" t="s">
        <v>93</v>
      </c>
      <c r="E78" s="16"/>
      <c r="F78" s="16"/>
      <c r="G78" s="106" t="str">
        <f t="shared" si="2"/>
        <v/>
      </c>
      <c r="H78" s="107" t="str">
        <f>IF(PPLastYear-PPFirstYear&lt;5,"",DATE(PPFirstYear+5,MONTH('Input|General'!$G$9),1))</f>
        <v/>
      </c>
    </row>
    <row r="79" spans="1:30">
      <c r="C79" s="15" t="s">
        <v>134</v>
      </c>
      <c r="D79" s="16" t="s">
        <v>93</v>
      </c>
      <c r="E79" s="16"/>
      <c r="F79" s="16"/>
      <c r="G79" s="106" t="str">
        <f t="shared" si="2"/>
        <v>2026–27</v>
      </c>
      <c r="H79" s="107">
        <f>DATE(FPFirstYear,MONTH('Input|General'!$G$9),1)</f>
        <v>46539</v>
      </c>
      <c r="T79" s="17"/>
    </row>
    <row r="80" spans="1:30">
      <c r="C80" s="15" t="s">
        <v>135</v>
      </c>
      <c r="D80" s="16" t="s">
        <v>93</v>
      </c>
      <c r="E80" s="16"/>
      <c r="F80" s="16"/>
      <c r="G80" s="106" t="str">
        <f t="shared" si="2"/>
        <v>2027–28</v>
      </c>
      <c r="H80" s="107">
        <f>IF(FPLastYear-FPFirstYear&lt;1,"",DATE(FPFirstYear+1,MONTH('Input|General'!$G$9),1))</f>
        <v>46905</v>
      </c>
      <c r="T80" s="17"/>
    </row>
    <row r="81" spans="1:30">
      <c r="C81" s="15" t="s">
        <v>136</v>
      </c>
      <c r="D81" s="16" t="s">
        <v>93</v>
      </c>
      <c r="E81" s="16"/>
      <c r="F81" s="16"/>
      <c r="G81" s="106" t="str">
        <f t="shared" si="2"/>
        <v>2028–29</v>
      </c>
      <c r="H81" s="107">
        <f>IF(FPLastYear-FPFirstYear&lt;2,"",DATE(FPFirstYear+2,MONTH('Input|General'!$G$9),1))</f>
        <v>47270</v>
      </c>
      <c r="T81" s="17"/>
    </row>
    <row r="82" spans="1:30">
      <c r="C82" s="15" t="s">
        <v>137</v>
      </c>
      <c r="D82" s="16" t="s">
        <v>93</v>
      </c>
      <c r="E82" s="16"/>
      <c r="F82" s="16"/>
      <c r="G82" s="106" t="str">
        <f t="shared" si="2"/>
        <v>2029–30</v>
      </c>
      <c r="H82" s="107">
        <f>IF(FPLastYear-FPFirstYear&lt;3,"",DATE(FPFirstYear+3,MONTH('Input|General'!$G$9),1))</f>
        <v>47635</v>
      </c>
      <c r="T82" s="17"/>
    </row>
    <row r="83" spans="1:30">
      <c r="C83" s="15" t="s">
        <v>138</v>
      </c>
      <c r="D83" s="16" t="s">
        <v>93</v>
      </c>
      <c r="E83" s="16"/>
      <c r="F83" s="16"/>
      <c r="G83" s="106" t="str">
        <f>IF(H83="","",IF(MONTH(H83)=12,YEAR(H83),YEAR(H83)-1&amp;"–"&amp;RIGHT(YEAR(H83),2)))</f>
        <v>2030–31</v>
      </c>
      <c r="H83" s="107">
        <f>IF(FPLastYear-FPFirstYear&lt;4,"",DATE(FPFirstYear+4,MONTH('Input|General'!$G$9),1))</f>
        <v>48000</v>
      </c>
      <c r="T83" s="17"/>
    </row>
    <row r="84" spans="1:30">
      <c r="C84" s="15"/>
      <c r="D84" s="16"/>
      <c r="E84" s="16"/>
      <c r="F84" s="16"/>
      <c r="G84" s="113"/>
      <c r="H84" s="114"/>
      <c r="T84" s="17"/>
    </row>
    <row r="85" spans="1:30" customFormat="1" ht="12.75">
      <c r="A85" s="32"/>
      <c r="B85" s="38" t="s">
        <v>21</v>
      </c>
      <c r="C85" s="32"/>
      <c r="D85" s="32"/>
      <c r="E85" s="32"/>
      <c r="F85" s="33"/>
      <c r="G85" s="33"/>
      <c r="H85" s="33"/>
      <c r="I85" s="33"/>
      <c r="J85" s="34"/>
      <c r="K85" s="35"/>
      <c r="L85" s="34"/>
      <c r="M85" s="35"/>
      <c r="N85" s="34"/>
      <c r="O85" s="34"/>
      <c r="P85" s="34"/>
      <c r="Q85" s="34"/>
      <c r="R85" s="34"/>
      <c r="S85" s="34"/>
      <c r="T85" s="34"/>
      <c r="U85" s="34"/>
      <c r="V85" s="35"/>
      <c r="W85" s="35"/>
      <c r="X85" s="36"/>
      <c r="Y85" s="36"/>
      <c r="Z85" s="36"/>
      <c r="AA85" s="36"/>
      <c r="AB85" s="36"/>
      <c r="AC85" s="37"/>
      <c r="AD85" s="37"/>
    </row>
  </sheetData>
  <sheetProtection selectLockedCells="1"/>
  <conditionalFormatting sqref="P21:Q28">
    <cfRule type="expression" dxfId="11" priority="55" stopIfTrue="1">
      <formula>#REF!="Actual"</formula>
    </cfRule>
  </conditionalFormatting>
  <conditionalFormatting sqref="P68:Q68">
    <cfRule type="expression" dxfId="10" priority="1" stopIfTrue="1">
      <formula>#REF!="Actual"</formula>
    </cfRule>
  </conditionalFormatting>
  <conditionalFormatting sqref="S1">
    <cfRule type="cellIs" dxfId="9" priority="3" operator="equal">
      <formula>"Check"</formula>
    </cfRule>
    <cfRule type="cellIs" dxfId="8" priority="4" operator="equal">
      <formula>"Ok"</formula>
    </cfRule>
  </conditionalFormatting>
  <conditionalFormatting sqref="V1">
    <cfRule type="cellIs" dxfId="7" priority="5" operator="equal">
      <formula>"Check"</formula>
    </cfRule>
    <cfRule type="cellIs" dxfId="6" priority="6" operator="equal">
      <formula>"Ok"</formula>
    </cfRule>
  </conditionalFormatting>
  <dataValidations count="1">
    <dataValidation type="custom" allowBlank="1" showInputMessage="1" showErrorMessage="1" sqref="J1 U1" xr:uid="{2A71ADF2-5933-4AC9-A491-AD070E07B217}">
      <formula1>"&lt;0&gt;0"</formula1>
    </dataValidation>
  </dataValidations>
  <hyperlinks>
    <hyperlink ref="J1" location="Index!A1" display="Back to Index" xr:uid="{0DA9F25B-912D-4A79-87FC-232D8DC6F209}"/>
    <hyperlink ref="U1" location="'Check|List'!A1" display="Overall Check:" xr:uid="{B40B6067-EF83-4FCE-AA52-3A7292CC4864}"/>
  </hyperlinks>
  <pageMargins left="0.7" right="0.7" top="0.75" bottom="0.75" header="0.3" footer="0.3"/>
  <pageSetup paperSize="9" orientation="portrait" verticalDpi="4" r:id="rId1"/>
  <ignoredErrors>
    <ignoredError sqref="G1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17</vt:i4>
      </vt:variant>
    </vt:vector>
  </HeadingPairs>
  <TitlesOfParts>
    <vt:vector size="27" baseType="lpstr">
      <vt:lpstr>Index</vt:lpstr>
      <vt:lpstr>Input|General</vt:lpstr>
      <vt:lpstr>Input|Inflation</vt:lpstr>
      <vt:lpstr>Input|Reported opex</vt:lpstr>
      <vt:lpstr>Input|Rate of change</vt:lpstr>
      <vt:lpstr>Input|Step changes</vt:lpstr>
      <vt:lpstr>Calc|Opex forecast</vt:lpstr>
      <vt:lpstr>Output|Models</vt:lpstr>
      <vt:lpstr>Lookup|Tables</vt:lpstr>
      <vt:lpstr>Check|List</vt:lpstr>
      <vt:lpstr>BaseYear</vt:lpstr>
      <vt:lpstr>dollars</vt:lpstr>
      <vt:lpstr>factor</vt:lpstr>
      <vt:lpstr>FPFirstYear</vt:lpstr>
      <vt:lpstr>FPLastYear</vt:lpstr>
      <vt:lpstr>millions</vt:lpstr>
      <vt:lpstr>month</vt:lpstr>
      <vt:lpstr>Nominal_to_Real</vt:lpstr>
      <vt:lpstr>NSP</vt:lpstr>
      <vt:lpstr>number</vt:lpstr>
      <vt:lpstr>percent</vt:lpstr>
      <vt:lpstr>PPFirstYear</vt:lpstr>
      <vt:lpstr>PPLastYear</vt:lpstr>
      <vt:lpstr>Real_to_Nominal</vt:lpstr>
      <vt:lpstr>thousands</vt:lpstr>
      <vt:lpstr>unit</vt:lpstr>
      <vt:lpstr>units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2026-04-17T05:05:54Z</dcterms:created>
  <dcterms:modified xsi:type="dcterms:W3CDTF">2026-04-17T05:06:01Z</dcterms:modified>
</cp:coreProperties>
</file>