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cccgovau-my.sharepoint.com/personal/edward_nguyen_aer_gov_au/Documents/Downloads/"/>
    </mc:Choice>
  </mc:AlternateContent>
  <xr:revisionPtr revIDLastSave="97" documentId="8_{F1636665-2F71-4EA2-9BC5-22BE6C53B304}" xr6:coauthVersionLast="47" xr6:coauthVersionMax="47" xr10:uidLastSave="{7279013E-802C-4CF9-9A6E-44F7DEC857D4}"/>
  <bookViews>
    <workbookView xWindow="-120" yWindow="-120" windowWidth="29040" windowHeight="15720" tabRatio="945" activeTab="4" xr2:uid="{00000000-000D-0000-FFFF-FFFF00000000}"/>
  </bookViews>
  <sheets>
    <sheet name="AER Final Decision - Labour" sheetId="179" r:id="rId1"/>
    <sheet name="AER Final Decision - Services" sheetId="178" r:id="rId2"/>
    <sheet name="Changelog" sheetId="177" r:id="rId3"/>
    <sheet name="Index" sheetId="28" r:id="rId4"/>
    <sheet name="Output|Fee Based" sheetId="32" r:id="rId5"/>
    <sheet name="Output|Quoted" sheetId="39" r:id="rId6"/>
    <sheet name="Output|RIN Expense" sheetId="174" r:id="rId7"/>
    <sheet name="Output|RIN Revenue" sheetId="175" r:id="rId8"/>
    <sheet name="Input|Setup" sheetId="47" r:id="rId9"/>
    <sheet name="Input|Escalations" sheetId="48" r:id="rId10"/>
    <sheet name="Input|Indirect Cost Rates" sheetId="45" r:id="rId11"/>
    <sheet name="Input|Labour Rates" sheetId="49" r:id="rId12"/>
    <sheet name="Input|Fee Based" sheetId="44" r:id="rId13"/>
    <sheet name="Input|Fee Based Mapping" sheetId="38" r:id="rId14"/>
    <sheet name="Input|Volume, Revenue, Cost" sheetId="173" r:id="rId15"/>
    <sheet name="Input|Tax Recovery" sheetId="160" r:id="rId16"/>
    <sheet name="Input|Materials" sheetId="176" r:id="rId17"/>
    <sheet name="Calc|Labour Rates" sheetId="50" r:id="rId18"/>
    <sheet name="Calc|Fee Based" sheetId="1" r:id="rId19"/>
    <sheet name="Model Validation" sheetId="14" r:id="rId20"/>
    <sheet name="ND1P" sheetId="91" r:id="rId21"/>
    <sheet name="ND3P" sheetId="133" r:id="rId22"/>
    <sheet name="BTSO" sheetId="136" r:id="rId23"/>
    <sheet name="BTSP" sheetId="137" r:id="rId24"/>
    <sheet name="SUTK" sheetId="135" r:id="rId25"/>
    <sheet name="RTK1" sheetId="138" r:id="rId26"/>
    <sheet name="REEN" sheetId="140" r:id="rId27"/>
    <sheet name="DEEN" sheetId="141" r:id="rId28"/>
    <sheet name="DCTK" sheetId="139" r:id="rId29"/>
    <sheet name="RCTK" sheetId="142" r:id="rId30"/>
    <sheet name="SLOM" sheetId="143" r:id="rId31"/>
    <sheet name="RFOM" sheetId="145" r:id="rId32"/>
    <sheet name="REENRM" sheetId="146" r:id="rId33"/>
    <sheet name="DEENRM" sheetId="147" r:id="rId34"/>
    <sheet name="MCTK" sheetId="148" r:id="rId35"/>
    <sheet name="SPRDRM" sheetId="149" r:id="rId36"/>
    <sheet name="MECFRM" sheetId="150" r:id="rId37"/>
    <sheet name="SPRD" sheetId="151" r:id="rId38"/>
    <sheet name="MTAL" sheetId="152" r:id="rId39"/>
    <sheet name="MDCH" sheetId="153" r:id="rId40"/>
    <sheet name="NCUM" sheetId="154" r:id="rId41"/>
    <sheet name="WSVR" sheetId="155" r:id="rId42"/>
    <sheet name="RTK3" sheetId="156" r:id="rId43"/>
    <sheet name="Template" sheetId="134" r:id="rId44"/>
  </sheets>
  <definedNames>
    <definedName name="_xlnm._FilterDatabase" localSheetId="22" hidden="1">BTSO!$A$9:$W$31</definedName>
    <definedName name="_xlnm._FilterDatabase" localSheetId="23" hidden="1">BTSP!$A$9:$W$31</definedName>
    <definedName name="_xlnm._FilterDatabase" localSheetId="18" hidden="1">'Calc|Fee Based'!$A$11:$AE$81</definedName>
    <definedName name="_xlnm._FilterDatabase" localSheetId="28" hidden="1">DCTK!$A$9:$W$31</definedName>
    <definedName name="_xlnm._FilterDatabase" localSheetId="27" hidden="1">DEEN!$A$9:$W$31</definedName>
    <definedName name="_xlnm._FilterDatabase" localSheetId="33" hidden="1">DEENRM!$A$9:$W$31</definedName>
    <definedName name="_xlnm._FilterDatabase" localSheetId="12" hidden="1">'Input|Fee Based'!$A$11:$AJ$71</definedName>
    <definedName name="_xlnm._FilterDatabase" localSheetId="13" hidden="1">'Input|Fee Based Mapping'!$A$11:$AC$69</definedName>
    <definedName name="_xlnm._FilterDatabase" localSheetId="16" hidden="1">'Input|Materials'!$A$6:$M$56</definedName>
    <definedName name="_xlnm._FilterDatabase" localSheetId="15" hidden="1">'Input|Tax Recovery'!$A$8:$AE$38</definedName>
    <definedName name="_xlnm._FilterDatabase" localSheetId="14" hidden="1">'Input|Volume, Revenue, Cost'!$A$12:$AF$70</definedName>
    <definedName name="_xlnm._FilterDatabase" localSheetId="34" hidden="1">MCTK!$A$9:$W$31</definedName>
    <definedName name="_xlnm._FilterDatabase" localSheetId="39" hidden="1">MDCH!$A$9:$W$31</definedName>
    <definedName name="_xlnm._FilterDatabase" localSheetId="36" hidden="1">MECFRM!$A$9:$W$31</definedName>
    <definedName name="_xlnm._FilterDatabase" localSheetId="38" hidden="1">MTAL!$A$9:$W$31</definedName>
    <definedName name="_xlnm._FilterDatabase" localSheetId="40" hidden="1">NCUM!$A$9:$W$31</definedName>
    <definedName name="_xlnm._FilterDatabase" localSheetId="20" hidden="1">ND1P!$A$9:$W$31</definedName>
    <definedName name="_xlnm._FilterDatabase" localSheetId="21" hidden="1">ND3P!$A$9:$W$31</definedName>
    <definedName name="_xlnm._FilterDatabase" localSheetId="4" hidden="1">'Output|Fee Based'!$A$11:$E$61</definedName>
    <definedName name="_xlnm._FilterDatabase" localSheetId="29" hidden="1">RCTK!$A$9:$W$31</definedName>
    <definedName name="_xlnm._FilterDatabase" localSheetId="26" hidden="1">REEN!$A$9:$W$31</definedName>
    <definedName name="_xlnm._FilterDatabase" localSheetId="32" hidden="1">REENRM!$A$9:$W$31</definedName>
    <definedName name="_xlnm._FilterDatabase" localSheetId="31" hidden="1">RFOM!$A$9:$T$31</definedName>
    <definedName name="_xlnm._FilterDatabase" localSheetId="25" hidden="1">'RTK1'!$A$9:$W$31</definedName>
    <definedName name="_xlnm._FilterDatabase" localSheetId="42" hidden="1">'RTK3'!$A$9:$W$31</definedName>
    <definedName name="_xlnm._FilterDatabase" localSheetId="30" hidden="1">SLOM!$A$9:$T$31</definedName>
    <definedName name="_xlnm._FilterDatabase" localSheetId="37" hidden="1">SPRD!$A$9:$W$31</definedName>
    <definedName name="_xlnm._FilterDatabase" localSheetId="35" hidden="1">SPRDRM!$A$9:$W$31</definedName>
    <definedName name="_xlnm._FilterDatabase" localSheetId="24" hidden="1">SUTK!$A$9:$W$31</definedName>
    <definedName name="_xlnm._FilterDatabase" localSheetId="43" hidden="1">Template!$A$9:$W$31</definedName>
    <definedName name="_xlnm._FilterDatabase" localSheetId="41" hidden="1">WSVR!$A$9:$W$31</definedName>
    <definedName name="abba" hidden="1">{"Ownership",#N/A,FALSE,"Ownership";"Contents",#N/A,FALSE,"Contents"}</definedName>
    <definedName name="anscount" hidden="1">1</definedName>
    <definedName name="BaseYear" localSheetId="2">#REF!</definedName>
    <definedName name="BaseYear">#REF!</definedName>
    <definedName name="CA_Activity_Classification" localSheetId="2">#REF!</definedName>
    <definedName name="CA_Activity_Classification">#REF!</definedName>
    <definedName name="CA_Activity_Group" localSheetId="2">#REF!</definedName>
    <definedName name="CA_Activity_Group">#REF!</definedName>
    <definedName name="CA_Activity_Name" localSheetId="2">#REF!</definedName>
    <definedName name="CA_Activity_Name">#REF!</definedName>
    <definedName name="CA_Labour_Cat_Name" localSheetId="2">#REF!</definedName>
    <definedName name="CA_Labour_Cat_Name">#REF!</definedName>
    <definedName name="CA_Labour_Rate" localSheetId="2">#REF!</definedName>
    <definedName name="CA_Labour_Rate">#REF!</definedName>
    <definedName name="Cash_Timing" localSheetId="2">#REF!</definedName>
    <definedName name="Cash_Timing">#REF!</definedName>
    <definedName name="Control_Mechanism" localSheetId="2">#REF!</definedName>
    <definedName name="Control_Mechanism">#REF!</definedName>
    <definedName name="CPI_Escalator_to_Y1" localSheetId="2">#REF!</definedName>
    <definedName name="CPI_Escalator_to_Y1" localSheetId="16">#REF!</definedName>
    <definedName name="CPI_Escalator_to_Y1">'Input|Escalations'!$I$18</definedName>
    <definedName name="currentyear" localSheetId="16">'Input|Materials'!$E$6</definedName>
    <definedName name="currentyear" localSheetId="14">'Input|Volume, Revenue, Cost'!$F$12</definedName>
    <definedName name="currentyear">'Input|Fee Based Mapping'!$F$11</definedName>
    <definedName name="dms_FRCPlength_Num" localSheetId="2">#REF!</definedName>
    <definedName name="dms_FRCPlength_Num">#REF!</definedName>
    <definedName name="DNSP" localSheetId="16">'Input|Materials'!#REF!</definedName>
    <definedName name="DNSP" localSheetId="14">'Input|Volume, Revenue, Cost'!$F$9</definedName>
    <definedName name="DNSP">'Input|Fee Based Mapping'!$F$8</definedName>
    <definedName name="dollars" localSheetId="2">#REF!</definedName>
    <definedName name="dollars">#REF!</definedName>
    <definedName name="Expense_Type" localSheetId="2">#REF!</definedName>
    <definedName name="Expense_Type">#REF!</definedName>
    <definedName name="factor" localSheetId="2">#REF!</definedName>
    <definedName name="factor">#REF!</definedName>
    <definedName name="FPFirstYear" localSheetId="2">#REF!</definedName>
    <definedName name="FPFirstYear">#REF!</definedName>
    <definedName name="FPLastYear" localSheetId="2">#REF!</definedName>
    <definedName name="FPLastYear">#REF!</definedName>
    <definedName name="Index_Period" localSheetId="2">#REF!</definedName>
    <definedName name="Index_Period">#REF!</definedName>
    <definedName name="Input_dollar_basis" localSheetId="2">#REF!</definedName>
    <definedName name="Input_dollar_basis">#REF!</definedName>
    <definedName name="InterveningYear" localSheetId="2">#REF!</definedName>
    <definedName name="InterveningYear">#REF!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bour_types" localSheetId="2">OFFSET(#REF!,1,0,COUNTA(#REF!),1)</definedName>
    <definedName name="Labour_types">OFFSET(#REF!,1,0,COUNTA(#REF!),1)</definedName>
    <definedName name="LAN" hidden="1">{"Ownership",#N/A,FALSE,"Ownership";"Contents",#N/A,FALSE,"Contents"}</definedName>
    <definedName name="millions" localSheetId="2">#REF!</definedName>
    <definedName name="millions">#REF!</definedName>
    <definedName name="New_Service_Group" localSheetId="2">#REF!</definedName>
    <definedName name="New_Service_Group">#REF!</definedName>
    <definedName name="Nominal" localSheetId="2">#REF!</definedName>
    <definedName name="Nominal">#REF!</definedName>
    <definedName name="number" localSheetId="2">#REF!</definedName>
    <definedName name="number">#REF!</definedName>
    <definedName name="percent" localSheetId="2">#REF!</definedName>
    <definedName name="percent">#REF!</definedName>
    <definedName name="PPFirstYear" localSheetId="2">#REF!</definedName>
    <definedName name="PPFirstYear">#REF!</definedName>
    <definedName name="PPLastYear" localSheetId="2">#REF!</definedName>
    <definedName name="PPLastYear">#REF!</definedName>
    <definedName name="Project_list" localSheetId="2">OFFSET(#REF!,1,0,COUNTA(#REF!),1)</definedName>
    <definedName name="Project_list" localSheetId="12">OFFSET('Input|Fee Based'!$C$11,1,0,COUNTA('Input|Fee Based'!$B$12:$B$1048576),1)</definedName>
    <definedName name="Project_list" localSheetId="13">OFFSET('Input|Fee Based Mapping'!$B$11,1,0,COUNTA('Input|Fee Based Mapping'!$B$12:$B$1048576),1)</definedName>
    <definedName name="Project_list" localSheetId="16">OFFSET('Input|Materials'!$B$6,1,0,COUNTA('Input|Materials'!$B$7:$B$1048576),1)</definedName>
    <definedName name="Project_list" localSheetId="15">OFFSET('Input|Tax Recovery'!$C$8,1,0,COUNTA('Input|Tax Recovery'!$B$9:$B$1048576),1)</definedName>
    <definedName name="Project_list" localSheetId="14">OFFSET('Input|Volume, Revenue, Cost'!$B$12,1,0,COUNTA('Input|Volume, Revenue, Cost'!$B$13:$B$1048576),1)</definedName>
    <definedName name="Project_list">OFFSET('Calc|Fee Based'!$C$11,1,0,COUNTA('Calc|Fee Based'!$C$12:$C$1048576),1)</definedName>
    <definedName name="RealContracts_Escalator_to_Y1">'Input|Escalations'!$I$64</definedName>
    <definedName name="RealLabour_Escalator_to_Y1" localSheetId="2">#REF!</definedName>
    <definedName name="RealLabour_Escalator_to_Y1" localSheetId="16">#REF!</definedName>
    <definedName name="RealLabour_Escalator_to_Y1">'Input|Escalations'!$I$39</definedName>
    <definedName name="RealMaterials_Escalator_to_Y1" localSheetId="2">#REF!</definedName>
    <definedName name="RealMaterials_Escalator_to_Y1" localSheetId="16">#REF!</definedName>
    <definedName name="RealMaterials_Escalator_to_Y1">'Input|Escalations'!$I$59</definedName>
    <definedName name="RealOther_Escalator_to_Y1" localSheetId="2">#REF!</definedName>
    <definedName name="RealOther_Escalator_to_Y1" localSheetId="16">#REF!</definedName>
    <definedName name="RealOther_Escalator_to_Y1">'Input|Escalations'!$I$74</definedName>
    <definedName name="RealVehicles_Escalator_to_Y1" localSheetId="2">#REF!</definedName>
    <definedName name="RealVehicles_Escalator_to_Y1" localSheetId="16">#REF!</definedName>
    <definedName name="RealVehicles_Escalator_to_Y1">'Input|Escalations'!$I$69</definedName>
    <definedName name="Tax_recovery" localSheetId="2">#REF!</definedName>
    <definedName name="Tax_recovery">#REF!</definedName>
    <definedName name="teest" hidden="1">{"Ownership",#N/A,FALSE,"Ownership";"Contents",#N/A,FALSE,"Contents"}</definedName>
    <definedName name="test" hidden="1">{"Ownership",#N/A,FALSE,"Ownership";"Contents",#N/A,FALSE,"Contents"}</definedName>
    <definedName name="Time_of_Service" localSheetId="2">#REF!</definedName>
    <definedName name="Time_of_Service">#REF!</definedName>
    <definedName name="Timing_Adj" localSheetId="2">#REF!</definedName>
    <definedName name="Timing_Adj">#REF!</definedName>
    <definedName name="wrn.App._.Custodians." hidden="1">{"Ownership",#N/A,FALSE,"Ownership";"Contents",#N/A,FALSE,"Contents"}</definedName>
    <definedName name="Year" localSheetId="2">#REF!</definedName>
    <definedName name="Year">#REF!</definedName>
    <definedName name="Yes" localSheetId="2">#REF!</definedName>
    <definedName name="Yes">#REF!</definedName>
    <definedName name="Yes_No_List" localSheetId="2">#REF!</definedName>
    <definedName name="Yes_No_Lis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39" l="1"/>
  <c r="I18" i="39"/>
  <c r="I19" i="39"/>
  <c r="I20" i="39"/>
  <c r="I21" i="39"/>
  <c r="F16" i="48"/>
  <c r="G16" i="48"/>
  <c r="H16" i="48"/>
  <c r="I16" i="48"/>
  <c r="J16" i="48"/>
  <c r="K16" i="48"/>
  <c r="L16" i="48"/>
  <c r="M16" i="48"/>
  <c r="E16" i="48"/>
  <c r="E17" i="48"/>
  <c r="F17" i="48" l="1"/>
  <c r="G17" i="48" s="1"/>
  <c r="H17" i="48" s="1"/>
  <c r="I17" i="48" s="1"/>
  <c r="J17" i="48" s="1"/>
  <c r="K17" i="48" s="1"/>
  <c r="L17" i="48" s="1"/>
  <c r="M17" i="48" s="1"/>
  <c r="I21" i="48" l="1"/>
  <c r="I20" i="48" l="1"/>
  <c r="J20" i="48" s="1"/>
  <c r="K20" i="48" s="1"/>
  <c r="L20" i="48" s="1"/>
  <c r="M20" i="48" s="1"/>
  <c r="B44" i="49" l="1"/>
  <c r="B1" i="178" l="1"/>
  <c r="G11" i="160" l="1"/>
  <c r="E9" i="50" l="1"/>
  <c r="B1" i="176"/>
  <c r="CR74" i="173"/>
  <c r="CQ74" i="173"/>
  <c r="CB74" i="173"/>
  <c r="CA74" i="173"/>
  <c r="BT74" i="173"/>
  <c r="BS74" i="173"/>
  <c r="F19" i="45" l="1" a="1"/>
  <c r="F19" i="45" s="1"/>
  <c r="D19" i="45" a="1"/>
  <c r="D19" i="45" s="1"/>
  <c r="E19" i="45" a="1"/>
  <c r="E19" i="45" s="1"/>
  <c r="G19" i="45" a="1"/>
  <c r="G19" i="45" s="1"/>
  <c r="I19" i="45" a="1"/>
  <c r="I19" i="45" s="1"/>
  <c r="H19" i="45" a="1"/>
  <c r="H19" i="45" s="1"/>
  <c r="A8" i="176" l="1"/>
  <c r="A9" i="176" s="1"/>
  <c r="A10" i="176" s="1"/>
  <c r="A11" i="176" s="1"/>
  <c r="A12" i="176" s="1"/>
  <c r="A13" i="176" s="1"/>
  <c r="A14" i="176" s="1"/>
  <c r="A15" i="176" s="1"/>
  <c r="A16" i="176" s="1"/>
  <c r="A17" i="176" s="1"/>
  <c r="A18" i="176" s="1"/>
  <c r="A19" i="176" s="1"/>
  <c r="A20" i="176" s="1"/>
  <c r="A21" i="176" s="1"/>
  <c r="A22" i="176" s="1"/>
  <c r="A23" i="176" s="1"/>
  <c r="A24" i="176" s="1"/>
  <c r="A25" i="176" s="1"/>
  <c r="A26" i="176" s="1"/>
  <c r="A27" i="176" s="1"/>
  <c r="A28" i="176" s="1"/>
  <c r="A29" i="176" s="1"/>
  <c r="A30" i="176" s="1"/>
  <c r="A31" i="176" s="1"/>
  <c r="A32" i="176" s="1"/>
  <c r="A33" i="176" s="1"/>
  <c r="A34" i="176" s="1"/>
  <c r="A35" i="176" s="1"/>
  <c r="A36" i="176" s="1"/>
  <c r="A37" i="176" s="1"/>
  <c r="A38" i="176" s="1"/>
  <c r="A39" i="176" s="1"/>
  <c r="A40" i="176" s="1"/>
  <c r="A41" i="176" s="1"/>
  <c r="A42" i="176" s="1"/>
  <c r="A43" i="176" s="1"/>
  <c r="A44" i="176" s="1"/>
  <c r="A45" i="176" s="1"/>
  <c r="A46" i="176" s="1"/>
  <c r="A47" i="176" s="1"/>
  <c r="A48" i="176" s="1"/>
  <c r="A49" i="176" s="1"/>
  <c r="A50" i="176" s="1"/>
  <c r="A51" i="176" s="1"/>
  <c r="A52" i="176" s="1"/>
  <c r="A53" i="176" s="1"/>
  <c r="A54" i="176" s="1"/>
  <c r="A55" i="176" s="1"/>
  <c r="A56" i="176" s="1"/>
  <c r="B2" i="176"/>
  <c r="G19" i="49" l="1"/>
  <c r="G18" i="49"/>
  <c r="G17" i="49"/>
  <c r="G16" i="49"/>
  <c r="G15" i="49"/>
  <c r="G14" i="49"/>
  <c r="G13" i="49"/>
  <c r="G12" i="49"/>
  <c r="G11" i="49"/>
  <c r="G10" i="49"/>
  <c r="F37" i="48" l="1"/>
  <c r="W72" i="173"/>
  <c r="V72" i="173"/>
  <c r="U72" i="173"/>
  <c r="T72" i="173"/>
  <c r="S72" i="173"/>
  <c r="W71" i="173"/>
  <c r="V71" i="173"/>
  <c r="U71" i="173"/>
  <c r="T71" i="173"/>
  <c r="S71" i="173"/>
  <c r="W70" i="173"/>
  <c r="V70" i="173"/>
  <c r="U70" i="173"/>
  <c r="T70" i="173"/>
  <c r="S70" i="173"/>
  <c r="W69" i="173"/>
  <c r="V69" i="173"/>
  <c r="U69" i="173"/>
  <c r="T69" i="173"/>
  <c r="S69" i="173"/>
  <c r="W68" i="173"/>
  <c r="V68" i="173"/>
  <c r="U68" i="173"/>
  <c r="T68" i="173"/>
  <c r="S68" i="173"/>
  <c r="W67" i="173"/>
  <c r="V67" i="173"/>
  <c r="U67" i="173"/>
  <c r="T67" i="173"/>
  <c r="S67" i="173"/>
  <c r="W66" i="173"/>
  <c r="V66" i="173"/>
  <c r="U66" i="173"/>
  <c r="T66" i="173"/>
  <c r="S66" i="173"/>
  <c r="W65" i="173"/>
  <c r="V65" i="173"/>
  <c r="U65" i="173"/>
  <c r="T65" i="173"/>
  <c r="S65" i="173"/>
  <c r="W64" i="173"/>
  <c r="V64" i="173"/>
  <c r="U64" i="173"/>
  <c r="T64" i="173"/>
  <c r="S64" i="173"/>
  <c r="W63" i="173"/>
  <c r="V63" i="173"/>
  <c r="U63" i="173"/>
  <c r="T63" i="173"/>
  <c r="S63" i="173"/>
  <c r="W62" i="173"/>
  <c r="V62" i="173"/>
  <c r="U62" i="173"/>
  <c r="T62" i="173"/>
  <c r="S62" i="173"/>
  <c r="W61" i="173"/>
  <c r="V61" i="173"/>
  <c r="U61" i="173"/>
  <c r="T61" i="173"/>
  <c r="S61" i="173"/>
  <c r="W60" i="173"/>
  <c r="V60" i="173"/>
  <c r="U60" i="173"/>
  <c r="T60" i="173"/>
  <c r="S60" i="173"/>
  <c r="W59" i="173"/>
  <c r="V59" i="173"/>
  <c r="U59" i="173"/>
  <c r="T59" i="173"/>
  <c r="S59" i="173"/>
  <c r="W58" i="173"/>
  <c r="V58" i="173"/>
  <c r="U58" i="173"/>
  <c r="T58" i="173"/>
  <c r="S58" i="173"/>
  <c r="W57" i="173"/>
  <c r="V57" i="173"/>
  <c r="U57" i="173"/>
  <c r="T57" i="173"/>
  <c r="S57" i="173"/>
  <c r="W56" i="173"/>
  <c r="V56" i="173"/>
  <c r="U56" i="173"/>
  <c r="T56" i="173"/>
  <c r="S56" i="173"/>
  <c r="W55" i="173"/>
  <c r="V55" i="173"/>
  <c r="U55" i="173"/>
  <c r="T55" i="173"/>
  <c r="S55" i="173"/>
  <c r="W54" i="173"/>
  <c r="V54" i="173"/>
  <c r="U54" i="173"/>
  <c r="T54" i="173"/>
  <c r="S54" i="173"/>
  <c r="W53" i="173"/>
  <c r="V53" i="173"/>
  <c r="U53" i="173"/>
  <c r="T53" i="173"/>
  <c r="S53" i="173"/>
  <c r="W52" i="173"/>
  <c r="V52" i="173"/>
  <c r="U52" i="173"/>
  <c r="T52" i="173"/>
  <c r="S52" i="173"/>
  <c r="W51" i="173"/>
  <c r="V51" i="173"/>
  <c r="U51" i="173"/>
  <c r="T51" i="173"/>
  <c r="S51" i="173"/>
  <c r="W50" i="173"/>
  <c r="V50" i="173"/>
  <c r="U50" i="173"/>
  <c r="T50" i="173"/>
  <c r="S50" i="173"/>
  <c r="R72" i="173"/>
  <c r="Q72" i="173"/>
  <c r="R71" i="173"/>
  <c r="Q71" i="173"/>
  <c r="R70" i="173"/>
  <c r="Q70" i="173"/>
  <c r="R69" i="173"/>
  <c r="Q69" i="173"/>
  <c r="R68" i="173"/>
  <c r="Q68" i="173"/>
  <c r="R67" i="173"/>
  <c r="Q67" i="173"/>
  <c r="R66" i="173"/>
  <c r="Q66" i="173"/>
  <c r="R65" i="173"/>
  <c r="Q65" i="173"/>
  <c r="R64" i="173"/>
  <c r="Q64" i="173"/>
  <c r="R63" i="173"/>
  <c r="Q63" i="173"/>
  <c r="R62" i="173"/>
  <c r="Q62" i="173"/>
  <c r="R61" i="173"/>
  <c r="Q61" i="173"/>
  <c r="R60" i="173"/>
  <c r="Q60" i="173"/>
  <c r="R59" i="173"/>
  <c r="Q59" i="173"/>
  <c r="R58" i="173"/>
  <c r="Q58" i="173"/>
  <c r="R57" i="173"/>
  <c r="Q57" i="173"/>
  <c r="R56" i="173"/>
  <c r="Q56" i="173"/>
  <c r="R55" i="173"/>
  <c r="Q55" i="173"/>
  <c r="R54" i="173"/>
  <c r="Q54" i="173"/>
  <c r="R53" i="173"/>
  <c r="Q53" i="173"/>
  <c r="R52" i="173"/>
  <c r="Q52" i="173"/>
  <c r="R51" i="173"/>
  <c r="Q51" i="173"/>
  <c r="R50" i="173"/>
  <c r="Q50" i="173"/>
  <c r="R49" i="173"/>
  <c r="Q49" i="173"/>
  <c r="Q48" i="173"/>
  <c r="Q47" i="173"/>
  <c r="Q46" i="173"/>
  <c r="Q45" i="173"/>
  <c r="Q44" i="173"/>
  <c r="Q43" i="173"/>
  <c r="Q42" i="173"/>
  <c r="Q41" i="173"/>
  <c r="Q40" i="173"/>
  <c r="Q39" i="173"/>
  <c r="Q37" i="173"/>
  <c r="Q36" i="173"/>
  <c r="Q33" i="173"/>
  <c r="Q32" i="173"/>
  <c r="Q31" i="173"/>
  <c r="Q30" i="173"/>
  <c r="Q29" i="173"/>
  <c r="Q28" i="173"/>
  <c r="Q27" i="173"/>
  <c r="Q26" i="173"/>
  <c r="Q25" i="173"/>
  <c r="Q24" i="173"/>
  <c r="Q23" i="173"/>
  <c r="Q22" i="173"/>
  <c r="Q21" i="173"/>
  <c r="Q20" i="173"/>
  <c r="Q19" i="173"/>
  <c r="Q18" i="173"/>
  <c r="Q17" i="173"/>
  <c r="Q16" i="173"/>
  <c r="Q15" i="173"/>
  <c r="Q14" i="173"/>
  <c r="Q13" i="173"/>
  <c r="Q10" i="173"/>
  <c r="F10" i="49" l="1"/>
  <c r="M37" i="48"/>
  <c r="L37" i="48"/>
  <c r="K37" i="48"/>
  <c r="J37" i="48"/>
  <c r="I37" i="48"/>
  <c r="H37" i="48"/>
  <c r="G37" i="48"/>
  <c r="E37" i="48"/>
  <c r="D37" i="48"/>
  <c r="M47" i="38" l="1"/>
  <c r="M46" i="38"/>
  <c r="M45" i="38"/>
  <c r="M44" i="38"/>
  <c r="M43" i="38"/>
  <c r="M42" i="38"/>
  <c r="M41" i="38"/>
  <c r="M40" i="38"/>
  <c r="M39" i="38"/>
  <c r="M38" i="38"/>
  <c r="M36" i="38"/>
  <c r="M35" i="38"/>
  <c r="M34" i="38"/>
  <c r="M33" i="38"/>
  <c r="M32" i="38"/>
  <c r="B57" i="32" l="1"/>
  <c r="C57" i="32"/>
  <c r="D57" i="32"/>
  <c r="E57" i="32"/>
  <c r="F57" i="32"/>
  <c r="G57" i="32"/>
  <c r="B58" i="32"/>
  <c r="C58" i="32"/>
  <c r="D58" i="32"/>
  <c r="E58" i="32"/>
  <c r="F58" i="32"/>
  <c r="G58" i="32"/>
  <c r="B59" i="32"/>
  <c r="C59" i="32"/>
  <c r="D59" i="32"/>
  <c r="E59" i="32"/>
  <c r="F59" i="32"/>
  <c r="G59" i="32"/>
  <c r="B60" i="32"/>
  <c r="C60" i="32"/>
  <c r="D60" i="32"/>
  <c r="E60" i="32"/>
  <c r="F60" i="32"/>
  <c r="G60" i="32"/>
  <c r="B61" i="32"/>
  <c r="C61" i="32"/>
  <c r="D61" i="32"/>
  <c r="E61" i="32"/>
  <c r="F61" i="32"/>
  <c r="G61" i="32"/>
  <c r="Y10" i="173"/>
  <c r="I72" i="173"/>
  <c r="I71" i="173"/>
  <c r="I70" i="173"/>
  <c r="I69" i="173"/>
  <c r="I68" i="173"/>
  <c r="I67" i="173"/>
  <c r="I66" i="173"/>
  <c r="I65" i="173"/>
  <c r="I64" i="173"/>
  <c r="I63" i="173"/>
  <c r="I62" i="173"/>
  <c r="I61" i="173"/>
  <c r="I60" i="173"/>
  <c r="I59" i="173"/>
  <c r="I58" i="173"/>
  <c r="I57" i="173"/>
  <c r="I56" i="173"/>
  <c r="I55" i="173"/>
  <c r="I54" i="173"/>
  <c r="I53" i="173"/>
  <c r="I52" i="173"/>
  <c r="J52" i="173" s="1"/>
  <c r="I51" i="173"/>
  <c r="I50" i="173"/>
  <c r="I49" i="173"/>
  <c r="I48" i="173"/>
  <c r="I47" i="173"/>
  <c r="I46" i="173"/>
  <c r="I45" i="173"/>
  <c r="I44" i="173"/>
  <c r="I43" i="173"/>
  <c r="I42" i="173"/>
  <c r="I41" i="173"/>
  <c r="I40" i="173"/>
  <c r="I39" i="173"/>
  <c r="I38" i="173"/>
  <c r="I37" i="173"/>
  <c r="I36" i="173"/>
  <c r="I35" i="173"/>
  <c r="I34" i="173"/>
  <c r="I33" i="173"/>
  <c r="I32" i="173"/>
  <c r="I31" i="173"/>
  <c r="I30" i="173"/>
  <c r="I29" i="173"/>
  <c r="I28" i="173"/>
  <c r="I27" i="173"/>
  <c r="I26" i="173"/>
  <c r="I25" i="173"/>
  <c r="I24" i="173"/>
  <c r="I23" i="173"/>
  <c r="I22" i="173"/>
  <c r="I21" i="173"/>
  <c r="I20" i="173"/>
  <c r="I19" i="173"/>
  <c r="I18" i="173"/>
  <c r="I17" i="173"/>
  <c r="I16" i="173"/>
  <c r="I15" i="173"/>
  <c r="I14" i="173"/>
  <c r="I13" i="173"/>
  <c r="A14" i="173"/>
  <c r="A15" i="173" s="1"/>
  <c r="A16" i="173" s="1"/>
  <c r="A17" i="173" s="1"/>
  <c r="A18" i="173" s="1"/>
  <c r="A19" i="173" s="1"/>
  <c r="A20" i="173" s="1"/>
  <c r="A21" i="173" s="1"/>
  <c r="A22" i="173" s="1"/>
  <c r="A23" i="173" s="1"/>
  <c r="A24" i="173" s="1"/>
  <c r="A25" i="173" s="1"/>
  <c r="A26" i="173" s="1"/>
  <c r="A27" i="173" s="1"/>
  <c r="A28" i="173" s="1"/>
  <c r="A29" i="173" s="1"/>
  <c r="A30" i="173" s="1"/>
  <c r="A31" i="173" s="1"/>
  <c r="A32" i="173" s="1"/>
  <c r="A33" i="173" s="1"/>
  <c r="A34" i="173" s="1"/>
  <c r="A35" i="173" s="1"/>
  <c r="A36" i="173" s="1"/>
  <c r="A37" i="173" s="1"/>
  <c r="A38" i="173" s="1"/>
  <c r="A39" i="173" s="1"/>
  <c r="A40" i="173" s="1"/>
  <c r="A41" i="173" s="1"/>
  <c r="A42" i="173" s="1"/>
  <c r="A43" i="173" s="1"/>
  <c r="A44" i="173" s="1"/>
  <c r="A45" i="173" s="1"/>
  <c r="A46" i="173" s="1"/>
  <c r="A47" i="173" s="1"/>
  <c r="A48" i="173" s="1"/>
  <c r="A49" i="173" s="1"/>
  <c r="A50" i="173" s="1"/>
  <c r="A51" i="173" s="1"/>
  <c r="A52" i="173" s="1"/>
  <c r="A53" i="173" s="1"/>
  <c r="A54" i="173" s="1"/>
  <c r="A55" i="173" s="1"/>
  <c r="A56" i="173" s="1"/>
  <c r="A57" i="173" s="1"/>
  <c r="A58" i="173" s="1"/>
  <c r="A59" i="173" s="1"/>
  <c r="A60" i="173" s="1"/>
  <c r="A61" i="173" s="1"/>
  <c r="A62" i="173" s="1"/>
  <c r="A63" i="173" s="1"/>
  <c r="A64" i="173" s="1"/>
  <c r="A65" i="173" s="1"/>
  <c r="A66" i="173" s="1"/>
  <c r="A67" i="173" s="1"/>
  <c r="A68" i="173" s="1"/>
  <c r="A69" i="173" s="1"/>
  <c r="A70" i="173" s="1"/>
  <c r="A71" i="173" s="1"/>
  <c r="A72" i="173" s="1"/>
  <c r="B2" i="173"/>
  <c r="B1" i="173"/>
  <c r="J22" i="173" l="1"/>
  <c r="Y22" i="173"/>
  <c r="J46" i="173"/>
  <c r="Y46" i="173"/>
  <c r="J15" i="173"/>
  <c r="Y15" i="173"/>
  <c r="J27" i="173"/>
  <c r="Y27" i="173"/>
  <c r="J39" i="173"/>
  <c r="Y39" i="173"/>
  <c r="J51" i="173"/>
  <c r="Y51" i="173"/>
  <c r="J63" i="173"/>
  <c r="K63" i="173" s="1"/>
  <c r="Y63" i="173"/>
  <c r="J16" i="173"/>
  <c r="Y16" i="173"/>
  <c r="J17" i="173"/>
  <c r="Y17" i="173"/>
  <c r="J41" i="173"/>
  <c r="Y41" i="173"/>
  <c r="Y18" i="173"/>
  <c r="J30" i="173"/>
  <c r="Y30" i="173"/>
  <c r="J42" i="173"/>
  <c r="Y42" i="173"/>
  <c r="J54" i="173"/>
  <c r="Y54" i="173"/>
  <c r="J66" i="173"/>
  <c r="Y66" i="173"/>
  <c r="Y19" i="173"/>
  <c r="Y31" i="173"/>
  <c r="J43" i="173"/>
  <c r="Y43" i="173"/>
  <c r="J55" i="173"/>
  <c r="Y55" i="173"/>
  <c r="J67" i="173"/>
  <c r="Y67" i="173"/>
  <c r="J34" i="173"/>
  <c r="J58" i="173"/>
  <c r="Y58" i="173"/>
  <c r="J70" i="173"/>
  <c r="Y70" i="173"/>
  <c r="J23" i="173"/>
  <c r="Y23" i="173"/>
  <c r="J35" i="173"/>
  <c r="J47" i="173"/>
  <c r="Y47" i="173"/>
  <c r="J59" i="173"/>
  <c r="Y59" i="173"/>
  <c r="J71" i="173"/>
  <c r="Y71" i="173"/>
  <c r="J24" i="173"/>
  <c r="Y24" i="173"/>
  <c r="J36" i="173"/>
  <c r="Y36" i="173"/>
  <c r="J48" i="173"/>
  <c r="Y48" i="173"/>
  <c r="J60" i="173"/>
  <c r="K60" i="173" s="1"/>
  <c r="Y60" i="173"/>
  <c r="J72" i="173"/>
  <c r="Y72" i="173"/>
  <c r="J13" i="173"/>
  <c r="Y13" i="173"/>
  <c r="J25" i="173"/>
  <c r="Y25" i="173"/>
  <c r="Y37" i="173"/>
  <c r="J49" i="173"/>
  <c r="Y49" i="173"/>
  <c r="J61" i="173"/>
  <c r="Y61" i="173"/>
  <c r="K52" i="173"/>
  <c r="Z52" i="173"/>
  <c r="J14" i="173"/>
  <c r="Y14" i="173"/>
  <c r="J26" i="173"/>
  <c r="Y26" i="173"/>
  <c r="J38" i="173"/>
  <c r="J50" i="173"/>
  <c r="Y50" i="173"/>
  <c r="J62" i="173"/>
  <c r="Y62" i="173"/>
  <c r="J28" i="173"/>
  <c r="Y28" i="173"/>
  <c r="J40" i="173"/>
  <c r="Y40" i="173"/>
  <c r="Y52" i="173"/>
  <c r="J64" i="173"/>
  <c r="Y64" i="173"/>
  <c r="J29" i="173"/>
  <c r="Y29" i="173"/>
  <c r="J53" i="173"/>
  <c r="Z53" i="173" s="1"/>
  <c r="Y53" i="173"/>
  <c r="J65" i="173"/>
  <c r="K65" i="173" s="1"/>
  <c r="Y65" i="173"/>
  <c r="J20" i="173"/>
  <c r="Y20" i="173"/>
  <c r="J32" i="173"/>
  <c r="Y32" i="173"/>
  <c r="J44" i="173"/>
  <c r="Y44" i="173"/>
  <c r="J56" i="173"/>
  <c r="Y56" i="173"/>
  <c r="J68" i="173"/>
  <c r="Y68" i="173"/>
  <c r="J21" i="173"/>
  <c r="Y21" i="173"/>
  <c r="J33" i="173"/>
  <c r="Y33" i="173"/>
  <c r="J45" i="173"/>
  <c r="Y45" i="173"/>
  <c r="J57" i="173"/>
  <c r="Y57" i="173"/>
  <c r="J69" i="173"/>
  <c r="Y69" i="173"/>
  <c r="J37" i="173"/>
  <c r="J18" i="173"/>
  <c r="J19" i="173"/>
  <c r="J31" i="173"/>
  <c r="R71" i="38"/>
  <c r="Q71" i="38"/>
  <c r="P71" i="38"/>
  <c r="O71" i="38"/>
  <c r="N71" i="38"/>
  <c r="R70" i="38"/>
  <c r="Q70" i="38"/>
  <c r="P70" i="38"/>
  <c r="O70" i="38"/>
  <c r="N70" i="38"/>
  <c r="R69" i="38"/>
  <c r="Q69" i="38"/>
  <c r="P69" i="38"/>
  <c r="O69" i="38"/>
  <c r="N69" i="38"/>
  <c r="R68" i="38"/>
  <c r="Q68" i="38"/>
  <c r="P68" i="38"/>
  <c r="O68" i="38"/>
  <c r="N68" i="38"/>
  <c r="R67" i="38"/>
  <c r="Q67" i="38"/>
  <c r="P67" i="38"/>
  <c r="O67" i="38"/>
  <c r="N67" i="38"/>
  <c r="R66" i="38"/>
  <c r="Q66" i="38"/>
  <c r="P66" i="38"/>
  <c r="O66" i="38"/>
  <c r="N66" i="38"/>
  <c r="R65" i="38"/>
  <c r="Q65" i="38"/>
  <c r="P65" i="38"/>
  <c r="O65" i="38"/>
  <c r="N65" i="38"/>
  <c r="R64" i="38"/>
  <c r="Q64" i="38"/>
  <c r="P64" i="38"/>
  <c r="O64" i="38"/>
  <c r="N64" i="38"/>
  <c r="R63" i="38"/>
  <c r="Q63" i="38"/>
  <c r="P63" i="38"/>
  <c r="O63" i="38"/>
  <c r="N63" i="38"/>
  <c r="R62" i="38"/>
  <c r="Q62" i="38"/>
  <c r="P62" i="38"/>
  <c r="O62" i="38"/>
  <c r="N62" i="38"/>
  <c r="R61" i="38"/>
  <c r="Q61" i="38"/>
  <c r="P61" i="38"/>
  <c r="O61" i="38"/>
  <c r="N61" i="38"/>
  <c r="N48" i="38"/>
  <c r="N47" i="38"/>
  <c r="N46" i="38"/>
  <c r="N45" i="38"/>
  <c r="N44" i="38"/>
  <c r="N43" i="38"/>
  <c r="N42" i="38"/>
  <c r="N41" i="38"/>
  <c r="N40" i="38"/>
  <c r="N39" i="38"/>
  <c r="N36" i="38"/>
  <c r="N35" i="38"/>
  <c r="R34" i="38"/>
  <c r="Q34" i="38"/>
  <c r="P34" i="38"/>
  <c r="O34" i="38"/>
  <c r="N34" i="38"/>
  <c r="N33" i="38"/>
  <c r="N32" i="38"/>
  <c r="K40" i="173" l="1"/>
  <c r="L40" i="173" s="1"/>
  <c r="M40" i="173" s="1"/>
  <c r="N40" i="173" s="1"/>
  <c r="O40" i="173" s="1"/>
  <c r="K42" i="173"/>
  <c r="L42" i="173" s="1"/>
  <c r="M42" i="173" s="1"/>
  <c r="N42" i="173" s="1"/>
  <c r="O42" i="173" s="1"/>
  <c r="AA60" i="173"/>
  <c r="K57" i="173"/>
  <c r="Z57" i="173"/>
  <c r="K56" i="173"/>
  <c r="Z56" i="173"/>
  <c r="Z62" i="173"/>
  <c r="Z61" i="173"/>
  <c r="Z60" i="173"/>
  <c r="K47" i="173"/>
  <c r="L47" i="173" s="1"/>
  <c r="M47" i="173" s="1"/>
  <c r="N47" i="173" s="1"/>
  <c r="O47" i="173" s="1"/>
  <c r="K45" i="173"/>
  <c r="L45" i="173" s="1"/>
  <c r="M45" i="173" s="1"/>
  <c r="N45" i="173" s="1"/>
  <c r="O45" i="173" s="1"/>
  <c r="K44" i="173"/>
  <c r="L44" i="173" s="1"/>
  <c r="M44" i="173" s="1"/>
  <c r="N44" i="173" s="1"/>
  <c r="O44" i="173" s="1"/>
  <c r="K50" i="173"/>
  <c r="Z50" i="173"/>
  <c r="K49" i="173"/>
  <c r="Z49" i="173"/>
  <c r="K35" i="173"/>
  <c r="L35" i="173" s="1"/>
  <c r="M35" i="173" s="1"/>
  <c r="N35" i="173" s="1"/>
  <c r="O35" i="173" s="1"/>
  <c r="K67" i="173"/>
  <c r="Z67" i="173"/>
  <c r="K66" i="173"/>
  <c r="Z66" i="173"/>
  <c r="K32" i="173"/>
  <c r="L32" i="173" s="1"/>
  <c r="M32" i="173" s="1"/>
  <c r="N32" i="173" s="1"/>
  <c r="O32" i="173" s="1"/>
  <c r="K36" i="173"/>
  <c r="L36" i="173" s="1"/>
  <c r="M36" i="173" s="1"/>
  <c r="N36" i="173" s="1"/>
  <c r="O36" i="173" s="1"/>
  <c r="K55" i="173"/>
  <c r="Z55" i="173"/>
  <c r="K54" i="173"/>
  <c r="Z54" i="173"/>
  <c r="K15" i="173"/>
  <c r="L15" i="173" s="1"/>
  <c r="M15" i="173" s="1"/>
  <c r="N15" i="173" s="1"/>
  <c r="O15" i="173" s="1"/>
  <c r="K41" i="173"/>
  <c r="L41" i="173" s="1"/>
  <c r="M41" i="173" s="1"/>
  <c r="N41" i="173" s="1"/>
  <c r="O41" i="173" s="1"/>
  <c r="K21" i="173"/>
  <c r="L21" i="173" s="1"/>
  <c r="M21" i="173" s="1"/>
  <c r="N21" i="173" s="1"/>
  <c r="O21" i="173" s="1"/>
  <c r="K25" i="173"/>
  <c r="L25" i="173" s="1"/>
  <c r="M25" i="173" s="1"/>
  <c r="N25" i="173" s="1"/>
  <c r="O25" i="173" s="1"/>
  <c r="K38" i="173"/>
  <c r="L38" i="173" s="1"/>
  <c r="M38" i="173" s="1"/>
  <c r="N38" i="173" s="1"/>
  <c r="O38" i="173" s="1"/>
  <c r="K43" i="173"/>
  <c r="L43" i="173" s="1"/>
  <c r="M43" i="173" s="1"/>
  <c r="N43" i="173" s="1"/>
  <c r="O43" i="173" s="1"/>
  <c r="K16" i="173"/>
  <c r="L16" i="173" s="1"/>
  <c r="M16" i="173" s="1"/>
  <c r="N16" i="173" s="1"/>
  <c r="O16" i="173" s="1"/>
  <c r="K14" i="173"/>
  <c r="L14" i="173" s="1"/>
  <c r="M14" i="173" s="1"/>
  <c r="N14" i="173" s="1"/>
  <c r="O14" i="173" s="1"/>
  <c r="K13" i="173"/>
  <c r="L13" i="173" s="1"/>
  <c r="M13" i="173" s="1"/>
  <c r="N13" i="173" s="1"/>
  <c r="O13" i="173" s="1"/>
  <c r="K71" i="173"/>
  <c r="Z71" i="173"/>
  <c r="K62" i="173"/>
  <c r="K53" i="173"/>
  <c r="AA53" i="173" s="1"/>
  <c r="K70" i="173"/>
  <c r="Z70" i="173"/>
  <c r="K30" i="173"/>
  <c r="L30" i="173" s="1"/>
  <c r="M30" i="173" s="1"/>
  <c r="N30" i="173" s="1"/>
  <c r="O30" i="173" s="1"/>
  <c r="Z63" i="173"/>
  <c r="K22" i="173"/>
  <c r="L22" i="173" s="1"/>
  <c r="M22" i="173" s="1"/>
  <c r="N22" i="173" s="1"/>
  <c r="O22" i="173" s="1"/>
  <c r="K34" i="173"/>
  <c r="L34" i="173" s="1"/>
  <c r="M34" i="173" s="1"/>
  <c r="N34" i="173" s="1"/>
  <c r="O34" i="173" s="1"/>
  <c r="K39" i="173"/>
  <c r="L39" i="173" s="1"/>
  <c r="M39" i="173" s="1"/>
  <c r="N39" i="173" s="1"/>
  <c r="O39" i="173" s="1"/>
  <c r="K29" i="173"/>
  <c r="L29" i="173" s="1"/>
  <c r="M29" i="173" s="1"/>
  <c r="N29" i="173" s="1"/>
  <c r="O29" i="173" s="1"/>
  <c r="K48" i="173"/>
  <c r="L48" i="173" s="1"/>
  <c r="M48" i="173" s="1"/>
  <c r="N48" i="173" s="1"/>
  <c r="O48" i="173" s="1"/>
  <c r="K27" i="173"/>
  <c r="L27" i="173" s="1"/>
  <c r="M27" i="173" s="1"/>
  <c r="N27" i="173" s="1"/>
  <c r="O27" i="173" s="1"/>
  <c r="K33" i="173"/>
  <c r="L33" i="173" s="1"/>
  <c r="M33" i="173" s="1"/>
  <c r="N33" i="173" s="1"/>
  <c r="O33" i="173" s="1"/>
  <c r="Z64" i="173"/>
  <c r="K23" i="173"/>
  <c r="L23" i="173" s="1"/>
  <c r="M23" i="173" s="1"/>
  <c r="N23" i="173" s="1"/>
  <c r="O23" i="173" s="1"/>
  <c r="K17" i="173"/>
  <c r="L17" i="173" s="1"/>
  <c r="M17" i="173" s="1"/>
  <c r="N17" i="173" s="1"/>
  <c r="O17" i="173" s="1"/>
  <c r="K20" i="173"/>
  <c r="L20" i="173" s="1"/>
  <c r="M20" i="173" s="1"/>
  <c r="N20" i="173" s="1"/>
  <c r="O20" i="173" s="1"/>
  <c r="K26" i="173"/>
  <c r="L26" i="173" s="1"/>
  <c r="M26" i="173" s="1"/>
  <c r="N26" i="173" s="1"/>
  <c r="O26" i="173" s="1"/>
  <c r="K24" i="173"/>
  <c r="L24" i="173" s="1"/>
  <c r="M24" i="173" s="1"/>
  <c r="N24" i="173" s="1"/>
  <c r="O24" i="173" s="1"/>
  <c r="AA65" i="173"/>
  <c r="K46" i="173"/>
  <c r="L46" i="173" s="1"/>
  <c r="M46" i="173" s="1"/>
  <c r="N46" i="173" s="1"/>
  <c r="O46" i="173" s="1"/>
  <c r="K64" i="173"/>
  <c r="K61" i="173"/>
  <c r="K69" i="173"/>
  <c r="Z69" i="173"/>
  <c r="K68" i="173"/>
  <c r="Z68" i="173"/>
  <c r="Z65" i="173"/>
  <c r="K28" i="173"/>
  <c r="L28" i="173" s="1"/>
  <c r="M28" i="173" s="1"/>
  <c r="N28" i="173" s="1"/>
  <c r="O28" i="173" s="1"/>
  <c r="L52" i="173"/>
  <c r="AA52" i="173"/>
  <c r="K72" i="173"/>
  <c r="Z72" i="173"/>
  <c r="K59" i="173"/>
  <c r="Z59" i="173"/>
  <c r="AA63" i="173"/>
  <c r="K58" i="173"/>
  <c r="Z58" i="173"/>
  <c r="K51" i="173"/>
  <c r="Z51" i="173"/>
  <c r="K31" i="173"/>
  <c r="L31" i="173" s="1"/>
  <c r="M31" i="173" s="1"/>
  <c r="N31" i="173" s="1"/>
  <c r="O31" i="173" s="1"/>
  <c r="K37" i="173"/>
  <c r="L37" i="173" s="1"/>
  <c r="M37" i="173" s="1"/>
  <c r="N37" i="173" s="1"/>
  <c r="O37" i="173" s="1"/>
  <c r="K18" i="173"/>
  <c r="L18" i="173" s="1"/>
  <c r="M18" i="173" s="1"/>
  <c r="N18" i="173" s="1"/>
  <c r="O18" i="173" s="1"/>
  <c r="K19" i="173"/>
  <c r="L19" i="173" s="1"/>
  <c r="M19" i="173" s="1"/>
  <c r="N19" i="173" s="1"/>
  <c r="O19" i="173" s="1"/>
  <c r="L65" i="173"/>
  <c r="L63" i="173"/>
  <c r="L60" i="173"/>
  <c r="L53" i="173" l="1"/>
  <c r="AB53" i="173" s="1"/>
  <c r="L59" i="173"/>
  <c r="AA59" i="173"/>
  <c r="L69" i="173"/>
  <c r="AA69" i="173"/>
  <c r="L54" i="173"/>
  <c r="AA54" i="173"/>
  <c r="AA61" i="173"/>
  <c r="L72" i="173"/>
  <c r="AA72" i="173"/>
  <c r="AA64" i="173"/>
  <c r="L70" i="173"/>
  <c r="AA70" i="173"/>
  <c r="L55" i="173"/>
  <c r="AA55" i="173"/>
  <c r="L49" i="173"/>
  <c r="AB60" i="173"/>
  <c r="M52" i="173"/>
  <c r="AB52" i="173"/>
  <c r="AA62" i="173"/>
  <c r="L50" i="173"/>
  <c r="AA50" i="173"/>
  <c r="L61" i="173"/>
  <c r="M61" i="173" s="1"/>
  <c r="AB63" i="173"/>
  <c r="L51" i="173"/>
  <c r="AA51" i="173"/>
  <c r="L71" i="173"/>
  <c r="AA71" i="173"/>
  <c r="L56" i="173"/>
  <c r="AA56" i="173"/>
  <c r="L62" i="173"/>
  <c r="L64" i="173"/>
  <c r="M64" i="173" s="1"/>
  <c r="L58" i="173"/>
  <c r="AA58" i="173"/>
  <c r="L66" i="173"/>
  <c r="AA66" i="173"/>
  <c r="L57" i="173"/>
  <c r="AA57" i="173"/>
  <c r="AB65" i="173"/>
  <c r="L68" i="173"/>
  <c r="AA68" i="173"/>
  <c r="AA67" i="173"/>
  <c r="L67" i="173"/>
  <c r="M63" i="173"/>
  <c r="M60" i="173"/>
  <c r="M65" i="173"/>
  <c r="M53" i="173" l="1"/>
  <c r="AC53" i="173" s="1"/>
  <c r="M69" i="173"/>
  <c r="AB69" i="173"/>
  <c r="AC61" i="173"/>
  <c r="AB62" i="173"/>
  <c r="M72" i="173"/>
  <c r="AB72" i="173"/>
  <c r="M57" i="173"/>
  <c r="AB57" i="173"/>
  <c r="M49" i="173"/>
  <c r="AC64" i="173"/>
  <c r="M58" i="173"/>
  <c r="AB58" i="173"/>
  <c r="M68" i="173"/>
  <c r="AB68" i="173"/>
  <c r="M56" i="173"/>
  <c r="AB56" i="173"/>
  <c r="N52" i="173"/>
  <c r="AC52" i="173"/>
  <c r="M71" i="173"/>
  <c r="AB71" i="173"/>
  <c r="M51" i="173"/>
  <c r="AB51" i="173"/>
  <c r="AC65" i="173"/>
  <c r="M54" i="173"/>
  <c r="AB54" i="173"/>
  <c r="AC60" i="173"/>
  <c r="M66" i="173"/>
  <c r="AB66" i="173"/>
  <c r="AB61" i="173"/>
  <c r="AB55" i="173"/>
  <c r="M55" i="173"/>
  <c r="M62" i="173"/>
  <c r="N62" i="173" s="1"/>
  <c r="AB67" i="173"/>
  <c r="M67" i="173"/>
  <c r="AC63" i="173"/>
  <c r="AB64" i="173"/>
  <c r="M50" i="173"/>
  <c r="AB50" i="173"/>
  <c r="M70" i="173"/>
  <c r="AB70" i="173"/>
  <c r="M59" i="173"/>
  <c r="AB59" i="173"/>
  <c r="N65" i="173"/>
  <c r="N60" i="173"/>
  <c r="N64" i="173"/>
  <c r="N63" i="173"/>
  <c r="N61" i="173"/>
  <c r="N53" i="173" l="1"/>
  <c r="AD53" i="173" s="1"/>
  <c r="N49" i="173"/>
  <c r="N66" i="173"/>
  <c r="AC66" i="173"/>
  <c r="O52" i="173"/>
  <c r="AD52" i="173"/>
  <c r="AC67" i="173"/>
  <c r="N67" i="173"/>
  <c r="N72" i="173"/>
  <c r="AC72" i="173"/>
  <c r="AD62" i="173"/>
  <c r="AD64" i="173"/>
  <c r="N54" i="173"/>
  <c r="AC54" i="173"/>
  <c r="N68" i="173"/>
  <c r="AC68" i="173"/>
  <c r="AD60" i="173"/>
  <c r="N59" i="173"/>
  <c r="AC59" i="173"/>
  <c r="AC62" i="173"/>
  <c r="AD65" i="173"/>
  <c r="AC55" i="173"/>
  <c r="N55" i="173"/>
  <c r="N58" i="173"/>
  <c r="AC58" i="173"/>
  <c r="N50" i="173"/>
  <c r="AC50" i="173"/>
  <c r="N71" i="173"/>
  <c r="AC71" i="173"/>
  <c r="AD61" i="173"/>
  <c r="N57" i="173"/>
  <c r="AC57" i="173"/>
  <c r="AD63" i="173"/>
  <c r="N56" i="173"/>
  <c r="AC56" i="173"/>
  <c r="N70" i="173"/>
  <c r="AC70" i="173"/>
  <c r="N51" i="173"/>
  <c r="AC51" i="173"/>
  <c r="N69" i="173"/>
  <c r="AC69" i="173"/>
  <c r="O63" i="173"/>
  <c r="O62" i="173"/>
  <c r="O64" i="173"/>
  <c r="O60" i="173"/>
  <c r="O61" i="173"/>
  <c r="O65" i="173"/>
  <c r="J19" i="49"/>
  <c r="J17" i="49"/>
  <c r="J21" i="49"/>
  <c r="O53" i="173" l="1"/>
  <c r="AE53" i="173" s="1"/>
  <c r="AE61" i="173"/>
  <c r="AE60" i="173"/>
  <c r="O71" i="173"/>
  <c r="AD71" i="173"/>
  <c r="O59" i="173"/>
  <c r="AD59" i="173"/>
  <c r="O72" i="173"/>
  <c r="AD72" i="173"/>
  <c r="AE62" i="173"/>
  <c r="O70" i="173"/>
  <c r="AD70" i="173"/>
  <c r="O50" i="173"/>
  <c r="AD50" i="173"/>
  <c r="AD67" i="173"/>
  <c r="O67" i="173"/>
  <c r="AE63" i="173"/>
  <c r="O56" i="173"/>
  <c r="AD56" i="173"/>
  <c r="O58" i="173"/>
  <c r="AD58" i="173"/>
  <c r="AD55" i="173"/>
  <c r="O55" i="173"/>
  <c r="O68" i="173"/>
  <c r="AD68" i="173"/>
  <c r="AE52" i="173"/>
  <c r="O54" i="173"/>
  <c r="AD54" i="173"/>
  <c r="O57" i="173"/>
  <c r="AD57" i="173"/>
  <c r="O66" i="173"/>
  <c r="AD66" i="173"/>
  <c r="O51" i="173"/>
  <c r="AD51" i="173"/>
  <c r="AE64" i="173"/>
  <c r="AE65" i="173"/>
  <c r="O69" i="173"/>
  <c r="AD69" i="173"/>
  <c r="O49" i="173"/>
  <c r="J15" i="49"/>
  <c r="J18" i="49"/>
  <c r="J20" i="49"/>
  <c r="AE51" i="173" l="1"/>
  <c r="AE66" i="173"/>
  <c r="AE69" i="173"/>
  <c r="AE56" i="173"/>
  <c r="AE72" i="173"/>
  <c r="AE59" i="173"/>
  <c r="AE68" i="173"/>
  <c r="AE50" i="173"/>
  <c r="AE58" i="173"/>
  <c r="AE54" i="173"/>
  <c r="AE67" i="173"/>
  <c r="AE71" i="173"/>
  <c r="AE55" i="173"/>
  <c r="AE57" i="173"/>
  <c r="AE70" i="173"/>
  <c r="N41" i="48"/>
  <c r="F16" i="49"/>
  <c r="F13" i="49"/>
  <c r="F14" i="49"/>
  <c r="F12" i="49"/>
  <c r="F11" i="49"/>
  <c r="C43" i="28" l="1"/>
  <c r="G9" i="38" l="1"/>
  <c r="H7" i="49" l="1"/>
  <c r="L29" i="49"/>
  <c r="L28" i="49"/>
  <c r="L27" i="49"/>
  <c r="L26" i="49"/>
  <c r="L25" i="49"/>
  <c r="L24" i="49"/>
  <c r="L23" i="49"/>
  <c r="L22" i="49"/>
  <c r="L21" i="49"/>
  <c r="B19" i="14" l="1"/>
  <c r="B20" i="14"/>
  <c r="B21" i="14"/>
  <c r="B22" i="14"/>
  <c r="B23" i="14"/>
  <c r="B24" i="14"/>
  <c r="B25" i="14"/>
  <c r="B26" i="14"/>
  <c r="B27" i="14"/>
  <c r="B28" i="14"/>
  <c r="B29" i="14"/>
  <c r="B30" i="14"/>
  <c r="B31" i="14"/>
  <c r="B32" i="14"/>
  <c r="B33" i="14"/>
  <c r="B34" i="14"/>
  <c r="B35" i="14"/>
  <c r="B36" i="14"/>
  <c r="B37" i="14"/>
  <c r="B38" i="14"/>
  <c r="B39" i="14"/>
  <c r="B40" i="14"/>
  <c r="B41" i="14"/>
  <c r="O71" i="1"/>
  <c r="J71" i="1"/>
  <c r="G71" i="32"/>
  <c r="E71" i="32"/>
  <c r="O70" i="1"/>
  <c r="J70" i="1"/>
  <c r="G70" i="32"/>
  <c r="F70" i="32"/>
  <c r="E70" i="32"/>
  <c r="B70" i="32"/>
  <c r="O69" i="1"/>
  <c r="J69" i="1"/>
  <c r="G69" i="32"/>
  <c r="F69" i="32"/>
  <c r="E69" i="32"/>
  <c r="C69" i="32"/>
  <c r="B69" i="32"/>
  <c r="G68" i="32"/>
  <c r="E68" i="32"/>
  <c r="B68" i="32"/>
  <c r="G67" i="32"/>
  <c r="F67" i="32"/>
  <c r="E67" i="32"/>
  <c r="G66" i="32"/>
  <c r="E66" i="32"/>
  <c r="G65" i="32"/>
  <c r="E65" i="32"/>
  <c r="D65" i="32"/>
  <c r="B65" i="32"/>
  <c r="G64" i="32"/>
  <c r="F64" i="32"/>
  <c r="E64" i="32"/>
  <c r="C64" i="32"/>
  <c r="B64" i="32"/>
  <c r="G63" i="32"/>
  <c r="E63" i="32"/>
  <c r="G62" i="32"/>
  <c r="E62" i="32"/>
  <c r="V17" i="160"/>
  <c r="U17" i="160"/>
  <c r="O47" i="160"/>
  <c r="H42" i="160"/>
  <c r="I42" i="160" s="1"/>
  <c r="J42" i="160" s="1"/>
  <c r="K42" i="160" s="1"/>
  <c r="L42" i="160" s="1"/>
  <c r="M42" i="160" s="1"/>
  <c r="N42" i="160" s="1"/>
  <c r="O42" i="160" s="1"/>
  <c r="P42" i="160" s="1"/>
  <c r="Q42" i="160" s="1"/>
  <c r="R42" i="160" s="1"/>
  <c r="S42" i="160" s="1"/>
  <c r="T42" i="160" s="1"/>
  <c r="U42" i="160" s="1"/>
  <c r="V42" i="160" s="1"/>
  <c r="W42" i="160" s="1"/>
  <c r="X42" i="160" s="1"/>
  <c r="Y42" i="160" s="1"/>
  <c r="Z42" i="160" s="1"/>
  <c r="AA42" i="160" s="1"/>
  <c r="AB42" i="160" s="1"/>
  <c r="AC42" i="160" s="1"/>
  <c r="AD42" i="160" s="1"/>
  <c r="AE42" i="160" s="1"/>
  <c r="AE17" i="160" s="1"/>
  <c r="H16" i="160"/>
  <c r="I16" i="160" s="1"/>
  <c r="N47" i="160" l="1"/>
  <c r="X17" i="160"/>
  <c r="R47" i="160"/>
  <c r="Z47" i="160"/>
  <c r="AA47" i="160"/>
  <c r="AB47" i="160"/>
  <c r="S43" i="160"/>
  <c r="T43" i="160"/>
  <c r="U43" i="160"/>
  <c r="I17" i="160"/>
  <c r="W43" i="160"/>
  <c r="L47" i="160"/>
  <c r="S17" i="160"/>
  <c r="P47" i="160"/>
  <c r="W17" i="160"/>
  <c r="Q47" i="160"/>
  <c r="O43" i="160"/>
  <c r="Y17" i="160"/>
  <c r="P43" i="160"/>
  <c r="Z17" i="160"/>
  <c r="Q43" i="160"/>
  <c r="R43" i="160"/>
  <c r="AC47" i="160"/>
  <c r="AD47" i="160"/>
  <c r="AE47" i="160"/>
  <c r="V43" i="160"/>
  <c r="J17" i="160"/>
  <c r="AE43" i="160"/>
  <c r="K17" i="160"/>
  <c r="M47" i="160"/>
  <c r="T17" i="160"/>
  <c r="D66" i="32"/>
  <c r="D69" i="32"/>
  <c r="D64" i="32"/>
  <c r="C68" i="32"/>
  <c r="C70" i="32"/>
  <c r="D70" i="32"/>
  <c r="B63" i="32"/>
  <c r="B71" i="32"/>
  <c r="C63" i="32"/>
  <c r="C71" i="32"/>
  <c r="C65" i="32"/>
  <c r="F65" i="32"/>
  <c r="D68" i="32"/>
  <c r="D63" i="32"/>
  <c r="B66" i="32"/>
  <c r="F68" i="32"/>
  <c r="D71" i="32"/>
  <c r="C66" i="32"/>
  <c r="F63" i="32"/>
  <c r="F71" i="32"/>
  <c r="F66" i="32"/>
  <c r="B67" i="32"/>
  <c r="C67" i="32"/>
  <c r="D67" i="32"/>
  <c r="J16" i="160"/>
  <c r="K16" i="160" s="1"/>
  <c r="L16" i="160" s="1"/>
  <c r="M16" i="160" s="1"/>
  <c r="N16" i="160" s="1"/>
  <c r="O16" i="160" s="1"/>
  <c r="P16" i="160" s="1"/>
  <c r="Q16" i="160" s="1"/>
  <c r="R16" i="160" s="1"/>
  <c r="S16" i="160" s="1"/>
  <c r="T16" i="160" s="1"/>
  <c r="U16" i="160" s="1"/>
  <c r="V16" i="160" s="1"/>
  <c r="W16" i="160" s="1"/>
  <c r="X16" i="160" s="1"/>
  <c r="Y16" i="160" s="1"/>
  <c r="Z16" i="160" s="1"/>
  <c r="AA16" i="160" s="1"/>
  <c r="AB16" i="160" s="1"/>
  <c r="AC16" i="160" s="1"/>
  <c r="AD16" i="160" s="1"/>
  <c r="AE16" i="160" s="1"/>
  <c r="AB17" i="160"/>
  <c r="AC17" i="160"/>
  <c r="AA17" i="160"/>
  <c r="AD17" i="160"/>
  <c r="AA43" i="160"/>
  <c r="V47" i="160"/>
  <c r="O17" i="160"/>
  <c r="T47" i="160"/>
  <c r="U47" i="160"/>
  <c r="L43" i="160"/>
  <c r="W47" i="160"/>
  <c r="M43" i="160"/>
  <c r="AC43" i="160"/>
  <c r="X47" i="160"/>
  <c r="Q17" i="160"/>
  <c r="X43" i="160"/>
  <c r="S47" i="160"/>
  <c r="L17" i="160"/>
  <c r="Y43" i="160"/>
  <c r="M17" i="160"/>
  <c r="Z43" i="160"/>
  <c r="N17" i="160"/>
  <c r="AB43" i="160"/>
  <c r="P17" i="160"/>
  <c r="N43" i="160"/>
  <c r="AD43" i="160"/>
  <c r="Y47" i="160"/>
  <c r="R17" i="160"/>
  <c r="J62" i="1"/>
  <c r="O62" i="1"/>
  <c r="B62" i="32"/>
  <c r="C62" i="32"/>
  <c r="D62" i="32"/>
  <c r="F62" i="32"/>
  <c r="O68" i="1" l="1"/>
  <c r="J68" i="1"/>
  <c r="O67" i="1"/>
  <c r="J67" i="1"/>
  <c r="J66" i="1"/>
  <c r="O66" i="1"/>
  <c r="O65" i="1"/>
  <c r="J65" i="1"/>
  <c r="O64" i="1"/>
  <c r="J64" i="1"/>
  <c r="O63" i="1"/>
  <c r="J63" i="1"/>
  <c r="I40" i="47" l="1"/>
  <c r="C58" i="14" s="1"/>
  <c r="I30" i="47"/>
  <c r="C57" i="14" s="1"/>
  <c r="K47" i="160"/>
  <c r="J47" i="160"/>
  <c r="I47" i="160"/>
  <c r="H47" i="160"/>
  <c r="K43" i="160"/>
  <c r="J43" i="160"/>
  <c r="I43" i="160"/>
  <c r="H43" i="160"/>
  <c r="G43" i="160"/>
  <c r="G44" i="160"/>
  <c r="G47" i="160"/>
  <c r="H17" i="160"/>
  <c r="G17" i="160"/>
  <c r="H44" i="160" l="1"/>
  <c r="I44" i="160" s="1"/>
  <c r="G45" i="160"/>
  <c r="G46" i="160" s="1"/>
  <c r="R21" i="160" l="1"/>
  <c r="AC21" i="160"/>
  <c r="M21" i="160"/>
  <c r="Q21" i="160"/>
  <c r="P21" i="160"/>
  <c r="AE21" i="160"/>
  <c r="O21" i="160"/>
  <c r="AB21" i="160"/>
  <c r="L21" i="160"/>
  <c r="AA21" i="160"/>
  <c r="K21" i="160"/>
  <c r="Z21" i="160"/>
  <c r="J21" i="160"/>
  <c r="Y21" i="160"/>
  <c r="I21" i="160"/>
  <c r="X21" i="160"/>
  <c r="W21" i="160"/>
  <c r="V21" i="160"/>
  <c r="U21" i="160"/>
  <c r="T21" i="160"/>
  <c r="S21" i="160"/>
  <c r="AD21" i="160"/>
  <c r="N21" i="160"/>
  <c r="H21" i="160"/>
  <c r="G21" i="160"/>
  <c r="J44" i="160"/>
  <c r="K44" i="160" l="1"/>
  <c r="L44" i="160" l="1"/>
  <c r="M44" i="160" l="1"/>
  <c r="L45" i="160"/>
  <c r="L46" i="160" s="1"/>
  <c r="M45" i="160" l="1"/>
  <c r="M46" i="160" s="1"/>
  <c r="N44" i="160"/>
  <c r="N45" i="160" l="1"/>
  <c r="N46" i="160" s="1"/>
  <c r="O44" i="160"/>
  <c r="G18" i="160"/>
  <c r="B1" i="160"/>
  <c r="B2" i="160"/>
  <c r="O13" i="1" l="1"/>
  <c r="O31" i="1"/>
  <c r="H18" i="160"/>
  <c r="I18" i="160" s="1"/>
  <c r="I19" i="160" s="1"/>
  <c r="I20" i="160" s="1"/>
  <c r="O45" i="160"/>
  <c r="O46" i="160" s="1"/>
  <c r="P44" i="160"/>
  <c r="G19" i="160"/>
  <c r="G20" i="160" s="1"/>
  <c r="H19" i="160" l="1"/>
  <c r="H20" i="160" s="1"/>
  <c r="P45" i="160"/>
  <c r="P46" i="160" s="1"/>
  <c r="Q44" i="160"/>
  <c r="J18" i="160"/>
  <c r="Q45" i="160" l="1"/>
  <c r="Q46" i="160" s="1"/>
  <c r="R44" i="160"/>
  <c r="J19" i="160"/>
  <c r="J20" i="160" s="1"/>
  <c r="K18" i="160"/>
  <c r="L18" i="160" s="1"/>
  <c r="L19" i="160" s="1"/>
  <c r="L20" i="160" s="1"/>
  <c r="M18" i="160" l="1"/>
  <c r="M19" i="160" s="1"/>
  <c r="M20" i="160" s="1"/>
  <c r="N18" i="160"/>
  <c r="N19" i="160" s="1"/>
  <c r="N20" i="160" s="1"/>
  <c r="R45" i="160"/>
  <c r="R46" i="160" s="1"/>
  <c r="S44" i="160"/>
  <c r="K19" i="160"/>
  <c r="K20" i="160" s="1"/>
  <c r="O18" i="160" l="1"/>
  <c r="S45" i="160"/>
  <c r="S46" i="160" s="1"/>
  <c r="T44" i="160"/>
  <c r="O19" i="160" l="1"/>
  <c r="O20" i="160" s="1"/>
  <c r="P18" i="160"/>
  <c r="T45" i="160"/>
  <c r="T46" i="160" s="1"/>
  <c r="U44" i="160"/>
  <c r="P19" i="160" l="1"/>
  <c r="P20" i="160" s="1"/>
  <c r="Q18" i="160"/>
  <c r="U45" i="160"/>
  <c r="U46" i="160" s="1"/>
  <c r="V44" i="160"/>
  <c r="I52" i="48"/>
  <c r="B51" i="48"/>
  <c r="M27" i="48"/>
  <c r="L27" i="48"/>
  <c r="K27" i="48"/>
  <c r="E7" i="32" s="1"/>
  <c r="F12" i="179" s="1"/>
  <c r="J27" i="48"/>
  <c r="I27" i="48"/>
  <c r="Q19" i="160" l="1"/>
  <c r="Q20" i="160" s="1"/>
  <c r="R18" i="160"/>
  <c r="V45" i="160"/>
  <c r="V46" i="160" s="1"/>
  <c r="W44" i="160"/>
  <c r="B41" i="28"/>
  <c r="R19" i="160" l="1"/>
  <c r="R20" i="160" s="1"/>
  <c r="S18" i="160"/>
  <c r="T18" i="160" s="1"/>
  <c r="T19" i="160" s="1"/>
  <c r="T20" i="160" s="1"/>
  <c r="W45" i="160"/>
  <c r="W46" i="160" s="1"/>
  <c r="X44" i="160"/>
  <c r="J45" i="160"/>
  <c r="J46" i="160" s="1"/>
  <c r="I45" i="160"/>
  <c r="I46" i="160" s="1"/>
  <c r="K45" i="160"/>
  <c r="K46" i="160" s="1"/>
  <c r="H45" i="160"/>
  <c r="H46" i="160" s="1"/>
  <c r="S19" i="160" l="1"/>
  <c r="S20" i="160" s="1"/>
  <c r="U18" i="160"/>
  <c r="X45" i="160"/>
  <c r="X46" i="160" s="1"/>
  <c r="Y44" i="160"/>
  <c r="C41" i="14" a="1"/>
  <c r="C36" i="14" a="1"/>
  <c r="C30" i="14" a="1"/>
  <c r="C31" i="14" a="1"/>
  <c r="C35" i="14" a="1"/>
  <c r="C39" i="14" a="1"/>
  <c r="C32" i="14" a="1"/>
  <c r="C34" i="14" a="1"/>
  <c r="C29" i="14" a="1"/>
  <c r="C33" i="14" a="1"/>
  <c r="C40" i="14" a="1"/>
  <c r="C37" i="14" a="1"/>
  <c r="C38" i="14" a="1"/>
  <c r="C32" i="14" l="1"/>
  <c r="C34" i="14"/>
  <c r="C40" i="14"/>
  <c r="C38" i="14"/>
  <c r="C31" i="14"/>
  <c r="C35" i="14"/>
  <c r="C33" i="14"/>
  <c r="C41" i="14"/>
  <c r="C36" i="14"/>
  <c r="U19" i="160"/>
  <c r="U20" i="160" s="1"/>
  <c r="V18" i="160"/>
  <c r="C30" i="14"/>
  <c r="C39" i="14"/>
  <c r="C37" i="14"/>
  <c r="C29" i="14"/>
  <c r="Y45" i="160"/>
  <c r="Y46" i="160" s="1"/>
  <c r="Z44" i="160"/>
  <c r="V19" i="160" l="1"/>
  <c r="V20" i="160" s="1"/>
  <c r="W18" i="160"/>
  <c r="Z45" i="160"/>
  <c r="Z46" i="160" s="1"/>
  <c r="AA44" i="160"/>
  <c r="B42" i="28"/>
  <c r="B40" i="28"/>
  <c r="B39" i="28"/>
  <c r="B38" i="28"/>
  <c r="B37" i="28"/>
  <c r="B36" i="28"/>
  <c r="B35" i="28"/>
  <c r="B34" i="28"/>
  <c r="B33" i="28"/>
  <c r="B32" i="28"/>
  <c r="B31" i="28"/>
  <c r="B30" i="28"/>
  <c r="B29" i="28"/>
  <c r="B28" i="28"/>
  <c r="B27" i="28"/>
  <c r="B26" i="28"/>
  <c r="B25" i="28"/>
  <c r="B24" i="28"/>
  <c r="B23" i="28"/>
  <c r="B22" i="28"/>
  <c r="B21" i="28"/>
  <c r="B20" i="28"/>
  <c r="G7" i="49"/>
  <c r="F7" i="49"/>
  <c r="C28" i="14" a="1"/>
  <c r="C25" i="14" a="1"/>
  <c r="C26" i="14" a="1"/>
  <c r="C24" i="14" a="1"/>
  <c r="C27" i="14" a="1"/>
  <c r="C27" i="14" l="1"/>
  <c r="C24" i="14"/>
  <c r="C28" i="14"/>
  <c r="C26" i="14"/>
  <c r="W19" i="160"/>
  <c r="W20" i="160" s="1"/>
  <c r="X18" i="160"/>
  <c r="Y18" i="160" s="1"/>
  <c r="Y19" i="160" s="1"/>
  <c r="Y20" i="160" s="1"/>
  <c r="C25" i="14"/>
  <c r="AA45" i="160"/>
  <c r="AA46" i="160" s="1"/>
  <c r="AB44" i="160"/>
  <c r="X19" i="160" l="1"/>
  <c r="X20" i="160" s="1"/>
  <c r="Z18" i="160"/>
  <c r="AB45" i="160"/>
  <c r="AB46" i="160" s="1"/>
  <c r="AC44" i="160"/>
  <c r="A101" i="49"/>
  <c r="A102" i="49" s="1"/>
  <c r="A103" i="49" s="1"/>
  <c r="A104" i="49" s="1"/>
  <c r="A105" i="49" s="1"/>
  <c r="A106" i="49" s="1"/>
  <c r="A107" i="49" s="1"/>
  <c r="A108" i="49" s="1"/>
  <c r="A109" i="49" s="1"/>
  <c r="A110" i="49" s="1"/>
  <c r="A111" i="49" s="1"/>
  <c r="A112" i="49" s="1"/>
  <c r="A113" i="49" s="1"/>
  <c r="A114" i="49" s="1"/>
  <c r="A115" i="49" s="1"/>
  <c r="A116" i="49" s="1"/>
  <c r="A117" i="49" s="1"/>
  <c r="A118" i="49" s="1"/>
  <c r="A119" i="49" s="1"/>
  <c r="A120" i="49" s="1"/>
  <c r="A121" i="49" s="1"/>
  <c r="A122" i="49" s="1"/>
  <c r="A123" i="49" s="1"/>
  <c r="A124" i="49" s="1"/>
  <c r="A125" i="49" s="1"/>
  <c r="A126" i="49" s="1"/>
  <c r="A127" i="49" s="1"/>
  <c r="A128" i="49" s="1"/>
  <c r="A129" i="49" s="1"/>
  <c r="A130" i="49" s="1"/>
  <c r="C23" i="14" a="1"/>
  <c r="C22" i="14" a="1"/>
  <c r="C21" i="14" a="1"/>
  <c r="C22" i="14" l="1"/>
  <c r="C21" i="14"/>
  <c r="C23" i="14"/>
  <c r="Z19" i="160"/>
  <c r="Z20" i="160" s="1"/>
  <c r="AA18" i="160"/>
  <c r="AC45" i="160"/>
  <c r="AC46" i="160" s="1"/>
  <c r="AD44" i="160"/>
  <c r="AA19" i="160" l="1"/>
  <c r="AA20" i="160" s="1"/>
  <c r="AB18" i="160"/>
  <c r="AD45" i="160"/>
  <c r="AD46" i="160" s="1"/>
  <c r="AE44" i="160"/>
  <c r="AE45" i="160" s="1"/>
  <c r="AE46" i="160" s="1"/>
  <c r="C19" i="14" a="1"/>
  <c r="AB19" i="160" l="1"/>
  <c r="AB20" i="160" s="1"/>
  <c r="AC18" i="160"/>
  <c r="C19" i="14"/>
  <c r="C9" i="48"/>
  <c r="AC19" i="160" l="1"/>
  <c r="AC20" i="160" s="1"/>
  <c r="AD18" i="160"/>
  <c r="T13" i="38"/>
  <c r="T14" i="38" s="1"/>
  <c r="T15" i="38" s="1"/>
  <c r="T16" i="38" s="1"/>
  <c r="T17" i="38" s="1"/>
  <c r="T18" i="38" s="1"/>
  <c r="T19" i="38" s="1"/>
  <c r="T20" i="38" s="1"/>
  <c r="T21" i="38" s="1"/>
  <c r="T22" i="38" s="1"/>
  <c r="T23" i="38" s="1"/>
  <c r="T24" i="38" s="1"/>
  <c r="T25" i="38" s="1"/>
  <c r="T26" i="38" s="1"/>
  <c r="T27" i="38" s="1"/>
  <c r="T28" i="38" s="1"/>
  <c r="T29" i="38" s="1"/>
  <c r="T30" i="38" s="1"/>
  <c r="T31" i="38" s="1"/>
  <c r="T32" i="38" s="1"/>
  <c r="T33" i="38" s="1"/>
  <c r="T34" i="38" s="1"/>
  <c r="T35" i="38" s="1"/>
  <c r="T36" i="38" s="1"/>
  <c r="T37" i="38" s="1"/>
  <c r="T38" i="38" s="1"/>
  <c r="T39" i="38" s="1"/>
  <c r="T40" i="38" s="1"/>
  <c r="T41" i="38" s="1"/>
  <c r="T42" i="38" s="1"/>
  <c r="T43" i="38" s="1"/>
  <c r="T44" i="38" s="1"/>
  <c r="T45" i="38" s="1"/>
  <c r="T46" i="38" s="1"/>
  <c r="T47" i="38" s="1"/>
  <c r="T48" i="38" s="1"/>
  <c r="T49" i="38" s="1"/>
  <c r="T50" i="38" s="1"/>
  <c r="T51" i="38" s="1"/>
  <c r="T52" i="38" s="1"/>
  <c r="T53" i="38" s="1"/>
  <c r="T54" i="38" s="1"/>
  <c r="T55" i="38" s="1"/>
  <c r="T56" i="38" s="1"/>
  <c r="T57" i="38" s="1"/>
  <c r="T58" i="38" s="1"/>
  <c r="T59" i="38" s="1"/>
  <c r="T60" i="38" s="1"/>
  <c r="T61" i="38" s="1"/>
  <c r="T62" i="38" s="1"/>
  <c r="T63" i="38" s="1"/>
  <c r="T64" i="38" s="1"/>
  <c r="T65" i="38" s="1"/>
  <c r="T66" i="38" s="1"/>
  <c r="T67" i="38" s="1"/>
  <c r="T68" i="38" s="1"/>
  <c r="T69" i="38" s="1"/>
  <c r="T70" i="38" s="1"/>
  <c r="T71" i="38" s="1"/>
  <c r="A13" i="38"/>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A57" i="38" s="1"/>
  <c r="A58" i="38" s="1"/>
  <c r="A59" i="38" s="1"/>
  <c r="A60" i="38" s="1"/>
  <c r="A61" i="38" s="1"/>
  <c r="A62" i="38" s="1"/>
  <c r="A63" i="38" s="1"/>
  <c r="A64" i="38" s="1"/>
  <c r="A65" i="38" s="1"/>
  <c r="A66" i="38" s="1"/>
  <c r="A67" i="38" s="1"/>
  <c r="A68" i="38" s="1"/>
  <c r="A69" i="38" s="1"/>
  <c r="A70" i="38" s="1"/>
  <c r="A71" i="38" s="1"/>
  <c r="X11" i="38"/>
  <c r="W11" i="38"/>
  <c r="Y9" i="38"/>
  <c r="Y4" i="38"/>
  <c r="Z4" i="38" s="1"/>
  <c r="AA4" i="38" s="1"/>
  <c r="AB4" i="38" s="1"/>
  <c r="AC4" i="38" s="1"/>
  <c r="B2" i="38"/>
  <c r="B1" i="38"/>
  <c r="A48" i="49"/>
  <c r="A49" i="49" s="1"/>
  <c r="A50" i="49" s="1"/>
  <c r="A51" i="49" s="1"/>
  <c r="A52" i="49" s="1"/>
  <c r="A53" i="49" s="1"/>
  <c r="A54" i="49" s="1"/>
  <c r="A55" i="49" s="1"/>
  <c r="A56" i="49" s="1"/>
  <c r="A57" i="49" s="1"/>
  <c r="A58" i="49" s="1"/>
  <c r="A59" i="49" s="1"/>
  <c r="A60" i="49" s="1"/>
  <c r="A61" i="49" s="1"/>
  <c r="A62" i="49" s="1"/>
  <c r="A63" i="49" s="1"/>
  <c r="A64" i="49" s="1"/>
  <c r="A65" i="49" s="1"/>
  <c r="A66" i="49" s="1"/>
  <c r="A67" i="49" s="1"/>
  <c r="A68" i="49" s="1"/>
  <c r="A69" i="49" s="1"/>
  <c r="A70" i="49" s="1"/>
  <c r="A71" i="49" s="1"/>
  <c r="A72" i="49" s="1"/>
  <c r="A73" i="49" s="1"/>
  <c r="A74" i="49" s="1"/>
  <c r="A75" i="49" s="1"/>
  <c r="A76" i="49" s="1"/>
  <c r="A77" i="49" s="1"/>
  <c r="J29" i="49"/>
  <c r="J28" i="49"/>
  <c r="J27" i="49"/>
  <c r="J26" i="49"/>
  <c r="J25" i="49"/>
  <c r="J24" i="49"/>
  <c r="J23" i="49"/>
  <c r="J22" i="49"/>
  <c r="A11" i="49"/>
  <c r="A12" i="49" s="1"/>
  <c r="A13" i="49" s="1"/>
  <c r="A14" i="49" s="1"/>
  <c r="A15" i="49" s="1"/>
  <c r="A16" i="49" s="1"/>
  <c r="A17" i="49" s="1"/>
  <c r="A18" i="49" s="1"/>
  <c r="A19" i="49" s="1"/>
  <c r="A20" i="49" s="1"/>
  <c r="A21" i="49" s="1"/>
  <c r="A22" i="49" s="1"/>
  <c r="A23" i="49" s="1"/>
  <c r="A24" i="49" s="1"/>
  <c r="A25" i="49" s="1"/>
  <c r="A26" i="49" s="1"/>
  <c r="A27" i="49" s="1"/>
  <c r="A28" i="49" s="1"/>
  <c r="A29" i="49" s="1"/>
  <c r="E7" i="49"/>
  <c r="B2" i="49"/>
  <c r="B1" i="49"/>
  <c r="B69" i="48"/>
  <c r="B64" i="48"/>
  <c r="B59" i="48"/>
  <c r="M52" i="48"/>
  <c r="L52" i="48"/>
  <c r="K52" i="48"/>
  <c r="J52" i="48"/>
  <c r="H52" i="48"/>
  <c r="G52" i="48"/>
  <c r="F52" i="48"/>
  <c r="E52" i="48"/>
  <c r="D52" i="48"/>
  <c r="B50" i="48"/>
  <c r="B49" i="48"/>
  <c r="B48" i="48"/>
  <c r="N47" i="48"/>
  <c r="H27" i="48"/>
  <c r="R6" i="38" s="1"/>
  <c r="G27" i="48"/>
  <c r="Q6" i="38" s="1"/>
  <c r="F27" i="48"/>
  <c r="P6" i="38" s="1"/>
  <c r="E27" i="48"/>
  <c r="O6" i="38" s="1"/>
  <c r="D27" i="48"/>
  <c r="N21" i="48"/>
  <c r="P5" i="38"/>
  <c r="O5" i="38"/>
  <c r="C8" i="48"/>
  <c r="I41" i="48" s="1"/>
  <c r="B2" i="48"/>
  <c r="B1" i="48"/>
  <c r="G40" i="47"/>
  <c r="A32" i="47"/>
  <c r="A33" i="47" s="1"/>
  <c r="A34" i="47" s="1"/>
  <c r="A35" i="47" s="1"/>
  <c r="A36" i="47" s="1"/>
  <c r="A37" i="47" s="1"/>
  <c r="A38" i="47" s="1"/>
  <c r="A39" i="47" s="1"/>
  <c r="A40" i="47" s="1"/>
  <c r="A41" i="47" s="1"/>
  <c r="A42" i="47" s="1"/>
  <c r="A43" i="47" s="1"/>
  <c r="A44" i="47" s="1"/>
  <c r="A45" i="47" s="1"/>
  <c r="A46" i="47" s="1"/>
  <c r="A47" i="47" s="1"/>
  <c r="A48" i="47" s="1"/>
  <c r="A49" i="47" s="1"/>
  <c r="G30" i="47"/>
  <c r="A20" i="47"/>
  <c r="D12" i="47"/>
  <c r="D13" i="47" s="1"/>
  <c r="D14" i="47" s="1"/>
  <c r="D15" i="47" s="1"/>
  <c r="A12" i="47"/>
  <c r="A13" i="47" s="1"/>
  <c r="A14" i="47" s="1"/>
  <c r="A15" i="47" s="1"/>
  <c r="E11" i="47"/>
  <c r="F6" i="173" s="1"/>
  <c r="K12" i="173" s="1"/>
  <c r="E8" i="47"/>
  <c r="Q7" i="47"/>
  <c r="Q8" i="47" s="1"/>
  <c r="Q9" i="47" s="1"/>
  <c r="Q10" i="47" s="1"/>
  <c r="Q11" i="47" s="1"/>
  <c r="Q12" i="47" s="1"/>
  <c r="Q13" i="47" s="1"/>
  <c r="Q14" i="47" s="1"/>
  <c r="Q15" i="47" s="1"/>
  <c r="Q16" i="47" s="1"/>
  <c r="Q17" i="47" s="1"/>
  <c r="Q18" i="47" s="1"/>
  <c r="Q19" i="47" s="1"/>
  <c r="Q20" i="47" s="1"/>
  <c r="Q21" i="47" s="1"/>
  <c r="Q22" i="47" s="1"/>
  <c r="Q23" i="47" s="1"/>
  <c r="F5" i="47"/>
  <c r="B2" i="47"/>
  <c r="B1" i="47"/>
  <c r="G11" i="32"/>
  <c r="F11" i="32"/>
  <c r="E11" i="32"/>
  <c r="D11" i="32"/>
  <c r="B2" i="32"/>
  <c r="B1" i="32"/>
  <c r="B74" i="48"/>
  <c r="B2" i="45"/>
  <c r="B1" i="45"/>
  <c r="B10" i="32" l="1"/>
  <c r="AA12" i="173"/>
  <c r="AI12" i="173" s="1"/>
  <c r="AW12" i="173" s="1"/>
  <c r="BE12" i="173" s="1"/>
  <c r="BM12" i="173" s="1"/>
  <c r="BU12" i="173" s="1"/>
  <c r="CC12" i="173" s="1"/>
  <c r="CK12" i="173" s="1"/>
  <c r="CS12" i="173" s="1"/>
  <c r="S12" i="173"/>
  <c r="B15" i="47"/>
  <c r="AE18" i="160"/>
  <c r="AE19" i="160" s="1"/>
  <c r="AE20" i="160" s="1"/>
  <c r="AD19" i="160"/>
  <c r="AD20" i="160" s="1"/>
  <c r="P35" i="38"/>
  <c r="P32" i="38"/>
  <c r="O32" i="38"/>
  <c r="O35" i="38"/>
  <c r="O36" i="38"/>
  <c r="O40" i="38"/>
  <c r="O39" i="38"/>
  <c r="O45" i="38"/>
  <c r="O43" i="38"/>
  <c r="O47" i="38"/>
  <c r="O46" i="38"/>
  <c r="O42" i="38"/>
  <c r="O48" i="38"/>
  <c r="O41" i="38"/>
  <c r="O44" i="38"/>
  <c r="P40" i="38"/>
  <c r="P39" i="38"/>
  <c r="P42" i="38"/>
  <c r="P48" i="38"/>
  <c r="P47" i="38"/>
  <c r="P43" i="38"/>
  <c r="P46" i="38"/>
  <c r="P36" i="38"/>
  <c r="P45" i="38"/>
  <c r="P41" i="38"/>
  <c r="P44" i="38"/>
  <c r="H41" i="48"/>
  <c r="G41" i="48" s="1"/>
  <c r="F41" i="48" s="1"/>
  <c r="E41" i="48" s="1"/>
  <c r="D41" i="48" s="1"/>
  <c r="J41" i="48"/>
  <c r="K41" i="48" s="1"/>
  <c r="L41" i="48" s="1"/>
  <c r="M41" i="48" s="1"/>
  <c r="B14" i="47"/>
  <c r="C10" i="48"/>
  <c r="B18" i="48" s="1"/>
  <c r="AB6" i="1"/>
  <c r="H7" i="50"/>
  <c r="H6" i="1"/>
  <c r="J6" i="1"/>
  <c r="H11" i="32"/>
  <c r="Y11" i="38"/>
  <c r="Z11" i="38" s="1"/>
  <c r="AA11" i="38" s="1"/>
  <c r="AB11" i="38" s="1"/>
  <c r="AC11" i="38" s="1"/>
  <c r="B10" i="39"/>
  <c r="C6" i="32"/>
  <c r="E12" i="47"/>
  <c r="G6" i="173" s="1"/>
  <c r="L12" i="173" s="1"/>
  <c r="B39" i="48"/>
  <c r="I71" i="48"/>
  <c r="I66" i="48"/>
  <c r="J66" i="48" s="1"/>
  <c r="K66" i="48" s="1"/>
  <c r="L66" i="48" s="1"/>
  <c r="M66" i="48" s="1"/>
  <c r="I47" i="48"/>
  <c r="I61" i="48"/>
  <c r="I56" i="48"/>
  <c r="J56" i="48" s="1"/>
  <c r="K56" i="48" s="1"/>
  <c r="L56" i="48" s="1"/>
  <c r="M56" i="48" s="1"/>
  <c r="I26" i="48"/>
  <c r="I15" i="48"/>
  <c r="I36" i="48"/>
  <c r="E72" i="48"/>
  <c r="E62" i="48"/>
  <c r="F67" i="48"/>
  <c r="F62" i="48"/>
  <c r="J67" i="48"/>
  <c r="J62" i="48"/>
  <c r="F7" i="32"/>
  <c r="L62" i="48"/>
  <c r="G7" i="32"/>
  <c r="M62" i="48"/>
  <c r="G67" i="48"/>
  <c r="G62" i="48"/>
  <c r="D72" i="48"/>
  <c r="D73" i="48" s="1"/>
  <c r="D62" i="48"/>
  <c r="D63" i="48" s="1"/>
  <c r="D38" i="48"/>
  <c r="E38" i="48" s="1"/>
  <c r="F38" i="48" s="1"/>
  <c r="G38" i="48" s="1"/>
  <c r="H38" i="48" s="1"/>
  <c r="I38" i="48" s="1"/>
  <c r="D57" i="48"/>
  <c r="D58" i="48" s="1"/>
  <c r="G72" i="48"/>
  <c r="G57" i="48"/>
  <c r="M72" i="48"/>
  <c r="E57" i="48"/>
  <c r="F57" i="48"/>
  <c r="D67" i="48"/>
  <c r="D68" i="48" s="1"/>
  <c r="E67" i="48"/>
  <c r="N52" i="48"/>
  <c r="J72" i="48"/>
  <c r="D7" i="32"/>
  <c r="AA6" i="38"/>
  <c r="K72" i="48"/>
  <c r="K62" i="48"/>
  <c r="K57" i="48"/>
  <c r="E4" i="32"/>
  <c r="M67" i="48"/>
  <c r="C24" i="47"/>
  <c r="F30" i="47"/>
  <c r="H62" i="48"/>
  <c r="H72" i="48"/>
  <c r="H67" i="48"/>
  <c r="I62" i="48"/>
  <c r="I67" i="48"/>
  <c r="I72" i="48"/>
  <c r="I57" i="48"/>
  <c r="Z6" i="38"/>
  <c r="J57" i="48"/>
  <c r="H57" i="48"/>
  <c r="C30" i="47"/>
  <c r="AB6" i="38"/>
  <c r="L72" i="48"/>
  <c r="AC6" i="38"/>
  <c r="M57" i="48"/>
  <c r="K67" i="48"/>
  <c r="L67" i="48"/>
  <c r="L57" i="48"/>
  <c r="F72" i="48"/>
  <c r="B13" i="47"/>
  <c r="D4" i="32" l="1"/>
  <c r="E12" i="179"/>
  <c r="G4" i="32"/>
  <c r="H12" i="179"/>
  <c r="F4" i="32"/>
  <c r="G12" i="179"/>
  <c r="J11" i="38"/>
  <c r="D6" i="173"/>
  <c r="I12" i="173" s="1"/>
  <c r="I11" i="38"/>
  <c r="H12" i="173"/>
  <c r="AB12" i="173"/>
  <c r="AJ12" i="173" s="1"/>
  <c r="AX12" i="173" s="1"/>
  <c r="BF12" i="173" s="1"/>
  <c r="BN12" i="173" s="1"/>
  <c r="BV12" i="173" s="1"/>
  <c r="CD12" i="173" s="1"/>
  <c r="CL12" i="173" s="1"/>
  <c r="CT12" i="173" s="1"/>
  <c r="T12" i="173"/>
  <c r="K11" i="38"/>
  <c r="AG10" i="173"/>
  <c r="E6" i="173"/>
  <c r="J12" i="173" s="1"/>
  <c r="G24" i="160"/>
  <c r="G25" i="160" s="1"/>
  <c r="G26" i="160" s="1"/>
  <c r="G27" i="160" s="1"/>
  <c r="G28" i="160" s="1"/>
  <c r="D44" i="45" s="1"/>
  <c r="E73" i="48"/>
  <c r="F73" i="48" s="1"/>
  <c r="G73" i="48" s="1"/>
  <c r="H73" i="48" s="1"/>
  <c r="J15" i="48"/>
  <c r="K15" i="48" s="1"/>
  <c r="H15" i="48"/>
  <c r="J38" i="48"/>
  <c r="K38" i="48" s="1"/>
  <c r="L38" i="48" s="1"/>
  <c r="M38" i="48" s="1"/>
  <c r="E13" i="47"/>
  <c r="H6" i="173" s="1"/>
  <c r="M12" i="173" s="1"/>
  <c r="D6" i="32"/>
  <c r="H66" i="48"/>
  <c r="G66" i="48" s="1"/>
  <c r="F66" i="48" s="1"/>
  <c r="E66" i="48" s="1"/>
  <c r="D66" i="48" s="1"/>
  <c r="H61" i="48"/>
  <c r="G61" i="48" s="1"/>
  <c r="F61" i="48" s="1"/>
  <c r="E61" i="48" s="1"/>
  <c r="D61" i="48" s="1"/>
  <c r="J61" i="48"/>
  <c r="K61" i="48" s="1"/>
  <c r="L61" i="48" s="1"/>
  <c r="M61" i="48" s="1"/>
  <c r="H36" i="48"/>
  <c r="G36" i="48" s="1"/>
  <c r="F36" i="48" s="1"/>
  <c r="E36" i="48" s="1"/>
  <c r="D36" i="48" s="1"/>
  <c r="I39" i="48" s="1"/>
  <c r="J36" i="48"/>
  <c r="K36" i="48" s="1"/>
  <c r="L36" i="48" s="1"/>
  <c r="M36" i="48" s="1"/>
  <c r="J26" i="48"/>
  <c r="K26" i="48" s="1"/>
  <c r="L26" i="48" s="1"/>
  <c r="M26" i="48" s="1"/>
  <c r="H26" i="48"/>
  <c r="G26" i="48" s="1"/>
  <c r="F26" i="48" s="1"/>
  <c r="E26" i="48" s="1"/>
  <c r="D26" i="48" s="1"/>
  <c r="H47" i="48"/>
  <c r="G47" i="48" s="1"/>
  <c r="F47" i="48" s="1"/>
  <c r="E47" i="48" s="1"/>
  <c r="D47" i="48" s="1"/>
  <c r="J47" i="48"/>
  <c r="K47" i="48" s="1"/>
  <c r="L47" i="48" s="1"/>
  <c r="M47" i="48" s="1"/>
  <c r="J71" i="48"/>
  <c r="K71" i="48" s="1"/>
  <c r="L71" i="48" s="1"/>
  <c r="M71" i="48" s="1"/>
  <c r="H71" i="48"/>
  <c r="G71" i="48" s="1"/>
  <c r="F71" i="48" s="1"/>
  <c r="E71" i="48" s="1"/>
  <c r="D71" i="48" s="1"/>
  <c r="H56" i="48"/>
  <c r="G56" i="48" s="1"/>
  <c r="F56" i="48" s="1"/>
  <c r="E56" i="48" s="1"/>
  <c r="D56" i="48" s="1"/>
  <c r="E63" i="48"/>
  <c r="F63" i="48" s="1"/>
  <c r="G63" i="48" s="1"/>
  <c r="H63" i="48" s="1"/>
  <c r="I63" i="48" s="1"/>
  <c r="E58" i="48"/>
  <c r="F58" i="48" s="1"/>
  <c r="G58" i="48" s="1"/>
  <c r="H58" i="48" s="1"/>
  <c r="I58" i="48" s="1"/>
  <c r="J58" i="48" s="1"/>
  <c r="K58" i="48" s="1"/>
  <c r="L58" i="48" s="1"/>
  <c r="M58" i="48" s="1"/>
  <c r="E68" i="48"/>
  <c r="F68" i="48" s="1"/>
  <c r="G68" i="48" s="1"/>
  <c r="H68" i="48" s="1"/>
  <c r="I68" i="48" s="1"/>
  <c r="I73" i="48"/>
  <c r="Q5" i="38"/>
  <c r="G15" i="48"/>
  <c r="Q4" i="38"/>
  <c r="Q11" i="38"/>
  <c r="B12" i="47"/>
  <c r="H11" i="38" s="1"/>
  <c r="H5" i="32" l="1"/>
  <c r="C44" i="14" s="1"/>
  <c r="AC12" i="173"/>
  <c r="AK12" i="173" s="1"/>
  <c r="AY12" i="173" s="1"/>
  <c r="BG12" i="173" s="1"/>
  <c r="BO12" i="173" s="1"/>
  <c r="BW12" i="173" s="1"/>
  <c r="CE12" i="173" s="1"/>
  <c r="CM12" i="173" s="1"/>
  <c r="CU12" i="173" s="1"/>
  <c r="U12" i="173"/>
  <c r="R12" i="173"/>
  <c r="Z12" i="173"/>
  <c r="AH12" i="173" s="1"/>
  <c r="AV12" i="173" s="1"/>
  <c r="BD12" i="173" s="1"/>
  <c r="BL12" i="173" s="1"/>
  <c r="BT12" i="173" s="1"/>
  <c r="CB12" i="173" s="1"/>
  <c r="CJ12" i="173" s="1"/>
  <c r="CR12" i="173" s="1"/>
  <c r="R4" i="38"/>
  <c r="R11" i="38"/>
  <c r="Q12" i="173"/>
  <c r="Y12" i="173"/>
  <c r="AG12" i="173" s="1"/>
  <c r="AU12" i="173" s="1"/>
  <c r="BC12" i="173" s="1"/>
  <c r="BK12" i="173" s="1"/>
  <c r="BS12" i="173" s="1"/>
  <c r="CA12" i="173" s="1"/>
  <c r="CI12" i="173" s="1"/>
  <c r="CQ12" i="173" s="1"/>
  <c r="J33" i="38"/>
  <c r="Q34" i="173" s="1"/>
  <c r="J37" i="38"/>
  <c r="Q38" i="173" s="1"/>
  <c r="Y38" i="173" s="1"/>
  <c r="J34" i="38"/>
  <c r="Q35" i="38"/>
  <c r="Q32" i="38"/>
  <c r="Q43" i="38"/>
  <c r="Q46" i="38"/>
  <c r="Q48" i="38"/>
  <c r="Q40" i="38"/>
  <c r="Q42" i="38"/>
  <c r="Q39" i="38"/>
  <c r="Q45" i="38"/>
  <c r="Q41" i="38"/>
  <c r="Q47" i="38"/>
  <c r="Q33" i="38"/>
  <c r="Q44" i="38"/>
  <c r="Q36" i="38"/>
  <c r="E14" i="47"/>
  <c r="I6" i="173" s="1"/>
  <c r="N12" i="173" s="1"/>
  <c r="E6" i="32"/>
  <c r="I74" i="48"/>
  <c r="J73" i="48"/>
  <c r="K73" i="48" s="1"/>
  <c r="L73" i="48" s="1"/>
  <c r="M73" i="48" s="1"/>
  <c r="I59" i="48"/>
  <c r="R5" i="38"/>
  <c r="K12" i="38" s="1"/>
  <c r="R13" i="173" s="1"/>
  <c r="Z13" i="173" s="1"/>
  <c r="I69" i="48"/>
  <c r="J68" i="48"/>
  <c r="K68" i="48" s="1"/>
  <c r="L68" i="48" s="1"/>
  <c r="M68" i="48" s="1"/>
  <c r="B11" i="47"/>
  <c r="G11" i="38" s="1"/>
  <c r="J63" i="48"/>
  <c r="K63" i="48" s="1"/>
  <c r="L63" i="48" s="1"/>
  <c r="M63" i="48" s="1"/>
  <c r="I64" i="48"/>
  <c r="L15" i="48"/>
  <c r="P4" i="38"/>
  <c r="P11" i="38"/>
  <c r="F15" i="48"/>
  <c r="AD12" i="173" l="1"/>
  <c r="AL12" i="173" s="1"/>
  <c r="AZ12" i="173" s="1"/>
  <c r="BH12" i="173" s="1"/>
  <c r="BP12" i="173" s="1"/>
  <c r="BX12" i="173" s="1"/>
  <c r="CF12" i="173" s="1"/>
  <c r="CN12" i="173" s="1"/>
  <c r="CV12" i="173" s="1"/>
  <c r="V12" i="173"/>
  <c r="Q35" i="173"/>
  <c r="Y35" i="173" s="1"/>
  <c r="Y34" i="173"/>
  <c r="K34" i="38"/>
  <c r="R35" i="173" s="1"/>
  <c r="Z35" i="173" s="1"/>
  <c r="K37" i="38"/>
  <c r="R38" i="173" s="1"/>
  <c r="Z38" i="173" s="1"/>
  <c r="K47" i="38"/>
  <c r="R48" i="173" s="1"/>
  <c r="Z48" i="173" s="1"/>
  <c r="K36" i="38"/>
  <c r="R37" i="173" s="1"/>
  <c r="Z37" i="173" s="1"/>
  <c r="K39" i="38"/>
  <c r="R40" i="173" s="1"/>
  <c r="Z40" i="173" s="1"/>
  <c r="K35" i="38"/>
  <c r="K43" i="38"/>
  <c r="R44" i="173" s="1"/>
  <c r="Z44" i="173" s="1"/>
  <c r="K38" i="38"/>
  <c r="K46" i="38"/>
  <c r="R47" i="173" s="1"/>
  <c r="Z47" i="173" s="1"/>
  <c r="K42" i="38"/>
  <c r="R43" i="173" s="1"/>
  <c r="Z43" i="173" s="1"/>
  <c r="K45" i="38"/>
  <c r="R46" i="173" s="1"/>
  <c r="Z46" i="173" s="1"/>
  <c r="K41" i="38"/>
  <c r="R42" i="173" s="1"/>
  <c r="Z42" i="173" s="1"/>
  <c r="K44" i="38"/>
  <c r="R45" i="173" s="1"/>
  <c r="Z45" i="173" s="1"/>
  <c r="K32" i="38"/>
  <c r="K40" i="38"/>
  <c r="R41" i="173" s="1"/>
  <c r="Z41" i="173" s="1"/>
  <c r="K33" i="38"/>
  <c r="R34" i="173" s="1"/>
  <c r="Z34" i="173" s="1"/>
  <c r="K30" i="38"/>
  <c r="R31" i="173" s="1"/>
  <c r="Z31" i="173" s="1"/>
  <c r="K13" i="38"/>
  <c r="R14" i="173" s="1"/>
  <c r="K29" i="38"/>
  <c r="R30" i="173" s="1"/>
  <c r="Z30" i="173" s="1"/>
  <c r="K27" i="38"/>
  <c r="R28" i="173" s="1"/>
  <c r="Z28" i="173" s="1"/>
  <c r="K23" i="38"/>
  <c r="R24" i="173" s="1"/>
  <c r="Z24" i="173" s="1"/>
  <c r="K22" i="38"/>
  <c r="R23" i="173" s="1"/>
  <c r="Z23" i="173" s="1"/>
  <c r="K28" i="38"/>
  <c r="R29" i="173" s="1"/>
  <c r="Z29" i="173" s="1"/>
  <c r="K25" i="38"/>
  <c r="R26" i="173" s="1"/>
  <c r="Z26" i="173" s="1"/>
  <c r="K24" i="38"/>
  <c r="R25" i="173" s="1"/>
  <c r="Z25" i="173" s="1"/>
  <c r="K21" i="38"/>
  <c r="R22" i="173" s="1"/>
  <c r="Z22" i="173" s="1"/>
  <c r="K19" i="38"/>
  <c r="R20" i="173" s="1"/>
  <c r="Z20" i="173" s="1"/>
  <c r="K16" i="38"/>
  <c r="R17" i="173" s="1"/>
  <c r="Z17" i="173" s="1"/>
  <c r="K15" i="38"/>
  <c r="R16" i="173" s="1"/>
  <c r="Z16" i="173" s="1"/>
  <c r="K31" i="38"/>
  <c r="R32" i="173" s="1"/>
  <c r="Z32" i="173" s="1"/>
  <c r="K18" i="38"/>
  <c r="R19" i="173" s="1"/>
  <c r="Z19" i="173" s="1"/>
  <c r="K17" i="38"/>
  <c r="R18" i="173" s="1"/>
  <c r="Z18" i="173" s="1"/>
  <c r="K14" i="38"/>
  <c r="R15" i="173" s="1"/>
  <c r="Z15" i="173" s="1"/>
  <c r="K26" i="38"/>
  <c r="R27" i="173" s="1"/>
  <c r="Z27" i="173" s="1"/>
  <c r="K20" i="38"/>
  <c r="R21" i="173" s="1"/>
  <c r="Z21" i="173" s="1"/>
  <c r="M11" i="38"/>
  <c r="E15" i="47"/>
  <c r="J6" i="173" s="1"/>
  <c r="O12" i="173" s="1"/>
  <c r="F6" i="32"/>
  <c r="M15" i="48"/>
  <c r="E15" i="48"/>
  <c r="O4" i="38"/>
  <c r="O11" i="38"/>
  <c r="N4" i="38"/>
  <c r="N11" i="38"/>
  <c r="AE12" i="173" l="1"/>
  <c r="AM12" i="173" s="1"/>
  <c r="BA12" i="173" s="1"/>
  <c r="BI12" i="173" s="1"/>
  <c r="BQ12" i="173" s="1"/>
  <c r="BY12" i="173" s="1"/>
  <c r="CG12" i="173" s="1"/>
  <c r="CO12" i="173" s="1"/>
  <c r="CW12" i="173" s="1"/>
  <c r="W12" i="173"/>
  <c r="Y74" i="173"/>
  <c r="AH52" i="173"/>
  <c r="AH53" i="173"/>
  <c r="AH57" i="173"/>
  <c r="AH54" i="173"/>
  <c r="AH65" i="173"/>
  <c r="AH55" i="173"/>
  <c r="AH68" i="173"/>
  <c r="AH60" i="173"/>
  <c r="AH58" i="173"/>
  <c r="AH72" i="173"/>
  <c r="AH64" i="173"/>
  <c r="AH63" i="173"/>
  <c r="AH67" i="173"/>
  <c r="AH70" i="173"/>
  <c r="AH62" i="173"/>
  <c r="AH66" i="173"/>
  <c r="AH61" i="173"/>
  <c r="AH56" i="173"/>
  <c r="AH51" i="173"/>
  <c r="AH59" i="173"/>
  <c r="AH69" i="173"/>
  <c r="AH71" i="173"/>
  <c r="AH50" i="173"/>
  <c r="AG55" i="173"/>
  <c r="AG61" i="173"/>
  <c r="AG38" i="173"/>
  <c r="AG22" i="173"/>
  <c r="AG25" i="173"/>
  <c r="AG72" i="173"/>
  <c r="AG66" i="173"/>
  <c r="AG68" i="173"/>
  <c r="AG69" i="173"/>
  <c r="AG47" i="173"/>
  <c r="AG35" i="173"/>
  <c r="AG52" i="173"/>
  <c r="AG21" i="173"/>
  <c r="AG49" i="173"/>
  <c r="AG20" i="173"/>
  <c r="AG53" i="173"/>
  <c r="AG31" i="173"/>
  <c r="AG39" i="173"/>
  <c r="AG41" i="173"/>
  <c r="AG71" i="173"/>
  <c r="AG64" i="173"/>
  <c r="AG57" i="173"/>
  <c r="AG33" i="173"/>
  <c r="AG54" i="173"/>
  <c r="AG40" i="173"/>
  <c r="AG51" i="173"/>
  <c r="AG67" i="173"/>
  <c r="AG36" i="173"/>
  <c r="AG45" i="173"/>
  <c r="AG15" i="173"/>
  <c r="AG62" i="173"/>
  <c r="AG37" i="173"/>
  <c r="AG63" i="173"/>
  <c r="AH35" i="173"/>
  <c r="AG14" i="173"/>
  <c r="AG70" i="173"/>
  <c r="AG24" i="173"/>
  <c r="AG26" i="173"/>
  <c r="AG48" i="173"/>
  <c r="AG60" i="173"/>
  <c r="AG42" i="173"/>
  <c r="AG58" i="173"/>
  <c r="AG29" i="173"/>
  <c r="AG13" i="173"/>
  <c r="AG46" i="173"/>
  <c r="AG23" i="173"/>
  <c r="AG44" i="173"/>
  <c r="AG43" i="173"/>
  <c r="AG32" i="173"/>
  <c r="AG27" i="173"/>
  <c r="AG19" i="173"/>
  <c r="AG16" i="173"/>
  <c r="AG28" i="173"/>
  <c r="AG56" i="173"/>
  <c r="AG59" i="173"/>
  <c r="AG17" i="173"/>
  <c r="AG18" i="173"/>
  <c r="AG65" i="173"/>
  <c r="AG50" i="173"/>
  <c r="AG30" i="173"/>
  <c r="R32" i="38"/>
  <c r="R33" i="173"/>
  <c r="Z33" i="173" s="1"/>
  <c r="AH33" i="173" s="1"/>
  <c r="R35" i="38"/>
  <c r="R36" i="173"/>
  <c r="Z36" i="173" s="1"/>
  <c r="AH36" i="173" s="1"/>
  <c r="Z14" i="173"/>
  <c r="AH14" i="173" s="1"/>
  <c r="AG34" i="173"/>
  <c r="R39" i="173"/>
  <c r="Z39" i="173" s="1"/>
  <c r="AH39" i="173" s="1"/>
  <c r="AH32" i="173"/>
  <c r="AH31" i="173"/>
  <c r="AH18" i="173"/>
  <c r="R45" i="38"/>
  <c r="AH46" i="173"/>
  <c r="AH16" i="173"/>
  <c r="R46" i="38"/>
  <c r="AH47" i="173"/>
  <c r="R48" i="38"/>
  <c r="AH49" i="173"/>
  <c r="AH19" i="173"/>
  <c r="AH30" i="173"/>
  <c r="AH23" i="173"/>
  <c r="R42" i="38"/>
  <c r="AH43" i="173"/>
  <c r="R44" i="38"/>
  <c r="AH45" i="173"/>
  <c r="AH28" i="173"/>
  <c r="R40" i="38"/>
  <c r="AH41" i="173"/>
  <c r="AH22" i="173"/>
  <c r="AH38" i="173"/>
  <c r="R43" i="38"/>
  <c r="AH44" i="173"/>
  <c r="AH17" i="173"/>
  <c r="AH20" i="173"/>
  <c r="R36" i="38"/>
  <c r="AH37" i="173"/>
  <c r="AH21" i="173"/>
  <c r="R47" i="38"/>
  <c r="AH48" i="173"/>
  <c r="AH24" i="173"/>
  <c r="AH13" i="173"/>
  <c r="R41" i="38"/>
  <c r="AH42" i="173"/>
  <c r="AH25" i="173"/>
  <c r="AH26" i="173"/>
  <c r="AH29" i="173"/>
  <c r="AH27" i="173"/>
  <c r="AH15" i="173"/>
  <c r="R39" i="38"/>
  <c r="AH40" i="173"/>
  <c r="G6" i="32"/>
  <c r="B5" i="32"/>
  <c r="B98" i="49"/>
  <c r="Z5" i="38"/>
  <c r="D15" i="48"/>
  <c r="L23" i="175" l="1"/>
  <c r="K22" i="175"/>
  <c r="L22" i="175"/>
  <c r="K23" i="175"/>
  <c r="AI53" i="173"/>
  <c r="AI65" i="173"/>
  <c r="AI60" i="173"/>
  <c r="AI52" i="173"/>
  <c r="AI63" i="173"/>
  <c r="AI64" i="173"/>
  <c r="AI57" i="173"/>
  <c r="AI62" i="173"/>
  <c r="AI56" i="173"/>
  <c r="AI61" i="173"/>
  <c r="AI66" i="173"/>
  <c r="AI50" i="173"/>
  <c r="AI59" i="173"/>
  <c r="AI51" i="173"/>
  <c r="AI55" i="173"/>
  <c r="AI58" i="173"/>
  <c r="AI70" i="173"/>
  <c r="AI54" i="173"/>
  <c r="AI69" i="173"/>
  <c r="AI72" i="173"/>
  <c r="AI71" i="173"/>
  <c r="AI67" i="173"/>
  <c r="AI68" i="173"/>
  <c r="I18" i="48"/>
  <c r="AA5" i="38"/>
  <c r="M21" i="50" l="1"/>
  <c r="L14" i="50"/>
  <c r="L26" i="50"/>
  <c r="M17" i="50"/>
  <c r="M22" i="50"/>
  <c r="L15" i="50"/>
  <c r="L27" i="50"/>
  <c r="M11" i="50"/>
  <c r="M23" i="50"/>
  <c r="L16" i="50"/>
  <c r="L28" i="50"/>
  <c r="L11" i="50"/>
  <c r="L24" i="50"/>
  <c r="M12" i="50"/>
  <c r="M24" i="50"/>
  <c r="L17" i="50"/>
  <c r="L29" i="50"/>
  <c r="M27" i="50"/>
  <c r="M20" i="50"/>
  <c r="M13" i="50"/>
  <c r="M25" i="50"/>
  <c r="L18" i="50"/>
  <c r="M10" i="50"/>
  <c r="M29" i="50"/>
  <c r="L23" i="50"/>
  <c r="L12" i="50"/>
  <c r="L13" i="50"/>
  <c r="M14" i="50"/>
  <c r="M26" i="50"/>
  <c r="L19" i="50"/>
  <c r="L10" i="50"/>
  <c r="L20" i="50"/>
  <c r="M18" i="50"/>
  <c r="M15" i="50"/>
  <c r="M19" i="50"/>
  <c r="L25" i="50"/>
  <c r="M16" i="50"/>
  <c r="M28" i="50"/>
  <c r="L21" i="50"/>
  <c r="L22" i="50"/>
  <c r="W38" i="1"/>
  <c r="X38" i="1"/>
  <c r="X66" i="1"/>
  <c r="W15" i="1"/>
  <c r="W19" i="1"/>
  <c r="W20" i="1"/>
  <c r="W21" i="1"/>
  <c r="W18" i="1"/>
  <c r="W16" i="1"/>
  <c r="W17" i="1"/>
  <c r="W14" i="1"/>
  <c r="W12" i="1"/>
  <c r="W13" i="1"/>
  <c r="X58" i="1"/>
  <c r="X61" i="1"/>
  <c r="V27" i="1"/>
  <c r="AP28" i="173" s="1"/>
  <c r="W71" i="1"/>
  <c r="H19" i="50"/>
  <c r="I19" i="50" s="1"/>
  <c r="J19" i="50" s="1"/>
  <c r="H18" i="50"/>
  <c r="I18" i="50" s="1"/>
  <c r="J18" i="50" s="1"/>
  <c r="H17" i="50"/>
  <c r="H15" i="50"/>
  <c r="I15" i="50" s="1"/>
  <c r="J15" i="50" s="1"/>
  <c r="H11" i="50"/>
  <c r="I11" i="50" s="1"/>
  <c r="J11" i="50" s="1"/>
  <c r="H16" i="50"/>
  <c r="I16" i="50" s="1"/>
  <c r="J16" i="50" s="1"/>
  <c r="H12" i="50"/>
  <c r="I12" i="50" s="1"/>
  <c r="J12" i="50" s="1"/>
  <c r="X32" i="1"/>
  <c r="W31" i="1"/>
  <c r="V40" i="1"/>
  <c r="AP41" i="173" s="1"/>
  <c r="V35" i="1"/>
  <c r="AP36" i="173" s="1"/>
  <c r="V42" i="1"/>
  <c r="AP43" i="173" s="1"/>
  <c r="W59" i="1"/>
  <c r="W49" i="1"/>
  <c r="X26" i="1"/>
  <c r="V23" i="1"/>
  <c r="AP24" i="173" s="1"/>
  <c r="V55" i="1"/>
  <c r="AP56" i="173" s="1"/>
  <c r="V21" i="1"/>
  <c r="AP22" i="173" s="1"/>
  <c r="V26" i="1"/>
  <c r="AP27" i="173" s="1"/>
  <c r="X51" i="1"/>
  <c r="V61" i="1"/>
  <c r="AP62" i="173" s="1"/>
  <c r="X39" i="1"/>
  <c r="V34" i="1"/>
  <c r="AP35" i="173" s="1"/>
  <c r="W47" i="1"/>
  <c r="W30" i="1"/>
  <c r="X45" i="1"/>
  <c r="V52" i="1"/>
  <c r="AP53" i="173" s="1"/>
  <c r="V64" i="1"/>
  <c r="AP65" i="173" s="1"/>
  <c r="V24" i="1"/>
  <c r="X62" i="1"/>
  <c r="W62" i="1"/>
  <c r="V19" i="1"/>
  <c r="W63" i="1"/>
  <c r="X17" i="1"/>
  <c r="X64" i="1"/>
  <c r="V36" i="1"/>
  <c r="X67" i="1"/>
  <c r="V13" i="1"/>
  <c r="X40" i="1"/>
  <c r="W27" i="1"/>
  <c r="X23" i="1"/>
  <c r="X34" i="1"/>
  <c r="V17" i="1"/>
  <c r="W41" i="1"/>
  <c r="V45" i="1"/>
  <c r="W44" i="1"/>
  <c r="V39" i="1"/>
  <c r="V12" i="1"/>
  <c r="W36" i="1"/>
  <c r="W40" i="1"/>
  <c r="V15" i="1"/>
  <c r="V38" i="1"/>
  <c r="X22" i="1"/>
  <c r="X41" i="1"/>
  <c r="W26" i="1"/>
  <c r="V29" i="1"/>
  <c r="X36" i="1"/>
  <c r="V18" i="1"/>
  <c r="V16" i="1"/>
  <c r="V14" i="1"/>
  <c r="V20" i="1"/>
  <c r="X47" i="1"/>
  <c r="V62" i="1"/>
  <c r="AP63" i="173" s="1"/>
  <c r="X13" i="1"/>
  <c r="X21" i="1"/>
  <c r="X59" i="1"/>
  <c r="W68" i="1"/>
  <c r="V57" i="1"/>
  <c r="AP58" i="173" s="1"/>
  <c r="X42" i="1"/>
  <c r="W33" i="1"/>
  <c r="X33" i="1"/>
  <c r="X28" i="1"/>
  <c r="W37" i="1"/>
  <c r="X50" i="1"/>
  <c r="X60" i="1"/>
  <c r="X18" i="1"/>
  <c r="V59" i="1"/>
  <c r="AP60" i="173" s="1"/>
  <c r="X37" i="1"/>
  <c r="W35" i="1"/>
  <c r="X53" i="1"/>
  <c r="X49" i="1"/>
  <c r="V37" i="1"/>
  <c r="X16" i="1"/>
  <c r="W25" i="1"/>
  <c r="V50" i="1"/>
  <c r="AP51" i="173" s="1"/>
  <c r="X44" i="1"/>
  <c r="X14" i="1"/>
  <c r="V60" i="1"/>
  <c r="AP61" i="173" s="1"/>
  <c r="AJ60" i="173"/>
  <c r="AJ63" i="173"/>
  <c r="AJ65" i="173"/>
  <c r="AJ53" i="173"/>
  <c r="AJ52" i="173"/>
  <c r="AJ58" i="173"/>
  <c r="AJ55" i="173"/>
  <c r="AJ61" i="173"/>
  <c r="AJ57" i="173"/>
  <c r="AJ54" i="173"/>
  <c r="AJ69" i="173"/>
  <c r="AJ56" i="173"/>
  <c r="AJ59" i="173"/>
  <c r="AJ70" i="173"/>
  <c r="AJ68" i="173"/>
  <c r="AJ72" i="173"/>
  <c r="AJ71" i="173"/>
  <c r="AJ64" i="173"/>
  <c r="AJ66" i="173"/>
  <c r="AJ67" i="173"/>
  <c r="AJ50" i="173"/>
  <c r="AJ62" i="173"/>
  <c r="AJ51" i="173"/>
  <c r="X46" i="1"/>
  <c r="V51" i="1"/>
  <c r="AP52" i="173" s="1"/>
  <c r="V65" i="1"/>
  <c r="AP66" i="173" s="1"/>
  <c r="X35" i="1"/>
  <c r="X29" i="1"/>
  <c r="V28" i="1"/>
  <c r="W24" i="1"/>
  <c r="W57" i="1"/>
  <c r="X31" i="1"/>
  <c r="W29" i="1"/>
  <c r="V56" i="1"/>
  <c r="AP57" i="173" s="1"/>
  <c r="V71" i="1"/>
  <c r="AP72" i="173" s="1"/>
  <c r="X15" i="1"/>
  <c r="X25" i="1"/>
  <c r="X54" i="1"/>
  <c r="W61" i="1"/>
  <c r="W48" i="1"/>
  <c r="X12" i="1"/>
  <c r="X56" i="1"/>
  <c r="X65" i="1"/>
  <c r="V41" i="1"/>
  <c r="W34" i="1"/>
  <c r="X48" i="1"/>
  <c r="V48" i="1"/>
  <c r="AP49" i="173" s="1"/>
  <c r="W23" i="1"/>
  <c r="V53" i="1"/>
  <c r="AP54" i="173" s="1"/>
  <c r="V44" i="1"/>
  <c r="W28" i="1"/>
  <c r="W22" i="1"/>
  <c r="V25" i="1"/>
  <c r="W46" i="1"/>
  <c r="X52" i="1"/>
  <c r="W39" i="1"/>
  <c r="V22" i="1"/>
  <c r="W32" i="1"/>
  <c r="W50" i="1"/>
  <c r="X30" i="1"/>
  <c r="V30" i="1"/>
  <c r="V33" i="1"/>
  <c r="W45" i="1"/>
  <c r="X19" i="1"/>
  <c r="X27" i="1"/>
  <c r="W43" i="1"/>
  <c r="W60" i="1"/>
  <c r="X43" i="1"/>
  <c r="V43" i="1"/>
  <c r="V47" i="1"/>
  <c r="W42" i="1"/>
  <c r="X24" i="1"/>
  <c r="V32" i="1"/>
  <c r="V31" i="1"/>
  <c r="X20" i="1"/>
  <c r="V49" i="1"/>
  <c r="AP50" i="173" s="1"/>
  <c r="V46" i="1"/>
  <c r="W51" i="1"/>
  <c r="X70" i="1"/>
  <c r="X68" i="1"/>
  <c r="W55" i="1"/>
  <c r="X55" i="1"/>
  <c r="X69" i="1"/>
  <c r="W56" i="1"/>
  <c r="X57" i="1"/>
  <c r="W66" i="1"/>
  <c r="V58" i="1"/>
  <c r="AP59" i="173" s="1"/>
  <c r="W54" i="1"/>
  <c r="W67" i="1"/>
  <c r="W52" i="1"/>
  <c r="W53" i="1"/>
  <c r="V63" i="1"/>
  <c r="AP64" i="173" s="1"/>
  <c r="V54" i="1"/>
  <c r="AP55" i="173" s="1"/>
  <c r="W58" i="1"/>
  <c r="W69" i="1"/>
  <c r="W70" i="1"/>
  <c r="V66" i="1"/>
  <c r="AP67" i="173" s="1"/>
  <c r="V67" i="1"/>
  <c r="AP68" i="173" s="1"/>
  <c r="V68" i="1"/>
  <c r="AP69" i="173" s="1"/>
  <c r="V69" i="1"/>
  <c r="AP70" i="173" s="1"/>
  <c r="V70" i="1"/>
  <c r="AP71" i="173" s="1"/>
  <c r="W64" i="1"/>
  <c r="X63" i="1"/>
  <c r="W65" i="1"/>
  <c r="X71" i="1"/>
  <c r="AG74" i="173"/>
  <c r="K25" i="175" s="1"/>
  <c r="K26" i="175" s="1"/>
  <c r="K27" i="175" s="1"/>
  <c r="AC5" i="38"/>
  <c r="AB5" i="38"/>
  <c r="C17" i="28"/>
  <c r="B16" i="50"/>
  <c r="C16" i="50"/>
  <c r="C18" i="39" s="1"/>
  <c r="B12" i="50"/>
  <c r="B14" i="39" s="1"/>
  <c r="C23" i="179" s="1"/>
  <c r="C12" i="50"/>
  <c r="C14" i="39" s="1"/>
  <c r="B10" i="50"/>
  <c r="B11" i="50"/>
  <c r="B13" i="39" s="1"/>
  <c r="C22" i="179" s="1"/>
  <c r="B13" i="50"/>
  <c r="B15" i="39" s="1"/>
  <c r="C24" i="179" s="1"/>
  <c r="B14" i="50"/>
  <c r="B16" i="39" s="1"/>
  <c r="C25" i="179" s="1"/>
  <c r="B15" i="50"/>
  <c r="B17" i="39" s="1"/>
  <c r="C10" i="50"/>
  <c r="C12" i="39" s="1"/>
  <c r="C11" i="50"/>
  <c r="C13" i="39" s="1"/>
  <c r="C13" i="50"/>
  <c r="C15" i="39" s="1"/>
  <c r="C14" i="50"/>
  <c r="C16" i="39" s="1"/>
  <c r="C15" i="50"/>
  <c r="C17" i="39" s="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O12" i="1"/>
  <c r="O14" i="1"/>
  <c r="O15" i="1"/>
  <c r="O16" i="1"/>
  <c r="O17" i="1"/>
  <c r="O18" i="1"/>
  <c r="O19" i="1"/>
  <c r="O20" i="1"/>
  <c r="O21" i="1"/>
  <c r="O22" i="1"/>
  <c r="O23" i="1"/>
  <c r="O24" i="1"/>
  <c r="O25" i="1"/>
  <c r="O26" i="1"/>
  <c r="O27" i="1"/>
  <c r="O28" i="1"/>
  <c r="O29" i="1"/>
  <c r="O30" i="1"/>
  <c r="O32" i="1"/>
  <c r="O33" i="1"/>
  <c r="O34" i="1"/>
  <c r="O35" i="1"/>
  <c r="O36" i="1"/>
  <c r="O37" i="1"/>
  <c r="O38" i="1"/>
  <c r="O39" i="1"/>
  <c r="O40" i="1"/>
  <c r="O41" i="1"/>
  <c r="O42" i="1"/>
  <c r="O43" i="1"/>
  <c r="O44" i="1"/>
  <c r="O45" i="1"/>
  <c r="C19" i="28"/>
  <c r="B2" i="14"/>
  <c r="B19" i="28" s="1"/>
  <c r="B18" i="14" s="1"/>
  <c r="B2" i="1"/>
  <c r="C62" i="14"/>
  <c r="B66" i="28"/>
  <c r="B62" i="14" s="1"/>
  <c r="B64" i="28"/>
  <c r="B61" i="14" s="1"/>
  <c r="C56" i="14"/>
  <c r="C55" i="14"/>
  <c r="B58" i="28"/>
  <c r="B54" i="14" s="1"/>
  <c r="B59" i="28"/>
  <c r="B55" i="14" s="1"/>
  <c r="B60" i="28"/>
  <c r="B56" i="14" s="1"/>
  <c r="C53" i="14"/>
  <c r="C12" i="1"/>
  <c r="E12" i="1"/>
  <c r="D12" i="1"/>
  <c r="E12" i="32" s="1"/>
  <c r="E14" i="178" s="1"/>
  <c r="F12" i="1"/>
  <c r="C13" i="1"/>
  <c r="E13" i="1"/>
  <c r="D13" i="1"/>
  <c r="E13" i="32" s="1"/>
  <c r="E15" i="178" s="1"/>
  <c r="F13" i="1"/>
  <c r="C14" i="1"/>
  <c r="E14" i="1"/>
  <c r="D14" i="1"/>
  <c r="E14" i="32" s="1"/>
  <c r="E16" i="178" s="1"/>
  <c r="F14" i="1"/>
  <c r="C15" i="1"/>
  <c r="E15" i="1"/>
  <c r="D15" i="1"/>
  <c r="E15" i="32" s="1"/>
  <c r="E17" i="178" s="1"/>
  <c r="F15" i="1"/>
  <c r="C16" i="1"/>
  <c r="E16" i="1"/>
  <c r="D16" i="1"/>
  <c r="E16" i="32" s="1"/>
  <c r="E18" i="178" s="1"/>
  <c r="F16" i="1"/>
  <c r="C17" i="1"/>
  <c r="E17" i="1"/>
  <c r="D17" i="1"/>
  <c r="E17" i="32" s="1"/>
  <c r="E19" i="178" s="1"/>
  <c r="F17" i="1"/>
  <c r="C18" i="1"/>
  <c r="E18" i="1"/>
  <c r="D18" i="1"/>
  <c r="E18" i="32" s="1"/>
  <c r="E20" i="178" s="1"/>
  <c r="F18" i="1"/>
  <c r="C19" i="1"/>
  <c r="E19" i="1"/>
  <c r="D19" i="1"/>
  <c r="E19" i="32" s="1"/>
  <c r="E21" i="178" s="1"/>
  <c r="F19" i="1"/>
  <c r="C20" i="1"/>
  <c r="E20" i="1"/>
  <c r="D20" i="1"/>
  <c r="E20" i="32" s="1"/>
  <c r="E22" i="178" s="1"/>
  <c r="F20" i="1"/>
  <c r="C21" i="1"/>
  <c r="E21" i="1"/>
  <c r="D21" i="1"/>
  <c r="E21" i="32" s="1"/>
  <c r="E23" i="178" s="1"/>
  <c r="F21" i="1"/>
  <c r="C22" i="1"/>
  <c r="E22" i="1"/>
  <c r="D22" i="1"/>
  <c r="E22" i="32" s="1"/>
  <c r="E24" i="178" s="1"/>
  <c r="F22" i="1"/>
  <c r="C23" i="1"/>
  <c r="E23" i="1"/>
  <c r="D23" i="1"/>
  <c r="E23" i="32" s="1"/>
  <c r="E25" i="178" s="1"/>
  <c r="F23" i="1"/>
  <c r="C24" i="1"/>
  <c r="E24" i="1"/>
  <c r="D24" i="1"/>
  <c r="E24" i="32" s="1"/>
  <c r="E26" i="178" s="1"/>
  <c r="F24" i="1"/>
  <c r="C25" i="1"/>
  <c r="E25" i="1"/>
  <c r="D25" i="1"/>
  <c r="E25" i="32" s="1"/>
  <c r="E27" i="178" s="1"/>
  <c r="F25" i="1"/>
  <c r="C26" i="1"/>
  <c r="E26" i="1"/>
  <c r="D26" i="1"/>
  <c r="E26" i="32" s="1"/>
  <c r="E28" i="178" s="1"/>
  <c r="F26" i="1"/>
  <c r="C27" i="1"/>
  <c r="E27" i="1"/>
  <c r="D27" i="1"/>
  <c r="E27" i="32" s="1"/>
  <c r="E29" i="178" s="1"/>
  <c r="F27" i="1"/>
  <c r="C28" i="1"/>
  <c r="E28" i="1"/>
  <c r="D28" i="1"/>
  <c r="E28" i="32" s="1"/>
  <c r="E30" i="178" s="1"/>
  <c r="F28" i="1"/>
  <c r="C29" i="1"/>
  <c r="E29" i="1"/>
  <c r="D29" i="1"/>
  <c r="E29" i="32" s="1"/>
  <c r="E31" i="178" s="1"/>
  <c r="F29" i="1"/>
  <c r="C30" i="1"/>
  <c r="E30" i="1"/>
  <c r="D30" i="1"/>
  <c r="E30" i="32" s="1"/>
  <c r="E32" i="178" s="1"/>
  <c r="F30" i="1"/>
  <c r="C31" i="1"/>
  <c r="E31" i="1"/>
  <c r="D31" i="1"/>
  <c r="E31" i="32" s="1"/>
  <c r="E33" i="178" s="1"/>
  <c r="F31" i="1"/>
  <c r="C32" i="1"/>
  <c r="E32" i="1"/>
  <c r="D32" i="1"/>
  <c r="E32" i="32" s="1"/>
  <c r="E34" i="178" s="1"/>
  <c r="F32" i="1"/>
  <c r="C33" i="1"/>
  <c r="E33" i="1"/>
  <c r="D33" i="1"/>
  <c r="E33" i="32" s="1"/>
  <c r="E35" i="178" s="1"/>
  <c r="F33" i="1"/>
  <c r="C34" i="1"/>
  <c r="E34" i="1"/>
  <c r="D34" i="1"/>
  <c r="E34" i="32" s="1"/>
  <c r="E36" i="178" s="1"/>
  <c r="F34" i="1"/>
  <c r="C35" i="1"/>
  <c r="E35" i="1"/>
  <c r="D35" i="1"/>
  <c r="E35" i="32" s="1"/>
  <c r="E37" i="178" s="1"/>
  <c r="F35" i="1"/>
  <c r="C36" i="1"/>
  <c r="E36" i="1"/>
  <c r="D36" i="1"/>
  <c r="E36" i="32" s="1"/>
  <c r="E38" i="178" s="1"/>
  <c r="F36" i="1"/>
  <c r="C37" i="1"/>
  <c r="E37" i="1"/>
  <c r="D37" i="1"/>
  <c r="E37" i="32" s="1"/>
  <c r="E39" i="178" s="1"/>
  <c r="F37" i="1"/>
  <c r="C38" i="1"/>
  <c r="E38" i="1"/>
  <c r="D38" i="1"/>
  <c r="E38" i="32" s="1"/>
  <c r="E40" i="178" s="1"/>
  <c r="F38" i="1"/>
  <c r="C39" i="1"/>
  <c r="E39" i="1"/>
  <c r="D39" i="1"/>
  <c r="E39" i="32" s="1"/>
  <c r="E41" i="178" s="1"/>
  <c r="F39" i="1"/>
  <c r="C40" i="1"/>
  <c r="E40" i="1"/>
  <c r="D40" i="1"/>
  <c r="E40" i="32" s="1"/>
  <c r="E42" i="178" s="1"/>
  <c r="F40" i="1"/>
  <c r="C41" i="1"/>
  <c r="E41" i="1"/>
  <c r="D41" i="1"/>
  <c r="E41" i="32" s="1"/>
  <c r="E43" i="178" s="1"/>
  <c r="F41" i="1"/>
  <c r="C42" i="1"/>
  <c r="E42" i="1"/>
  <c r="D42" i="1"/>
  <c r="E42" i="32" s="1"/>
  <c r="E44" i="178" s="1"/>
  <c r="F42" i="1"/>
  <c r="C43" i="1"/>
  <c r="E43" i="1"/>
  <c r="D43" i="1"/>
  <c r="E43" i="32" s="1"/>
  <c r="E45" i="178" s="1"/>
  <c r="F43" i="1"/>
  <c r="C44" i="1"/>
  <c r="E44" i="1"/>
  <c r="D44" i="1"/>
  <c r="E44" i="32" s="1"/>
  <c r="E46" i="178" s="1"/>
  <c r="F44" i="1"/>
  <c r="C45" i="1"/>
  <c r="E45" i="1"/>
  <c r="D45" i="1"/>
  <c r="E45" i="32" s="1"/>
  <c r="E47" i="178" s="1"/>
  <c r="F45" i="1"/>
  <c r="F11" i="1"/>
  <c r="G11" i="1"/>
  <c r="D11" i="1"/>
  <c r="G56" i="32"/>
  <c r="G55" i="32"/>
  <c r="G54" i="32"/>
  <c r="G53" i="32"/>
  <c r="G52" i="32"/>
  <c r="G51" i="32"/>
  <c r="G50" i="32"/>
  <c r="G49" i="32"/>
  <c r="G48" i="1"/>
  <c r="G48" i="32" s="1"/>
  <c r="G47" i="1"/>
  <c r="G47" i="32" s="1"/>
  <c r="G46" i="1"/>
  <c r="G46" i="32" s="1"/>
  <c r="G45" i="1"/>
  <c r="G45" i="32" s="1"/>
  <c r="G44" i="1"/>
  <c r="G44" i="32" s="1"/>
  <c r="G43" i="1"/>
  <c r="G43" i="32" s="1"/>
  <c r="G42" i="1"/>
  <c r="G42" i="32" s="1"/>
  <c r="G41" i="1"/>
  <c r="G41" i="32" s="1"/>
  <c r="G40" i="1"/>
  <c r="G40" i="32" s="1"/>
  <c r="G39" i="1"/>
  <c r="G39" i="32" s="1"/>
  <c r="G38" i="1"/>
  <c r="G38" i="32" s="1"/>
  <c r="G37" i="1"/>
  <c r="G37" i="32" s="1"/>
  <c r="G36" i="1"/>
  <c r="G36" i="32" s="1"/>
  <c r="G35" i="1"/>
  <c r="G35" i="32" s="1"/>
  <c r="G34" i="1"/>
  <c r="G34" i="32" s="1"/>
  <c r="G33" i="1"/>
  <c r="G33" i="32" s="1"/>
  <c r="G32" i="1"/>
  <c r="G32" i="32" s="1"/>
  <c r="G31" i="1"/>
  <c r="G31" i="32" s="1"/>
  <c r="G30" i="1"/>
  <c r="G30" i="32" s="1"/>
  <c r="G29" i="1"/>
  <c r="G29" i="32" s="1"/>
  <c r="G28" i="1"/>
  <c r="G28" i="32" s="1"/>
  <c r="G27" i="1"/>
  <c r="G27" i="32" s="1"/>
  <c r="G26" i="1"/>
  <c r="G26" i="32" s="1"/>
  <c r="G25" i="1"/>
  <c r="G25" i="32" s="1"/>
  <c r="G24" i="1"/>
  <c r="G24" i="32" s="1"/>
  <c r="G23" i="1"/>
  <c r="G23" i="32" s="1"/>
  <c r="G22" i="1"/>
  <c r="G22" i="32" s="1"/>
  <c r="G21" i="1"/>
  <c r="G21" i="32" s="1"/>
  <c r="G20" i="1"/>
  <c r="G20" i="32" s="1"/>
  <c r="G19" i="1"/>
  <c r="G19" i="32" s="1"/>
  <c r="G18" i="1"/>
  <c r="G18" i="32" s="1"/>
  <c r="G17" i="1"/>
  <c r="G17" i="32" s="1"/>
  <c r="G16" i="1"/>
  <c r="G16" i="32" s="1"/>
  <c r="G15" i="1"/>
  <c r="G15" i="32" s="1"/>
  <c r="G14" i="1"/>
  <c r="G14" i="32" s="1"/>
  <c r="G13" i="1"/>
  <c r="G13" i="32" s="1"/>
  <c r="G12" i="1"/>
  <c r="G12" i="32" s="1"/>
  <c r="B11" i="1"/>
  <c r="B11" i="32" s="1"/>
  <c r="C11" i="1"/>
  <c r="C11" i="32" s="1"/>
  <c r="E11" i="1"/>
  <c r="B71" i="28"/>
  <c r="B70" i="28"/>
  <c r="B69" i="28"/>
  <c r="B68" i="28"/>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83" i="28"/>
  <c r="B80" i="28"/>
  <c r="B75" i="28"/>
  <c r="B69" i="14" s="1"/>
  <c r="C63" i="28"/>
  <c r="B67" i="28"/>
  <c r="B65" i="28"/>
  <c r="B63" i="28"/>
  <c r="B62" i="28"/>
  <c r="B58" i="14" s="1"/>
  <c r="B61" i="28"/>
  <c r="B57" i="14" s="1"/>
  <c r="C53" i="28"/>
  <c r="B57" i="28"/>
  <c r="B56" i="28"/>
  <c r="B55" i="28"/>
  <c r="B54" i="28"/>
  <c r="B53" i="28"/>
  <c r="B53" i="14" s="1"/>
  <c r="O61" i="1"/>
  <c r="O60" i="1"/>
  <c r="O59" i="1"/>
  <c r="O58" i="1"/>
  <c r="O57" i="1"/>
  <c r="O56" i="1"/>
  <c r="O55" i="1"/>
  <c r="O54" i="1"/>
  <c r="O53" i="1"/>
  <c r="O52" i="1"/>
  <c r="O51" i="1"/>
  <c r="O50" i="1"/>
  <c r="O49" i="1"/>
  <c r="O48" i="1"/>
  <c r="O47" i="1"/>
  <c r="O46" i="1"/>
  <c r="J46" i="1"/>
  <c r="J47" i="1"/>
  <c r="J48" i="1"/>
  <c r="J49" i="1"/>
  <c r="J50" i="1"/>
  <c r="J51" i="1"/>
  <c r="J52" i="1"/>
  <c r="J53" i="1"/>
  <c r="J54" i="1"/>
  <c r="J55" i="1"/>
  <c r="J56" i="1"/>
  <c r="J57" i="1"/>
  <c r="J58" i="1"/>
  <c r="J59" i="1"/>
  <c r="J60" i="1"/>
  <c r="J61" i="1"/>
  <c r="D10" i="50"/>
  <c r="D11" i="50"/>
  <c r="D12" i="50"/>
  <c r="D13" i="50"/>
  <c r="D14" i="50"/>
  <c r="D15" i="50"/>
  <c r="D16" i="50"/>
  <c r="B1" i="1"/>
  <c r="B17" i="50"/>
  <c r="B19" i="39" s="1"/>
  <c r="C17" i="50"/>
  <c r="C19" i="39" s="1"/>
  <c r="B18" i="50"/>
  <c r="B20" i="39" s="1"/>
  <c r="B19" i="50"/>
  <c r="C18" i="50"/>
  <c r="C20" i="39" s="1"/>
  <c r="C19" i="50"/>
  <c r="C21" i="39" s="1"/>
  <c r="B24" i="50"/>
  <c r="B26" i="39" s="1"/>
  <c r="C26" i="39"/>
  <c r="B25" i="50"/>
  <c r="B27" i="39" s="1"/>
  <c r="C25" i="50"/>
  <c r="C27" i="39" s="1"/>
  <c r="B20" i="50"/>
  <c r="B22" i="39" s="1"/>
  <c r="B21" i="50"/>
  <c r="B23" i="39" s="1"/>
  <c r="B22" i="50"/>
  <c r="B24" i="39" s="1"/>
  <c r="B23" i="50"/>
  <c r="B25" i="39" s="1"/>
  <c r="B26" i="50"/>
  <c r="B28" i="39" s="1"/>
  <c r="B27" i="50"/>
  <c r="B29" i="39" s="1"/>
  <c r="B28" i="50"/>
  <c r="B30" i="39" s="1"/>
  <c r="B29" i="50"/>
  <c r="B31" i="39" s="1"/>
  <c r="C20" i="50"/>
  <c r="C22" i="39" s="1"/>
  <c r="C21" i="50"/>
  <c r="C23" i="39" s="1"/>
  <c r="C22" i="50"/>
  <c r="C24" i="39" s="1"/>
  <c r="C25" i="39"/>
  <c r="C26" i="50"/>
  <c r="C28" i="39" s="1"/>
  <c r="C27" i="50"/>
  <c r="C29" i="39" s="1"/>
  <c r="C28" i="50"/>
  <c r="C30" i="39" s="1"/>
  <c r="C29" i="50"/>
  <c r="C31" i="39" s="1"/>
  <c r="E48" i="1"/>
  <c r="E47" i="1"/>
  <c r="E46" i="1"/>
  <c r="D29" i="50"/>
  <c r="D28" i="50"/>
  <c r="D27" i="50"/>
  <c r="D26" i="50"/>
  <c r="D25" i="50"/>
  <c r="D24" i="50"/>
  <c r="D23" i="50"/>
  <c r="D22" i="50"/>
  <c r="D21" i="50"/>
  <c r="D20" i="50"/>
  <c r="D19" i="50"/>
  <c r="D18" i="50"/>
  <c r="D17" i="50"/>
  <c r="B2" i="50"/>
  <c r="C81" i="28" s="1"/>
  <c r="C82" i="28" s="1"/>
  <c r="B81" i="28"/>
  <c r="A11" i="50"/>
  <c r="A12" i="50" s="1"/>
  <c r="A13" i="50" s="1"/>
  <c r="A14" i="50" s="1"/>
  <c r="A15" i="50" s="1"/>
  <c r="A16" i="50" s="1"/>
  <c r="A17" i="50" s="1"/>
  <c r="A18" i="50" s="1"/>
  <c r="A19" i="50" s="1"/>
  <c r="A20" i="50" s="1"/>
  <c r="A21" i="50" s="1"/>
  <c r="A22" i="50" s="1"/>
  <c r="A23" i="50" s="1"/>
  <c r="A24" i="50" s="1"/>
  <c r="A25" i="50" s="1"/>
  <c r="A26" i="50" s="1"/>
  <c r="A27" i="50" s="1"/>
  <c r="A28" i="50" s="1"/>
  <c r="A29" i="50" s="1"/>
  <c r="F7" i="50"/>
  <c r="B1" i="50"/>
  <c r="B85" i="39"/>
  <c r="G85" i="39" s="1"/>
  <c r="B84" i="39"/>
  <c r="G84" i="39" s="1"/>
  <c r="B83" i="39"/>
  <c r="G83" i="39" s="1"/>
  <c r="B82" i="39"/>
  <c r="G82" i="39" s="1"/>
  <c r="B81" i="39"/>
  <c r="G81" i="39" s="1"/>
  <c r="B80" i="39"/>
  <c r="G80" i="39" s="1"/>
  <c r="B79" i="39"/>
  <c r="G79" i="39" s="1"/>
  <c r="B78" i="39"/>
  <c r="G78" i="39" s="1"/>
  <c r="B77" i="39"/>
  <c r="G77" i="39" s="1"/>
  <c r="B76" i="39"/>
  <c r="G76" i="39" s="1"/>
  <c r="B75" i="39"/>
  <c r="G75" i="39" s="1"/>
  <c r="B74" i="39"/>
  <c r="G74" i="39" s="1"/>
  <c r="B73" i="39"/>
  <c r="G73" i="39" s="1"/>
  <c r="B72" i="39"/>
  <c r="G72" i="39" s="1"/>
  <c r="B71" i="39"/>
  <c r="G71" i="39" s="1"/>
  <c r="B70" i="39"/>
  <c r="G70" i="39" s="1"/>
  <c r="B69" i="39"/>
  <c r="G69" i="39" s="1"/>
  <c r="B68" i="39"/>
  <c r="G68" i="39" s="1"/>
  <c r="B67" i="39"/>
  <c r="G67" i="39" s="1"/>
  <c r="B66" i="39"/>
  <c r="G66" i="39" s="1"/>
  <c r="B65" i="39"/>
  <c r="G65" i="39" s="1"/>
  <c r="B64" i="39"/>
  <c r="G64" i="39" s="1"/>
  <c r="B63" i="39"/>
  <c r="G63" i="39" s="1"/>
  <c r="B62" i="39"/>
  <c r="G62" i="39" s="1"/>
  <c r="B61" i="39"/>
  <c r="G61" i="39" s="1"/>
  <c r="B60" i="39"/>
  <c r="G60" i="39" s="1"/>
  <c r="B59" i="39"/>
  <c r="G59" i="39" s="1"/>
  <c r="B58" i="39"/>
  <c r="G58" i="39" s="1"/>
  <c r="B57" i="39"/>
  <c r="G57" i="39" s="1"/>
  <c r="B56" i="39"/>
  <c r="G56" i="39" s="1"/>
  <c r="B55" i="39"/>
  <c r="G55" i="39" s="1"/>
  <c r="B54" i="39"/>
  <c r="G54" i="39" s="1"/>
  <c r="B53" i="39"/>
  <c r="G53" i="39" s="1"/>
  <c r="B52" i="39"/>
  <c r="G52" i="39" s="1"/>
  <c r="B51" i="39"/>
  <c r="G51" i="39" s="1"/>
  <c r="B50" i="39"/>
  <c r="G50" i="39" s="1"/>
  <c r="B49" i="39"/>
  <c r="G49" i="39" s="1"/>
  <c r="B48" i="39"/>
  <c r="G48" i="39" s="1"/>
  <c r="B47" i="39"/>
  <c r="G47" i="39" s="1"/>
  <c r="B46" i="39"/>
  <c r="G46" i="39" s="1"/>
  <c r="B45" i="39"/>
  <c r="G45" i="39" s="1"/>
  <c r="B44" i="39"/>
  <c r="G44" i="39" s="1"/>
  <c r="B43" i="39"/>
  <c r="G43" i="39" s="1"/>
  <c r="B42" i="39"/>
  <c r="G42" i="39" s="1"/>
  <c r="B41" i="39"/>
  <c r="G41" i="39" s="1"/>
  <c r="B40" i="39"/>
  <c r="G40" i="39" s="1"/>
  <c r="B39" i="39"/>
  <c r="G39" i="39" s="1"/>
  <c r="B38" i="39"/>
  <c r="G38" i="39" s="1"/>
  <c r="B37" i="39"/>
  <c r="G37" i="39" s="1"/>
  <c r="B36" i="39"/>
  <c r="G36" i="39" s="1"/>
  <c r="B73" i="28"/>
  <c r="B66" i="14" s="1"/>
  <c r="C72" i="28"/>
  <c r="B72" i="28"/>
  <c r="B65" i="14" s="1"/>
  <c r="G7" i="39"/>
  <c r="G4" i="39" s="1"/>
  <c r="F7" i="39"/>
  <c r="F4" i="39" s="1"/>
  <c r="E7" i="39"/>
  <c r="E4" i="39" s="1"/>
  <c r="D7" i="39"/>
  <c r="D4" i="39" s="1"/>
  <c r="C54" i="14"/>
  <c r="S11" i="1"/>
  <c r="L11" i="1"/>
  <c r="D46" i="1"/>
  <c r="E46" i="32" s="1"/>
  <c r="E48" i="178" s="1"/>
  <c r="D47" i="1"/>
  <c r="E47" i="32" s="1"/>
  <c r="E49" i="178" s="1"/>
  <c r="D48" i="1"/>
  <c r="E48" i="32" s="1"/>
  <c r="E49" i="32"/>
  <c r="E50" i="32"/>
  <c r="E51" i="32"/>
  <c r="E52" i="32"/>
  <c r="E53" i="32"/>
  <c r="E54" i="32"/>
  <c r="E55" i="32"/>
  <c r="E56" i="32"/>
  <c r="C12" i="28"/>
  <c r="B7" i="14"/>
  <c r="B79" i="28"/>
  <c r="B75" i="14" s="1"/>
  <c r="B78" i="28"/>
  <c r="B72" i="14" s="1"/>
  <c r="B77" i="28"/>
  <c r="B71" i="14" s="1"/>
  <c r="A37" i="39"/>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C46" i="1"/>
  <c r="F46" i="1"/>
  <c r="C47" i="1"/>
  <c r="F47" i="1"/>
  <c r="C48" i="1"/>
  <c r="F48" i="1"/>
  <c r="C68" i="28"/>
  <c r="B14" i="28"/>
  <c r="B14" i="14" s="1"/>
  <c r="B68" i="14" s="1"/>
  <c r="B76" i="28"/>
  <c r="B70" i="14" s="1"/>
  <c r="A13" i="39"/>
  <c r="A14" i="39" s="1"/>
  <c r="A15" i="39" s="1"/>
  <c r="A16" i="39" s="1"/>
  <c r="A17" i="39" s="1"/>
  <c r="A18" i="39" s="1"/>
  <c r="A19" i="39" s="1"/>
  <c r="A20" i="39" s="1"/>
  <c r="A21" i="39" s="1"/>
  <c r="A22" i="39" s="1"/>
  <c r="A23" i="39" s="1"/>
  <c r="A24" i="39" s="1"/>
  <c r="A25" i="39" s="1"/>
  <c r="A26" i="39" s="1"/>
  <c r="A27" i="39" s="1"/>
  <c r="A28" i="39" s="1"/>
  <c r="A29" i="39" s="1"/>
  <c r="A30" i="39" s="1"/>
  <c r="A31" i="39" s="1"/>
  <c r="B2" i="39"/>
  <c r="B9" i="28" s="1"/>
  <c r="B9" i="14" s="1"/>
  <c r="B47" i="14" s="1"/>
  <c r="B1" i="39"/>
  <c r="B15" i="28"/>
  <c r="B15" i="14" s="1"/>
  <c r="B74" i="14" s="1"/>
  <c r="A13" i="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B2" i="28"/>
  <c r="B1" i="14"/>
  <c r="B8" i="28"/>
  <c r="C48" i="28" s="1"/>
  <c r="C49" i="28" s="1"/>
  <c r="E18" i="50" l="1"/>
  <c r="E19" i="50"/>
  <c r="E16" i="50"/>
  <c r="P13" i="1" s="1"/>
  <c r="E15" i="50"/>
  <c r="P33" i="1"/>
  <c r="Q33" i="1" s="1"/>
  <c r="R33" i="1" s="1"/>
  <c r="P43" i="1"/>
  <c r="Q43" i="1" s="1"/>
  <c r="R43" i="1" s="1"/>
  <c r="P42" i="1"/>
  <c r="Q42" i="1" s="1"/>
  <c r="R42" i="1" s="1"/>
  <c r="P38" i="1"/>
  <c r="Q38" i="1" s="1"/>
  <c r="R38" i="1" s="1"/>
  <c r="P37" i="1"/>
  <c r="P52" i="1"/>
  <c r="Q52" i="1" s="1"/>
  <c r="R52" i="1" s="1"/>
  <c r="P51" i="1"/>
  <c r="Q51" i="1" s="1"/>
  <c r="R51" i="1" s="1"/>
  <c r="P50" i="1"/>
  <c r="Q50" i="1" s="1"/>
  <c r="R50" i="1" s="1"/>
  <c r="P69" i="1"/>
  <c r="Q69" i="1" s="1"/>
  <c r="R69" i="1" s="1"/>
  <c r="P68" i="1"/>
  <c r="Q68" i="1" s="1"/>
  <c r="R68" i="1" s="1"/>
  <c r="P67" i="1"/>
  <c r="Q67" i="1" s="1"/>
  <c r="R67" i="1" s="1"/>
  <c r="P65" i="1"/>
  <c r="Q65" i="1" s="1"/>
  <c r="R65" i="1" s="1"/>
  <c r="P63" i="1"/>
  <c r="Q63" i="1" s="1"/>
  <c r="R63" i="1" s="1"/>
  <c r="P61" i="1"/>
  <c r="Q61" i="1" s="1"/>
  <c r="R61" i="1" s="1"/>
  <c r="P59" i="1"/>
  <c r="P55" i="1"/>
  <c r="Q55" i="1" s="1"/>
  <c r="R55" i="1" s="1"/>
  <c r="P53" i="1"/>
  <c r="Q53" i="1" s="1"/>
  <c r="R53" i="1" s="1"/>
  <c r="P71" i="1"/>
  <c r="Q71" i="1" s="1"/>
  <c r="R71" i="1" s="1"/>
  <c r="P49" i="1"/>
  <c r="Q49" i="1" s="1"/>
  <c r="R49" i="1" s="1"/>
  <c r="P48" i="1"/>
  <c r="P66" i="1"/>
  <c r="Q66" i="1" s="1"/>
  <c r="R66" i="1" s="1"/>
  <c r="P64" i="1"/>
  <c r="Q64" i="1" s="1"/>
  <c r="R64" i="1" s="1"/>
  <c r="P62" i="1"/>
  <c r="Q62" i="1" s="1"/>
  <c r="R62" i="1" s="1"/>
  <c r="P58" i="1"/>
  <c r="P56" i="1"/>
  <c r="Q56" i="1" s="1"/>
  <c r="R56" i="1" s="1"/>
  <c r="P70" i="1"/>
  <c r="Q70" i="1" s="1"/>
  <c r="R70" i="1" s="1"/>
  <c r="P60" i="1"/>
  <c r="P57" i="1"/>
  <c r="P54" i="1"/>
  <c r="Q54" i="1" s="1"/>
  <c r="R54" i="1" s="1"/>
  <c r="P31" i="1"/>
  <c r="P34" i="1"/>
  <c r="Q34" i="1" s="1"/>
  <c r="R34" i="1" s="1"/>
  <c r="P32" i="1"/>
  <c r="Q32" i="1" s="1"/>
  <c r="R32" i="1" s="1"/>
  <c r="K43" i="1"/>
  <c r="K71" i="1"/>
  <c r="K51" i="1"/>
  <c r="K49" i="1"/>
  <c r="K68" i="1"/>
  <c r="K48" i="1"/>
  <c r="K65" i="1"/>
  <c r="K63" i="1"/>
  <c r="K60" i="1"/>
  <c r="K59" i="1"/>
  <c r="K55" i="1"/>
  <c r="K70" i="1"/>
  <c r="K50" i="1"/>
  <c r="K67" i="1"/>
  <c r="K64" i="1"/>
  <c r="K62" i="1"/>
  <c r="K58" i="1"/>
  <c r="K56" i="1"/>
  <c r="K53" i="1"/>
  <c r="K69" i="1"/>
  <c r="K66" i="1"/>
  <c r="K61" i="1"/>
  <c r="K57" i="1"/>
  <c r="K54" i="1"/>
  <c r="K52" i="1"/>
  <c r="K42" i="1"/>
  <c r="K16" i="50"/>
  <c r="F16" i="50" s="1"/>
  <c r="E11" i="50"/>
  <c r="P29" i="1" s="1"/>
  <c r="K11" i="50"/>
  <c r="F11" i="50" s="1"/>
  <c r="K15" i="50"/>
  <c r="F15" i="50" s="1"/>
  <c r="I17" i="50"/>
  <c r="J17" i="50" s="1"/>
  <c r="K18" i="50"/>
  <c r="F18" i="50" s="1"/>
  <c r="K19" i="50"/>
  <c r="F19" i="50" s="1"/>
  <c r="E12" i="50"/>
  <c r="K12" i="50"/>
  <c r="F12" i="50" s="1"/>
  <c r="K34" i="1"/>
  <c r="K33" i="1"/>
  <c r="K32" i="1"/>
  <c r="K37" i="1"/>
  <c r="K31" i="1"/>
  <c r="AP23" i="173"/>
  <c r="AP18" i="173"/>
  <c r="AP33" i="173"/>
  <c r="AP46" i="173"/>
  <c r="AP44" i="173"/>
  <c r="AP20" i="173"/>
  <c r="AP42" i="173"/>
  <c r="AP39" i="173"/>
  <c r="AP25" i="173"/>
  <c r="AP19" i="173"/>
  <c r="AP16" i="173"/>
  <c r="AP31" i="173"/>
  <c r="AP30" i="173"/>
  <c r="AP47" i="173"/>
  <c r="AP38" i="173"/>
  <c r="AP40" i="173"/>
  <c r="AP26" i="173"/>
  <c r="AP29" i="173"/>
  <c r="AP21" i="173"/>
  <c r="AP14" i="173"/>
  <c r="AP15" i="173"/>
  <c r="AP45" i="173"/>
  <c r="AP48" i="173"/>
  <c r="AP32" i="173"/>
  <c r="AP34" i="173"/>
  <c r="AP17" i="173"/>
  <c r="AP13" i="173"/>
  <c r="AP37" i="173"/>
  <c r="AK52" i="173"/>
  <c r="AK63" i="173"/>
  <c r="AK60" i="173"/>
  <c r="AK53" i="173"/>
  <c r="AK61" i="173"/>
  <c r="AK64" i="173"/>
  <c r="AK65" i="173"/>
  <c r="AK54" i="173"/>
  <c r="AK59" i="173"/>
  <c r="AK70" i="173"/>
  <c r="AK56" i="173"/>
  <c r="AK67" i="173"/>
  <c r="AK68" i="173"/>
  <c r="AK69" i="173"/>
  <c r="AK72" i="173"/>
  <c r="AK71" i="173"/>
  <c r="AK55" i="173"/>
  <c r="AK57" i="173"/>
  <c r="AK58" i="173"/>
  <c r="AK66" i="173"/>
  <c r="AK62" i="173"/>
  <c r="AK50" i="173"/>
  <c r="AK51" i="173"/>
  <c r="B18" i="39"/>
  <c r="B12" i="39"/>
  <c r="C21" i="179" s="1"/>
  <c r="B18" i="28"/>
  <c r="B17" i="14" s="1"/>
  <c r="B77" i="14" s="1"/>
  <c r="B21" i="39"/>
  <c r="C10" i="14"/>
  <c r="I1" i="47" s="1"/>
  <c r="H5" i="39"/>
  <c r="F55" i="32"/>
  <c r="X47" i="38"/>
  <c r="F47" i="32"/>
  <c r="X45" i="38"/>
  <c r="F45" i="32"/>
  <c r="W40" i="38"/>
  <c r="D40" i="32"/>
  <c r="D42" i="178" s="1"/>
  <c r="X37" i="38"/>
  <c r="F37" i="32"/>
  <c r="W32" i="38"/>
  <c r="D32" i="32"/>
  <c r="D34" i="178" s="1"/>
  <c r="X29" i="38"/>
  <c r="F29" i="32"/>
  <c r="W24" i="38"/>
  <c r="D24" i="32"/>
  <c r="D26" i="178" s="1"/>
  <c r="X21" i="38"/>
  <c r="F21" i="32"/>
  <c r="C55" i="32"/>
  <c r="W46" i="38"/>
  <c r="D46" i="32"/>
  <c r="D48" i="178" s="1"/>
  <c r="W16" i="38"/>
  <c r="D16" i="32"/>
  <c r="D18" i="178" s="1"/>
  <c r="X13" i="38"/>
  <c r="F13" i="32"/>
  <c r="F54" i="32"/>
  <c r="X46" i="38"/>
  <c r="F46" i="32"/>
  <c r="W47" i="38"/>
  <c r="D47" i="32"/>
  <c r="D49" i="178" s="1"/>
  <c r="W45" i="38"/>
  <c r="D45" i="32"/>
  <c r="D47" i="178" s="1"/>
  <c r="X42" i="38"/>
  <c r="F42" i="32"/>
  <c r="W37" i="38"/>
  <c r="D37" i="32"/>
  <c r="D39" i="178" s="1"/>
  <c r="X34" i="38"/>
  <c r="F34" i="32"/>
  <c r="W29" i="38"/>
  <c r="D29" i="32"/>
  <c r="D31" i="178" s="1"/>
  <c r="X26" i="38"/>
  <c r="F26" i="32"/>
  <c r="W21" i="38"/>
  <c r="D21" i="32"/>
  <c r="D23" i="178" s="1"/>
  <c r="X18" i="38"/>
  <c r="F18" i="32"/>
  <c r="C54" i="32"/>
  <c r="D48" i="32"/>
  <c r="W13" i="38"/>
  <c r="D13" i="32"/>
  <c r="D15" i="178" s="1"/>
  <c r="F53" i="32"/>
  <c r="D49" i="32"/>
  <c r="W42" i="38"/>
  <c r="D42" i="32"/>
  <c r="D44" i="178" s="1"/>
  <c r="X39" i="38"/>
  <c r="F39" i="32"/>
  <c r="W34" i="38"/>
  <c r="D34" i="32"/>
  <c r="D36" i="178" s="1"/>
  <c r="X31" i="38"/>
  <c r="F31" i="32"/>
  <c r="W26" i="38"/>
  <c r="D26" i="32"/>
  <c r="D28" i="178" s="1"/>
  <c r="X23" i="38"/>
  <c r="F23" i="32"/>
  <c r="W18" i="38"/>
  <c r="D18" i="32"/>
  <c r="D20" i="178" s="1"/>
  <c r="C53" i="32"/>
  <c r="D50" i="32"/>
  <c r="X15" i="38"/>
  <c r="F15" i="32"/>
  <c r="F52" i="32"/>
  <c r="D51" i="32"/>
  <c r="X44" i="38"/>
  <c r="F44" i="32"/>
  <c r="W39" i="38"/>
  <c r="D39" i="32"/>
  <c r="D41" i="178" s="1"/>
  <c r="X36" i="38"/>
  <c r="F36" i="32"/>
  <c r="W31" i="38"/>
  <c r="D31" i="32"/>
  <c r="D33" i="178" s="1"/>
  <c r="X28" i="38"/>
  <c r="F28" i="32"/>
  <c r="W23" i="38"/>
  <c r="D23" i="32"/>
  <c r="D25" i="178" s="1"/>
  <c r="X20" i="38"/>
  <c r="F20" i="32"/>
  <c r="C52" i="32"/>
  <c r="D52" i="32"/>
  <c r="W15" i="38"/>
  <c r="D15" i="32"/>
  <c r="D17" i="178" s="1"/>
  <c r="X12" i="38"/>
  <c r="F12" i="32"/>
  <c r="X16" i="38"/>
  <c r="F16" i="32"/>
  <c r="F51" i="32"/>
  <c r="D53" i="32"/>
  <c r="W44" i="38"/>
  <c r="D44" i="32"/>
  <c r="D46" i="178" s="1"/>
  <c r="X41" i="38"/>
  <c r="F41" i="32"/>
  <c r="W36" i="38"/>
  <c r="D36" i="32"/>
  <c r="D38" i="178" s="1"/>
  <c r="X33" i="38"/>
  <c r="F33" i="32"/>
  <c r="W28" i="38"/>
  <c r="D28" i="32"/>
  <c r="D30" i="178" s="1"/>
  <c r="X25" i="38"/>
  <c r="F25" i="32"/>
  <c r="W20" i="38"/>
  <c r="D20" i="32"/>
  <c r="D22" i="178" s="1"/>
  <c r="D54" i="32"/>
  <c r="X17" i="38"/>
  <c r="F17" i="32"/>
  <c r="W12" i="38"/>
  <c r="D12" i="32"/>
  <c r="D14" i="178" s="1"/>
  <c r="F50" i="32"/>
  <c r="D55" i="32"/>
  <c r="W41" i="38"/>
  <c r="D41" i="32"/>
  <c r="D43" i="178" s="1"/>
  <c r="X38" i="38"/>
  <c r="F38" i="32"/>
  <c r="W33" i="38"/>
  <c r="D33" i="32"/>
  <c r="D35" i="178" s="1"/>
  <c r="X30" i="38"/>
  <c r="F30" i="32"/>
  <c r="W25" i="38"/>
  <c r="D25" i="32"/>
  <c r="D27" i="178" s="1"/>
  <c r="X22" i="38"/>
  <c r="F22" i="32"/>
  <c r="D56" i="32"/>
  <c r="W17" i="38"/>
  <c r="D17" i="32"/>
  <c r="D19" i="178" s="1"/>
  <c r="X14" i="38"/>
  <c r="F14" i="32"/>
  <c r="F49" i="32"/>
  <c r="X43" i="38"/>
  <c r="F43" i="32"/>
  <c r="W38" i="38"/>
  <c r="D38" i="32"/>
  <c r="D40" i="178" s="1"/>
  <c r="X35" i="38"/>
  <c r="F35" i="32"/>
  <c r="W30" i="38"/>
  <c r="D30" i="32"/>
  <c r="D32" i="178" s="1"/>
  <c r="X27" i="38"/>
  <c r="F27" i="32"/>
  <c r="W22" i="38"/>
  <c r="D22" i="32"/>
  <c r="D24" i="178" s="1"/>
  <c r="X19" i="38"/>
  <c r="F19" i="32"/>
  <c r="C56" i="32"/>
  <c r="W14" i="38"/>
  <c r="D14" i="32"/>
  <c r="D16" i="178" s="1"/>
  <c r="F56" i="32"/>
  <c r="F48" i="32"/>
  <c r="W43" i="38"/>
  <c r="D43" i="32"/>
  <c r="D45" i="178" s="1"/>
  <c r="X40" i="38"/>
  <c r="F40" i="32"/>
  <c r="W35" i="38"/>
  <c r="D35" i="32"/>
  <c r="D37" i="178" s="1"/>
  <c r="X32" i="38"/>
  <c r="F32" i="32"/>
  <c r="W27" i="38"/>
  <c r="D27" i="32"/>
  <c r="D29" i="178" s="1"/>
  <c r="X24" i="38"/>
  <c r="F24" i="32"/>
  <c r="W19" i="38"/>
  <c r="D19" i="32"/>
  <c r="D21" i="178" s="1"/>
  <c r="B53" i="32"/>
  <c r="B54" i="32"/>
  <c r="B55" i="32"/>
  <c r="B56" i="32"/>
  <c r="B52" i="32"/>
  <c r="B20" i="32"/>
  <c r="B22" i="178" s="1"/>
  <c r="U20" i="38"/>
  <c r="B36" i="32"/>
  <c r="B38" i="178" s="1"/>
  <c r="U36" i="38"/>
  <c r="B21" i="32"/>
  <c r="B23" i="178" s="1"/>
  <c r="U21" i="38"/>
  <c r="B37" i="32"/>
  <c r="B39" i="178" s="1"/>
  <c r="U37" i="38"/>
  <c r="U22" i="38"/>
  <c r="B22" i="32"/>
  <c r="B24" i="178" s="1"/>
  <c r="U38" i="38"/>
  <c r="B38" i="32"/>
  <c r="B40" i="178" s="1"/>
  <c r="B23" i="32"/>
  <c r="B25" i="178" s="1"/>
  <c r="U23" i="38"/>
  <c r="B39" i="32"/>
  <c r="B41" i="178" s="1"/>
  <c r="U39" i="38"/>
  <c r="B24" i="32"/>
  <c r="B26" i="178" s="1"/>
  <c r="U24" i="38"/>
  <c r="B40" i="32"/>
  <c r="B42" i="178" s="1"/>
  <c r="U40" i="38"/>
  <c r="B25" i="32"/>
  <c r="B27" i="178" s="1"/>
  <c r="U25" i="38"/>
  <c r="B41" i="32"/>
  <c r="B43" i="178" s="1"/>
  <c r="U41" i="38"/>
  <c r="B26" i="32"/>
  <c r="B28" i="178" s="1"/>
  <c r="U26" i="38"/>
  <c r="U42" i="38"/>
  <c r="B42" i="32"/>
  <c r="B44" i="178" s="1"/>
  <c r="B27" i="32"/>
  <c r="B29" i="178" s="1"/>
  <c r="U27" i="38"/>
  <c r="U43" i="38"/>
  <c r="B43" i="32"/>
  <c r="B45" i="178" s="1"/>
  <c r="B12" i="32"/>
  <c r="B14" i="178" s="1"/>
  <c r="U12" i="38"/>
  <c r="U28" i="38"/>
  <c r="B28" i="32"/>
  <c r="B30" i="178" s="1"/>
  <c r="U44" i="38"/>
  <c r="B44" i="32"/>
  <c r="B46" i="178" s="1"/>
  <c r="B13" i="32"/>
  <c r="B15" i="178" s="1"/>
  <c r="U13" i="38"/>
  <c r="U29" i="38"/>
  <c r="B29" i="32"/>
  <c r="B31" i="178" s="1"/>
  <c r="U45" i="38"/>
  <c r="B45" i="32"/>
  <c r="B47" i="178" s="1"/>
  <c r="U14" i="38"/>
  <c r="B14" i="32"/>
  <c r="B16" i="178" s="1"/>
  <c r="U30" i="38"/>
  <c r="B30" i="32"/>
  <c r="B32" i="178" s="1"/>
  <c r="U46" i="38"/>
  <c r="B46" i="32"/>
  <c r="B48" i="178" s="1"/>
  <c r="U15" i="38"/>
  <c r="B15" i="32"/>
  <c r="B17" i="178" s="1"/>
  <c r="U31" i="38"/>
  <c r="B31" i="32"/>
  <c r="B33" i="178" s="1"/>
  <c r="U47" i="38"/>
  <c r="B47" i="32"/>
  <c r="B49" i="178" s="1"/>
  <c r="U16" i="38"/>
  <c r="B16" i="32"/>
  <c r="B18" i="178" s="1"/>
  <c r="U32" i="38"/>
  <c r="B32" i="32"/>
  <c r="B34" i="178" s="1"/>
  <c r="U48" i="38"/>
  <c r="B48" i="32"/>
  <c r="B17" i="32"/>
  <c r="B19" i="178" s="1"/>
  <c r="U17" i="38"/>
  <c r="B33" i="32"/>
  <c r="B35" i="178" s="1"/>
  <c r="U33" i="38"/>
  <c r="B49" i="32"/>
  <c r="U18" i="38"/>
  <c r="B18" i="32"/>
  <c r="B20" i="178" s="1"/>
  <c r="U34" i="38"/>
  <c r="B34" i="32"/>
  <c r="B36" i="178" s="1"/>
  <c r="B50" i="32"/>
  <c r="U19" i="38"/>
  <c r="B19" i="32"/>
  <c r="B21" i="178" s="1"/>
  <c r="U35" i="38"/>
  <c r="B35" i="32"/>
  <c r="B37" i="178" s="1"/>
  <c r="B51" i="32"/>
  <c r="N20" i="48"/>
  <c r="C61" i="14" s="1"/>
  <c r="C11" i="14" s="1"/>
  <c r="V47" i="38"/>
  <c r="C47" i="32"/>
  <c r="C49" i="178" s="1"/>
  <c r="V39" i="38"/>
  <c r="C39" i="32"/>
  <c r="C41" i="178" s="1"/>
  <c r="V31" i="38"/>
  <c r="C31" i="32"/>
  <c r="C33" i="178" s="1"/>
  <c r="V23" i="38"/>
  <c r="C23" i="32"/>
  <c r="C25" i="178" s="1"/>
  <c r="V15" i="38"/>
  <c r="C15" i="32"/>
  <c r="C17" i="178" s="1"/>
  <c r="V46" i="38"/>
  <c r="C46" i="32"/>
  <c r="C48" i="178" s="1"/>
  <c r="V44" i="38"/>
  <c r="C44" i="32"/>
  <c r="C46" i="178" s="1"/>
  <c r="V36" i="38"/>
  <c r="C36" i="32"/>
  <c r="C38" i="178" s="1"/>
  <c r="V28" i="38"/>
  <c r="C28" i="32"/>
  <c r="C30" i="178" s="1"/>
  <c r="V20" i="38"/>
  <c r="C20" i="32"/>
  <c r="C22" i="178" s="1"/>
  <c r="V12" i="38"/>
  <c r="C12" i="32"/>
  <c r="C14" i="178" s="1"/>
  <c r="V41" i="38"/>
  <c r="C41" i="32"/>
  <c r="C43" i="178" s="1"/>
  <c r="V33" i="38"/>
  <c r="C33" i="32"/>
  <c r="C35" i="178" s="1"/>
  <c r="V25" i="38"/>
  <c r="C25" i="32"/>
  <c r="C27" i="178" s="1"/>
  <c r="V17" i="38"/>
  <c r="C17" i="32"/>
  <c r="C19" i="178" s="1"/>
  <c r="V38" i="38"/>
  <c r="C38" i="32"/>
  <c r="C40" i="178" s="1"/>
  <c r="V30" i="38"/>
  <c r="C30" i="32"/>
  <c r="C32" i="178" s="1"/>
  <c r="V22" i="38"/>
  <c r="C22" i="32"/>
  <c r="C24" i="178" s="1"/>
  <c r="V14" i="38"/>
  <c r="C14" i="32"/>
  <c r="C16" i="178" s="1"/>
  <c r="C51" i="32"/>
  <c r="V43" i="38"/>
  <c r="C43" i="32"/>
  <c r="C45" i="178" s="1"/>
  <c r="V35" i="38"/>
  <c r="C35" i="32"/>
  <c r="C37" i="178" s="1"/>
  <c r="V27" i="38"/>
  <c r="C27" i="32"/>
  <c r="C29" i="178" s="1"/>
  <c r="V19" i="38"/>
  <c r="C19" i="32"/>
  <c r="C21" i="178" s="1"/>
  <c r="C50" i="32"/>
  <c r="C48" i="14"/>
  <c r="V40" i="38"/>
  <c r="C40" i="32"/>
  <c r="C42" i="178" s="1"/>
  <c r="V32" i="38"/>
  <c r="C32" i="32"/>
  <c r="C34" i="178" s="1"/>
  <c r="V24" i="38"/>
  <c r="C24" i="32"/>
  <c r="C26" i="178" s="1"/>
  <c r="V16" i="38"/>
  <c r="C16" i="32"/>
  <c r="C18" i="178" s="1"/>
  <c r="C49" i="32"/>
  <c r="V45" i="38"/>
  <c r="C45" i="32"/>
  <c r="C47" i="178" s="1"/>
  <c r="V37" i="38"/>
  <c r="C37" i="32"/>
  <c r="C39" i="178" s="1"/>
  <c r="V29" i="38"/>
  <c r="C29" i="32"/>
  <c r="C31" i="178" s="1"/>
  <c r="V21" i="38"/>
  <c r="C21" i="32"/>
  <c r="C23" i="178" s="1"/>
  <c r="V13" i="38"/>
  <c r="C13" i="32"/>
  <c r="C15" i="178" s="1"/>
  <c r="V48" i="38"/>
  <c r="C48" i="32"/>
  <c r="V42" i="38"/>
  <c r="C42" i="32"/>
  <c r="C44" i="178" s="1"/>
  <c r="V34" i="38"/>
  <c r="C34" i="32"/>
  <c r="C36" i="178" s="1"/>
  <c r="V26" i="38"/>
  <c r="C26" i="32"/>
  <c r="C28" i="178" s="1"/>
  <c r="V18" i="38"/>
  <c r="C18" i="32"/>
  <c r="C20" i="178" s="1"/>
  <c r="C50" i="14"/>
  <c r="B49" i="28"/>
  <c r="B45" i="14" s="1"/>
  <c r="C70" i="14"/>
  <c r="C69" i="14"/>
  <c r="C75" i="28"/>
  <c r="C78" i="28" s="1"/>
  <c r="C79" i="28"/>
  <c r="C80" i="28" s="1"/>
  <c r="C83" i="28"/>
  <c r="D6" i="39"/>
  <c r="C6" i="39"/>
  <c r="B10" i="28"/>
  <c r="B10" i="14" s="1"/>
  <c r="B52" i="14" s="1"/>
  <c r="B51" i="28"/>
  <c r="B49" i="14" s="1"/>
  <c r="B82" i="28"/>
  <c r="B85" i="28"/>
  <c r="B79" i="14" s="1"/>
  <c r="B84" i="28"/>
  <c r="B78" i="14" s="1"/>
  <c r="B12" i="28"/>
  <c r="B12" i="14" s="1"/>
  <c r="C55" i="28"/>
  <c r="C60" i="28"/>
  <c r="C58" i="28"/>
  <c r="C61" i="28"/>
  <c r="C54" i="28"/>
  <c r="C62" i="28"/>
  <c r="C59" i="28"/>
  <c r="C57" i="28"/>
  <c r="C64" i="28"/>
  <c r="C65" i="28"/>
  <c r="C67" i="28"/>
  <c r="C66" i="28"/>
  <c r="B17" i="28"/>
  <c r="B16" i="14" s="1"/>
  <c r="B11" i="28"/>
  <c r="B11" i="14" s="1"/>
  <c r="B60" i="14" s="1"/>
  <c r="C50" i="28"/>
  <c r="C73" i="28"/>
  <c r="C74" i="28"/>
  <c r="C70" i="28"/>
  <c r="C71" i="28"/>
  <c r="C69" i="28"/>
  <c r="B8" i="14"/>
  <c r="B43" i="14" s="1"/>
  <c r="C56" i="28"/>
  <c r="B13" i="28"/>
  <c r="B13" i="14" s="1"/>
  <c r="B64" i="14" s="1"/>
  <c r="E17" i="50" l="1"/>
  <c r="P25" i="1"/>
  <c r="P47" i="1"/>
  <c r="P30" i="1"/>
  <c r="P36" i="1"/>
  <c r="P26" i="1"/>
  <c r="Q26" i="1" s="1"/>
  <c r="R26" i="1" s="1"/>
  <c r="K26" i="1"/>
  <c r="K39" i="1"/>
  <c r="P22" i="1"/>
  <c r="P39" i="1"/>
  <c r="Q39" i="1" s="1"/>
  <c r="R39" i="1" s="1"/>
  <c r="K40" i="1"/>
  <c r="K24" i="1"/>
  <c r="K25" i="1"/>
  <c r="P14" i="1"/>
  <c r="P27" i="1"/>
  <c r="P15" i="1"/>
  <c r="P44" i="1"/>
  <c r="P23" i="1"/>
  <c r="P20" i="1"/>
  <c r="P40" i="1"/>
  <c r="P16" i="1"/>
  <c r="K17" i="50"/>
  <c r="F17" i="50" s="1"/>
  <c r="K41" i="1"/>
  <c r="P28" i="1"/>
  <c r="P24" i="1"/>
  <c r="Q24" i="1" s="1"/>
  <c r="R24" i="1" s="1"/>
  <c r="P45" i="1"/>
  <c r="P17" i="1"/>
  <c r="P21" i="1"/>
  <c r="P41" i="1"/>
  <c r="P46" i="1"/>
  <c r="P18" i="1"/>
  <c r="P12" i="1"/>
  <c r="P35" i="1"/>
  <c r="Q35" i="1" s="1"/>
  <c r="R35" i="1" s="1"/>
  <c r="P19" i="1"/>
  <c r="AL60" i="173"/>
  <c r="AL63" i="173"/>
  <c r="AL53" i="173"/>
  <c r="AL64" i="173"/>
  <c r="AL61" i="173"/>
  <c r="AL62" i="173"/>
  <c r="AL52" i="173"/>
  <c r="AL65" i="173"/>
  <c r="AL67" i="173"/>
  <c r="AL59" i="173"/>
  <c r="AL56" i="173"/>
  <c r="AL66" i="173"/>
  <c r="AL57" i="173"/>
  <c r="AL69" i="173"/>
  <c r="AL50" i="173"/>
  <c r="AL68" i="173"/>
  <c r="AL72" i="173"/>
  <c r="AL51" i="173"/>
  <c r="AL71" i="173"/>
  <c r="AL54" i="173"/>
  <c r="AL58" i="173"/>
  <c r="AL70" i="173"/>
  <c r="AL55" i="173"/>
  <c r="C85" i="28"/>
  <c r="C84" i="28"/>
  <c r="G1" i="48"/>
  <c r="J1" i="160"/>
  <c r="C16" i="28" s="1"/>
  <c r="C11" i="28"/>
  <c r="C10" i="28"/>
  <c r="C77" i="28"/>
  <c r="C76" i="28"/>
  <c r="E6" i="39"/>
  <c r="C51" i="28"/>
  <c r="C52" i="28"/>
  <c r="AM53" i="173" l="1"/>
  <c r="AM63" i="173"/>
  <c r="AM62" i="173"/>
  <c r="AM65" i="173"/>
  <c r="AM64" i="173"/>
  <c r="AM61" i="173"/>
  <c r="AM60" i="173"/>
  <c r="AM52" i="173"/>
  <c r="AM70" i="173"/>
  <c r="AM72" i="173"/>
  <c r="AM57" i="173"/>
  <c r="AM58" i="173"/>
  <c r="AM68" i="173"/>
  <c r="AM54" i="173"/>
  <c r="AM55" i="173"/>
  <c r="AM71" i="173"/>
  <c r="AM56" i="173"/>
  <c r="AM66" i="173"/>
  <c r="AM59" i="173"/>
  <c r="AM69" i="173"/>
  <c r="AM50" i="173"/>
  <c r="AM67" i="173"/>
  <c r="AM51" i="173"/>
  <c r="F6" i="39"/>
  <c r="G50" i="160" l="1"/>
  <c r="G51" i="160" s="1"/>
  <c r="B48" i="28"/>
  <c r="B44" i="14" s="1"/>
  <c r="G6" i="39"/>
  <c r="B74" i="28"/>
  <c r="B34" i="39"/>
  <c r="B52" i="28" s="1"/>
  <c r="B50" i="14" s="1"/>
  <c r="B5" i="39"/>
  <c r="B50" i="28" s="1"/>
  <c r="B48" i="14" s="1"/>
  <c r="G52" i="160" l="1"/>
  <c r="G53" i="160" s="1"/>
  <c r="G54" i="160" s="1"/>
  <c r="D45" i="45" s="1"/>
  <c r="L50" i="1" l="1"/>
  <c r="N50" i="1" s="1"/>
  <c r="L51" i="1"/>
  <c r="N51" i="1" s="1"/>
  <c r="L48" i="1"/>
  <c r="M48" i="1" s="1"/>
  <c r="L25" i="1"/>
  <c r="N25" i="1" s="1"/>
  <c r="L33" i="1"/>
  <c r="M33" i="1" s="1"/>
  <c r="L26" i="1"/>
  <c r="M26" i="1" s="1"/>
  <c r="L41" i="1"/>
  <c r="M41" i="1" s="1"/>
  <c r="L34" i="1"/>
  <c r="M34" i="1" s="1"/>
  <c r="L37" i="1"/>
  <c r="M37" i="1" s="1"/>
  <c r="L62" i="1"/>
  <c r="M62" i="1" s="1"/>
  <c r="L70" i="1"/>
  <c r="M70" i="1" s="1"/>
  <c r="L67" i="1"/>
  <c r="M67" i="1" s="1"/>
  <c r="L71" i="1"/>
  <c r="M71" i="1" s="1"/>
  <c r="L69" i="1"/>
  <c r="M69" i="1" s="1"/>
  <c r="L68" i="1"/>
  <c r="M68" i="1" s="1"/>
  <c r="L63" i="1"/>
  <c r="M63" i="1" s="1"/>
  <c r="L64" i="1"/>
  <c r="M64" i="1" s="1"/>
  <c r="L65" i="1"/>
  <c r="M65" i="1" s="1"/>
  <c r="L66" i="1"/>
  <c r="M66" i="1" s="1"/>
  <c r="L57" i="1"/>
  <c r="M57" i="1" s="1"/>
  <c r="L56" i="1"/>
  <c r="M56" i="1" s="1"/>
  <c r="L54" i="1"/>
  <c r="M54" i="1" s="1"/>
  <c r="L58" i="1"/>
  <c r="M58" i="1" s="1"/>
  <c r="L53" i="1"/>
  <c r="M53" i="1" s="1"/>
  <c r="L32" i="1"/>
  <c r="N32" i="1" s="1"/>
  <c r="L42" i="1"/>
  <c r="N42" i="1" s="1"/>
  <c r="D25" i="39" a="1"/>
  <c r="D25" i="39" s="1"/>
  <c r="D23" i="39" a="1"/>
  <c r="D23" i="39" s="1"/>
  <c r="D31" i="39" a="1"/>
  <c r="D31" i="39" s="1"/>
  <c r="D24" i="39" a="1"/>
  <c r="D24" i="39" s="1"/>
  <c r="D26" i="39" a="1"/>
  <c r="D26" i="39" s="1"/>
  <c r="D28" i="39" a="1"/>
  <c r="D28" i="39" s="1"/>
  <c r="D27" i="39" a="1"/>
  <c r="D27" i="39" s="1"/>
  <c r="D29" i="39" a="1"/>
  <c r="D29" i="39" s="1"/>
  <c r="D30" i="39" a="1"/>
  <c r="D30" i="39" s="1"/>
  <c r="L59" i="1"/>
  <c r="M59" i="1" s="1"/>
  <c r="L60" i="1"/>
  <c r="M60" i="1" s="1"/>
  <c r="L43" i="1"/>
  <c r="N43" i="1" s="1"/>
  <c r="L39" i="1"/>
  <c r="N39" i="1" s="1"/>
  <c r="L49" i="1"/>
  <c r="N49" i="1" s="1"/>
  <c r="L31" i="1"/>
  <c r="N31" i="1" s="1"/>
  <c r="L55" i="1"/>
  <c r="N55" i="1" s="1"/>
  <c r="L24" i="1"/>
  <c r="N24" i="1" s="1"/>
  <c r="L61" i="1"/>
  <c r="N61" i="1" s="1"/>
  <c r="L40" i="1"/>
  <c r="N40" i="1" s="1"/>
  <c r="L52" i="1"/>
  <c r="N52" i="1" s="1"/>
  <c r="N34" i="1" l="1"/>
  <c r="N69" i="1"/>
  <c r="N65" i="1"/>
  <c r="N64" i="1"/>
  <c r="N70" i="1"/>
  <c r="N48" i="1"/>
  <c r="N37" i="1"/>
  <c r="N26" i="1"/>
  <c r="N33" i="1"/>
  <c r="N71" i="1"/>
  <c r="N57" i="1"/>
  <c r="N58" i="1"/>
  <c r="N60" i="1"/>
  <c r="N67" i="1"/>
  <c r="N41" i="1"/>
  <c r="N66" i="1"/>
  <c r="N56" i="1"/>
  <c r="N54" i="1"/>
  <c r="M50" i="1"/>
  <c r="N63" i="1"/>
  <c r="N62" i="1"/>
  <c r="N68" i="1"/>
  <c r="M25" i="1"/>
  <c r="M51" i="1"/>
  <c r="N53" i="1"/>
  <c r="N59" i="1"/>
  <c r="S62" i="1"/>
  <c r="T62" i="1" s="1"/>
  <c r="Z62" i="1" s="1"/>
  <c r="S71" i="1"/>
  <c r="T71" i="1" s="1"/>
  <c r="Z71" i="1" s="1"/>
  <c r="S69" i="1"/>
  <c r="T69" i="1" s="1"/>
  <c r="Z69" i="1" s="1"/>
  <c r="S67" i="1"/>
  <c r="T67" i="1" s="1"/>
  <c r="Z67" i="1" s="1"/>
  <c r="S64" i="1"/>
  <c r="T64" i="1" s="1"/>
  <c r="Z64" i="1" s="1"/>
  <c r="S65" i="1"/>
  <c r="T65" i="1" s="1"/>
  <c r="Z65" i="1" s="1"/>
  <c r="S68" i="1"/>
  <c r="T68" i="1" s="1"/>
  <c r="Z68" i="1" s="1"/>
  <c r="S63" i="1"/>
  <c r="T63" i="1" s="1"/>
  <c r="Z63" i="1" s="1"/>
  <c r="S70" i="1"/>
  <c r="T70" i="1" s="1"/>
  <c r="Z70" i="1" s="1"/>
  <c r="S66" i="1"/>
  <c r="T66" i="1" s="1"/>
  <c r="Z66" i="1" s="1"/>
  <c r="M55" i="1"/>
  <c r="M61" i="1"/>
  <c r="M52" i="1"/>
  <c r="M43" i="1"/>
  <c r="M49" i="1"/>
  <c r="M40" i="1"/>
  <c r="M42" i="1"/>
  <c r="M24" i="1"/>
  <c r="M32" i="1"/>
  <c r="M39" i="1"/>
  <c r="M31" i="1"/>
  <c r="S39" i="1"/>
  <c r="T39" i="1" s="1"/>
  <c r="S43" i="1"/>
  <c r="T43" i="1" s="1"/>
  <c r="S61" i="1"/>
  <c r="T61" i="1" s="1"/>
  <c r="S52" i="1"/>
  <c r="T52" i="1" s="1"/>
  <c r="S24" i="1"/>
  <c r="T24" i="1" s="1"/>
  <c r="S51" i="1"/>
  <c r="T51" i="1" s="1"/>
  <c r="S53" i="1"/>
  <c r="T53" i="1" s="1"/>
  <c r="S55" i="1"/>
  <c r="T55" i="1" s="1"/>
  <c r="S26" i="1"/>
  <c r="T26" i="1" s="1"/>
  <c r="S56" i="1"/>
  <c r="T56" i="1" s="1"/>
  <c r="S32" i="1"/>
  <c r="T32" i="1" s="1"/>
  <c r="J30" i="39"/>
  <c r="G30" i="39"/>
  <c r="G28" i="39"/>
  <c r="J28" i="39"/>
  <c r="J24" i="39"/>
  <c r="G24" i="39"/>
  <c r="S50" i="1"/>
  <c r="T50" i="1" s="1"/>
  <c r="G27" i="39"/>
  <c r="J27" i="39"/>
  <c r="S54" i="1"/>
  <c r="T54" i="1" s="1"/>
  <c r="S38" i="1"/>
  <c r="T38" i="1" s="1"/>
  <c r="S33" i="1"/>
  <c r="T33" i="1" s="1"/>
  <c r="G26" i="39"/>
  <c r="J26" i="39"/>
  <c r="S42" i="1"/>
  <c r="T42" i="1" s="1"/>
  <c r="S35" i="1"/>
  <c r="T35" i="1" s="1"/>
  <c r="G29" i="39"/>
  <c r="J29" i="39"/>
  <c r="S34" i="1"/>
  <c r="T34" i="1" s="1"/>
  <c r="G25" i="39"/>
  <c r="J25" i="39"/>
  <c r="G23" i="39"/>
  <c r="J23" i="39"/>
  <c r="S49" i="1"/>
  <c r="T49" i="1" s="1"/>
  <c r="G31" i="39"/>
  <c r="J31" i="39"/>
  <c r="AC64" i="1" l="1"/>
  <c r="AB64" i="1"/>
  <c r="AD64" i="1"/>
  <c r="AB67" i="1"/>
  <c r="AD67" i="1"/>
  <c r="AC67" i="1"/>
  <c r="AB65" i="1"/>
  <c r="AC65" i="1"/>
  <c r="AD65" i="1"/>
  <c r="AD66" i="1"/>
  <c r="AC66" i="1"/>
  <c r="AB66" i="1"/>
  <c r="AD69" i="1"/>
  <c r="AC69" i="1"/>
  <c r="AB69" i="1"/>
  <c r="AB70" i="1"/>
  <c r="AD70" i="1"/>
  <c r="AC70" i="1"/>
  <c r="AD71" i="1"/>
  <c r="AC71" i="1"/>
  <c r="AB71" i="1"/>
  <c r="AB63" i="1"/>
  <c r="AD63" i="1"/>
  <c r="AC63" i="1"/>
  <c r="AB62" i="1"/>
  <c r="AC62" i="1"/>
  <c r="AD62" i="1"/>
  <c r="AB68" i="1"/>
  <c r="AD68" i="1"/>
  <c r="AC68" i="1"/>
  <c r="U67" i="1"/>
  <c r="Z33" i="1"/>
  <c r="U71" i="1"/>
  <c r="U69" i="1"/>
  <c r="U62" i="1"/>
  <c r="U65" i="1"/>
  <c r="U64" i="1"/>
  <c r="U66" i="1"/>
  <c r="U70" i="1"/>
  <c r="U63" i="1"/>
  <c r="U68" i="1"/>
  <c r="U61" i="1"/>
  <c r="U55" i="1"/>
  <c r="U53" i="1"/>
  <c r="U52" i="1"/>
  <c r="U56" i="1"/>
  <c r="U54" i="1"/>
  <c r="U24" i="1"/>
  <c r="U38" i="1"/>
  <c r="U43" i="1"/>
  <c r="U34" i="1"/>
  <c r="U39" i="1"/>
  <c r="U26" i="1"/>
  <c r="U32" i="1"/>
  <c r="U49" i="1"/>
  <c r="U42" i="1"/>
  <c r="U51" i="1"/>
  <c r="U35" i="1"/>
  <c r="U33" i="1"/>
  <c r="U50" i="1"/>
  <c r="Z51" i="1"/>
  <c r="Z39" i="1"/>
  <c r="Z43" i="1"/>
  <c r="Z24" i="1"/>
  <c r="Z32" i="1"/>
  <c r="Z54" i="1"/>
  <c r="Z56" i="1"/>
  <c r="Z61" i="1"/>
  <c r="Z49" i="1"/>
  <c r="Z53" i="1"/>
  <c r="Z55" i="1"/>
  <c r="Z42" i="1"/>
  <c r="Z34" i="1"/>
  <c r="Z50" i="1"/>
  <c r="AE71" i="1" l="1"/>
  <c r="H71" i="1" s="1"/>
  <c r="AE67" i="1"/>
  <c r="AE62" i="1"/>
  <c r="H62" i="1" s="1"/>
  <c r="AE65" i="1"/>
  <c r="H65" i="1" s="1"/>
  <c r="AE68" i="1"/>
  <c r="H68" i="1" s="1"/>
  <c r="AE66" i="1"/>
  <c r="H66" i="1" s="1"/>
  <c r="AE64" i="1"/>
  <c r="H64" i="1" s="1"/>
  <c r="AE70" i="1"/>
  <c r="H70" i="1" s="1"/>
  <c r="AD61" i="1"/>
  <c r="AC61" i="1"/>
  <c r="AB61" i="1"/>
  <c r="AE63" i="1"/>
  <c r="H63" i="1" s="1"/>
  <c r="AE69" i="1"/>
  <c r="H69" i="1" s="1"/>
  <c r="AC55" i="1"/>
  <c r="AB55" i="1"/>
  <c r="AC43" i="1"/>
  <c r="AB43" i="1"/>
  <c r="AC50" i="1"/>
  <c r="AB50" i="1"/>
  <c r="AB49" i="1"/>
  <c r="AC49" i="1"/>
  <c r="AC42" i="1"/>
  <c r="AB42" i="1"/>
  <c r="AB51" i="1"/>
  <c r="AC51" i="1"/>
  <c r="AB53" i="1"/>
  <c r="AC53" i="1"/>
  <c r="AC34" i="1"/>
  <c r="AB34" i="1"/>
  <c r="AC56" i="1"/>
  <c r="AB56" i="1"/>
  <c r="AC54" i="1"/>
  <c r="AB54" i="1"/>
  <c r="AC32" i="1"/>
  <c r="AB32" i="1"/>
  <c r="AC33" i="1"/>
  <c r="AB33" i="1"/>
  <c r="Z26" i="1"/>
  <c r="Z52" i="1"/>
  <c r="CK33" i="173" l="1"/>
  <c r="CL33" i="173" s="1"/>
  <c r="CK35" i="173"/>
  <c r="CL35" i="173" s="1"/>
  <c r="BM35" i="173"/>
  <c r="BN35" i="173" s="1"/>
  <c r="BM43" i="173"/>
  <c r="BN43" i="173" s="1"/>
  <c r="BM25" i="173"/>
  <c r="BN25" i="173" s="1"/>
  <c r="CK25" i="173"/>
  <c r="CL25" i="173" s="1"/>
  <c r="BM44" i="173"/>
  <c r="BN44" i="173" s="1"/>
  <c r="CK43" i="173"/>
  <c r="CL43" i="173" s="1"/>
  <c r="CK44" i="173"/>
  <c r="CS44" i="173" s="1"/>
  <c r="CK40" i="173"/>
  <c r="CL40" i="173" s="1"/>
  <c r="BM40" i="173"/>
  <c r="BN40" i="173" s="1"/>
  <c r="BM34" i="173"/>
  <c r="BN34" i="173" s="1"/>
  <c r="CK34" i="173"/>
  <c r="CL34" i="173" s="1"/>
  <c r="BM33" i="173"/>
  <c r="BN33" i="173" s="1"/>
  <c r="AO63" i="173"/>
  <c r="AO70" i="173"/>
  <c r="AO71" i="173"/>
  <c r="H67" i="1"/>
  <c r="H67" i="32" s="1"/>
  <c r="I67" i="32" s="1"/>
  <c r="AO68" i="173"/>
  <c r="AO66" i="173"/>
  <c r="AO72" i="173"/>
  <c r="AO67" i="173"/>
  <c r="AO69" i="173"/>
  <c r="AO65" i="173"/>
  <c r="AO64" i="173"/>
  <c r="AE61" i="1"/>
  <c r="H61" i="1" s="1"/>
  <c r="H24" i="1"/>
  <c r="AB52" i="1"/>
  <c r="AC52" i="1"/>
  <c r="H63" i="32"/>
  <c r="I63" i="32" s="1"/>
  <c r="H64" i="32"/>
  <c r="I64" i="32" s="1"/>
  <c r="H65" i="32"/>
  <c r="I65" i="32" s="1"/>
  <c r="H70" i="32"/>
  <c r="I70" i="32" s="1"/>
  <c r="H68" i="32"/>
  <c r="I68" i="32" s="1"/>
  <c r="H66" i="32"/>
  <c r="I66" i="32" s="1"/>
  <c r="H71" i="32"/>
  <c r="I71" i="32" s="1"/>
  <c r="H62" i="32"/>
  <c r="I62" i="32" s="1"/>
  <c r="H69" i="32"/>
  <c r="I69" i="32" s="1"/>
  <c r="CS33" i="173" l="1"/>
  <c r="CS43" i="173"/>
  <c r="CL44" i="173"/>
  <c r="CM44" i="173" s="1"/>
  <c r="CK27" i="173"/>
  <c r="CS27" i="173" s="1"/>
  <c r="CS25" i="173"/>
  <c r="CS35" i="173"/>
  <c r="CS34" i="173"/>
  <c r="CS40" i="173"/>
  <c r="BM27" i="173"/>
  <c r="BN27" i="173" s="1"/>
  <c r="CM43" i="173"/>
  <c r="CT43" i="173"/>
  <c r="CM35" i="173"/>
  <c r="CT35" i="173"/>
  <c r="CM34" i="173"/>
  <c r="CT34" i="173"/>
  <c r="CM25" i="173"/>
  <c r="CT25" i="173"/>
  <c r="CM40" i="173"/>
  <c r="CT40" i="173"/>
  <c r="CM33" i="173"/>
  <c r="CT33" i="173"/>
  <c r="BO44" i="173"/>
  <c r="BO40" i="173"/>
  <c r="BO33" i="173"/>
  <c r="BO25" i="173"/>
  <c r="BO43" i="173"/>
  <c r="BO34" i="173"/>
  <c r="BO35" i="173"/>
  <c r="AS71" i="173"/>
  <c r="BC71" i="173" s="1"/>
  <c r="AS70" i="173"/>
  <c r="BC70" i="173" s="1"/>
  <c r="AQ63" i="173"/>
  <c r="AR63" i="173"/>
  <c r="AU63" i="173" s="1"/>
  <c r="AQ71" i="173"/>
  <c r="AR71" i="173"/>
  <c r="AU71" i="173" s="1"/>
  <c r="AS63" i="173"/>
  <c r="BD63" i="173" s="1"/>
  <c r="AQ70" i="173"/>
  <c r="AR70" i="173"/>
  <c r="BA70" i="173" s="1"/>
  <c r="AO62" i="173"/>
  <c r="AR66" i="173"/>
  <c r="AS66" i="173"/>
  <c r="AQ66" i="173"/>
  <c r="AR69" i="173"/>
  <c r="AQ69" i="173"/>
  <c r="AS69" i="173"/>
  <c r="AS68" i="173"/>
  <c r="AR68" i="173"/>
  <c r="AQ68" i="173"/>
  <c r="AR65" i="173"/>
  <c r="AQ65" i="173"/>
  <c r="AS65" i="173"/>
  <c r="AQ67" i="173"/>
  <c r="AS67" i="173"/>
  <c r="AR67" i="173"/>
  <c r="AQ64" i="173"/>
  <c r="AS64" i="173"/>
  <c r="AR64" i="173"/>
  <c r="AR72" i="173"/>
  <c r="AQ72" i="173"/>
  <c r="AS72" i="173"/>
  <c r="AO25" i="173"/>
  <c r="H26" i="1"/>
  <c r="Y24" i="38"/>
  <c r="H24" i="32"/>
  <c r="G26" i="178" l="1"/>
  <c r="I24" i="32"/>
  <c r="CT44" i="173"/>
  <c r="CL27" i="173"/>
  <c r="CT27" i="173" s="1"/>
  <c r="CN33" i="173"/>
  <c r="CU33" i="173"/>
  <c r="CN44" i="173"/>
  <c r="CU44" i="173"/>
  <c r="CN25" i="173"/>
  <c r="CU25" i="173"/>
  <c r="CN34" i="173"/>
  <c r="CU34" i="173"/>
  <c r="CN43" i="173"/>
  <c r="CU43" i="173"/>
  <c r="CN40" i="173"/>
  <c r="CU40" i="173"/>
  <c r="CN35" i="173"/>
  <c r="CU35" i="173"/>
  <c r="BI71" i="173"/>
  <c r="BH71" i="173"/>
  <c r="BG71" i="173"/>
  <c r="BF71" i="173"/>
  <c r="BE71" i="173"/>
  <c r="BD71" i="173"/>
  <c r="BP35" i="173"/>
  <c r="BP25" i="173"/>
  <c r="BP34" i="173"/>
  <c r="BP43" i="173"/>
  <c r="BP40" i="173"/>
  <c r="BP33" i="173"/>
  <c r="BO27" i="173"/>
  <c r="BP44" i="173"/>
  <c r="BI70" i="173"/>
  <c r="BH70" i="173"/>
  <c r="BG70" i="173"/>
  <c r="BF70" i="173"/>
  <c r="BE70" i="173"/>
  <c r="BD70" i="173"/>
  <c r="AQ62" i="173"/>
  <c r="S25" i="173"/>
  <c r="BA71" i="173"/>
  <c r="AZ71" i="173"/>
  <c r="AY71" i="173"/>
  <c r="AX71" i="173"/>
  <c r="AW71" i="173"/>
  <c r="AV71" i="173"/>
  <c r="AV63" i="173"/>
  <c r="AY63" i="173"/>
  <c r="BA63" i="173"/>
  <c r="AW63" i="173"/>
  <c r="AX63" i="173"/>
  <c r="AZ63" i="173"/>
  <c r="AZ70" i="173"/>
  <c r="AW70" i="173"/>
  <c r="AY70" i="173"/>
  <c r="AX70" i="173"/>
  <c r="AV70" i="173"/>
  <c r="AU70" i="173"/>
  <c r="BC63" i="173"/>
  <c r="BI63" i="173"/>
  <c r="BG63" i="173"/>
  <c r="BH63" i="173"/>
  <c r="BF63" i="173"/>
  <c r="BE63" i="173"/>
  <c r="AR62" i="173"/>
  <c r="AX62" i="173" s="1"/>
  <c r="AS62" i="173"/>
  <c r="BI62" i="173" s="1"/>
  <c r="AU64" i="173"/>
  <c r="AV64" i="173"/>
  <c r="AW64" i="173"/>
  <c r="AX64" i="173"/>
  <c r="AY64" i="173"/>
  <c r="AZ64" i="173"/>
  <c r="BA64" i="173"/>
  <c r="BC66" i="173"/>
  <c r="BD66" i="173"/>
  <c r="BE66" i="173"/>
  <c r="BF66" i="173"/>
  <c r="BG66" i="173"/>
  <c r="BH66" i="173"/>
  <c r="BI66" i="173"/>
  <c r="AU66" i="173"/>
  <c r="AV66" i="173"/>
  <c r="AW66" i="173"/>
  <c r="AX66" i="173"/>
  <c r="AY66" i="173"/>
  <c r="AZ66" i="173"/>
  <c r="BA66" i="173"/>
  <c r="AU67" i="173"/>
  <c r="AV67" i="173"/>
  <c r="AW67" i="173"/>
  <c r="AX67" i="173"/>
  <c r="AY67" i="173"/>
  <c r="AZ67" i="173"/>
  <c r="BA67" i="173"/>
  <c r="BC72" i="173"/>
  <c r="BD72" i="173"/>
  <c r="BE72" i="173"/>
  <c r="BF72" i="173"/>
  <c r="BG72" i="173"/>
  <c r="BH72" i="173"/>
  <c r="BI72" i="173"/>
  <c r="AU69" i="173"/>
  <c r="AV69" i="173"/>
  <c r="AW69" i="173"/>
  <c r="AX69" i="173"/>
  <c r="AY69" i="173"/>
  <c r="AZ69" i="173"/>
  <c r="BA69" i="173"/>
  <c r="BC67" i="173"/>
  <c r="BD67" i="173"/>
  <c r="BE67" i="173"/>
  <c r="BF67" i="173"/>
  <c r="BG67" i="173"/>
  <c r="BH67" i="173"/>
  <c r="BI67" i="173"/>
  <c r="AU72" i="173"/>
  <c r="AV72" i="173"/>
  <c r="AW72" i="173"/>
  <c r="AX72" i="173"/>
  <c r="AY72" i="173"/>
  <c r="AZ72" i="173"/>
  <c r="BA72" i="173"/>
  <c r="BC65" i="173"/>
  <c r="BE65" i="173"/>
  <c r="BD65" i="173"/>
  <c r="BF65" i="173"/>
  <c r="BG65" i="173"/>
  <c r="BH65" i="173"/>
  <c r="BI65" i="173"/>
  <c r="AU65" i="173"/>
  <c r="AW65" i="173"/>
  <c r="AV65" i="173"/>
  <c r="AX65" i="173"/>
  <c r="AY65" i="173"/>
  <c r="AZ65" i="173"/>
  <c r="BA65" i="173"/>
  <c r="BC68" i="173"/>
  <c r="BD68" i="173"/>
  <c r="BE68" i="173"/>
  <c r="BF68" i="173"/>
  <c r="BG68" i="173"/>
  <c r="BH68" i="173"/>
  <c r="BI68" i="173"/>
  <c r="BC64" i="173"/>
  <c r="BD64" i="173"/>
  <c r="BE64" i="173"/>
  <c r="BF64" i="173"/>
  <c r="BG64" i="173"/>
  <c r="BH64" i="173"/>
  <c r="BI64" i="173"/>
  <c r="AU68" i="173"/>
  <c r="AV68" i="173"/>
  <c r="AW68" i="173"/>
  <c r="AX68" i="173"/>
  <c r="AY68" i="173"/>
  <c r="AZ68" i="173"/>
  <c r="BA68" i="173"/>
  <c r="BC69" i="173"/>
  <c r="BD69" i="173"/>
  <c r="BE69" i="173"/>
  <c r="BF69" i="173"/>
  <c r="BG69" i="173"/>
  <c r="BH69" i="173"/>
  <c r="BI69" i="173"/>
  <c r="AR25" i="173"/>
  <c r="AS25" i="173"/>
  <c r="AO27" i="173"/>
  <c r="M26" i="38"/>
  <c r="AD32" i="1"/>
  <c r="M12" i="38"/>
  <c r="M16" i="38"/>
  <c r="M18" i="38"/>
  <c r="M19" i="38"/>
  <c r="M28" i="38"/>
  <c r="M27" i="38"/>
  <c r="M23" i="38"/>
  <c r="M22" i="38"/>
  <c r="Z24" i="38"/>
  <c r="H26" i="32"/>
  <c r="Y26" i="38"/>
  <c r="G28" i="178" l="1"/>
  <c r="I26" i="32"/>
  <c r="CM27" i="173"/>
  <c r="CU27" i="173" s="1"/>
  <c r="CO35" i="173"/>
  <c r="CW35" i="173" s="1"/>
  <c r="CV35" i="173"/>
  <c r="CO43" i="173"/>
  <c r="CW43" i="173" s="1"/>
  <c r="CV43" i="173"/>
  <c r="CO25" i="173"/>
  <c r="CW25" i="173" s="1"/>
  <c r="CV25" i="173"/>
  <c r="CO44" i="173"/>
  <c r="CW44" i="173" s="1"/>
  <c r="CV44" i="173"/>
  <c r="CO40" i="173"/>
  <c r="CW40" i="173" s="1"/>
  <c r="CV40" i="173"/>
  <c r="CO34" i="173"/>
  <c r="CW34" i="173" s="1"/>
  <c r="CV34" i="173"/>
  <c r="CO33" i="173"/>
  <c r="CW33" i="173" s="1"/>
  <c r="CV33" i="173"/>
  <c r="CC25" i="173"/>
  <c r="CD25" i="173"/>
  <c r="CF25" i="173"/>
  <c r="CE25" i="173"/>
  <c r="BU25" i="173"/>
  <c r="BV25" i="173"/>
  <c r="BX25" i="173"/>
  <c r="BW25" i="173"/>
  <c r="BP27" i="173"/>
  <c r="BQ44" i="173"/>
  <c r="BQ33" i="173"/>
  <c r="BQ40" i="173"/>
  <c r="BQ43" i="173"/>
  <c r="BQ34" i="173"/>
  <c r="BQ25" i="173"/>
  <c r="CG25" i="173" s="1"/>
  <c r="BQ35" i="173"/>
  <c r="N27" i="38"/>
  <c r="P27" i="38"/>
  <c r="O27" i="38"/>
  <c r="Q27" i="38"/>
  <c r="R27" i="38"/>
  <c r="N16" i="38"/>
  <c r="P16" i="38"/>
  <c r="O16" i="38"/>
  <c r="Q16" i="38"/>
  <c r="R16" i="38"/>
  <c r="N28" i="38"/>
  <c r="P28" i="38"/>
  <c r="O28" i="38"/>
  <c r="Q28" i="38"/>
  <c r="R28" i="38"/>
  <c r="N23" i="38"/>
  <c r="O23" i="38"/>
  <c r="P23" i="38"/>
  <c r="Q23" i="38"/>
  <c r="R23" i="38"/>
  <c r="N18" i="38"/>
  <c r="P18" i="38"/>
  <c r="O18" i="38"/>
  <c r="Q18" i="38"/>
  <c r="R18" i="38"/>
  <c r="N12" i="38"/>
  <c r="O12" i="38"/>
  <c r="P12" i="38"/>
  <c r="Q12" i="38"/>
  <c r="R12" i="38"/>
  <c r="N22" i="38"/>
  <c r="O22" i="38"/>
  <c r="P22" i="38"/>
  <c r="Q22" i="38"/>
  <c r="R22" i="38"/>
  <c r="N19" i="38"/>
  <c r="P19" i="38"/>
  <c r="O19" i="38"/>
  <c r="Q19" i="38"/>
  <c r="R19" i="38"/>
  <c r="N26" i="38"/>
  <c r="P26" i="38"/>
  <c r="O26" i="38"/>
  <c r="Q26" i="38"/>
  <c r="R26" i="38"/>
  <c r="AA25" i="173"/>
  <c r="AI25" i="173" s="1"/>
  <c r="AQ25" i="173"/>
  <c r="S27" i="173"/>
  <c r="T25" i="173"/>
  <c r="BJ71" i="173"/>
  <c r="BC62" i="173"/>
  <c r="BD62" i="173"/>
  <c r="BJ70" i="173"/>
  <c r="BF62" i="173"/>
  <c r="BH62" i="173"/>
  <c r="BG62" i="173"/>
  <c r="BE62" i="173"/>
  <c r="BJ63" i="173"/>
  <c r="BA62" i="173"/>
  <c r="AY62" i="173"/>
  <c r="AW62" i="173"/>
  <c r="AU62" i="173"/>
  <c r="AZ62" i="173"/>
  <c r="AV62" i="173"/>
  <c r="BJ65" i="173"/>
  <c r="BJ69" i="173"/>
  <c r="BJ68" i="173"/>
  <c r="BJ66" i="173"/>
  <c r="BJ67" i="173"/>
  <c r="BJ72" i="173"/>
  <c r="BJ64" i="173"/>
  <c r="BD25" i="173"/>
  <c r="BC25" i="173"/>
  <c r="AU25" i="173"/>
  <c r="AV25" i="173"/>
  <c r="AR27" i="173"/>
  <c r="CE27" i="173" s="1"/>
  <c r="AS27" i="173"/>
  <c r="BW27" i="173" s="1"/>
  <c r="AE32" i="1"/>
  <c r="H32" i="1" s="1"/>
  <c r="M17" i="38"/>
  <c r="M29" i="38"/>
  <c r="M30" i="38"/>
  <c r="M13" i="38"/>
  <c r="M15" i="38"/>
  <c r="M14" i="38"/>
  <c r="M31" i="38"/>
  <c r="M21" i="38"/>
  <c r="M20" i="38"/>
  <c r="Z26" i="38"/>
  <c r="AA24" i="38"/>
  <c r="AD33" i="1"/>
  <c r="AD34" i="1"/>
  <c r="CN27" i="173" l="1"/>
  <c r="CO27" i="173" s="1"/>
  <c r="CW27" i="173" s="1"/>
  <c r="CF27" i="173"/>
  <c r="CC27" i="173"/>
  <c r="CD27" i="173"/>
  <c r="BE25" i="173"/>
  <c r="BY25" i="173"/>
  <c r="BX27" i="173"/>
  <c r="BU27" i="173"/>
  <c r="BV27" i="173"/>
  <c r="BQ27" i="173"/>
  <c r="CG27" i="173" s="1"/>
  <c r="N20" i="38"/>
  <c r="O20" i="38"/>
  <c r="P20" i="38"/>
  <c r="Q20" i="38"/>
  <c r="R20" i="38"/>
  <c r="N21" i="38"/>
  <c r="O21" i="38"/>
  <c r="P21" i="38"/>
  <c r="Q21" i="38"/>
  <c r="R21" i="38"/>
  <c r="N29" i="38"/>
  <c r="O29" i="38"/>
  <c r="P29" i="38"/>
  <c r="Q29" i="38"/>
  <c r="R29" i="38"/>
  <c r="N31" i="38"/>
  <c r="O31" i="38"/>
  <c r="P31" i="38"/>
  <c r="Q31" i="38"/>
  <c r="R31" i="38"/>
  <c r="N17" i="38"/>
  <c r="O17" i="38"/>
  <c r="P17" i="38"/>
  <c r="Q17" i="38"/>
  <c r="R17" i="38"/>
  <c r="N14" i="38"/>
  <c r="O14" i="38"/>
  <c r="P14" i="38"/>
  <c r="Q14" i="38"/>
  <c r="R14" i="38"/>
  <c r="N15" i="38"/>
  <c r="O15" i="38"/>
  <c r="P15" i="38"/>
  <c r="Q15" i="38"/>
  <c r="R15" i="38"/>
  <c r="N13" i="38"/>
  <c r="P13" i="38"/>
  <c r="O13" i="38"/>
  <c r="Q13" i="38"/>
  <c r="R13" i="38"/>
  <c r="N30" i="38"/>
  <c r="O30" i="38"/>
  <c r="P30" i="38"/>
  <c r="Q30" i="38"/>
  <c r="R30" i="38"/>
  <c r="AW25" i="173"/>
  <c r="AB25" i="173"/>
  <c r="AJ25" i="173" s="1"/>
  <c r="AA27" i="173"/>
  <c r="AI27" i="173" s="1"/>
  <c r="AQ27" i="173"/>
  <c r="U25" i="173"/>
  <c r="T27" i="173"/>
  <c r="BJ62" i="173"/>
  <c r="BD27" i="173"/>
  <c r="BC27" i="173"/>
  <c r="AU27" i="173"/>
  <c r="AV27" i="173"/>
  <c r="AO33" i="173"/>
  <c r="AE34" i="1"/>
  <c r="AO35" i="173" s="1"/>
  <c r="Y32" i="38"/>
  <c r="AB24" i="38"/>
  <c r="AA26" i="38"/>
  <c r="H32" i="32"/>
  <c r="G34" i="178" l="1"/>
  <c r="I32" i="32"/>
  <c r="CV27" i="173"/>
  <c r="AW27" i="173"/>
  <c r="AX25" i="173"/>
  <c r="BY27" i="173"/>
  <c r="BF25" i="173"/>
  <c r="BE27" i="173"/>
  <c r="AC25" i="173"/>
  <c r="AK25" i="173" s="1"/>
  <c r="AB27" i="173"/>
  <c r="AJ27" i="173" s="1"/>
  <c r="V25" i="173"/>
  <c r="S33" i="173"/>
  <c r="U27" i="173"/>
  <c r="AR35" i="173"/>
  <c r="AS35" i="173"/>
  <c r="AR33" i="173"/>
  <c r="AS33" i="173"/>
  <c r="Z32" i="38"/>
  <c r="AB26" i="38"/>
  <c r="AC24" i="38"/>
  <c r="CC33" i="173" l="1"/>
  <c r="CD33" i="173"/>
  <c r="CE33" i="173"/>
  <c r="CF33" i="173"/>
  <c r="CG33" i="173"/>
  <c r="CC35" i="173"/>
  <c r="CD35" i="173"/>
  <c r="CE35" i="173"/>
  <c r="CF35" i="173"/>
  <c r="CG35" i="173"/>
  <c r="BF27" i="173"/>
  <c r="AY25" i="173"/>
  <c r="BU33" i="173"/>
  <c r="BV33" i="173"/>
  <c r="BW33" i="173"/>
  <c r="BX33" i="173"/>
  <c r="BY33" i="173"/>
  <c r="BU35" i="173"/>
  <c r="BV35" i="173"/>
  <c r="BW35" i="173"/>
  <c r="BX35" i="173"/>
  <c r="BY35" i="173"/>
  <c r="BG25" i="173"/>
  <c r="AX27" i="173"/>
  <c r="AD25" i="173"/>
  <c r="AL25" i="173" s="1"/>
  <c r="AC27" i="173"/>
  <c r="AK27" i="173" s="1"/>
  <c r="AA33" i="173"/>
  <c r="AI33" i="173" s="1"/>
  <c r="W25" i="173"/>
  <c r="V27" i="173"/>
  <c r="T33" i="173"/>
  <c r="AQ33" i="173"/>
  <c r="BD33" i="173"/>
  <c r="BC33" i="173"/>
  <c r="BD35" i="173"/>
  <c r="BC35" i="173"/>
  <c r="AU33" i="173"/>
  <c r="AV33" i="173"/>
  <c r="AU35" i="173"/>
  <c r="AV35" i="173"/>
  <c r="AA32" i="38"/>
  <c r="AC26" i="38"/>
  <c r="AZ25" i="173" l="1"/>
  <c r="AY27" i="173"/>
  <c r="AW33" i="173"/>
  <c r="BG27" i="173"/>
  <c r="BH25" i="173"/>
  <c r="AD27" i="173"/>
  <c r="AL27" i="173" s="1"/>
  <c r="AE25" i="173"/>
  <c r="AM25" i="173" s="1"/>
  <c r="BE33" i="173"/>
  <c r="AB33" i="173"/>
  <c r="AJ33" i="173" s="1"/>
  <c r="W27" i="173"/>
  <c r="U33" i="173"/>
  <c r="AB32" i="38"/>
  <c r="AX33" i="173" l="1"/>
  <c r="BA25" i="173"/>
  <c r="AZ27" i="173"/>
  <c r="BH27" i="173"/>
  <c r="BF33" i="173"/>
  <c r="BI25" i="173"/>
  <c r="AC33" i="173"/>
  <c r="AK33" i="173" s="1"/>
  <c r="AE27" i="173"/>
  <c r="AM27" i="173" s="1"/>
  <c r="V33" i="173"/>
  <c r="AC32" i="38"/>
  <c r="BJ25" i="173" l="1"/>
  <c r="BA27" i="173"/>
  <c r="AY33" i="173"/>
  <c r="BI27" i="173"/>
  <c r="BG33" i="173"/>
  <c r="AD33" i="173"/>
  <c r="AL33" i="173" s="1"/>
  <c r="W33" i="173"/>
  <c r="AO40" i="173"/>
  <c r="BJ27" i="173" l="1"/>
  <c r="AZ33" i="173"/>
  <c r="BH33" i="173"/>
  <c r="AE33" i="173"/>
  <c r="AM33" i="173" s="1"/>
  <c r="AR40" i="173"/>
  <c r="AS40" i="173"/>
  <c r="CC40" i="173" l="1"/>
  <c r="CD40" i="173"/>
  <c r="CE40" i="173"/>
  <c r="CF40" i="173"/>
  <c r="CG40" i="173"/>
  <c r="BA33" i="173"/>
  <c r="BU40" i="173"/>
  <c r="BV40" i="173"/>
  <c r="BW40" i="173"/>
  <c r="BX40" i="173"/>
  <c r="BY40" i="173"/>
  <c r="BI33" i="173"/>
  <c r="BD40" i="173"/>
  <c r="BC40" i="173"/>
  <c r="AU40" i="173"/>
  <c r="AV40" i="173"/>
  <c r="AD42" i="1"/>
  <c r="BJ33" i="173" l="1"/>
  <c r="AE42" i="1"/>
  <c r="AO43" i="173" s="1"/>
  <c r="AD43" i="1"/>
  <c r="AR43" i="173" l="1"/>
  <c r="AS43" i="173"/>
  <c r="AE43" i="1"/>
  <c r="AO44" i="173" s="1"/>
  <c r="CC43" i="173" l="1"/>
  <c r="CD43" i="173"/>
  <c r="CE43" i="173"/>
  <c r="CF43" i="173"/>
  <c r="CG43" i="173"/>
  <c r="BU43" i="173"/>
  <c r="BV43" i="173"/>
  <c r="BW43" i="173"/>
  <c r="BX43" i="173"/>
  <c r="BY43" i="173"/>
  <c r="BC43" i="173"/>
  <c r="BD43" i="173"/>
  <c r="AU43" i="173"/>
  <c r="AV43" i="173"/>
  <c r="AR44" i="173"/>
  <c r="AS44" i="173"/>
  <c r="CC44" i="173" l="1"/>
  <c r="CD44" i="173"/>
  <c r="CE44" i="173"/>
  <c r="CF44" i="173"/>
  <c r="CG44" i="173"/>
  <c r="BU44" i="173"/>
  <c r="BV44" i="173"/>
  <c r="BW44" i="173"/>
  <c r="BX44" i="173"/>
  <c r="BY44" i="173"/>
  <c r="BD44" i="173"/>
  <c r="BC44" i="173"/>
  <c r="AU44" i="173"/>
  <c r="AV44" i="173"/>
  <c r="AD49" i="1" l="1"/>
  <c r="AE49" i="1" l="1"/>
  <c r="AO50" i="173" s="1"/>
  <c r="AQ50" i="173" l="1"/>
  <c r="AR50" i="173"/>
  <c r="AS50" i="173"/>
  <c r="AD50" i="1"/>
  <c r="AU50" i="173" l="1"/>
  <c r="AV50" i="173"/>
  <c r="AW50" i="173"/>
  <c r="AX50" i="173"/>
  <c r="AY50" i="173"/>
  <c r="AZ50" i="173"/>
  <c r="BA50" i="173"/>
  <c r="AE50" i="1"/>
  <c r="AO51" i="173" s="1"/>
  <c r="BC50" i="173"/>
  <c r="BD50" i="173"/>
  <c r="BE50" i="173"/>
  <c r="BF50" i="173"/>
  <c r="BG50" i="173"/>
  <c r="BH50" i="173"/>
  <c r="BI50" i="173"/>
  <c r="AD51" i="1"/>
  <c r="AE51" i="1" l="1"/>
  <c r="AO52" i="173" s="1"/>
  <c r="AS51" i="173"/>
  <c r="AQ51" i="173"/>
  <c r="AR51" i="173"/>
  <c r="BJ50" i="173"/>
  <c r="AD52" i="1"/>
  <c r="AR52" i="173" l="1"/>
  <c r="AS52" i="173"/>
  <c r="AQ52" i="173"/>
  <c r="AE52" i="1"/>
  <c r="AO53" i="173" s="1"/>
  <c r="AU51" i="173"/>
  <c r="AV51" i="173"/>
  <c r="AW51" i="173"/>
  <c r="AX51" i="173"/>
  <c r="AY51" i="173"/>
  <c r="AZ51" i="173"/>
  <c r="BA51" i="173"/>
  <c r="BC51" i="173"/>
  <c r="BD51" i="173"/>
  <c r="BE51" i="173"/>
  <c r="BF51" i="173"/>
  <c r="BG51" i="173"/>
  <c r="BH51" i="173"/>
  <c r="BI51" i="173"/>
  <c r="AD53" i="1"/>
  <c r="C72" i="14"/>
  <c r="AQ53" i="173" l="1"/>
  <c r="AR53" i="173"/>
  <c r="AS53" i="173"/>
  <c r="BJ51" i="173"/>
  <c r="AE53" i="1"/>
  <c r="AO54" i="173" s="1"/>
  <c r="BD52" i="173"/>
  <c r="BC52" i="173"/>
  <c r="BE52" i="173"/>
  <c r="BF52" i="173"/>
  <c r="BG52" i="173"/>
  <c r="BH52" i="173"/>
  <c r="BI52" i="173"/>
  <c r="AV52" i="173"/>
  <c r="AU52" i="173"/>
  <c r="AW52" i="173"/>
  <c r="AX52" i="173"/>
  <c r="AY52" i="173"/>
  <c r="AZ52" i="173"/>
  <c r="BA52" i="173"/>
  <c r="AD54" i="1"/>
  <c r="C20" i="28"/>
  <c r="AQ54" i="173" l="1"/>
  <c r="AS54" i="173"/>
  <c r="AR54" i="173"/>
  <c r="AE54" i="1"/>
  <c r="AO55" i="173" s="1"/>
  <c r="BJ52" i="173"/>
  <c r="BD53" i="173"/>
  <c r="BC53" i="173"/>
  <c r="BE53" i="173"/>
  <c r="BF53" i="173"/>
  <c r="BG53" i="173"/>
  <c r="BH53" i="173"/>
  <c r="BI53" i="173"/>
  <c r="AV53" i="173"/>
  <c r="AU53" i="173"/>
  <c r="AW53" i="173"/>
  <c r="AX53" i="173"/>
  <c r="AY53" i="173"/>
  <c r="AZ53" i="173"/>
  <c r="BA53" i="173"/>
  <c r="AD55" i="1"/>
  <c r="AR55" i="173" l="1"/>
  <c r="AQ55" i="173"/>
  <c r="AS55" i="173"/>
  <c r="AE55" i="1"/>
  <c r="AO56" i="173" s="1"/>
  <c r="BJ53" i="173"/>
  <c r="AU54" i="173"/>
  <c r="AV54" i="173"/>
  <c r="AW54" i="173"/>
  <c r="AX54" i="173"/>
  <c r="AY54" i="173"/>
  <c r="AZ54" i="173"/>
  <c r="BA54" i="173"/>
  <c r="BC54" i="173"/>
  <c r="BD54" i="173"/>
  <c r="BE54" i="173"/>
  <c r="BF54" i="173"/>
  <c r="BG54" i="173"/>
  <c r="BH54" i="173"/>
  <c r="BI54" i="173"/>
  <c r="AD56" i="1"/>
  <c r="AR56" i="173" l="1"/>
  <c r="AS56" i="173"/>
  <c r="AQ56" i="173"/>
  <c r="AE56" i="1"/>
  <c r="AO57" i="173" s="1"/>
  <c r="BJ54" i="173"/>
  <c r="BC55" i="173"/>
  <c r="BD55" i="173"/>
  <c r="BE55" i="173"/>
  <c r="BF55" i="173"/>
  <c r="BG55" i="173"/>
  <c r="BH55" i="173"/>
  <c r="BI55" i="173"/>
  <c r="AU55" i="173"/>
  <c r="AV55" i="173"/>
  <c r="AW55" i="173"/>
  <c r="AX55" i="173"/>
  <c r="AY55" i="173"/>
  <c r="AZ55" i="173"/>
  <c r="BA55" i="173"/>
  <c r="M25" i="38"/>
  <c r="M24" i="38"/>
  <c r="N24" i="38" l="1"/>
  <c r="O24" i="38"/>
  <c r="P24" i="38"/>
  <c r="Q24" i="38"/>
  <c r="R24" i="38"/>
  <c r="N25" i="38"/>
  <c r="O25" i="38"/>
  <c r="P25" i="38"/>
  <c r="Q25" i="38"/>
  <c r="R25" i="38"/>
  <c r="AS57" i="173"/>
  <c r="AR57" i="173"/>
  <c r="AQ57" i="173"/>
  <c r="BJ55" i="173"/>
  <c r="BC56" i="173"/>
  <c r="BD56" i="173"/>
  <c r="BE56" i="173"/>
  <c r="BF56" i="173"/>
  <c r="BG56" i="173"/>
  <c r="BH56" i="173"/>
  <c r="BI56" i="173"/>
  <c r="AU56" i="173"/>
  <c r="AV56" i="173"/>
  <c r="AW56" i="173"/>
  <c r="AX56" i="173"/>
  <c r="AY56" i="173"/>
  <c r="AZ56" i="173"/>
  <c r="BA56" i="173"/>
  <c r="BJ56" i="173" l="1"/>
  <c r="AU57" i="173"/>
  <c r="AV57" i="173"/>
  <c r="AW57" i="173"/>
  <c r="AX57" i="173"/>
  <c r="AY57" i="173"/>
  <c r="AZ57" i="173"/>
  <c r="BA57" i="173"/>
  <c r="BC57" i="173"/>
  <c r="BD57" i="173"/>
  <c r="BE57" i="173"/>
  <c r="BF57" i="173"/>
  <c r="BG57" i="173"/>
  <c r="BH57" i="173"/>
  <c r="BI57" i="173"/>
  <c r="BJ57" i="173" l="1"/>
  <c r="C37" i="28"/>
  <c r="C23" i="28"/>
  <c r="C36" i="28"/>
  <c r="C33" i="28"/>
  <c r="C31" i="28"/>
  <c r="C22" i="28"/>
  <c r="C34" i="28"/>
  <c r="C38" i="28"/>
  <c r="C25" i="28"/>
  <c r="C29" i="28"/>
  <c r="C30" i="28"/>
  <c r="C41" i="28"/>
  <c r="C39" i="28"/>
  <c r="C35" i="28"/>
  <c r="C26" i="28"/>
  <c r="C40" i="28"/>
  <c r="C32" i="28"/>
  <c r="C42" i="28"/>
  <c r="C27" i="28"/>
  <c r="C28" i="28"/>
  <c r="C24" i="28"/>
  <c r="C20" i="14" a="1"/>
  <c r="H61" i="32" l="1"/>
  <c r="I61" i="32" s="1"/>
  <c r="C20" i="14"/>
  <c r="C21" i="28" s="1"/>
  <c r="AE33" i="1" l="1"/>
  <c r="H33" i="1" l="1"/>
  <c r="Y33" i="38" s="1"/>
  <c r="AO34" i="173"/>
  <c r="H34" i="1"/>
  <c r="S34" i="173" l="1"/>
  <c r="H33" i="32"/>
  <c r="AR34" i="173"/>
  <c r="AS34" i="173"/>
  <c r="Z33" i="38"/>
  <c r="Y34" i="38"/>
  <c r="H34" i="32"/>
  <c r="G35" i="178" l="1"/>
  <c r="G36" i="178"/>
  <c r="I34" i="32"/>
  <c r="I33" i="32"/>
  <c r="CC34" i="173"/>
  <c r="CD34" i="173"/>
  <c r="CE34" i="173"/>
  <c r="CF34" i="173"/>
  <c r="CG34" i="173"/>
  <c r="BU34" i="173"/>
  <c r="BV34" i="173"/>
  <c r="BW34" i="173"/>
  <c r="BX34" i="173"/>
  <c r="BY34" i="173"/>
  <c r="AA34" i="173"/>
  <c r="AI34" i="173" s="1"/>
  <c r="AQ34" i="173"/>
  <c r="T34" i="173"/>
  <c r="S35" i="173"/>
  <c r="BC34" i="173"/>
  <c r="AU34" i="173"/>
  <c r="AA33" i="38"/>
  <c r="Z34" i="38"/>
  <c r="BE34" i="173" l="1"/>
  <c r="AQ35" i="173"/>
  <c r="AW34" i="173"/>
  <c r="AA35" i="173"/>
  <c r="AI35" i="173" s="1"/>
  <c r="AB34" i="173"/>
  <c r="AJ34" i="173" s="1"/>
  <c r="T35" i="173"/>
  <c r="U34" i="173"/>
  <c r="AB33" i="38"/>
  <c r="AA34" i="38"/>
  <c r="O33" i="38"/>
  <c r="BF34" i="173" l="1"/>
  <c r="BE35" i="173"/>
  <c r="AW35" i="173"/>
  <c r="AX34" i="173"/>
  <c r="AC34" i="173"/>
  <c r="AK34" i="173" s="1"/>
  <c r="AB35" i="173"/>
  <c r="AJ35" i="173" s="1"/>
  <c r="U35" i="173"/>
  <c r="V34" i="173"/>
  <c r="AC33" i="38"/>
  <c r="AB34" i="38"/>
  <c r="P33" i="38"/>
  <c r="AX35" i="173" l="1"/>
  <c r="BG34" i="173"/>
  <c r="AY34" i="173"/>
  <c r="BF35" i="173"/>
  <c r="AD34" i="173"/>
  <c r="AL34" i="173" s="1"/>
  <c r="AC35" i="173"/>
  <c r="AK35" i="173" s="1"/>
  <c r="W34" i="173"/>
  <c r="V35" i="173"/>
  <c r="AC34" i="38"/>
  <c r="AY35" i="173" l="1"/>
  <c r="AZ34" i="173"/>
  <c r="BH34" i="173"/>
  <c r="BG35" i="173"/>
  <c r="AE34" i="173"/>
  <c r="AM34" i="173" s="1"/>
  <c r="AD35" i="173"/>
  <c r="AL35" i="173" s="1"/>
  <c r="W35" i="173"/>
  <c r="H39" i="1"/>
  <c r="BH35" i="173" l="1"/>
  <c r="BI34" i="173"/>
  <c r="BA34" i="173"/>
  <c r="AZ35" i="173"/>
  <c r="AE35" i="173"/>
  <c r="AM35" i="173" s="1"/>
  <c r="AH34" i="173"/>
  <c r="Y39" i="38"/>
  <c r="R33" i="38"/>
  <c r="H39" i="32"/>
  <c r="G41" i="178" l="1"/>
  <c r="I39" i="32"/>
  <c r="BA35" i="173"/>
  <c r="BI35" i="173"/>
  <c r="S40" i="173"/>
  <c r="BD34" i="173"/>
  <c r="AV34" i="173"/>
  <c r="Z39" i="38"/>
  <c r="BJ35" i="173" l="1"/>
  <c r="AQ40" i="173"/>
  <c r="AA40" i="173"/>
  <c r="AI40" i="173" s="1"/>
  <c r="T40" i="173"/>
  <c r="BJ34" i="173"/>
  <c r="AA39" i="38"/>
  <c r="AW40" i="173" l="1"/>
  <c r="BE40" i="173"/>
  <c r="AB40" i="173"/>
  <c r="AJ40" i="173" s="1"/>
  <c r="U40" i="173"/>
  <c r="AB39" i="38"/>
  <c r="H43" i="1"/>
  <c r="AX40" i="173" l="1"/>
  <c r="BF40" i="173"/>
  <c r="AC40" i="173"/>
  <c r="AK40" i="173" s="1"/>
  <c r="V40" i="173"/>
  <c r="AC39" i="38"/>
  <c r="Y43" i="38"/>
  <c r="H43" i="32"/>
  <c r="G45" i="178" l="1"/>
  <c r="I43" i="32"/>
  <c r="AY40" i="173"/>
  <c r="BG40" i="173"/>
  <c r="AD40" i="173"/>
  <c r="AL40" i="173" s="1"/>
  <c r="S44" i="173"/>
  <c r="W40" i="173"/>
  <c r="Z43" i="38"/>
  <c r="AZ40" i="173" l="1"/>
  <c r="AQ44" i="173"/>
  <c r="BH40" i="173"/>
  <c r="AA44" i="173"/>
  <c r="AI44" i="173" s="1"/>
  <c r="AE40" i="173"/>
  <c r="AM40" i="173" s="1"/>
  <c r="T44" i="173"/>
  <c r="AA43" i="38"/>
  <c r="BE44" i="173" l="1"/>
  <c r="BA40" i="173"/>
  <c r="AW44" i="173"/>
  <c r="AB44" i="173"/>
  <c r="AJ44" i="173" s="1"/>
  <c r="BI40" i="173"/>
  <c r="U44" i="173"/>
  <c r="AB43" i="38"/>
  <c r="BJ40" i="173" l="1"/>
  <c r="BF44" i="173"/>
  <c r="AX44" i="173"/>
  <c r="AC44" i="173"/>
  <c r="AK44" i="173" s="1"/>
  <c r="V44" i="173"/>
  <c r="AC43" i="38"/>
  <c r="H49" i="1"/>
  <c r="AY44" i="173" l="1"/>
  <c r="BG44" i="173"/>
  <c r="AD44" i="173"/>
  <c r="AL44" i="173" s="1"/>
  <c r="W44" i="173"/>
  <c r="H50" i="1"/>
  <c r="H49" i="32"/>
  <c r="I49" i="32" s="1"/>
  <c r="BH44" i="173" l="1"/>
  <c r="AZ44" i="173"/>
  <c r="AE44" i="173"/>
  <c r="AM44" i="173" s="1"/>
  <c r="H51" i="1"/>
  <c r="H50" i="32"/>
  <c r="I50" i="32" s="1"/>
  <c r="BA44" i="173" l="1"/>
  <c r="BI44" i="173"/>
  <c r="N49" i="38"/>
  <c r="P49" i="38"/>
  <c r="O49" i="38"/>
  <c r="Q49" i="38"/>
  <c r="R49" i="38"/>
  <c r="H52" i="1"/>
  <c r="H51" i="32"/>
  <c r="I51" i="32" s="1"/>
  <c r="BJ44" i="173" l="1"/>
  <c r="N50" i="38"/>
  <c r="P50" i="38"/>
  <c r="O50" i="38"/>
  <c r="Q50" i="38"/>
  <c r="R50" i="38"/>
  <c r="H53" i="1"/>
  <c r="H52" i="32"/>
  <c r="I52" i="32" s="1"/>
  <c r="N51" i="38" l="1"/>
  <c r="P51" i="38"/>
  <c r="O51" i="38"/>
  <c r="Q51" i="38"/>
  <c r="R51" i="38"/>
  <c r="H54" i="1"/>
  <c r="H53" i="32"/>
  <c r="I53" i="32" s="1"/>
  <c r="N52" i="38" l="1"/>
  <c r="O52" i="38"/>
  <c r="P52" i="38"/>
  <c r="Q52" i="38"/>
  <c r="R52" i="38"/>
  <c r="H55" i="1"/>
  <c r="H54" i="32"/>
  <c r="I54" i="32" s="1"/>
  <c r="N53" i="38" l="1"/>
  <c r="O53" i="38"/>
  <c r="P53" i="38"/>
  <c r="Q53" i="38"/>
  <c r="R53" i="38"/>
  <c r="H56" i="1"/>
  <c r="H55" i="32"/>
  <c r="I55" i="32" s="1"/>
  <c r="N54" i="38" l="1"/>
  <c r="O54" i="38"/>
  <c r="P54" i="38"/>
  <c r="Q54" i="38"/>
  <c r="R54" i="38"/>
  <c r="H56" i="32"/>
  <c r="I56" i="32" s="1"/>
  <c r="N55" i="38" l="1"/>
  <c r="O55" i="38"/>
  <c r="P55" i="38"/>
  <c r="Q55" i="38"/>
  <c r="R55" i="38"/>
  <c r="N56" i="38" l="1"/>
  <c r="P56" i="38"/>
  <c r="O56" i="38"/>
  <c r="Q56" i="38"/>
  <c r="R56" i="38"/>
  <c r="H42" i="1"/>
  <c r="Y42" i="38" l="1"/>
  <c r="H42" i="32"/>
  <c r="G44" i="178" l="1"/>
  <c r="I42" i="32"/>
  <c r="S43" i="173"/>
  <c r="Z42" i="38"/>
  <c r="AA43" i="173" l="1"/>
  <c r="AI43" i="173" s="1"/>
  <c r="AQ43" i="173"/>
  <c r="T43" i="173"/>
  <c r="AA42" i="38"/>
  <c r="R58" i="38"/>
  <c r="Q58" i="38"/>
  <c r="P58" i="38"/>
  <c r="O58" i="38"/>
  <c r="N58" i="38"/>
  <c r="R59" i="38"/>
  <c r="Q59" i="38"/>
  <c r="P59" i="38"/>
  <c r="O59" i="38"/>
  <c r="N59" i="38"/>
  <c r="P57" i="38"/>
  <c r="O57" i="38"/>
  <c r="N57" i="38"/>
  <c r="R57" i="38"/>
  <c r="Q57" i="38"/>
  <c r="R60" i="38"/>
  <c r="Q60" i="38"/>
  <c r="P60" i="38"/>
  <c r="O60" i="38"/>
  <c r="N60" i="38"/>
  <c r="C71" i="14"/>
  <c r="C14" i="14" s="1"/>
  <c r="AW43" i="173" l="1"/>
  <c r="BE43" i="173"/>
  <c r="AB43" i="173"/>
  <c r="AJ43" i="173" s="1"/>
  <c r="U43" i="173"/>
  <c r="AB42" i="38"/>
  <c r="C14" i="28"/>
  <c r="AX43" i="173" l="1"/>
  <c r="BF43" i="173"/>
  <c r="AC43" i="173"/>
  <c r="AK43" i="173" s="1"/>
  <c r="V43" i="173"/>
  <c r="AC42" i="38"/>
  <c r="AY43" i="173" l="1"/>
  <c r="BG43" i="173"/>
  <c r="AD43" i="173"/>
  <c r="AL43" i="173" s="1"/>
  <c r="W43" i="173"/>
  <c r="D19" i="39" a="1"/>
  <c r="D19" i="39" s="1"/>
  <c r="D22" i="39" a="1"/>
  <c r="D22" i="39" s="1"/>
  <c r="D20" i="39" a="1"/>
  <c r="D20" i="39" s="1"/>
  <c r="L10" i="49"/>
  <c r="L20" i="49"/>
  <c r="L12" i="49"/>
  <c r="L11" i="49"/>
  <c r="L16" i="49"/>
  <c r="L14" i="49"/>
  <c r="L13" i="49"/>
  <c r="L17" i="49"/>
  <c r="L18" i="49"/>
  <c r="L15" i="49"/>
  <c r="L19" i="49"/>
  <c r="AZ43" i="173" l="1"/>
  <c r="BH43" i="173"/>
  <c r="AE43" i="173"/>
  <c r="AM43" i="173" s="1"/>
  <c r="C66" i="14"/>
  <c r="J19" i="39"/>
  <c r="G19" i="39"/>
  <c r="J20" i="39"/>
  <c r="G20" i="39"/>
  <c r="J22" i="39"/>
  <c r="G22" i="39"/>
  <c r="BA43" i="173" l="1"/>
  <c r="BI43" i="173"/>
  <c r="Q14" i="1"/>
  <c r="Q48" i="1"/>
  <c r="Q59" i="1"/>
  <c r="Q12" i="1"/>
  <c r="Q20" i="1"/>
  <c r="Q46" i="1"/>
  <c r="Q31" i="1"/>
  <c r="Q37" i="1"/>
  <c r="Q40" i="1"/>
  <c r="Q16" i="1"/>
  <c r="Q60" i="1"/>
  <c r="Q22" i="1"/>
  <c r="Q57" i="1"/>
  <c r="Q18" i="1"/>
  <c r="Q29" i="1"/>
  <c r="Q58" i="1"/>
  <c r="Q27" i="1"/>
  <c r="Q44" i="1"/>
  <c r="BJ43" i="173" l="1"/>
  <c r="R40" i="1"/>
  <c r="S40" i="1" s="1"/>
  <c r="T40" i="1" s="1"/>
  <c r="Z40" i="1" s="1"/>
  <c r="R12" i="1"/>
  <c r="S12" i="1" s="1"/>
  <c r="T12" i="1" s="1"/>
  <c r="R57" i="1"/>
  <c r="S57" i="1" s="1"/>
  <c r="T57" i="1" s="1"/>
  <c r="Z57" i="1" s="1"/>
  <c r="R59" i="1"/>
  <c r="R60" i="1"/>
  <c r="R37" i="1"/>
  <c r="S37" i="1" s="1"/>
  <c r="T37" i="1" s="1"/>
  <c r="Z37" i="1" s="1"/>
  <c r="R46" i="1"/>
  <c r="S46" i="1" s="1"/>
  <c r="T46" i="1" s="1"/>
  <c r="R31" i="1"/>
  <c r="S31" i="1" s="1"/>
  <c r="T31" i="1" s="1"/>
  <c r="Z31" i="1" s="1"/>
  <c r="R44" i="1"/>
  <c r="R48" i="1"/>
  <c r="S48" i="1" s="1"/>
  <c r="T48" i="1" s="1"/>
  <c r="Z48" i="1" s="1"/>
  <c r="R22" i="1"/>
  <c r="S22" i="1" s="1"/>
  <c r="T22" i="1" s="1"/>
  <c r="R16" i="1"/>
  <c r="S16" i="1" s="1"/>
  <c r="T16" i="1" s="1"/>
  <c r="R20" i="1"/>
  <c r="S20" i="1" s="1"/>
  <c r="T20" i="1" s="1"/>
  <c r="R27" i="1"/>
  <c r="S27" i="1" s="1"/>
  <c r="T27" i="1" s="1"/>
  <c r="R58" i="1"/>
  <c r="S58" i="1" s="1"/>
  <c r="T58" i="1" s="1"/>
  <c r="Z58" i="1" s="1"/>
  <c r="R29" i="1"/>
  <c r="S29" i="1" s="1"/>
  <c r="T29" i="1" s="1"/>
  <c r="R18" i="1"/>
  <c r="S18" i="1" s="1"/>
  <c r="T18" i="1" s="1"/>
  <c r="R14" i="1"/>
  <c r="S14" i="1" s="1"/>
  <c r="T14" i="1" s="1"/>
  <c r="U57" i="1" l="1"/>
  <c r="AC48" i="1"/>
  <c r="AB48" i="1"/>
  <c r="AD48" i="1"/>
  <c r="S60" i="1"/>
  <c r="T60" i="1" s="1"/>
  <c r="Z60" i="1" s="1"/>
  <c r="AB37" i="1"/>
  <c r="AC37" i="1"/>
  <c r="AD37" i="1"/>
  <c r="S59" i="1"/>
  <c r="T59" i="1" s="1"/>
  <c r="Z59" i="1" s="1"/>
  <c r="U14" i="1"/>
  <c r="AB58" i="1"/>
  <c r="AC58" i="1"/>
  <c r="AD58" i="1"/>
  <c r="U16" i="1"/>
  <c r="U48" i="1"/>
  <c r="U29" i="1"/>
  <c r="U22" i="1"/>
  <c r="U18" i="1"/>
  <c r="AB31" i="1"/>
  <c r="AC31" i="1"/>
  <c r="AD31" i="1"/>
  <c r="U31" i="1"/>
  <c r="U12" i="1"/>
  <c r="U27" i="1"/>
  <c r="U46" i="1"/>
  <c r="U37" i="1"/>
  <c r="S44" i="1"/>
  <c r="T44" i="1" s="1"/>
  <c r="AC57" i="1"/>
  <c r="AB57" i="1"/>
  <c r="AD57" i="1"/>
  <c r="U58" i="1"/>
  <c r="U20" i="1"/>
  <c r="U40" i="1"/>
  <c r="CK32" i="173" l="1"/>
  <c r="CL32" i="173" s="1"/>
  <c r="CK41" i="173"/>
  <c r="CS41" i="173" s="1"/>
  <c r="BM38" i="173"/>
  <c r="BN38" i="173" s="1"/>
  <c r="CK38" i="173"/>
  <c r="CL38" i="173" s="1"/>
  <c r="BM41" i="173"/>
  <c r="BN41" i="173" s="1"/>
  <c r="BM32" i="173"/>
  <c r="BN32" i="173" s="1"/>
  <c r="U59" i="1"/>
  <c r="AE58" i="1"/>
  <c r="H58" i="1" s="1"/>
  <c r="AE37" i="1"/>
  <c r="H37" i="1" s="1"/>
  <c r="AB60" i="1"/>
  <c r="AC60" i="1"/>
  <c r="AD60" i="1"/>
  <c r="U60" i="1"/>
  <c r="AE57" i="1"/>
  <c r="H57" i="1" s="1"/>
  <c r="AC59" i="1"/>
  <c r="AB59" i="1"/>
  <c r="AD59" i="1"/>
  <c r="AE31" i="1"/>
  <c r="AE48" i="1"/>
  <c r="H48" i="1" s="1"/>
  <c r="U44" i="1"/>
  <c r="J12" i="49"/>
  <c r="CS32" i="173" l="1"/>
  <c r="CS38" i="173"/>
  <c r="CL41" i="173"/>
  <c r="CM41" i="173" s="1"/>
  <c r="CM38" i="173"/>
  <c r="CT38" i="173"/>
  <c r="CM32" i="173"/>
  <c r="CT32" i="173"/>
  <c r="BO41" i="173"/>
  <c r="BO32" i="173"/>
  <c r="BO38" i="173"/>
  <c r="G37" i="38"/>
  <c r="M37" i="38" s="1"/>
  <c r="H40" i="1"/>
  <c r="Y40" i="38" s="1"/>
  <c r="AO58" i="173"/>
  <c r="AO59" i="173"/>
  <c r="AO49" i="173"/>
  <c r="AO38" i="173"/>
  <c r="H31" i="1"/>
  <c r="AO32" i="173"/>
  <c r="AO41" i="173"/>
  <c r="N38" i="38"/>
  <c r="S49" i="173"/>
  <c r="AA49" i="173" s="1"/>
  <c r="H37" i="32"/>
  <c r="Y37" i="38"/>
  <c r="H58" i="32"/>
  <c r="I58" i="32" s="1"/>
  <c r="AE60" i="1"/>
  <c r="H48" i="32"/>
  <c r="I48" i="32" s="1"/>
  <c r="AE59" i="1"/>
  <c r="H59" i="1" s="1"/>
  <c r="H57" i="32"/>
  <c r="I57" i="32" s="1"/>
  <c r="J11" i="49"/>
  <c r="G39" i="178" l="1"/>
  <c r="I37" i="32"/>
  <c r="CT41" i="173"/>
  <c r="CN38" i="173"/>
  <c r="CU38" i="173"/>
  <c r="CN32" i="173"/>
  <c r="CU32" i="173"/>
  <c r="CN41" i="173"/>
  <c r="CU41" i="173"/>
  <c r="BP38" i="173"/>
  <c r="BP41" i="173"/>
  <c r="BP32" i="173"/>
  <c r="H40" i="32"/>
  <c r="S41" i="173"/>
  <c r="S38" i="173"/>
  <c r="H31" i="32"/>
  <c r="Y31" i="38"/>
  <c r="H60" i="1"/>
  <c r="H60" i="32" s="1"/>
  <c r="I60" i="32" s="1"/>
  <c r="AO61" i="173"/>
  <c r="AR49" i="173"/>
  <c r="AS49" i="173"/>
  <c r="AQ49" i="173"/>
  <c r="AR59" i="173"/>
  <c r="AS59" i="173"/>
  <c r="AQ59" i="173"/>
  <c r="AS58" i="173"/>
  <c r="AR58" i="173"/>
  <c r="AQ58" i="173"/>
  <c r="AO60" i="173"/>
  <c r="AR32" i="173"/>
  <c r="CE32" i="173" s="1"/>
  <c r="AS32" i="173"/>
  <c r="AR41" i="173"/>
  <c r="CE41" i="173" s="1"/>
  <c r="AS41" i="173"/>
  <c r="AR38" i="173"/>
  <c r="AS38" i="173"/>
  <c r="N37" i="38"/>
  <c r="N10" i="38" s="1"/>
  <c r="P37" i="38"/>
  <c r="O37" i="38"/>
  <c r="Q37" i="38"/>
  <c r="R37" i="38"/>
  <c r="O38" i="38"/>
  <c r="P38" i="38"/>
  <c r="Q38" i="38"/>
  <c r="R38" i="38"/>
  <c r="AI49" i="173"/>
  <c r="Z40" i="38"/>
  <c r="Z37" i="38"/>
  <c r="H59" i="32"/>
  <c r="I59" i="32" s="1"/>
  <c r="J16" i="49"/>
  <c r="G42" i="178" l="1"/>
  <c r="G33" i="178"/>
  <c r="I31" i="32"/>
  <c r="I40" i="32"/>
  <c r="CO41" i="173"/>
  <c r="CW41" i="173" s="1"/>
  <c r="CV41" i="173"/>
  <c r="CO32" i="173"/>
  <c r="CW32" i="173" s="1"/>
  <c r="CV32" i="173"/>
  <c r="CO38" i="173"/>
  <c r="CW38" i="173" s="1"/>
  <c r="CV38" i="173"/>
  <c r="CF38" i="173"/>
  <c r="CF41" i="173"/>
  <c r="CC38" i="173"/>
  <c r="CD38" i="173"/>
  <c r="CC32" i="173"/>
  <c r="CD32" i="173"/>
  <c r="CC41" i="173"/>
  <c r="CD41" i="173"/>
  <c r="CE38" i="173"/>
  <c r="CF32" i="173"/>
  <c r="BX38" i="173"/>
  <c r="BX41" i="173"/>
  <c r="BU32" i="173"/>
  <c r="BV32" i="173"/>
  <c r="BU41" i="173"/>
  <c r="BV41" i="173"/>
  <c r="BW32" i="173"/>
  <c r="BU38" i="173"/>
  <c r="BV38" i="173"/>
  <c r="BW38" i="173"/>
  <c r="BW41" i="173"/>
  <c r="BX32" i="173"/>
  <c r="BQ32" i="173"/>
  <c r="CG32" i="173" s="1"/>
  <c r="BQ41" i="173"/>
  <c r="CG41" i="173" s="1"/>
  <c r="BQ38" i="173"/>
  <c r="CG38" i="173" s="1"/>
  <c r="AQ41" i="173"/>
  <c r="AA41" i="173"/>
  <c r="AI41" i="173" s="1"/>
  <c r="AA38" i="173"/>
  <c r="AI38" i="173" s="1"/>
  <c r="AQ38" i="173"/>
  <c r="T41" i="173"/>
  <c r="T38" i="173"/>
  <c r="S32" i="173"/>
  <c r="AU58" i="173"/>
  <c r="AV58" i="173"/>
  <c r="AW58" i="173"/>
  <c r="AX58" i="173"/>
  <c r="AY58" i="173"/>
  <c r="AZ58" i="173"/>
  <c r="BA58" i="173"/>
  <c r="BC58" i="173"/>
  <c r="BD58" i="173"/>
  <c r="BE58" i="173"/>
  <c r="BF58" i="173"/>
  <c r="BG58" i="173"/>
  <c r="BH58" i="173"/>
  <c r="BI58" i="173"/>
  <c r="BC49" i="173"/>
  <c r="BD49" i="173"/>
  <c r="AR60" i="173"/>
  <c r="AS60" i="173"/>
  <c r="AQ60" i="173"/>
  <c r="BC59" i="173"/>
  <c r="BD59" i="173"/>
  <c r="BE59" i="173"/>
  <c r="BF59" i="173"/>
  <c r="BG59" i="173"/>
  <c r="BH59" i="173"/>
  <c r="BI59" i="173"/>
  <c r="AU59" i="173"/>
  <c r="AV59" i="173"/>
  <c r="AW59" i="173"/>
  <c r="AX59" i="173"/>
  <c r="AY59" i="173"/>
  <c r="AZ59" i="173"/>
  <c r="BA59" i="173"/>
  <c r="AU49" i="173"/>
  <c r="AV49" i="173"/>
  <c r="T49" i="173"/>
  <c r="AB49" i="173" s="1"/>
  <c r="AJ49" i="173" s="1"/>
  <c r="AR61" i="173"/>
  <c r="AS61" i="173"/>
  <c r="AQ61" i="173"/>
  <c r="AW49" i="173"/>
  <c r="BE49" i="173"/>
  <c r="BD32" i="173"/>
  <c r="BC32" i="173"/>
  <c r="BD38" i="173"/>
  <c r="BC38" i="173"/>
  <c r="BD41" i="173"/>
  <c r="BC41" i="173"/>
  <c r="Z31" i="38"/>
  <c r="AU41" i="173"/>
  <c r="AV41" i="173"/>
  <c r="AU38" i="173"/>
  <c r="AV38" i="173"/>
  <c r="AU32" i="173"/>
  <c r="AV32" i="173"/>
  <c r="Q10" i="38"/>
  <c r="O10" i="38"/>
  <c r="R10" i="38"/>
  <c r="P10" i="38"/>
  <c r="AA40" i="38"/>
  <c r="AA37" i="38"/>
  <c r="AW38" i="173" l="1"/>
  <c r="AW41" i="173"/>
  <c r="BY38" i="173"/>
  <c r="BY41" i="173"/>
  <c r="BY32" i="173"/>
  <c r="BE41" i="173"/>
  <c r="BE38" i="173"/>
  <c r="AB38" i="173"/>
  <c r="AJ38" i="173" s="1"/>
  <c r="AB41" i="173"/>
  <c r="AJ41" i="173" s="1"/>
  <c r="AQ32" i="173"/>
  <c r="U38" i="173"/>
  <c r="AA32" i="173"/>
  <c r="AI32" i="173" s="1"/>
  <c r="T32" i="173"/>
  <c r="U41" i="173"/>
  <c r="BF49" i="173"/>
  <c r="AX49" i="173"/>
  <c r="V49" i="173"/>
  <c r="AD49" i="173" s="1"/>
  <c r="AL49" i="173" s="1"/>
  <c r="U49" i="173"/>
  <c r="AC49" i="173" s="1"/>
  <c r="AK49" i="173" s="1"/>
  <c r="AU60" i="173"/>
  <c r="AW60" i="173"/>
  <c r="AV60" i="173"/>
  <c r="AX60" i="173"/>
  <c r="AY60" i="173"/>
  <c r="AZ60" i="173"/>
  <c r="BA60" i="173"/>
  <c r="BC61" i="173"/>
  <c r="BD61" i="173"/>
  <c r="BE61" i="173"/>
  <c r="BF61" i="173"/>
  <c r="BG61" i="173"/>
  <c r="BH61" i="173"/>
  <c r="BI61" i="173"/>
  <c r="BJ59" i="173"/>
  <c r="BC60" i="173"/>
  <c r="BD60" i="173"/>
  <c r="BE60" i="173"/>
  <c r="BF60" i="173"/>
  <c r="BG60" i="173"/>
  <c r="BH60" i="173"/>
  <c r="BI60" i="173"/>
  <c r="AU61" i="173"/>
  <c r="AV61" i="173"/>
  <c r="AW61" i="173"/>
  <c r="AX61" i="173"/>
  <c r="AY61" i="173"/>
  <c r="AZ61" i="173"/>
  <c r="BA61" i="173"/>
  <c r="BJ58" i="173"/>
  <c r="AA31" i="38"/>
  <c r="AB40" i="38"/>
  <c r="C75" i="14"/>
  <c r="C15" i="14" s="1"/>
  <c r="I1" i="176" s="1"/>
  <c r="AB37" i="38"/>
  <c r="W49" i="173"/>
  <c r="AE49" i="173" s="1"/>
  <c r="AW32" i="173" l="1"/>
  <c r="AX41" i="173"/>
  <c r="AX38" i="173"/>
  <c r="BF38" i="173"/>
  <c r="BF41" i="173"/>
  <c r="AC38" i="173"/>
  <c r="AK38" i="173" s="1"/>
  <c r="AC41" i="173"/>
  <c r="AK41" i="173" s="1"/>
  <c r="AB32" i="173"/>
  <c r="AJ32" i="173" s="1"/>
  <c r="BE32" i="173"/>
  <c r="I1" i="173"/>
  <c r="V41" i="173"/>
  <c r="V38" i="173"/>
  <c r="U32" i="173"/>
  <c r="BJ60" i="173"/>
  <c r="BJ61" i="173"/>
  <c r="AY49" i="173"/>
  <c r="BG49" i="173"/>
  <c r="AZ49" i="173"/>
  <c r="BH49" i="173"/>
  <c r="AB31" i="38"/>
  <c r="AC40" i="38"/>
  <c r="C15" i="28"/>
  <c r="H1" i="38"/>
  <c r="AM49" i="173"/>
  <c r="AC37" i="38"/>
  <c r="D14" i="39" a="1"/>
  <c r="D14" i="39" s="1"/>
  <c r="E23" i="179" s="1"/>
  <c r="AY38" i="173" l="1"/>
  <c r="BG41" i="173"/>
  <c r="AX32" i="173"/>
  <c r="BF32" i="173"/>
  <c r="AY41" i="173"/>
  <c r="BG38" i="173"/>
  <c r="AC32" i="173"/>
  <c r="AK32" i="173" s="1"/>
  <c r="AD38" i="173"/>
  <c r="AL38" i="173" s="1"/>
  <c r="AD41" i="173"/>
  <c r="AL41" i="173" s="1"/>
  <c r="W38" i="173"/>
  <c r="V32" i="173"/>
  <c r="W41" i="173"/>
  <c r="BA49" i="173"/>
  <c r="BI49" i="173"/>
  <c r="AC31" i="38"/>
  <c r="G14" i="39"/>
  <c r="J14" i="39"/>
  <c r="D21" i="39" a="1"/>
  <c r="D21" i="39" s="1"/>
  <c r="D13" i="39" a="1"/>
  <c r="D13" i="39" s="1"/>
  <c r="E22" i="179" s="1"/>
  <c r="AZ41" i="173" l="1"/>
  <c r="BH38" i="173"/>
  <c r="BH41" i="173"/>
  <c r="AZ38" i="173"/>
  <c r="AE41" i="173"/>
  <c r="AM41" i="173" s="1"/>
  <c r="AD32" i="173"/>
  <c r="AL32" i="173" s="1"/>
  <c r="AE38" i="173"/>
  <c r="AM38" i="173" s="1"/>
  <c r="BG32" i="173"/>
  <c r="AY32" i="173"/>
  <c r="W32" i="173"/>
  <c r="BJ49" i="173"/>
  <c r="G13" i="39"/>
  <c r="J13" i="39"/>
  <c r="J21" i="39"/>
  <c r="G21" i="39"/>
  <c r="D17" i="39" a="1"/>
  <c r="D17" i="39" s="1"/>
  <c r="BH32" i="173" l="1"/>
  <c r="BI41" i="173"/>
  <c r="BA38" i="173"/>
  <c r="BI38" i="173"/>
  <c r="AZ32" i="173"/>
  <c r="AE32" i="173"/>
  <c r="AM32" i="173" s="1"/>
  <c r="BA41" i="173"/>
  <c r="Z74" i="173"/>
  <c r="AH74" i="173"/>
  <c r="L25" i="175" s="1"/>
  <c r="L26" i="175" s="1"/>
  <c r="L27" i="175" s="1"/>
  <c r="J17" i="39"/>
  <c r="BJ41" i="173" l="1"/>
  <c r="BJ38" i="173"/>
  <c r="BA32" i="173"/>
  <c r="BI32" i="173"/>
  <c r="BJ32" i="173" l="1"/>
  <c r="Q41" i="1"/>
  <c r="R41" i="1" s="1"/>
  <c r="Q45" i="1"/>
  <c r="Q36" i="1" l="1"/>
  <c r="R36" i="1" s="1"/>
  <c r="Q19" i="1"/>
  <c r="R19" i="1" s="1"/>
  <c r="Q30" i="1"/>
  <c r="R30" i="1" s="1"/>
  <c r="Q17" i="1"/>
  <c r="R17" i="1" s="1"/>
  <c r="Q23" i="1"/>
  <c r="R23" i="1" s="1"/>
  <c r="S23" i="1" s="1"/>
  <c r="T23" i="1" s="1"/>
  <c r="Q28" i="1"/>
  <c r="R28" i="1" s="1"/>
  <c r="Q47" i="1"/>
  <c r="R47" i="1" s="1"/>
  <c r="S47" i="1" s="1"/>
  <c r="T47" i="1" s="1"/>
  <c r="Q21" i="1"/>
  <c r="R21" i="1" s="1"/>
  <c r="Q13" i="1"/>
  <c r="R13" i="1" s="1"/>
  <c r="S41" i="1"/>
  <c r="T41" i="1" s="1"/>
  <c r="Z41" i="1" s="1"/>
  <c r="G17" i="39"/>
  <c r="R45" i="1"/>
  <c r="S45" i="1" s="1"/>
  <c r="T45" i="1" s="1"/>
  <c r="Q15" i="1"/>
  <c r="Q25" i="1"/>
  <c r="S36" i="1" l="1"/>
  <c r="T36" i="1" s="1"/>
  <c r="U47" i="1"/>
  <c r="S21" i="1"/>
  <c r="T21" i="1" s="1"/>
  <c r="U41" i="1"/>
  <c r="U23" i="1"/>
  <c r="S17" i="1"/>
  <c r="T17" i="1" s="1"/>
  <c r="S30" i="1"/>
  <c r="T30" i="1" s="1"/>
  <c r="D18" i="39" a="1"/>
  <c r="D18" i="39" s="1"/>
  <c r="G22" i="179" s="1"/>
  <c r="U45" i="1"/>
  <c r="S13" i="1"/>
  <c r="T13" i="1" s="1"/>
  <c r="R25" i="1"/>
  <c r="S25" i="1" s="1"/>
  <c r="T25" i="1" s="1"/>
  <c r="Z25" i="1" s="1"/>
  <c r="R15" i="1"/>
  <c r="S15" i="1" s="1"/>
  <c r="T15" i="1" s="1"/>
  <c r="S19" i="1"/>
  <c r="T19" i="1" s="1"/>
  <c r="S28" i="1"/>
  <c r="T28" i="1" s="1"/>
  <c r="BM42" i="173" l="1"/>
  <c r="BN42" i="173" s="1"/>
  <c r="CK42" i="173"/>
  <c r="CL42" i="173" s="1"/>
  <c r="U21" i="1"/>
  <c r="U36" i="1"/>
  <c r="H41" i="1"/>
  <c r="Y41" i="38" s="1"/>
  <c r="U28" i="1"/>
  <c r="U19" i="1"/>
  <c r="U30" i="1"/>
  <c r="U17" i="1"/>
  <c r="U13" i="1"/>
  <c r="J18" i="39"/>
  <c r="G18" i="39"/>
  <c r="U25" i="1"/>
  <c r="U15" i="1"/>
  <c r="BM26" i="173" l="1"/>
  <c r="BN26" i="173" s="1"/>
  <c r="CK26" i="173"/>
  <c r="CL26" i="173" s="1"/>
  <c r="CS42" i="173"/>
  <c r="CM42" i="173"/>
  <c r="CT42" i="173"/>
  <c r="BO42" i="173"/>
  <c r="H41" i="32"/>
  <c r="AO42" i="173"/>
  <c r="AO26" i="173"/>
  <c r="U10" i="1"/>
  <c r="Z41" i="38"/>
  <c r="S42" i="173"/>
  <c r="G43" i="178" l="1"/>
  <c r="I41" i="32"/>
  <c r="CS26" i="173"/>
  <c r="CN42" i="173"/>
  <c r="CU42" i="173"/>
  <c r="CM26" i="173"/>
  <c r="CT26" i="173"/>
  <c r="BP42" i="173"/>
  <c r="BO26" i="173"/>
  <c r="AR42" i="173"/>
  <c r="AR26" i="173"/>
  <c r="CC26" i="173" s="1"/>
  <c r="AS42" i="173"/>
  <c r="BW42" i="173" s="1"/>
  <c r="H25" i="1"/>
  <c r="Y25" i="38" s="1"/>
  <c r="AS26" i="173"/>
  <c r="BU26" i="173" s="1"/>
  <c r="AA42" i="173"/>
  <c r="AI42" i="173" s="1"/>
  <c r="AQ42" i="173"/>
  <c r="T42" i="173"/>
  <c r="AA41" i="38"/>
  <c r="CO42" i="173" l="1"/>
  <c r="CW42" i="173" s="1"/>
  <c r="CV42" i="173"/>
  <c r="CN26" i="173"/>
  <c r="CU26" i="173"/>
  <c r="CC42" i="173"/>
  <c r="CD42" i="173"/>
  <c r="CE42" i="173"/>
  <c r="CD26" i="173"/>
  <c r="CE26" i="173"/>
  <c r="CF42" i="173"/>
  <c r="BX42" i="173"/>
  <c r="BV26" i="173"/>
  <c r="BW26" i="173"/>
  <c r="BU42" i="173"/>
  <c r="BV42" i="173"/>
  <c r="BQ42" i="173"/>
  <c r="CG42" i="173" s="1"/>
  <c r="BP26" i="173"/>
  <c r="CF26" i="173" s="1"/>
  <c r="AV26" i="173"/>
  <c r="BC26" i="173"/>
  <c r="AV42" i="173"/>
  <c r="BD42" i="173"/>
  <c r="AU26" i="173"/>
  <c r="AU42" i="173"/>
  <c r="AB42" i="173"/>
  <c r="AJ42" i="173" s="1"/>
  <c r="BC42" i="173"/>
  <c r="H25" i="32"/>
  <c r="BD26" i="173"/>
  <c r="AW42" i="173"/>
  <c r="BE42" i="173"/>
  <c r="S26" i="173"/>
  <c r="Z25" i="38"/>
  <c r="AB41" i="38"/>
  <c r="U42" i="173"/>
  <c r="G27" i="178" l="1"/>
  <c r="I25" i="32"/>
  <c r="CO26" i="173"/>
  <c r="CW26" i="173" s="1"/>
  <c r="CV26" i="173"/>
  <c r="BF42" i="173"/>
  <c r="BX26" i="173"/>
  <c r="BY42" i="173"/>
  <c r="BQ26" i="173"/>
  <c r="CG26" i="173" s="1"/>
  <c r="AX42" i="173"/>
  <c r="AC42" i="173"/>
  <c r="AK42" i="173" s="1"/>
  <c r="AA25" i="38"/>
  <c r="T26" i="173"/>
  <c r="AC41" i="38"/>
  <c r="V42" i="173"/>
  <c r="AA26" i="173"/>
  <c r="AI26" i="173" s="1"/>
  <c r="AQ26" i="173"/>
  <c r="AY42" i="173" l="1"/>
  <c r="BY26" i="173"/>
  <c r="BG42" i="173"/>
  <c r="AD42" i="173"/>
  <c r="AL42" i="173" s="1"/>
  <c r="AB26" i="173"/>
  <c r="AJ26" i="173" s="1"/>
  <c r="W42" i="173"/>
  <c r="AB25" i="38"/>
  <c r="U26" i="173"/>
  <c r="BE26" i="173"/>
  <c r="AW26" i="173"/>
  <c r="BF26" i="173" l="1"/>
  <c r="BH42" i="173"/>
  <c r="AZ42" i="173"/>
  <c r="AX26" i="173"/>
  <c r="AE42" i="173"/>
  <c r="AM42" i="173" s="1"/>
  <c r="AC26" i="173"/>
  <c r="AK26" i="173" s="1"/>
  <c r="AC25" i="38"/>
  <c r="V26" i="173"/>
  <c r="BI42" i="173" l="1"/>
  <c r="BG26" i="173"/>
  <c r="BA42" i="173"/>
  <c r="AY26" i="173"/>
  <c r="AD26" i="173"/>
  <c r="AL26" i="173" s="1"/>
  <c r="W26" i="173"/>
  <c r="BJ42" i="173" l="1"/>
  <c r="AZ26" i="173"/>
  <c r="BH26" i="173"/>
  <c r="AE26" i="173"/>
  <c r="AM26" i="173" s="1"/>
  <c r="BA26" i="173" l="1"/>
  <c r="BI26" i="173"/>
  <c r="BJ26" i="173" l="1"/>
  <c r="H13" i="50" l="1"/>
  <c r="H14" i="50"/>
  <c r="I14" i="50" l="1"/>
  <c r="J14" i="50" s="1"/>
  <c r="I13" i="50"/>
  <c r="J13" i="50" s="1"/>
  <c r="J14" i="49"/>
  <c r="J13" i="49"/>
  <c r="E14" i="50" l="1"/>
  <c r="K14" i="50"/>
  <c r="K13" i="50"/>
  <c r="F13" i="50" s="1"/>
  <c r="F14" i="50" l="1"/>
  <c r="D16" i="39" s="1" a="1"/>
  <c r="D16" i="39" s="1"/>
  <c r="G16" i="39" l="1"/>
  <c r="E25" i="179"/>
  <c r="J16" i="39"/>
  <c r="E13" i="50"/>
  <c r="D15" i="39" a="1"/>
  <c r="D15" i="39" s="1"/>
  <c r="E24" i="179" s="1"/>
  <c r="J15" i="39" l="1"/>
  <c r="G15" i="39"/>
  <c r="J10" i="49" l="1"/>
  <c r="C65" i="14" s="1"/>
  <c r="C13" i="14" s="1"/>
  <c r="H10" i="50"/>
  <c r="C13" i="28" l="1"/>
  <c r="H1" i="49"/>
  <c r="I10" i="50"/>
  <c r="J10" i="50" s="1"/>
  <c r="K10" i="50" l="1"/>
  <c r="F10" i="50" l="1"/>
  <c r="D12" i="39" s="1" a="1"/>
  <c r="D12" i="39" s="1"/>
  <c r="E21" i="179" s="1"/>
  <c r="E10" i="50"/>
  <c r="K21" i="1" l="1"/>
  <c r="K45" i="1"/>
  <c r="K17" i="1"/>
  <c r="K27" i="1"/>
  <c r="K30" i="1"/>
  <c r="K15" i="1"/>
  <c r="K47" i="1"/>
  <c r="K13" i="1"/>
  <c r="K46" i="1"/>
  <c r="K16" i="1"/>
  <c r="K35" i="1"/>
  <c r="K29" i="1"/>
  <c r="K28" i="1"/>
  <c r="K38" i="1"/>
  <c r="K23" i="1"/>
  <c r="K12" i="1"/>
  <c r="K14" i="1"/>
  <c r="K36" i="1"/>
  <c r="K20" i="1"/>
  <c r="K19" i="1"/>
  <c r="K44" i="1"/>
  <c r="K18" i="1"/>
  <c r="K22" i="1"/>
  <c r="G12" i="39"/>
  <c r="C49" i="14" s="1"/>
  <c r="C9" i="14" s="1"/>
  <c r="J12" i="39"/>
  <c r="C9" i="28" l="1"/>
  <c r="G1" i="39"/>
  <c r="L29" i="1"/>
  <c r="M29" i="1" s="1"/>
  <c r="Z29" i="1" s="1"/>
  <c r="L44" i="1"/>
  <c r="M44" i="1" s="1"/>
  <c r="Z44" i="1" s="1"/>
  <c r="L15" i="1"/>
  <c r="M15" i="1" s="1"/>
  <c r="Z15" i="1" s="1"/>
  <c r="L22" i="1"/>
  <c r="M22" i="1" s="1"/>
  <c r="Z22" i="1" s="1"/>
  <c r="L46" i="1"/>
  <c r="M46" i="1" s="1"/>
  <c r="Z46" i="1" s="1"/>
  <c r="L14" i="1"/>
  <c r="M14" i="1" s="1"/>
  <c r="Z14" i="1" s="1"/>
  <c r="L30" i="1"/>
  <c r="M30" i="1" s="1"/>
  <c r="Z30" i="1" s="1"/>
  <c r="L35" i="1"/>
  <c r="M35" i="1" s="1"/>
  <c r="Z35" i="1" s="1"/>
  <c r="L13" i="1"/>
  <c r="M13" i="1" s="1"/>
  <c r="Z13" i="1" s="1"/>
  <c r="L36" i="1"/>
  <c r="M36" i="1" s="1"/>
  <c r="Z36" i="1" s="1"/>
  <c r="L12" i="1"/>
  <c r="M12" i="1" s="1"/>
  <c r="Z12" i="1" s="1"/>
  <c r="L27" i="1"/>
  <c r="M27" i="1" s="1"/>
  <c r="Z27" i="1" s="1"/>
  <c r="L16" i="1"/>
  <c r="M16" i="1" s="1"/>
  <c r="Z16" i="1" s="1"/>
  <c r="L20" i="1"/>
  <c r="M20" i="1" s="1"/>
  <c r="Z20" i="1" s="1"/>
  <c r="L23" i="1"/>
  <c r="M23" i="1" s="1"/>
  <c r="Z23" i="1" s="1"/>
  <c r="L17" i="1"/>
  <c r="M17" i="1" s="1"/>
  <c r="Z17" i="1" s="1"/>
  <c r="L18" i="1"/>
  <c r="M18" i="1" s="1"/>
  <c r="Z18" i="1" s="1"/>
  <c r="L19" i="1"/>
  <c r="M19" i="1" s="1"/>
  <c r="Z19" i="1" s="1"/>
  <c r="L47" i="1"/>
  <c r="M47" i="1" s="1"/>
  <c r="Z47" i="1" s="1"/>
  <c r="L38" i="1"/>
  <c r="M38" i="1" s="1"/>
  <c r="Z38" i="1" s="1"/>
  <c r="L45" i="1"/>
  <c r="M45" i="1" s="1"/>
  <c r="Z45" i="1" s="1"/>
  <c r="L28" i="1"/>
  <c r="M28" i="1" s="1"/>
  <c r="Z28" i="1" s="1"/>
  <c r="L21" i="1"/>
  <c r="M21" i="1" s="1"/>
  <c r="Z21" i="1" s="1"/>
  <c r="N18" i="1" l="1"/>
  <c r="N30" i="1"/>
  <c r="N46" i="1"/>
  <c r="N12" i="1"/>
  <c r="N35" i="1"/>
  <c r="AB21" i="1"/>
  <c r="BM22" i="173" s="1"/>
  <c r="AD21" i="1"/>
  <c r="AC21" i="1"/>
  <c r="CK22" i="173" s="1"/>
  <c r="AC22" i="1"/>
  <c r="CK23" i="173" s="1"/>
  <c r="AB22" i="1"/>
  <c r="BM23" i="173" s="1"/>
  <c r="AD22" i="1"/>
  <c r="AD15" i="1"/>
  <c r="AC15" i="1"/>
  <c r="CK16" i="173" s="1"/>
  <c r="AB15" i="1"/>
  <c r="BM16" i="173" s="1"/>
  <c r="N21" i="1"/>
  <c r="AD18" i="1"/>
  <c r="AC18" i="1"/>
  <c r="CK19" i="173" s="1"/>
  <c r="AB18" i="1"/>
  <c r="BM19" i="173" s="1"/>
  <c r="AB12" i="1"/>
  <c r="BM13" i="173" s="1"/>
  <c r="AC12" i="1"/>
  <c r="CK13" i="173" s="1"/>
  <c r="AD12" i="1"/>
  <c r="AD46" i="1"/>
  <c r="AC46" i="1"/>
  <c r="CK47" i="173" s="1"/>
  <c r="AB46" i="1"/>
  <c r="BM47" i="173" s="1"/>
  <c r="AD36" i="1"/>
  <c r="AB36" i="1"/>
  <c r="BM37" i="173" s="1"/>
  <c r="AC36" i="1"/>
  <c r="CK37" i="173" s="1"/>
  <c r="N28" i="1"/>
  <c r="N22" i="1"/>
  <c r="N45" i="1"/>
  <c r="AC44" i="1"/>
  <c r="CK45" i="173" s="1"/>
  <c r="AD44" i="1"/>
  <c r="AB44" i="1"/>
  <c r="BM45" i="173" s="1"/>
  <c r="AD45" i="1"/>
  <c r="AB45" i="1"/>
  <c r="BM46" i="173" s="1"/>
  <c r="AC45" i="1"/>
  <c r="CK46" i="173" s="1"/>
  <c r="AD20" i="1"/>
  <c r="AC20" i="1"/>
  <c r="CK21" i="173" s="1"/>
  <c r="AB20" i="1"/>
  <c r="BM21" i="173" s="1"/>
  <c r="N38" i="1"/>
  <c r="N20" i="1"/>
  <c r="AD35" i="1"/>
  <c r="AC35" i="1"/>
  <c r="CK36" i="173" s="1"/>
  <c r="AB35" i="1"/>
  <c r="BM36" i="173" s="1"/>
  <c r="N44" i="1"/>
  <c r="N36" i="1"/>
  <c r="AD38" i="1"/>
  <c r="AB38" i="1"/>
  <c r="BM39" i="173" s="1"/>
  <c r="AC38" i="1"/>
  <c r="CK39" i="173" s="1"/>
  <c r="AD29" i="1"/>
  <c r="AB29" i="1"/>
  <c r="BM30" i="173" s="1"/>
  <c r="AC29" i="1"/>
  <c r="CK30" i="173" s="1"/>
  <c r="AD17" i="1"/>
  <c r="AC17" i="1"/>
  <c r="CK18" i="173" s="1"/>
  <c r="AB17" i="1"/>
  <c r="BM18" i="173" s="1"/>
  <c r="AD23" i="1"/>
  <c r="AC23" i="1"/>
  <c r="CK24" i="173" s="1"/>
  <c r="AB23" i="1"/>
  <c r="BM24" i="173" s="1"/>
  <c r="N23" i="1"/>
  <c r="AC16" i="1"/>
  <c r="CK17" i="173" s="1"/>
  <c r="AB16" i="1"/>
  <c r="BM17" i="173" s="1"/>
  <c r="AD16" i="1"/>
  <c r="N16" i="1"/>
  <c r="AC30" i="1"/>
  <c r="CK31" i="173" s="1"/>
  <c r="AD30" i="1"/>
  <c r="AB30" i="1"/>
  <c r="BM31" i="173" s="1"/>
  <c r="N29" i="1"/>
  <c r="AD28" i="1"/>
  <c r="AC28" i="1"/>
  <c r="CK29" i="173" s="1"/>
  <c r="AB28" i="1"/>
  <c r="BM29" i="173" s="1"/>
  <c r="N17" i="1"/>
  <c r="N15" i="1"/>
  <c r="AD19" i="1"/>
  <c r="AC19" i="1"/>
  <c r="CK20" i="173" s="1"/>
  <c r="AB19" i="1"/>
  <c r="BM20" i="173" s="1"/>
  <c r="AD14" i="1"/>
  <c r="AC14" i="1"/>
  <c r="CK15" i="173" s="1"/>
  <c r="AB14" i="1"/>
  <c r="BM15" i="173" s="1"/>
  <c r="AD13" i="1"/>
  <c r="AC13" i="1"/>
  <c r="CK14" i="173" s="1"/>
  <c r="AB13" i="1"/>
  <c r="BM14" i="173" s="1"/>
  <c r="N13" i="1"/>
  <c r="AB47" i="1"/>
  <c r="BM48" i="173" s="1"/>
  <c r="AC47" i="1"/>
  <c r="CK48" i="173" s="1"/>
  <c r="AD47" i="1"/>
  <c r="N47" i="1"/>
  <c r="AC27" i="1"/>
  <c r="CK28" i="173" s="1"/>
  <c r="AD27" i="1"/>
  <c r="AB27" i="1"/>
  <c r="BM28" i="173" s="1"/>
  <c r="N19" i="1"/>
  <c r="N27" i="1"/>
  <c r="N14" i="1"/>
  <c r="AE23" i="1" l="1"/>
  <c r="H23" i="1" s="1"/>
  <c r="H23" i="32" s="1"/>
  <c r="G25" i="178" s="1"/>
  <c r="AE12" i="1"/>
  <c r="AO13" i="173" s="1"/>
  <c r="AE22" i="1"/>
  <c r="AO23" i="173" s="1"/>
  <c r="AE30" i="1"/>
  <c r="H30" i="1" s="1"/>
  <c r="AE16" i="1"/>
  <c r="H16" i="1" s="1"/>
  <c r="H16" i="32" s="1"/>
  <c r="G18" i="178" s="1"/>
  <c r="AE20" i="1"/>
  <c r="H20" i="1" s="1"/>
  <c r="BN29" i="173"/>
  <c r="CL46" i="173"/>
  <c r="CS46" i="173"/>
  <c r="AE18" i="1"/>
  <c r="AO19" i="173" s="1"/>
  <c r="CS37" i="173"/>
  <c r="CL37" i="173"/>
  <c r="BN15" i="173"/>
  <c r="BN30" i="173"/>
  <c r="AE47" i="1"/>
  <c r="AO48" i="173" s="1"/>
  <c r="CL31" i="173"/>
  <c r="CS31" i="173"/>
  <c r="CL24" i="173"/>
  <c r="CS24" i="173"/>
  <c r="AE29" i="1"/>
  <c r="AO30" i="173" s="1"/>
  <c r="BN36" i="173"/>
  <c r="AE44" i="1"/>
  <c r="H44" i="1" s="1"/>
  <c r="BN48" i="173"/>
  <c r="CL47" i="173"/>
  <c r="CS47" i="173"/>
  <c r="BN14" i="173"/>
  <c r="BN39" i="173"/>
  <c r="BN37" i="173"/>
  <c r="CS22" i="173"/>
  <c r="CL22" i="173"/>
  <c r="CS19" i="173"/>
  <c r="CL19" i="173"/>
  <c r="N11" i="1"/>
  <c r="C79" i="14" s="1"/>
  <c r="AE14" i="1"/>
  <c r="AO15" i="173" s="1"/>
  <c r="BN20" i="173"/>
  <c r="BN17" i="173"/>
  <c r="CS18" i="173"/>
  <c r="CL18" i="173"/>
  <c r="AE38" i="1"/>
  <c r="H38" i="1" s="1"/>
  <c r="BN16" i="173"/>
  <c r="CS45" i="173"/>
  <c r="CL45" i="173"/>
  <c r="BN46" i="173"/>
  <c r="CS23" i="173"/>
  <c r="CL23" i="173"/>
  <c r="CL20" i="173"/>
  <c r="CS20" i="173"/>
  <c r="BN31" i="173"/>
  <c r="CL17" i="173"/>
  <c r="CS17" i="173"/>
  <c r="CS13" i="173"/>
  <c r="CL13" i="173"/>
  <c r="BN28" i="173"/>
  <c r="CS29" i="173"/>
  <c r="CL29" i="173"/>
  <c r="AE46" i="1"/>
  <c r="H46" i="1" s="1"/>
  <c r="BN23" i="173"/>
  <c r="AE28" i="1"/>
  <c r="H28" i="1" s="1"/>
  <c r="AE45" i="1"/>
  <c r="H45" i="1" s="1"/>
  <c r="CL14" i="173"/>
  <c r="CS14" i="173"/>
  <c r="AE13" i="1"/>
  <c r="AO14" i="173" s="1"/>
  <c r="AE19" i="1"/>
  <c r="H19" i="1" s="1"/>
  <c r="AE17" i="1"/>
  <c r="AO18" i="173" s="1"/>
  <c r="BN21" i="173"/>
  <c r="BN45" i="173"/>
  <c r="CL16" i="173"/>
  <c r="CS16" i="173"/>
  <c r="AE21" i="1"/>
  <c r="AO22" i="173" s="1"/>
  <c r="CS36" i="173"/>
  <c r="CL36" i="173"/>
  <c r="CS28" i="173"/>
  <c r="CL28" i="173"/>
  <c r="AE27" i="1"/>
  <c r="AO28" i="173" s="1"/>
  <c r="N10" i="1"/>
  <c r="C78" i="14" s="1"/>
  <c r="C17" i="14" s="1"/>
  <c r="CL30" i="173"/>
  <c r="CS30" i="173"/>
  <c r="CL21" i="173"/>
  <c r="CS21" i="173"/>
  <c r="AE36" i="1"/>
  <c r="H36" i="1" s="1"/>
  <c r="BN13" i="173"/>
  <c r="AE15" i="1"/>
  <c r="AO16" i="173" s="1"/>
  <c r="CS15" i="173"/>
  <c r="CL15" i="173"/>
  <c r="AE35" i="1"/>
  <c r="H35" i="1" s="1"/>
  <c r="BN18" i="173"/>
  <c r="CS39" i="173"/>
  <c r="CL39" i="173"/>
  <c r="CS48" i="173"/>
  <c r="CL48" i="173"/>
  <c r="BN24" i="173"/>
  <c r="BN47" i="173"/>
  <c r="BN19" i="173"/>
  <c r="BN22" i="173"/>
  <c r="AO24" i="173" l="1"/>
  <c r="AR24" i="173" s="1"/>
  <c r="H12" i="1"/>
  <c r="Y12" i="38" s="1"/>
  <c r="H22" i="1"/>
  <c r="Y22" i="38" s="1"/>
  <c r="Z22" i="38" s="1"/>
  <c r="Y16" i="38"/>
  <c r="S17" i="173" s="1"/>
  <c r="AO21" i="173"/>
  <c r="AS21" i="173" s="1"/>
  <c r="BV21" i="173" s="1"/>
  <c r="AO31" i="173"/>
  <c r="AR31" i="173" s="1"/>
  <c r="CC31" i="173" s="1"/>
  <c r="H30" i="32"/>
  <c r="Y30" i="38"/>
  <c r="S31" i="173" s="1"/>
  <c r="AO47" i="173"/>
  <c r="AR47" i="173" s="1"/>
  <c r="AO29" i="173"/>
  <c r="AR29" i="173" s="1"/>
  <c r="CD29" i="173" s="1"/>
  <c r="H29" i="1"/>
  <c r="Y29" i="38" s="1"/>
  <c r="Y23" i="38"/>
  <c r="S24" i="173" s="1"/>
  <c r="AA24" i="173" s="1"/>
  <c r="AI24" i="173" s="1"/>
  <c r="AO45" i="173"/>
  <c r="AS45" i="173" s="1"/>
  <c r="BV45" i="173" s="1"/>
  <c r="AO39" i="173"/>
  <c r="AR39" i="173" s="1"/>
  <c r="H14" i="1"/>
  <c r="Y14" i="38" s="1"/>
  <c r="H27" i="1"/>
  <c r="H27" i="32" s="1"/>
  <c r="G29" i="178" s="1"/>
  <c r="H15" i="1"/>
  <c r="Y15" i="38" s="1"/>
  <c r="AO17" i="173"/>
  <c r="AR14" i="173"/>
  <c r="CD14" i="173" s="1"/>
  <c r="AS14" i="173"/>
  <c r="BV14" i="173" s="1"/>
  <c r="H36" i="32"/>
  <c r="G38" i="178" s="1"/>
  <c r="Y36" i="38"/>
  <c r="AS16" i="173"/>
  <c r="BV16" i="173" s="1"/>
  <c r="AR16" i="173"/>
  <c r="CD16" i="173" s="1"/>
  <c r="H44" i="32"/>
  <c r="G46" i="178" s="1"/>
  <c r="Y44" i="38"/>
  <c r="AR30" i="173"/>
  <c r="AS30" i="173"/>
  <c r="BV30" i="173" s="1"/>
  <c r="AR18" i="173"/>
  <c r="CD18" i="173" s="1"/>
  <c r="AS18" i="173"/>
  <c r="AS48" i="173"/>
  <c r="BV48" i="173" s="1"/>
  <c r="AR48" i="173"/>
  <c r="AR22" i="173"/>
  <c r="AS22" i="173"/>
  <c r="AS28" i="173"/>
  <c r="BV28" i="173" s="1"/>
  <c r="AR28" i="173"/>
  <c r="CD28" i="173" s="1"/>
  <c r="CM46" i="173"/>
  <c r="CT46" i="173"/>
  <c r="H1" i="1"/>
  <c r="C18" i="28"/>
  <c r="BO29" i="173"/>
  <c r="BO24" i="173"/>
  <c r="AO20" i="173"/>
  <c r="BO19" i="173"/>
  <c r="H20" i="32"/>
  <c r="G22" i="178" s="1"/>
  <c r="Y20" i="38"/>
  <c r="Y38" i="38"/>
  <c r="H38" i="32"/>
  <c r="G40" i="178" s="1"/>
  <c r="I16" i="32"/>
  <c r="BO48" i="173"/>
  <c r="CT24" i="173"/>
  <c r="CM24" i="173"/>
  <c r="CT31" i="173"/>
  <c r="CM31" i="173"/>
  <c r="BO31" i="173"/>
  <c r="I23" i="32"/>
  <c r="BO47" i="173"/>
  <c r="CT15" i="173"/>
  <c r="CM15" i="173"/>
  <c r="CT14" i="173"/>
  <c r="CM14" i="173"/>
  <c r="H21" i="1"/>
  <c r="H13" i="1"/>
  <c r="AR13" i="173"/>
  <c r="CD13" i="173" s="1"/>
  <c r="AS13" i="173"/>
  <c r="BV13" i="173" s="1"/>
  <c r="BO18" i="173"/>
  <c r="AR19" i="173"/>
  <c r="AS19" i="173"/>
  <c r="CT17" i="173"/>
  <c r="CM17" i="173"/>
  <c r="H45" i="32"/>
  <c r="G47" i="178" s="1"/>
  <c r="Y45" i="38"/>
  <c r="BO16" i="173"/>
  <c r="BO14" i="173"/>
  <c r="BO36" i="173"/>
  <c r="H47" i="1"/>
  <c r="BO45" i="173"/>
  <c r="H28" i="32"/>
  <c r="G30" i="178" s="1"/>
  <c r="Y28" i="38"/>
  <c r="CM13" i="173"/>
  <c r="CT13" i="173"/>
  <c r="CM20" i="173"/>
  <c r="CT20" i="173"/>
  <c r="BO20" i="173"/>
  <c r="CT22" i="173"/>
  <c r="CM22" i="173"/>
  <c r="BO15" i="173"/>
  <c r="CT29" i="173"/>
  <c r="CM29" i="173"/>
  <c r="CM21" i="173"/>
  <c r="CT21" i="173"/>
  <c r="BO28" i="173"/>
  <c r="AR23" i="173"/>
  <c r="CD23" i="173" s="1"/>
  <c r="AS23" i="173"/>
  <c r="BV23" i="173" s="1"/>
  <c r="H18" i="1"/>
  <c r="BO30" i="173"/>
  <c r="H17" i="1"/>
  <c r="CM48" i="173"/>
  <c r="CT48" i="173"/>
  <c r="BO21" i="173"/>
  <c r="BO23" i="173"/>
  <c r="CS74" i="173"/>
  <c r="E25" i="174" s="1"/>
  <c r="CT23" i="173"/>
  <c r="CM23" i="173"/>
  <c r="AS15" i="173"/>
  <c r="BV15" i="173" s="1"/>
  <c r="AR15" i="173"/>
  <c r="CD15" i="173" s="1"/>
  <c r="BO46" i="173"/>
  <c r="CT18" i="173"/>
  <c r="CM18" i="173"/>
  <c r="Y35" i="38"/>
  <c r="H35" i="32"/>
  <c r="G37" i="178" s="1"/>
  <c r="CM45" i="173"/>
  <c r="CT45" i="173"/>
  <c r="BO17" i="173"/>
  <c r="H46" i="32"/>
  <c r="G48" i="178" s="1"/>
  <c r="Y46" i="38"/>
  <c r="AO37" i="173"/>
  <c r="BO37" i="173"/>
  <c r="CM36" i="173"/>
  <c r="CT36" i="173"/>
  <c r="BO39" i="173"/>
  <c r="H19" i="32"/>
  <c r="G21" i="178" s="1"/>
  <c r="Y19" i="38"/>
  <c r="CT19" i="173"/>
  <c r="CM19" i="173"/>
  <c r="CM30" i="173"/>
  <c r="CT30" i="173"/>
  <c r="CT16" i="173"/>
  <c r="CM16" i="173"/>
  <c r="AO36" i="173"/>
  <c r="BO13" i="173"/>
  <c r="BO22" i="173"/>
  <c r="CT39" i="173"/>
  <c r="CM39" i="173"/>
  <c r="CM28" i="173"/>
  <c r="CT28" i="173"/>
  <c r="AO46" i="173"/>
  <c r="CT47" i="173"/>
  <c r="CM47" i="173"/>
  <c r="CT37" i="173"/>
  <c r="CM37" i="173"/>
  <c r="AS24" i="173" l="1"/>
  <c r="BV24" i="173" s="1"/>
  <c r="G32" i="178"/>
  <c r="H12" i="32"/>
  <c r="G14" i="178" s="1"/>
  <c r="H22" i="32"/>
  <c r="S23" i="173"/>
  <c r="AA23" i="173" s="1"/>
  <c r="AI23" i="173" s="1"/>
  <c r="BE23" i="173" s="1"/>
  <c r="Z16" i="38"/>
  <c r="T17" i="173" s="1"/>
  <c r="AB17" i="173" s="1"/>
  <c r="AJ17" i="173" s="1"/>
  <c r="AS31" i="173"/>
  <c r="BU31" i="173" s="1"/>
  <c r="BD21" i="173"/>
  <c r="AV31" i="173"/>
  <c r="BU21" i="173"/>
  <c r="H14" i="32"/>
  <c r="BC21" i="173"/>
  <c r="I30" i="32"/>
  <c r="CD31" i="173"/>
  <c r="AR21" i="173"/>
  <c r="CD21" i="173" s="1"/>
  <c r="AU31" i="173"/>
  <c r="AS47" i="173"/>
  <c r="BW47" i="173" s="1"/>
  <c r="Z30" i="38"/>
  <c r="T31" i="173" s="1"/>
  <c r="AB31" i="173" s="1"/>
  <c r="AJ31" i="173" s="1"/>
  <c r="AS29" i="173"/>
  <c r="BC29" i="173" s="1"/>
  <c r="H29" i="32"/>
  <c r="Z23" i="38"/>
  <c r="T24" i="173" s="1"/>
  <c r="AB24" i="173" s="1"/>
  <c r="AJ24" i="173" s="1"/>
  <c r="Y27" i="38"/>
  <c r="S28" i="173" s="1"/>
  <c r="AS39" i="173"/>
  <c r="BV39" i="173" s="1"/>
  <c r="H15" i="32"/>
  <c r="AR45" i="173"/>
  <c r="CD45" i="173" s="1"/>
  <c r="AS17" i="173"/>
  <c r="BW17" i="173" s="1"/>
  <c r="AR17" i="173"/>
  <c r="CE17" i="173" s="1"/>
  <c r="Z20" i="38"/>
  <c r="S21" i="173"/>
  <c r="AR46" i="173"/>
  <c r="CE46" i="173" s="1"/>
  <c r="AS46" i="173"/>
  <c r="BW46" i="173" s="1"/>
  <c r="H17" i="32"/>
  <c r="G19" i="178" s="1"/>
  <c r="Y17" i="38"/>
  <c r="I44" i="32"/>
  <c r="AA17" i="173"/>
  <c r="AI17" i="173" s="1"/>
  <c r="AQ17" i="173"/>
  <c r="AQ24" i="173"/>
  <c r="CN45" i="173"/>
  <c r="CU45" i="173"/>
  <c r="BD15" i="173"/>
  <c r="BC15" i="173"/>
  <c r="BU15" i="173"/>
  <c r="BW15" i="173"/>
  <c r="CE15" i="173"/>
  <c r="BP15" i="173"/>
  <c r="S29" i="173"/>
  <c r="Z28" i="38"/>
  <c r="BP36" i="173"/>
  <c r="S13" i="173"/>
  <c r="Z12" i="38"/>
  <c r="CU15" i="173"/>
  <c r="CN15" i="173"/>
  <c r="CU31" i="173"/>
  <c r="CN31" i="173"/>
  <c r="S39" i="173"/>
  <c r="Z38" i="38"/>
  <c r="AS20" i="173"/>
  <c r="BW20" i="173" s="1"/>
  <c r="AR20" i="173"/>
  <c r="CE20" i="173" s="1"/>
  <c r="BD28" i="173"/>
  <c r="BC28" i="173"/>
  <c r="BU28" i="173"/>
  <c r="AV39" i="173"/>
  <c r="AU39" i="173"/>
  <c r="CC39" i="173"/>
  <c r="AV47" i="173"/>
  <c r="AU47" i="173"/>
  <c r="CC47" i="173"/>
  <c r="H13" i="32"/>
  <c r="G15" i="178" s="1"/>
  <c r="Y13" i="38"/>
  <c r="CD47" i="173"/>
  <c r="CU39" i="173"/>
  <c r="CN39" i="173"/>
  <c r="CU30" i="173"/>
  <c r="CN30" i="173"/>
  <c r="CD39" i="173"/>
  <c r="S47" i="173"/>
  <c r="Z46" i="38"/>
  <c r="CU29" i="173"/>
  <c r="CN29" i="173"/>
  <c r="BW16" i="173"/>
  <c r="CE16" i="173"/>
  <c r="BP16" i="173"/>
  <c r="CU17" i="173"/>
  <c r="CN17" i="173"/>
  <c r="CE47" i="173"/>
  <c r="BP47" i="173"/>
  <c r="BW48" i="173"/>
  <c r="CE48" i="173"/>
  <c r="BP48" i="173"/>
  <c r="AU48" i="173"/>
  <c r="AV48" i="173"/>
  <c r="CC48" i="173"/>
  <c r="BD16" i="173"/>
  <c r="BC16" i="173"/>
  <c r="BU16" i="173"/>
  <c r="BP37" i="173"/>
  <c r="CU48" i="173"/>
  <c r="CN48" i="173"/>
  <c r="I27" i="32"/>
  <c r="BD13" i="173"/>
  <c r="BC13" i="173"/>
  <c r="BU13" i="173"/>
  <c r="BD22" i="173"/>
  <c r="BC22" i="173"/>
  <c r="BU22" i="173"/>
  <c r="BP14" i="173"/>
  <c r="CE14" i="173"/>
  <c r="BW14" i="173"/>
  <c r="AV22" i="173"/>
  <c r="AU22" i="173"/>
  <c r="CC22" i="173"/>
  <c r="I46" i="32"/>
  <c r="BP46" i="173"/>
  <c r="BW21" i="173"/>
  <c r="BP21" i="173"/>
  <c r="H18" i="32"/>
  <c r="G20" i="178" s="1"/>
  <c r="Y18" i="38"/>
  <c r="BP20" i="173"/>
  <c r="BD45" i="173"/>
  <c r="BC45" i="173"/>
  <c r="BU45" i="173"/>
  <c r="BC48" i="173"/>
  <c r="BD48" i="173"/>
  <c r="BU48" i="173"/>
  <c r="S37" i="173"/>
  <c r="AA37" i="173" s="1"/>
  <c r="AI37" i="173" s="1"/>
  <c r="Z36" i="38"/>
  <c r="CE24" i="173"/>
  <c r="BW24" i="173"/>
  <c r="BP24" i="173"/>
  <c r="I19" i="32"/>
  <c r="BW30" i="173"/>
  <c r="BP30" i="173"/>
  <c r="CE30" i="173"/>
  <c r="AV16" i="173"/>
  <c r="AU16" i="173"/>
  <c r="CC16" i="173"/>
  <c r="CU21" i="173"/>
  <c r="CN21" i="173"/>
  <c r="S30" i="173"/>
  <c r="Z29" i="38"/>
  <c r="H21" i="32"/>
  <c r="G23" i="178" s="1"/>
  <c r="Y21" i="38"/>
  <c r="CD48" i="173"/>
  <c r="BC18" i="173"/>
  <c r="BD18" i="173"/>
  <c r="BU18" i="173"/>
  <c r="I36" i="32"/>
  <c r="I28" i="32"/>
  <c r="AV30" i="173"/>
  <c r="AU30" i="173"/>
  <c r="CC30" i="173"/>
  <c r="Z19" i="38"/>
  <c r="S20" i="173"/>
  <c r="AA20" i="173" s="1"/>
  <c r="AI20" i="173" s="1"/>
  <c r="S36" i="173"/>
  <c r="AA36" i="173" s="1"/>
  <c r="AI36" i="173" s="1"/>
  <c r="Z35" i="38"/>
  <c r="BW45" i="173"/>
  <c r="BP45" i="173"/>
  <c r="I20" i="32"/>
  <c r="CN22" i="173"/>
  <c r="CU22" i="173"/>
  <c r="Y47" i="38"/>
  <c r="H47" i="32"/>
  <c r="G49" i="178" s="1"/>
  <c r="Z14" i="38"/>
  <c r="S15" i="173"/>
  <c r="CU19" i="173"/>
  <c r="CN19" i="173"/>
  <c r="CU20" i="173"/>
  <c r="CN20" i="173"/>
  <c r="S46" i="173"/>
  <c r="AA46" i="173" s="1"/>
  <c r="AI46" i="173" s="1"/>
  <c r="Z45" i="38"/>
  <c r="BC19" i="173"/>
  <c r="BD19" i="173"/>
  <c r="BU19" i="173"/>
  <c r="CN14" i="173"/>
  <c r="CU14" i="173"/>
  <c r="BP31" i="173"/>
  <c r="CE31" i="173"/>
  <c r="BW19" i="173"/>
  <c r="CE19" i="173"/>
  <c r="BP19" i="173"/>
  <c r="AU18" i="173"/>
  <c r="AV18" i="173"/>
  <c r="CC18" i="173"/>
  <c r="I35" i="32"/>
  <c r="BW18" i="173"/>
  <c r="BP18" i="173"/>
  <c r="CE18" i="173"/>
  <c r="S45" i="173"/>
  <c r="Z44" i="38"/>
  <c r="CN16" i="173"/>
  <c r="CU16" i="173"/>
  <c r="CU18" i="173"/>
  <c r="CN18" i="173"/>
  <c r="AS37" i="173"/>
  <c r="BW37" i="173" s="1"/>
  <c r="AR37" i="173"/>
  <c r="BP29" i="173"/>
  <c r="CE29" i="173"/>
  <c r="CU37" i="173"/>
  <c r="CN37" i="173"/>
  <c r="BV22" i="173"/>
  <c r="CU36" i="173"/>
  <c r="CN36" i="173"/>
  <c r="CD22" i="173"/>
  <c r="CN47" i="173"/>
  <c r="CU47" i="173"/>
  <c r="BP17" i="173"/>
  <c r="AV23" i="173"/>
  <c r="AU23" i="173"/>
  <c r="CC23" i="173"/>
  <c r="CT74" i="173"/>
  <c r="F25" i="174" s="1"/>
  <c r="AA22" i="38"/>
  <c r="T23" i="173"/>
  <c r="AB23" i="173" s="1"/>
  <c r="AJ23" i="173" s="1"/>
  <c r="I45" i="32"/>
  <c r="AU19" i="173"/>
  <c r="AV19" i="173"/>
  <c r="CC19" i="173"/>
  <c r="CD19" i="173"/>
  <c r="CN46" i="173"/>
  <c r="CU46" i="173"/>
  <c r="BC14" i="173"/>
  <c r="BD14" i="173"/>
  <c r="BU14" i="173"/>
  <c r="AU24" i="173"/>
  <c r="AV24" i="173"/>
  <c r="CC24" i="173"/>
  <c r="CU23" i="173"/>
  <c r="CN23" i="173"/>
  <c r="AS36" i="173"/>
  <c r="AR36" i="173"/>
  <c r="S16" i="173"/>
  <c r="Z15" i="38"/>
  <c r="AW24" i="173"/>
  <c r="BE24" i="173"/>
  <c r="AV13" i="173"/>
  <c r="AU13" i="173"/>
  <c r="CC13" i="173"/>
  <c r="CD24" i="173"/>
  <c r="CE23" i="173"/>
  <c r="BP23" i="173"/>
  <c r="BW23" i="173"/>
  <c r="CU24" i="173"/>
  <c r="CN24" i="173"/>
  <c r="CU28" i="173"/>
  <c r="CN28" i="173"/>
  <c r="BP39" i="173"/>
  <c r="CE39" i="173"/>
  <c r="CD30" i="173"/>
  <c r="BD23" i="173"/>
  <c r="BC23" i="173"/>
  <c r="BU23" i="173"/>
  <c r="CE22" i="173"/>
  <c r="BP22" i="173"/>
  <c r="BW22" i="173"/>
  <c r="AA31" i="173"/>
  <c r="AI31" i="173" s="1"/>
  <c r="AQ31" i="173"/>
  <c r="AV15" i="173"/>
  <c r="AU15" i="173"/>
  <c r="CC15" i="173"/>
  <c r="AV29" i="173"/>
  <c r="AU29" i="173"/>
  <c r="CC29" i="173"/>
  <c r="CE13" i="173"/>
  <c r="BP13" i="173"/>
  <c r="BW13" i="173"/>
  <c r="BD24" i="173"/>
  <c r="BC24" i="173"/>
  <c r="BU24" i="173"/>
  <c r="CE28" i="173"/>
  <c r="BW28" i="173"/>
  <c r="BP28" i="173"/>
  <c r="CU13" i="173"/>
  <c r="CN13" i="173"/>
  <c r="I12" i="32"/>
  <c r="BV18" i="173"/>
  <c r="I38" i="32"/>
  <c r="BV19" i="173"/>
  <c r="AV28" i="173"/>
  <c r="AU28" i="173"/>
  <c r="CC28" i="173"/>
  <c r="BC30" i="173"/>
  <c r="BD30" i="173"/>
  <c r="BU30" i="173"/>
  <c r="AU14" i="173"/>
  <c r="AV14" i="173"/>
  <c r="CC14" i="173"/>
  <c r="AW23" i="173" l="1"/>
  <c r="I29" i="32"/>
  <c r="G31" i="178"/>
  <c r="G16" i="178"/>
  <c r="I15" i="32"/>
  <c r="G17" i="178"/>
  <c r="I22" i="32"/>
  <c r="G24" i="178"/>
  <c r="AA16" i="38"/>
  <c r="U17" i="173" s="1"/>
  <c r="AC17" i="173" s="1"/>
  <c r="AK17" i="173" s="1"/>
  <c r="BW31" i="173"/>
  <c r="AQ23" i="173"/>
  <c r="BD31" i="173"/>
  <c r="BC31" i="173"/>
  <c r="BV31" i="173"/>
  <c r="CE21" i="173"/>
  <c r="I14" i="32"/>
  <c r="BU47" i="173"/>
  <c r="BC47" i="173"/>
  <c r="AA30" i="38"/>
  <c r="AB30" i="38" s="1"/>
  <c r="BD47" i="173"/>
  <c r="CC21" i="173"/>
  <c r="AV21" i="173"/>
  <c r="BV47" i="173"/>
  <c r="AU21" i="173"/>
  <c r="BV29" i="173"/>
  <c r="BW29" i="173"/>
  <c r="BD29" i="173"/>
  <c r="BU29" i="173"/>
  <c r="AA23" i="38"/>
  <c r="AB23" i="38" s="1"/>
  <c r="Z27" i="38"/>
  <c r="T28" i="173" s="1"/>
  <c r="AB28" i="173" s="1"/>
  <c r="AJ28" i="173" s="1"/>
  <c r="CE45" i="173"/>
  <c r="AV45" i="173"/>
  <c r="BU39" i="173"/>
  <c r="BC39" i="173"/>
  <c r="BD39" i="173"/>
  <c r="AQ37" i="173"/>
  <c r="AQ36" i="173"/>
  <c r="BW39" i="173"/>
  <c r="CC45" i="173"/>
  <c r="AU45" i="173"/>
  <c r="CC17" i="173"/>
  <c r="CD17" i="173"/>
  <c r="AU17" i="173"/>
  <c r="AV17" i="173"/>
  <c r="BC17" i="173"/>
  <c r="BU17" i="173"/>
  <c r="BV17" i="173"/>
  <c r="BD17" i="173"/>
  <c r="AA15" i="38"/>
  <c r="T16" i="173"/>
  <c r="AB16" i="173" s="1"/>
  <c r="AJ16" i="173" s="1"/>
  <c r="CV17" i="173"/>
  <c r="CO17" i="173"/>
  <c r="CW17" i="173" s="1"/>
  <c r="AW17" i="173"/>
  <c r="BE17" i="173"/>
  <c r="CF22" i="173"/>
  <c r="BQ22" i="173"/>
  <c r="BX22" i="173"/>
  <c r="CO48" i="173"/>
  <c r="CW48" i="173" s="1"/>
  <c r="CV48" i="173"/>
  <c r="S48" i="173"/>
  <c r="Z47" i="38"/>
  <c r="BQ30" i="173"/>
  <c r="CF30" i="173"/>
  <c r="BX30" i="173"/>
  <c r="AW37" i="173"/>
  <c r="BE37" i="173"/>
  <c r="S14" i="173"/>
  <c r="Z13" i="38"/>
  <c r="Z17" i="38"/>
  <c r="S18" i="173"/>
  <c r="BC36" i="173"/>
  <c r="BD36" i="173"/>
  <c r="BU36" i="173"/>
  <c r="BV36" i="173"/>
  <c r="CV46" i="173"/>
  <c r="CO46" i="173"/>
  <c r="CW46" i="173" s="1"/>
  <c r="CO37" i="173"/>
  <c r="CW37" i="173" s="1"/>
  <c r="CV37" i="173"/>
  <c r="BE46" i="173"/>
  <c r="AW46" i="173"/>
  <c r="CO47" i="173"/>
  <c r="CW47" i="173" s="1"/>
  <c r="CV47" i="173"/>
  <c r="BQ18" i="173"/>
  <c r="BX18" i="173"/>
  <c r="CF18" i="173"/>
  <c r="BE31" i="173"/>
  <c r="AW31" i="173"/>
  <c r="BF17" i="173"/>
  <c r="AX17" i="173"/>
  <c r="BF23" i="173"/>
  <c r="AX23" i="173"/>
  <c r="BF31" i="173"/>
  <c r="AX31" i="173"/>
  <c r="AV37" i="173"/>
  <c r="AU37" i="173"/>
  <c r="CC37" i="173"/>
  <c r="CD37" i="173"/>
  <c r="CO14" i="173"/>
  <c r="CW14" i="173" s="1"/>
  <c r="CV14" i="173"/>
  <c r="AA15" i="173"/>
  <c r="AI15" i="173" s="1"/>
  <c r="AQ15" i="173"/>
  <c r="AA39" i="173"/>
  <c r="AI39" i="173" s="1"/>
  <c r="M22" i="175" s="1"/>
  <c r="AQ39" i="173"/>
  <c r="CF15" i="173"/>
  <c r="BX15" i="173"/>
  <c r="BQ15" i="173"/>
  <c r="CO24" i="173"/>
  <c r="CW24" i="173" s="1"/>
  <c r="CV24" i="173"/>
  <c r="T36" i="173"/>
  <c r="AB36" i="173" s="1"/>
  <c r="AJ36" i="173" s="1"/>
  <c r="AA35" i="38"/>
  <c r="T37" i="173"/>
  <c r="AB37" i="173" s="1"/>
  <c r="AJ37" i="173" s="1"/>
  <c r="AA36" i="38"/>
  <c r="CO15" i="173"/>
  <c r="CW15" i="173" s="1"/>
  <c r="CV15" i="173"/>
  <c r="T20" i="173"/>
  <c r="AB20" i="173" s="1"/>
  <c r="AJ20" i="173" s="1"/>
  <c r="AA19" i="38"/>
  <c r="I17" i="32"/>
  <c r="CO13" i="173"/>
  <c r="CW13" i="173" s="1"/>
  <c r="CV13" i="173"/>
  <c r="CO23" i="173"/>
  <c r="CW23" i="173" s="1"/>
  <c r="CV23" i="173"/>
  <c r="CO16" i="173"/>
  <c r="CW16" i="173" s="1"/>
  <c r="CV16" i="173"/>
  <c r="I21" i="32"/>
  <c r="CE37" i="173"/>
  <c r="CV29" i="173"/>
  <c r="CO29" i="173"/>
  <c r="CW29" i="173" s="1"/>
  <c r="AA13" i="173"/>
  <c r="AQ13" i="173"/>
  <c r="BC46" i="173"/>
  <c r="BD46" i="173"/>
  <c r="BU46" i="173"/>
  <c r="BV46" i="173"/>
  <c r="I47" i="32"/>
  <c r="AV36" i="173"/>
  <c r="AU36" i="173"/>
  <c r="CC36" i="173"/>
  <c r="CD36" i="173"/>
  <c r="AW20" i="173"/>
  <c r="BE20" i="173"/>
  <c r="BX19" i="173"/>
  <c r="CF19" i="173"/>
  <c r="BQ19" i="173"/>
  <c r="T13" i="173"/>
  <c r="AB13" i="173" s="1"/>
  <c r="AA12" i="38"/>
  <c r="T45" i="173"/>
  <c r="AB45" i="173" s="1"/>
  <c r="AJ45" i="173" s="1"/>
  <c r="AA44" i="38"/>
  <c r="T30" i="173"/>
  <c r="AB30" i="173" s="1"/>
  <c r="AJ30" i="173" s="1"/>
  <c r="AA29" i="38"/>
  <c r="BQ46" i="173"/>
  <c r="CF46" i="173"/>
  <c r="BX46" i="173"/>
  <c r="BQ37" i="173"/>
  <c r="CF37" i="173"/>
  <c r="BX37" i="173"/>
  <c r="BX48" i="173"/>
  <c r="BQ48" i="173"/>
  <c r="CF48" i="173"/>
  <c r="BQ36" i="173"/>
  <c r="BX36" i="173"/>
  <c r="CF36" i="173"/>
  <c r="AV46" i="173"/>
  <c r="AU46" i="173"/>
  <c r="CC46" i="173"/>
  <c r="CD46" i="173"/>
  <c r="AA16" i="173"/>
  <c r="AI16" i="173" s="1"/>
  <c r="AQ16" i="173"/>
  <c r="AA45" i="173"/>
  <c r="AI45" i="173" s="1"/>
  <c r="AQ45" i="173"/>
  <c r="CV20" i="173"/>
  <c r="CO20" i="173"/>
  <c r="CW20" i="173" s="1"/>
  <c r="CO22" i="173"/>
  <c r="CW22" i="173" s="1"/>
  <c r="CV22" i="173"/>
  <c r="AA30" i="173"/>
  <c r="AI30" i="173" s="1"/>
  <c r="AQ30" i="173"/>
  <c r="AA46" i="38"/>
  <c r="T47" i="173"/>
  <c r="AB47" i="173" s="1"/>
  <c r="AJ47" i="173" s="1"/>
  <c r="AU20" i="173"/>
  <c r="AV20" i="173"/>
  <c r="CC20" i="173"/>
  <c r="CD20" i="173"/>
  <c r="CE36" i="173"/>
  <c r="AQ46" i="173"/>
  <c r="T15" i="173"/>
  <c r="AB15" i="173" s="1"/>
  <c r="AJ15" i="173" s="1"/>
  <c r="AA14" i="38"/>
  <c r="CV31" i="173"/>
  <c r="CO31" i="173"/>
  <c r="CW31" i="173" s="1"/>
  <c r="CV36" i="173"/>
  <c r="CO36" i="173"/>
  <c r="CW36" i="173" s="1"/>
  <c r="CO18" i="173"/>
  <c r="CW18" i="173" s="1"/>
  <c r="CV18" i="173"/>
  <c r="BX16" i="173"/>
  <c r="CF16" i="173"/>
  <c r="BQ16" i="173"/>
  <c r="BQ23" i="173"/>
  <c r="BX23" i="173"/>
  <c r="CF23" i="173"/>
  <c r="AA28" i="173"/>
  <c r="AI28" i="173" s="1"/>
  <c r="AQ28" i="173"/>
  <c r="I13" i="32"/>
  <c r="CU74" i="173"/>
  <c r="G25" i="174" s="1"/>
  <c r="CF28" i="173"/>
  <c r="BX28" i="173"/>
  <c r="BQ28" i="173"/>
  <c r="CF17" i="173"/>
  <c r="BX17" i="173"/>
  <c r="BQ17" i="173"/>
  <c r="CV21" i="173"/>
  <c r="CO21" i="173"/>
  <c r="CW21" i="173" s="1"/>
  <c r="AA47" i="173"/>
  <c r="AI47" i="173" s="1"/>
  <c r="AQ47" i="173"/>
  <c r="BC20" i="173"/>
  <c r="BD20" i="173"/>
  <c r="BU20" i="173"/>
  <c r="BV20" i="173"/>
  <c r="BW36" i="173"/>
  <c r="AA21" i="173"/>
  <c r="AI21" i="173" s="1"/>
  <c r="AQ21" i="173"/>
  <c r="Z18" i="38"/>
  <c r="S19" i="173"/>
  <c r="I18" i="32"/>
  <c r="BX39" i="173"/>
  <c r="BQ39" i="173"/>
  <c r="CF39" i="173"/>
  <c r="CF31" i="173"/>
  <c r="BX31" i="173"/>
  <c r="BQ31" i="173"/>
  <c r="BF24" i="173"/>
  <c r="AX24" i="173"/>
  <c r="AQ20" i="173"/>
  <c r="T29" i="173"/>
  <c r="AB29" i="173" s="1"/>
  <c r="AJ29" i="173" s="1"/>
  <c r="AA28" i="38"/>
  <c r="CV45" i="173"/>
  <c r="CO45" i="173"/>
  <c r="CW45" i="173" s="1"/>
  <c r="AA20" i="38"/>
  <c r="T21" i="173"/>
  <c r="AB21" i="173" s="1"/>
  <c r="AJ21" i="173" s="1"/>
  <c r="AB22" i="38"/>
  <c r="U23" i="173"/>
  <c r="AC23" i="173" s="1"/>
  <c r="AK23" i="173" s="1"/>
  <c r="CO39" i="173"/>
  <c r="CW39" i="173" s="1"/>
  <c r="CV39" i="173"/>
  <c r="BD37" i="173"/>
  <c r="BC37" i="173"/>
  <c r="BU37" i="173"/>
  <c r="BV37" i="173"/>
  <c r="CF13" i="173"/>
  <c r="BX13" i="173"/>
  <c r="BQ13" i="173"/>
  <c r="BE36" i="173"/>
  <c r="AW36" i="173"/>
  <c r="T46" i="173"/>
  <c r="AB46" i="173" s="1"/>
  <c r="AJ46" i="173" s="1"/>
  <c r="AA45" i="38"/>
  <c r="BX21" i="173"/>
  <c r="CF21" i="173"/>
  <c r="BQ21" i="173"/>
  <c r="Z21" i="38"/>
  <c r="S22" i="173"/>
  <c r="BX14" i="173"/>
  <c r="CF14" i="173"/>
  <c r="BQ14" i="173"/>
  <c r="CV19" i="173"/>
  <c r="CO19" i="173"/>
  <c r="CW19" i="173" s="1"/>
  <c r="CV28" i="173"/>
  <c r="CO28" i="173"/>
  <c r="CW28" i="173" s="1"/>
  <c r="BX29" i="173"/>
  <c r="BQ29" i="173"/>
  <c r="CF29" i="173"/>
  <c r="BQ45" i="173"/>
  <c r="CF45" i="173"/>
  <c r="BX45" i="173"/>
  <c r="BQ24" i="173"/>
  <c r="BX24" i="173"/>
  <c r="CF24" i="173"/>
  <c r="BQ20" i="173"/>
  <c r="BX20" i="173"/>
  <c r="CF20" i="173"/>
  <c r="BQ47" i="173"/>
  <c r="CF47" i="173"/>
  <c r="BX47" i="173"/>
  <c r="CV30" i="173"/>
  <c r="CO30" i="173"/>
  <c r="CW30" i="173" s="1"/>
  <c r="AA38" i="38"/>
  <c r="T39" i="173"/>
  <c r="AB39" i="173" s="1"/>
  <c r="AJ39" i="173" s="1"/>
  <c r="AA29" i="173"/>
  <c r="AI29" i="173" s="1"/>
  <c r="AQ29" i="173"/>
  <c r="AB16" i="38" l="1"/>
  <c r="AC16" i="38" s="1"/>
  <c r="W17" i="173" s="1"/>
  <c r="AE17" i="173" s="1"/>
  <c r="AM17" i="173" s="1"/>
  <c r="U31" i="173"/>
  <c r="AC31" i="173" s="1"/>
  <c r="AK31" i="173" s="1"/>
  <c r="BG31" i="173" s="1"/>
  <c r="AA27" i="38"/>
  <c r="U28" i="173" s="1"/>
  <c r="AC28" i="173" s="1"/>
  <c r="AK28" i="173" s="1"/>
  <c r="U24" i="173"/>
  <c r="AC24" i="173" s="1"/>
  <c r="AK24" i="173" s="1"/>
  <c r="AY24" i="173" s="1"/>
  <c r="BW74" i="173"/>
  <c r="G10" i="174" s="1"/>
  <c r="AV74" i="173"/>
  <c r="D23" i="174" s="1"/>
  <c r="CE74" i="173"/>
  <c r="G24" i="174" s="1"/>
  <c r="BV74" i="173"/>
  <c r="F10" i="174" s="1"/>
  <c r="BU74" i="173"/>
  <c r="E10" i="174" s="1"/>
  <c r="I10" i="32"/>
  <c r="C45" i="14" s="1"/>
  <c r="C8" i="14" s="1"/>
  <c r="C4" i="14" s="1"/>
  <c r="D2" i="28" s="1"/>
  <c r="BD74" i="173"/>
  <c r="D9" i="174" s="1"/>
  <c r="CC74" i="173"/>
  <c r="E24" i="174" s="1"/>
  <c r="BC74" i="173"/>
  <c r="C9" i="174" s="1"/>
  <c r="AU74" i="173"/>
  <c r="C23" i="174" s="1"/>
  <c r="CV74" i="173"/>
  <c r="H25" i="174" s="1"/>
  <c r="BG17" i="173"/>
  <c r="AY17" i="173"/>
  <c r="BY22" i="173"/>
  <c r="CG22" i="173"/>
  <c r="AB29" i="38"/>
  <c r="U30" i="173"/>
  <c r="AC30" i="173" s="1"/>
  <c r="AK30" i="173" s="1"/>
  <c r="AI13" i="173"/>
  <c r="CG23" i="173"/>
  <c r="BY23" i="173"/>
  <c r="AC30" i="38"/>
  <c r="W31" i="173" s="1"/>
  <c r="AE31" i="173" s="1"/>
  <c r="AM31" i="173" s="1"/>
  <c r="V31" i="173"/>
  <c r="AD31" i="173" s="1"/>
  <c r="AL31" i="173" s="1"/>
  <c r="BY20" i="173"/>
  <c r="CG20" i="173"/>
  <c r="AX39" i="173"/>
  <c r="BF39" i="173"/>
  <c r="AB46" i="38"/>
  <c r="U47" i="173"/>
  <c r="AC47" i="173" s="1"/>
  <c r="AK47" i="173" s="1"/>
  <c r="CG37" i="173"/>
  <c r="BY37" i="173"/>
  <c r="AB35" i="38"/>
  <c r="U36" i="173"/>
  <c r="AC36" i="173" s="1"/>
  <c r="AK36" i="173" s="1"/>
  <c r="AW28" i="173"/>
  <c r="BE28" i="173"/>
  <c r="BY15" i="173"/>
  <c r="CG15" i="173"/>
  <c r="BY47" i="173"/>
  <c r="CG47" i="173"/>
  <c r="CG29" i="173"/>
  <c r="BY29" i="173"/>
  <c r="CF74" i="173"/>
  <c r="H24" i="174" s="1"/>
  <c r="BY39" i="173"/>
  <c r="CG39" i="173"/>
  <c r="CG28" i="173"/>
  <c r="BY28" i="173"/>
  <c r="CG16" i="173"/>
  <c r="BY16" i="173"/>
  <c r="CG36" i="173"/>
  <c r="BY36" i="173"/>
  <c r="U45" i="173"/>
  <c r="AC45" i="173" s="1"/>
  <c r="AK45" i="173" s="1"/>
  <c r="AB44" i="38"/>
  <c r="U20" i="173"/>
  <c r="AC20" i="173" s="1"/>
  <c r="AK20" i="173" s="1"/>
  <c r="AB19" i="38"/>
  <c r="BY18" i="173"/>
  <c r="CG18" i="173"/>
  <c r="BF28" i="173"/>
  <c r="AX28" i="173"/>
  <c r="U15" i="173"/>
  <c r="AC15" i="173" s="1"/>
  <c r="AK15" i="173" s="1"/>
  <c r="AB14" i="38"/>
  <c r="BF15" i="173"/>
  <c r="AX15" i="173"/>
  <c r="AA21" i="38"/>
  <c r="T22" i="173"/>
  <c r="AB22" i="173" s="1"/>
  <c r="AJ22" i="173" s="1"/>
  <c r="BY21" i="173"/>
  <c r="CG21" i="173"/>
  <c r="CD74" i="173"/>
  <c r="F24" i="174" s="1"/>
  <c r="AX45" i="173"/>
  <c r="BF45" i="173"/>
  <c r="AX20" i="173"/>
  <c r="BF20" i="173"/>
  <c r="CG31" i="173"/>
  <c r="BY31" i="173"/>
  <c r="CW74" i="173"/>
  <c r="I25" i="174" s="1"/>
  <c r="CG45" i="173"/>
  <c r="BY45" i="173"/>
  <c r="U21" i="173"/>
  <c r="AC21" i="173" s="1"/>
  <c r="AK21" i="173" s="1"/>
  <c r="AB20" i="38"/>
  <c r="U29" i="173"/>
  <c r="AC29" i="173" s="1"/>
  <c r="AK29" i="173" s="1"/>
  <c r="AB28" i="38"/>
  <c r="AW47" i="173"/>
  <c r="BE47" i="173"/>
  <c r="BE45" i="173"/>
  <c r="AW45" i="173"/>
  <c r="BY48" i="173"/>
  <c r="CG48" i="173"/>
  <c r="U13" i="173"/>
  <c r="AC13" i="173" s="1"/>
  <c r="AB12" i="38"/>
  <c r="BE39" i="173"/>
  <c r="AW39" i="173"/>
  <c r="AA18" i="173"/>
  <c r="AI18" i="173" s="1"/>
  <c r="AQ18" i="173"/>
  <c r="CG30" i="173"/>
  <c r="BY30" i="173"/>
  <c r="BY24" i="173"/>
  <c r="CG24" i="173"/>
  <c r="BG23" i="173"/>
  <c r="AY23" i="173"/>
  <c r="V23" i="173"/>
  <c r="AD23" i="173" s="1"/>
  <c r="AL23" i="173" s="1"/>
  <c r="AC22" i="38"/>
  <c r="W23" i="173" s="1"/>
  <c r="AE23" i="173" s="1"/>
  <c r="AM23" i="173" s="1"/>
  <c r="BY46" i="173"/>
  <c r="CG46" i="173"/>
  <c r="CG13" i="173"/>
  <c r="BY13" i="173"/>
  <c r="AA22" i="173"/>
  <c r="AI22" i="173" s="1"/>
  <c r="AQ22" i="173"/>
  <c r="AX29" i="173"/>
  <c r="BF29" i="173"/>
  <c r="AJ13" i="173"/>
  <c r="AA17" i="38"/>
  <c r="T18" i="173"/>
  <c r="AB18" i="173" s="1"/>
  <c r="AJ18" i="173" s="1"/>
  <c r="AA47" i="38"/>
  <c r="T48" i="173"/>
  <c r="AB48" i="173" s="1"/>
  <c r="AJ48" i="173" s="1"/>
  <c r="BF16" i="173"/>
  <c r="AX16" i="173"/>
  <c r="N22" i="175"/>
  <c r="BF36" i="173"/>
  <c r="AX36" i="173"/>
  <c r="CG17" i="173"/>
  <c r="BY17" i="173"/>
  <c r="AX21" i="173"/>
  <c r="BF21" i="173"/>
  <c r="BX74" i="173"/>
  <c r="H10" i="174" s="1"/>
  <c r="AB36" i="38"/>
  <c r="U37" i="173"/>
  <c r="AC37" i="173" s="1"/>
  <c r="AK37" i="173" s="1"/>
  <c r="BE15" i="173"/>
  <c r="AW15" i="173"/>
  <c r="T14" i="173"/>
  <c r="AB14" i="173" s="1"/>
  <c r="AJ14" i="173" s="1"/>
  <c r="AA13" i="38"/>
  <c r="AA48" i="173"/>
  <c r="AI48" i="173" s="1"/>
  <c r="AQ48" i="173"/>
  <c r="U16" i="173"/>
  <c r="AC16" i="173" s="1"/>
  <c r="AK16" i="173" s="1"/>
  <c r="AB15" i="38"/>
  <c r="U39" i="173"/>
  <c r="AC39" i="173" s="1"/>
  <c r="AK39" i="173" s="1"/>
  <c r="AB38" i="38"/>
  <c r="BE21" i="173"/>
  <c r="AW21" i="173"/>
  <c r="BY14" i="173"/>
  <c r="CG14" i="173"/>
  <c r="BE30" i="173"/>
  <c r="AW30" i="173"/>
  <c r="BF30" i="173"/>
  <c r="AX30" i="173"/>
  <c r="AB45" i="38"/>
  <c r="U46" i="173"/>
  <c r="AC46" i="173" s="1"/>
  <c r="AK46" i="173" s="1"/>
  <c r="AA19" i="173"/>
  <c r="AI19" i="173" s="1"/>
  <c r="AQ19" i="173"/>
  <c r="CG19" i="173"/>
  <c r="BY19" i="173"/>
  <c r="AW29" i="173"/>
  <c r="BE29" i="173"/>
  <c r="BF46" i="173"/>
  <c r="AX46" i="173"/>
  <c r="T19" i="173"/>
  <c r="AB19" i="173" s="1"/>
  <c r="AJ19" i="173" s="1"/>
  <c r="AA18" i="38"/>
  <c r="V24" i="173"/>
  <c r="AD24" i="173" s="1"/>
  <c r="AL24" i="173" s="1"/>
  <c r="AC23" i="38"/>
  <c r="W24" i="173" s="1"/>
  <c r="AE24" i="173" s="1"/>
  <c r="AM24" i="173" s="1"/>
  <c r="BF47" i="173"/>
  <c r="AX47" i="173"/>
  <c r="AW16" i="173"/>
  <c r="BE16" i="173"/>
  <c r="BF37" i="173"/>
  <c r="AX37" i="173"/>
  <c r="AA14" i="173"/>
  <c r="AI14" i="173" s="1"/>
  <c r="AQ14" i="173"/>
  <c r="AY31" i="173" l="1"/>
  <c r="V17" i="173"/>
  <c r="AD17" i="173" s="1"/>
  <c r="AL17" i="173" s="1"/>
  <c r="AZ17" i="173" s="1"/>
  <c r="AB27" i="38"/>
  <c r="AC27" i="38" s="1"/>
  <c r="W28" i="173" s="1"/>
  <c r="AE28" i="173" s="1"/>
  <c r="AM28" i="173" s="1"/>
  <c r="BG24" i="173"/>
  <c r="I1" i="32"/>
  <c r="C8" i="28"/>
  <c r="BF18" i="173"/>
  <c r="AX18" i="173"/>
  <c r="AY15" i="173"/>
  <c r="BG15" i="173"/>
  <c r="BH23" i="173"/>
  <c r="AZ23" i="173"/>
  <c r="AY16" i="173"/>
  <c r="BG16" i="173"/>
  <c r="U48" i="173"/>
  <c r="AC48" i="173" s="1"/>
  <c r="AK48" i="173" s="1"/>
  <c r="AB47" i="38"/>
  <c r="V15" i="173"/>
  <c r="AD15" i="173" s="1"/>
  <c r="AL15" i="173" s="1"/>
  <c r="AC14" i="38"/>
  <c r="W15" i="173" s="1"/>
  <c r="AE15" i="173" s="1"/>
  <c r="AM15" i="173" s="1"/>
  <c r="AC46" i="38"/>
  <c r="W47" i="173" s="1"/>
  <c r="AE47" i="173" s="1"/>
  <c r="AM47" i="173" s="1"/>
  <c r="V47" i="173"/>
  <c r="AD47" i="173" s="1"/>
  <c r="AL47" i="173" s="1"/>
  <c r="V30" i="173"/>
  <c r="AD30" i="173" s="1"/>
  <c r="AL30" i="173" s="1"/>
  <c r="AC29" i="38"/>
  <c r="W30" i="173" s="1"/>
  <c r="AE30" i="173" s="1"/>
  <c r="AM30" i="173" s="1"/>
  <c r="V29" i="173"/>
  <c r="AD29" i="173" s="1"/>
  <c r="AL29" i="173" s="1"/>
  <c r="AC28" i="38"/>
  <c r="W29" i="173" s="1"/>
  <c r="AE29" i="173" s="1"/>
  <c r="AM29" i="173" s="1"/>
  <c r="BG29" i="173"/>
  <c r="AY29" i="173"/>
  <c r="BA31" i="173"/>
  <c r="BI31" i="173"/>
  <c r="BI23" i="173"/>
  <c r="BA23" i="173"/>
  <c r="AJ74" i="173"/>
  <c r="N23" i="175"/>
  <c r="AX13" i="173"/>
  <c r="BF13" i="173"/>
  <c r="BG28" i="173"/>
  <c r="AY28" i="173"/>
  <c r="V20" i="173"/>
  <c r="AD20" i="173" s="1"/>
  <c r="AL20" i="173" s="1"/>
  <c r="AC19" i="38"/>
  <c r="W20" i="173" s="1"/>
  <c r="AE20" i="173" s="1"/>
  <c r="AM20" i="173" s="1"/>
  <c r="BG36" i="173"/>
  <c r="AY36" i="173"/>
  <c r="O22" i="175"/>
  <c r="U18" i="173"/>
  <c r="AC18" i="173" s="1"/>
  <c r="AK18" i="173" s="1"/>
  <c r="AB17" i="38"/>
  <c r="AX14" i="173"/>
  <c r="BF14" i="173"/>
  <c r="AY21" i="173"/>
  <c r="BG21" i="173"/>
  <c r="U19" i="173"/>
  <c r="AC19" i="173" s="1"/>
  <c r="AK19" i="173" s="1"/>
  <c r="AB18" i="38"/>
  <c r="AW19" i="173"/>
  <c r="BE19" i="173"/>
  <c r="AW22" i="173"/>
  <c r="BE22" i="173"/>
  <c r="AX22" i="173"/>
  <c r="BF22" i="173"/>
  <c r="BG20" i="173"/>
  <c r="AY20" i="173"/>
  <c r="AC35" i="38"/>
  <c r="W36" i="173" s="1"/>
  <c r="AE36" i="173" s="1"/>
  <c r="AM36" i="173" s="1"/>
  <c r="V36" i="173"/>
  <c r="AD36" i="173" s="1"/>
  <c r="AL36" i="173" s="1"/>
  <c r="V13" i="173"/>
  <c r="AD13" i="173" s="1"/>
  <c r="AC12" i="38"/>
  <c r="W13" i="173" s="1"/>
  <c r="AE13" i="173" s="1"/>
  <c r="AB74" i="173"/>
  <c r="BH31" i="173"/>
  <c r="AZ31" i="173"/>
  <c r="AX19" i="173"/>
  <c r="BF19" i="173"/>
  <c r="V37" i="173"/>
  <c r="AD37" i="173" s="1"/>
  <c r="AL37" i="173" s="1"/>
  <c r="AC36" i="38"/>
  <c r="W37" i="173" s="1"/>
  <c r="AE37" i="173" s="1"/>
  <c r="AM37" i="173" s="1"/>
  <c r="U22" i="173"/>
  <c r="AC22" i="173" s="1"/>
  <c r="AK22" i="173" s="1"/>
  <c r="AB21" i="38"/>
  <c r="AC44" i="38"/>
  <c r="W45" i="173" s="1"/>
  <c r="AE45" i="173" s="1"/>
  <c r="AM45" i="173" s="1"/>
  <c r="V45" i="173"/>
  <c r="AD45" i="173" s="1"/>
  <c r="AL45" i="173" s="1"/>
  <c r="BE13" i="173"/>
  <c r="AW13" i="173"/>
  <c r="M23" i="175"/>
  <c r="AI74" i="173"/>
  <c r="AW48" i="173"/>
  <c r="BE48" i="173"/>
  <c r="AB13" i="38"/>
  <c r="U14" i="173"/>
  <c r="AC14" i="173" s="1"/>
  <c r="AK14" i="173" s="1"/>
  <c r="AK13" i="173"/>
  <c r="V39" i="173"/>
  <c r="AD39" i="173" s="1"/>
  <c r="AL39" i="173" s="1"/>
  <c r="AC38" i="38"/>
  <c r="W39" i="173" s="1"/>
  <c r="AE39" i="173" s="1"/>
  <c r="AM39" i="173" s="1"/>
  <c r="BY74" i="173"/>
  <c r="I10" i="174" s="1"/>
  <c r="CG74" i="173"/>
  <c r="I24" i="174" s="1"/>
  <c r="BG45" i="173"/>
  <c r="AY45" i="173"/>
  <c r="AA74" i="173"/>
  <c r="BA17" i="173"/>
  <c r="BI17" i="173"/>
  <c r="BI24" i="173"/>
  <c r="BA24" i="173"/>
  <c r="V21" i="173"/>
  <c r="AD21" i="173" s="1"/>
  <c r="AL21" i="173" s="1"/>
  <c r="AC20" i="38"/>
  <c r="W21" i="173" s="1"/>
  <c r="AE21" i="173" s="1"/>
  <c r="AM21" i="173" s="1"/>
  <c r="BH24" i="173"/>
  <c r="AZ24" i="173"/>
  <c r="AW14" i="173"/>
  <c r="BE14" i="173"/>
  <c r="BG37" i="173"/>
  <c r="AY37" i="173"/>
  <c r="BG46" i="173"/>
  <c r="AY46" i="173"/>
  <c r="AC45" i="38"/>
  <c r="W46" i="173" s="1"/>
  <c r="AE46" i="173" s="1"/>
  <c r="AM46" i="173" s="1"/>
  <c r="V46" i="173"/>
  <c r="AD46" i="173" s="1"/>
  <c r="AL46" i="173" s="1"/>
  <c r="AY39" i="173"/>
  <c r="BG39" i="173"/>
  <c r="AC15" i="38"/>
  <c r="W16" i="173" s="1"/>
  <c r="AE16" i="173" s="1"/>
  <c r="AM16" i="173" s="1"/>
  <c r="V16" i="173"/>
  <c r="AD16" i="173" s="1"/>
  <c r="AL16" i="173" s="1"/>
  <c r="AX48" i="173"/>
  <c r="BF48" i="173"/>
  <c r="BE18" i="173"/>
  <c r="AW18" i="173"/>
  <c r="AY47" i="173"/>
  <c r="BG47" i="173"/>
  <c r="BG30" i="173"/>
  <c r="AY30" i="173"/>
  <c r="BH17" i="173" l="1"/>
  <c r="BJ17" i="173" s="1"/>
  <c r="V28" i="173"/>
  <c r="AD28" i="173" s="1"/>
  <c r="AL28" i="173" s="1"/>
  <c r="BH28" i="173" s="1"/>
  <c r="BJ24" i="173"/>
  <c r="BJ23" i="173"/>
  <c r="BJ31" i="173"/>
  <c r="M25" i="175"/>
  <c r="M26" i="175" s="1"/>
  <c r="M27" i="175" s="1"/>
  <c r="BI16" i="173"/>
  <c r="BA16" i="173"/>
  <c r="BA37" i="173"/>
  <c r="BI37" i="173"/>
  <c r="Q22" i="175"/>
  <c r="BA36" i="173"/>
  <c r="BI36" i="173"/>
  <c r="V19" i="173"/>
  <c r="AD19" i="173" s="1"/>
  <c r="AL19" i="173" s="1"/>
  <c r="AC18" i="38"/>
  <c r="W19" i="173" s="1"/>
  <c r="AE19" i="173" s="1"/>
  <c r="AM19" i="173" s="1"/>
  <c r="BI20" i="173"/>
  <c r="BA20" i="173"/>
  <c r="BI28" i="173"/>
  <c r="BA28" i="173"/>
  <c r="V48" i="173"/>
  <c r="AD48" i="173" s="1"/>
  <c r="AL48" i="173" s="1"/>
  <c r="AC47" i="38"/>
  <c r="W48" i="173" s="1"/>
  <c r="AE48" i="173" s="1"/>
  <c r="AM48" i="173" s="1"/>
  <c r="AZ37" i="173"/>
  <c r="BH37" i="173"/>
  <c r="AZ20" i="173"/>
  <c r="BH20" i="173"/>
  <c r="BA21" i="173"/>
  <c r="BI21" i="173"/>
  <c r="AZ21" i="173"/>
  <c r="BH21" i="173"/>
  <c r="BA30" i="173"/>
  <c r="BI30" i="173"/>
  <c r="BG19" i="173"/>
  <c r="AY19" i="173"/>
  <c r="V18" i="173"/>
  <c r="AD18" i="173" s="1"/>
  <c r="AL18" i="173" s="1"/>
  <c r="AC17" i="38"/>
  <c r="W18" i="173" s="1"/>
  <c r="AE18" i="173" s="1"/>
  <c r="AM18" i="173" s="1"/>
  <c r="N25" i="175"/>
  <c r="N26" i="175" s="1"/>
  <c r="N27" i="175" s="1"/>
  <c r="BH30" i="173"/>
  <c r="AZ30" i="173"/>
  <c r="BA46" i="173"/>
  <c r="BI46" i="173"/>
  <c r="AX74" i="173"/>
  <c r="F23" i="174" s="1"/>
  <c r="AW74" i="173"/>
  <c r="E23" i="174" s="1"/>
  <c r="AY13" i="173"/>
  <c r="BG13" i="173"/>
  <c r="O23" i="175"/>
  <c r="AK74" i="173"/>
  <c r="BE74" i="173"/>
  <c r="E9" i="174" s="1"/>
  <c r="D10" i="174" s="1"/>
  <c r="C10" i="174" s="1"/>
  <c r="AY14" i="173"/>
  <c r="BG14" i="173"/>
  <c r="BH45" i="173"/>
  <c r="AZ45" i="173"/>
  <c r="AY18" i="173"/>
  <c r="BG18" i="173"/>
  <c r="AZ47" i="173"/>
  <c r="BH47" i="173"/>
  <c r="BG48" i="173"/>
  <c r="AY48" i="173"/>
  <c r="AZ46" i="173"/>
  <c r="BH46" i="173"/>
  <c r="V14" i="173"/>
  <c r="AD14" i="173" s="1"/>
  <c r="AL14" i="173" s="1"/>
  <c r="AC13" i="38"/>
  <c r="W14" i="173" s="1"/>
  <c r="AE14" i="173" s="1"/>
  <c r="AM14" i="173" s="1"/>
  <c r="BI47" i="173"/>
  <c r="BA47" i="173"/>
  <c r="BA29" i="173"/>
  <c r="BI29" i="173"/>
  <c r="BH29" i="173"/>
  <c r="AZ29" i="173"/>
  <c r="BI45" i="173"/>
  <c r="BA45" i="173"/>
  <c r="BA15" i="173"/>
  <c r="BI15" i="173"/>
  <c r="BI39" i="173"/>
  <c r="BA39" i="173"/>
  <c r="AZ39" i="173"/>
  <c r="BH39" i="173"/>
  <c r="BF74" i="173"/>
  <c r="F9" i="174" s="1"/>
  <c r="AC74" i="173"/>
  <c r="AM13" i="173"/>
  <c r="V22" i="173"/>
  <c r="AD22" i="173" s="1"/>
  <c r="AL22" i="173" s="1"/>
  <c r="AC21" i="38"/>
  <c r="W22" i="173" s="1"/>
  <c r="AE22" i="173" s="1"/>
  <c r="AM22" i="173" s="1"/>
  <c r="AL13" i="173"/>
  <c r="BH16" i="173"/>
  <c r="AZ16" i="173"/>
  <c r="AY22" i="173"/>
  <c r="BG22" i="173"/>
  <c r="AZ36" i="173"/>
  <c r="P22" i="175"/>
  <c r="BH36" i="173"/>
  <c r="BH15" i="173"/>
  <c r="AZ15" i="173"/>
  <c r="AZ28" i="173" l="1"/>
  <c r="BJ28" i="173" s="1"/>
  <c r="BJ47" i="173"/>
  <c r="BJ45" i="173"/>
  <c r="BJ46" i="173"/>
  <c r="BJ39" i="173"/>
  <c r="BJ16" i="173"/>
  <c r="O25" i="175"/>
  <c r="O26" i="175" s="1"/>
  <c r="O27" i="175" s="1"/>
  <c r="BJ15" i="173"/>
  <c r="BJ29" i="173"/>
  <c r="BJ30" i="173"/>
  <c r="BJ21" i="173"/>
  <c r="BJ36" i="173"/>
  <c r="BJ37" i="173"/>
  <c r="BA19" i="173"/>
  <c r="BI19" i="173"/>
  <c r="AZ19" i="173"/>
  <c r="BH19" i="173"/>
  <c r="AD74" i="173"/>
  <c r="BJ20" i="173"/>
  <c r="BH18" i="173"/>
  <c r="AZ18" i="173"/>
  <c r="BG74" i="173"/>
  <c r="G9" i="174" s="1"/>
  <c r="D25" i="174"/>
  <c r="C25" i="174" s="1"/>
  <c r="D24" i="174"/>
  <c r="C24" i="174" s="1"/>
  <c r="AZ22" i="173"/>
  <c r="BH22" i="173"/>
  <c r="BI48" i="173"/>
  <c r="BA48" i="173"/>
  <c r="AZ13" i="173"/>
  <c r="BH13" i="173"/>
  <c r="AL74" i="173"/>
  <c r="P23" i="175"/>
  <c r="BI22" i="173"/>
  <c r="BA22" i="173"/>
  <c r="BI14" i="173"/>
  <c r="BA14" i="173"/>
  <c r="AE74" i="173"/>
  <c r="BH48" i="173"/>
  <c r="AZ48" i="173"/>
  <c r="BI18" i="173"/>
  <c r="BA18" i="173"/>
  <c r="AY74" i="173"/>
  <c r="G23" i="174" s="1"/>
  <c r="AZ14" i="173"/>
  <c r="BH14" i="173"/>
  <c r="BI13" i="173"/>
  <c r="BA13" i="173"/>
  <c r="Q23" i="175"/>
  <c r="AM74" i="173"/>
  <c r="BJ13" i="173" l="1"/>
  <c r="P25" i="175"/>
  <c r="P26" i="175" s="1"/>
  <c r="P27" i="175" s="1"/>
  <c r="BH74" i="173"/>
  <c r="H9" i="174" s="1"/>
  <c r="BJ18" i="173"/>
  <c r="BJ19" i="173"/>
  <c r="BJ48" i="173"/>
  <c r="Q25" i="175"/>
  <c r="Q26" i="175" s="1"/>
  <c r="Q27" i="175" s="1"/>
  <c r="BJ22" i="173"/>
  <c r="BJ14" i="173"/>
  <c r="AZ74" i="173"/>
  <c r="H23" i="174" s="1"/>
  <c r="BA74" i="173"/>
  <c r="I23" i="174" s="1"/>
  <c r="BI74" i="173"/>
  <c r="I9" i="17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<sst xmlns="http://schemas.openxmlformats.org/spreadsheetml/2006/main" count="3414" uniqueCount="782">
  <si>
    <t xml:space="preserve">Reading guide: </t>
  </si>
  <si>
    <t>Table 1</t>
  </si>
  <si>
    <t>Table 2</t>
  </si>
  <si>
    <t>2026-27</t>
  </si>
  <si>
    <t>2027-28</t>
  </si>
  <si>
    <t>2028-29</t>
  </si>
  <si>
    <t>2029-30</t>
  </si>
  <si>
    <t>2030-31</t>
  </si>
  <si>
    <t>Ancillary Network Services X-factor</t>
  </si>
  <si>
    <t>Per cent</t>
  </si>
  <si>
    <t>Note:</t>
  </si>
  <si>
    <t>End</t>
  </si>
  <si>
    <t>Table 3</t>
  </si>
  <si>
    <t>PRICES ($2026-27)</t>
  </si>
  <si>
    <t>Service code</t>
  </si>
  <si>
    <t>Service</t>
  </si>
  <si>
    <t>Hours</t>
  </si>
  <si>
    <t>Service category</t>
  </si>
  <si>
    <t>AER Draft Decision change log</t>
  </si>
  <si>
    <t>changes in the spreadsheet are also highlighted in orange</t>
  </si>
  <si>
    <t>Tab</t>
  </si>
  <si>
    <t>Cells</t>
  </si>
  <si>
    <t>Description of change</t>
  </si>
  <si>
    <t>Input|Tax Recovery</t>
  </si>
  <si>
    <t>G7</t>
  </si>
  <si>
    <t>Updated nominal vanilla WACC</t>
  </si>
  <si>
    <t>G11</t>
  </si>
  <si>
    <t>Updated depreciation rate</t>
  </si>
  <si>
    <t>Input|Indirect Cost Rates</t>
  </si>
  <si>
    <t>D35</t>
  </si>
  <si>
    <t>Deleted 6.00% margin</t>
  </si>
  <si>
    <t>Input|Escalations</t>
  </si>
  <si>
    <t>row 42</t>
  </si>
  <si>
    <t>Included our draft decision labour escalator</t>
  </si>
  <si>
    <t>row 44</t>
  </si>
  <si>
    <t>Included superannuation guarantee</t>
  </si>
  <si>
    <t>row 49</t>
  </si>
  <si>
    <t>Updated weights for labour escalator</t>
  </si>
  <si>
    <t>row 20</t>
  </si>
  <si>
    <t>Updated December 2024 actual inflation index</t>
  </si>
  <si>
    <t>row 21</t>
  </si>
  <si>
    <t>Updated RBA forecast rates</t>
  </si>
  <si>
    <t>Input|Labour Rates</t>
  </si>
  <si>
    <t>E10, E13, E14</t>
  </si>
  <si>
    <t>Updated base labour rate to draft decision labour rate (see 'Calc|Labour Rates')</t>
  </si>
  <si>
    <t>Cost build up tabs</t>
  </si>
  <si>
    <t>L36, M36</t>
  </si>
  <si>
    <t>Updated EWP hourly hire rate to $53.78/h as per Q4 IR31</t>
  </si>
  <si>
    <t>Input|Fee Based</t>
  </si>
  <si>
    <t>rows 24-26, 39-41</t>
  </si>
  <si>
    <t>Replaced input values with approved ANS prices. See section 16.1.4.2 - connection services.</t>
  </si>
  <si>
    <t>Jemena Electricity Networks – Alternative Control Services Forecast model</t>
  </si>
  <si>
    <t>Overall Check:</t>
  </si>
  <si>
    <t>Worksheet summary</t>
  </si>
  <si>
    <t>Worksheet name</t>
  </si>
  <si>
    <t>Check:</t>
  </si>
  <si>
    <t>Input required?</t>
  </si>
  <si>
    <t>Description</t>
  </si>
  <si>
    <t>N</t>
  </si>
  <si>
    <t>Contains caclulated price and X factors for fee based services.</t>
  </si>
  <si>
    <t>Contains caclulated labour rates and X factors for quoted services.</t>
  </si>
  <si>
    <t>Y</t>
  </si>
  <si>
    <t>Sets up model with relevant years and output categories.</t>
  </si>
  <si>
    <t>Sets up the inflation and labour escalations.</t>
  </si>
  <si>
    <t>Input for indirect cost rates.</t>
  </si>
  <si>
    <t>Input for labour cost components.</t>
  </si>
  <si>
    <t>Input for fee based costs and service information.</t>
  </si>
  <si>
    <t>Aligns historical and proposed fee based services information.</t>
  </si>
  <si>
    <t>Calc|Tax Recovery</t>
  </si>
  <si>
    <t>Input for tax recovery components.</t>
  </si>
  <si>
    <t>Calculation tables for labour rates.</t>
  </si>
  <si>
    <t>Calculation tables for fee based services prices.</t>
  </si>
  <si>
    <t>Checks and traces possible input errors.</t>
  </si>
  <si>
    <t>Cost Build Up</t>
  </si>
  <si>
    <t>Template</t>
  </si>
  <si>
    <t>Table summary</t>
  </si>
  <si>
    <t>Name</t>
  </si>
  <si>
    <t>Contains X-factors to apply to fee-based services for years 2-5 of the forthcoming regulatory control period.</t>
  </si>
  <si>
    <t>Contains the calculated price for each fee based servce, in nominal terms, for year 1 of the forthcoming regulatory control period.</t>
  </si>
  <si>
    <t>Contains X-factors to apply to the labour rates used to provide quoted services for years 2-5 of the forthcoming regulatory control period.</t>
  </si>
  <si>
    <t>Contains the calculated labour rate for each labour type used to provide quoted servces, in nominal terms, for year 1 of the forthcoming regulatory control period.</t>
  </si>
  <si>
    <t>Lists the quoted services the distributor proposes to provide in the forthcoming regulatory control period.</t>
  </si>
  <si>
    <t>Please choose the first year of the forthcoming regulatory period and the base year for inputs.</t>
  </si>
  <si>
    <t>Contains the regulatory years of the current regulatory control period.</t>
  </si>
  <si>
    <t>Contains the regulatory years of the forthcoming regulatory control period.</t>
  </si>
  <si>
    <t>Contains reference to drop down lists for use in 'Input|Labour rates' to denote whether the labour category is to be used in the provision of quoted services.</t>
  </si>
  <si>
    <t>Optional</t>
  </si>
  <si>
    <t>Lists figures used for conversions in formulas.</t>
  </si>
  <si>
    <t>Please enter time periods that would result in different rates applied for the same service or labour type (e.g. business hours, after hours).</t>
  </si>
  <si>
    <t>Please enter the specific labour types used to provide fee based and quoted services.</t>
  </si>
  <si>
    <t>Please enter the major service categories for fee based services (e.g. basic connection services, network safety services, auxiliary metering services).</t>
  </si>
  <si>
    <t>Please enter distributor-specific categories for fee-based services, if required.</t>
  </si>
  <si>
    <t>Contains the first year of the forthcoming regulatory control period and the nominated base year. These are used in calculations in the 'Input|Escalation' sheet.</t>
  </si>
  <si>
    <t>Please enter ABS index, all groups CPI inflation series A2325846C, up to latest available December. Please enter forecast CPI, including source, for other years.</t>
  </si>
  <si>
    <t>Calculates X factor (real wage price escalation). Other real escalators are set to equal X factor by default, but can be amended by distributors.</t>
  </si>
  <si>
    <t>Please enter sources and forecasts for real wage price escalation, including weightings for each source, in the green input cells. Grey cells will calculate the forecast real wage price escalation.</t>
  </si>
  <si>
    <t>Contains the calculated forecast real escalation for non-wage inputs.</t>
  </si>
  <si>
    <t>Please enter relevant on-cost rates. Distributors may enter a total on-cost rate only. Alternatively, disaggregated on-cost rates may be provided with the total on-cost rate calculated in row 19, as required.</t>
  </si>
  <si>
    <t>Please enter rates for network overhead and corporate overhead. Where relevant, distributors may enter other overhead rates (e.g. a total overhead rate).</t>
  </si>
  <si>
    <t>Please enter margin rates as required.</t>
  </si>
  <si>
    <t>Please enter tax recovery rates as required.</t>
  </si>
  <si>
    <t>Please enter required information regarding labour rates (in base year dollar terms) used to provide ANS. For on-cost and overhead rates, please use formulas to reference tables 5.1 and 5.2, respectively.</t>
  </si>
  <si>
    <t>Please describe "Other costs" used to derive total labour rates, where appropriate, and provide sources.</t>
  </si>
  <si>
    <t>Please list the quoted services the distributor proposes to provide in the forthcoming regulatory control period.</t>
  </si>
  <si>
    <t>Please list the name and service code of the fee-based services, including hours provided and general service category.</t>
  </si>
  <si>
    <t>Please input the direct costs in base year dollar terms incurred for providinng each fee based service, and other requested information such as the total time in minutes each labour type is required to provide the service.</t>
  </si>
  <si>
    <t>Please use formulas to reference in the 'Input|Indirect Cost Rates' sheet as appropriate.</t>
  </si>
  <si>
    <t>Please describe "Other costs" used to derive the year 1 price for fee based services, where appropriate, and provide sources.</t>
  </si>
  <si>
    <t>Please enter approved fee based services and prices (in nominal dollar terms) for the current regulatory control perod (including the final decision prices in column K). Please align with the fee based services for the forthcoming regulatoru control period in table 8.2.</t>
  </si>
  <si>
    <t>Includes the year 1 price for fee based services (from 'Calc|Fee Based' sheet), then calculates prices for years 2 to 5 of the forthcoming regulatory control period using forecast inflation and X factors.</t>
  </si>
  <si>
    <t>Calculates labour rate for each labour type used to provide quoted servces, in nominal terms, for year 1 of the forthcoming regulatory control period.</t>
  </si>
  <si>
    <t>Calculates labour rate for each labour type used to provide quoted servces for year 1 of the forthcoming regulatory control period.</t>
  </si>
  <si>
    <t>Calculates price for each fee based servce, in nominal terms, for year 1 of the forthcoming regulatory control period.</t>
  </si>
  <si>
    <t>Calculates the direct costs for each fee based service, in base year dollar terms, for year 1 of the forthcoming regulatory control period.</t>
  </si>
  <si>
    <t>Calculates the indirect costs for each fee based service, in base year dollar terms, for year 1 of the forthcoming regulatory control period.</t>
  </si>
  <si>
    <t>Key:</t>
  </si>
  <si>
    <t>Input</t>
  </si>
  <si>
    <t>Sheet Validation</t>
  </si>
  <si>
    <t>Formula</t>
  </si>
  <si>
    <t>For AER only</t>
  </si>
  <si>
    <t>AER maximum rates</t>
  </si>
  <si>
    <t>AER decision</t>
  </si>
  <si>
    <t>Quoted service - Labour rates</t>
  </si>
  <si>
    <t>Hourly rate ($)</t>
  </si>
  <si>
    <t>`</t>
  </si>
  <si>
    <t>2.1.3 - ALTERNATIVE CONTROL SERVICES CAPEX</t>
  </si>
  <si>
    <t>EXPENDITURE</t>
  </si>
  <si>
    <t>($, real June 2026) </t>
  </si>
  <si>
    <t>2024-25</t>
  </si>
  <si>
    <t>2025-26</t>
  </si>
  <si>
    <t>Connections</t>
  </si>
  <si>
    <t>Metering</t>
  </si>
  <si>
    <t>Public lighting</t>
  </si>
  <si>
    <t xml:space="preserve">                                              -   </t>
  </si>
  <si>
    <t xml:space="preserve">                                              -   </t>
  </si>
  <si>
    <t>Fee and quoted</t>
  </si>
  <si>
    <t>Network overheads</t>
  </si>
  <si>
    <t>Corporate overheads</t>
  </si>
  <si>
    <t>capital contributions (included in the above)</t>
  </si>
  <si>
    <t xml:space="preserve"> Total </t>
  </si>
  <si>
    <t xml:space="preserve">                                  -   </t>
  </si>
  <si>
    <t>2.1.4 - ALTERNATIVE CONTROL SERVICES OPEX</t>
  </si>
  <si>
    <t>($, real June 2026)</t>
  </si>
  <si>
    <t>                                  -   </t>
  </si>
  <si>
    <t>REGULATORY REPORTING STATEMENT</t>
  </si>
  <si>
    <t>Australian Distribution Co. (Victoria)</t>
  </si>
  <si>
    <t>REGULATORY PERIOD FROM 2026-27 TO 2030-31</t>
  </si>
  <si>
    <t>3.1 REVENUE</t>
  </si>
  <si>
    <t xml:space="preserve"> TEMPLATE DATE - SEPTEMBER 2024 - FINAL RIN</t>
  </si>
  <si>
    <t>There are THREE tables on this worksheet. Each table has been 'grouped' (and 'sub-grouped') for easy navigation. See the Instructions sheet on how to group or ungroup data.</t>
  </si>
  <si>
    <t>3.1.1 - REVENUE GROUPING BY CHARGEABLE QUANTITY</t>
  </si>
  <si>
    <t>Standard control services</t>
  </si>
  <si>
    <t>Alternative control services</t>
  </si>
  <si>
    <t>REVENUE 
FORECAST ($, real June 2026)</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</si>
  <si>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</si>
  <si>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</si>
  <si>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</si>
  <si>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</si>
  <si>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</si>
  <si>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</si>
  <si>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</si>
  <si>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</si>
  <si>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</si>
  <si>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</si>
  <si>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</si>
  <si>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</si>
  <si>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</si>
  <si>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</si>
  <si>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</si>
  <si>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</si>
  <si>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</si>
  <si>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</si>
  <si>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</si>
  <si>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</si>
  <si>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</si>
  <si>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</si>
  <si>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</si>
  <si>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</si>
  <si>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</si>
  <si>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</si>
  <si>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</si>
  <si>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</si>
  <si>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</si>
  <si>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</si>
  <si>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</si>
  <si>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</si>
  <si>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</si>
  <si>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</si>
  <si>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</si>
  <si>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</si>
  <si>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</si>
  <si>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</si>
  <si>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</si>
  <si>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</si>
  <si>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</si>
  <si>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</si>
  <si>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</si>
  <si>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</si>
  <si>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</si>
  <si>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DREV0306</t>
  </si>
  <si>
    <t>CESS</t>
  </si>
  <si>
    <t>DREV0302</t>
  </si>
  <si>
    <t>STPIS</t>
  </si>
  <si>
    <t>DREV0307</t>
  </si>
  <si>
    <t>CSIS</t>
  </si>
  <si>
    <t>DREV0308</t>
  </si>
  <si>
    <t>ESIS</t>
  </si>
  <si>
    <t>DREV0309</t>
  </si>
  <si>
    <t>DMIS/DMIA/DMIAM</t>
  </si>
  <si>
    <t>DREV0303</t>
  </si>
  <si>
    <t>F-Factor</t>
  </si>
  <si>
    <t>DREV0305</t>
  </si>
  <si>
    <t>Other</t>
  </si>
  <si>
    <t>DREV03</t>
  </si>
  <si>
    <t>Total revenue rewards and penalties - incentive schemes</t>
  </si>
  <si>
    <t>Years setup</t>
  </si>
  <si>
    <t>Year</t>
  </si>
  <si>
    <t>Years</t>
  </si>
  <si>
    <t>First year of forecast regulatory control period</t>
  </si>
  <si>
    <t>2016-17</t>
  </si>
  <si>
    <t>Base year for inputs</t>
  </si>
  <si>
    <t>Base year for outputs</t>
  </si>
  <si>
    <t>Current regulatory period</t>
  </si>
  <si>
    <t>Forecast regulatory period</t>
  </si>
  <si>
    <t>Used for quoted service?</t>
  </si>
  <si>
    <t>Conversions</t>
  </si>
  <si>
    <t>Yes</t>
  </si>
  <si>
    <t>mins</t>
  </si>
  <si>
    <t>No</t>
  </si>
  <si>
    <t>2034-35</t>
  </si>
  <si>
    <t>Business Hours</t>
  </si>
  <si>
    <t>After Hours</t>
  </si>
  <si>
    <t>Not Applicable</t>
  </si>
  <si>
    <t>Labour type</t>
  </si>
  <si>
    <t>Expense Type</t>
  </si>
  <si>
    <t>Administrative Officer</t>
  </si>
  <si>
    <t>Network safety services</t>
  </si>
  <si>
    <t>Capex</t>
  </si>
  <si>
    <t>Field Worker</t>
  </si>
  <si>
    <t>Customer requested supply outage</t>
  </si>
  <si>
    <t>Opex</t>
  </si>
  <si>
    <t>Technical Specialist</t>
  </si>
  <si>
    <t>Security lights</t>
  </si>
  <si>
    <t>Engineer</t>
  </si>
  <si>
    <t>Customer requested electricity data</t>
  </si>
  <si>
    <t>Senior Engineer</t>
  </si>
  <si>
    <t>Auxiliary metering services</t>
  </si>
  <si>
    <t>Type 7 metering services</t>
  </si>
  <si>
    <t>Basic connection services</t>
  </si>
  <si>
    <t>Enhanced connection services</t>
  </si>
  <si>
    <t>Connection service</t>
  </si>
  <si>
    <t>Wasted Site Attendance</t>
  </si>
  <si>
    <t>Control Mechanism</t>
  </si>
  <si>
    <t>AMI Meter Charges (&lt;160 MWh p.a.)</t>
  </si>
  <si>
    <t>Fee Based</t>
  </si>
  <si>
    <t>Type 5 and 6 (incl. smart metering)</t>
  </si>
  <si>
    <t xml:space="preserve">Key: </t>
  </si>
  <si>
    <t xml:space="preserve">Sheet Validation </t>
  </si>
  <si>
    <t>Escalation setup</t>
  </si>
  <si>
    <t>Inflation</t>
  </si>
  <si>
    <t>CPI year on year change (%) - lagged one year (actual/estimate)</t>
  </si>
  <si>
    <t xml:space="preserve">Cumulative Inflation Index </t>
  </si>
  <si>
    <t>ABS index, all groups CPI inflation series A2325846C, weighted average for the eight capital cities</t>
  </si>
  <si>
    <t>Dec-20</t>
  </si>
  <si>
    <t>Dec-21</t>
  </si>
  <si>
    <t>Dec-22</t>
  </si>
  <si>
    <t>Dec-23</t>
  </si>
  <si>
    <t>Dec-24</t>
  </si>
  <si>
    <t>Dec-25</t>
  </si>
  <si>
    <t>Dec-26</t>
  </si>
  <si>
    <t>Dec-27</t>
  </si>
  <si>
    <t>Dec-28</t>
  </si>
  <si>
    <t>Dec-29</t>
  </si>
  <si>
    <t>Source (forecasts): RBA, Statement on Monetary Policy, Economic Outlook, Nov 2024</t>
  </si>
  <si>
    <t>Real price escalation</t>
  </si>
  <si>
    <t>X-factor (real wage price escalation)</t>
  </si>
  <si>
    <t>Materials</t>
  </si>
  <si>
    <t>Contracts</t>
  </si>
  <si>
    <t>Vehicles</t>
  </si>
  <si>
    <t>4.3.1</t>
  </si>
  <si>
    <t>Real wage price escalation</t>
  </si>
  <si>
    <t>Labour - Real wage price growth</t>
  </si>
  <si>
    <t>Cumulative Labour - Wage price growth index</t>
  </si>
  <si>
    <t>Forecast/Source</t>
  </si>
  <si>
    <t>WPI - Real labour price growth - Deloitte WPI</t>
  </si>
  <si>
    <t>Real Labour Price Growth - Super Guarantee</t>
  </si>
  <si>
    <t>Weights (per cent)</t>
  </si>
  <si>
    <t>4.3.2</t>
  </si>
  <si>
    <t>Real price escalation (non-wage)</t>
  </si>
  <si>
    <t>Materials - Real price growth</t>
  </si>
  <si>
    <t>Contracts - Real price growth</t>
  </si>
  <si>
    <t>Vehicles - Real price growth</t>
  </si>
  <si>
    <t>Other - Real price growth</t>
  </si>
  <si>
    <t>NA</t>
  </si>
  <si>
    <t>On costs</t>
  </si>
  <si>
    <t>On cost drivers</t>
  </si>
  <si>
    <t>Unit</t>
  </si>
  <si>
    <t>Administrative Officer (BH)</t>
  </si>
  <si>
    <t>Field Worker (BH)</t>
  </si>
  <si>
    <t>Technical Specialist (BH)</t>
  </si>
  <si>
    <t>Senior Engineer (BH)</t>
  </si>
  <si>
    <t>Engineer (BH)</t>
  </si>
  <si>
    <t>Field Worker (AH)</t>
  </si>
  <si>
    <t>Standard leave (annual leave, sick leave, public holidays)</t>
  </si>
  <si>
    <t>Att 11-03M ACS Labour rate model</t>
  </si>
  <si>
    <t>Superannuation</t>
  </si>
  <si>
    <t>Workcover Insurance</t>
  </si>
  <si>
    <t>Payroll tax</t>
  </si>
  <si>
    <t>Annual leave loading</t>
  </si>
  <si>
    <t>Long Service leave allowance</t>
  </si>
  <si>
    <t>Non-chargeable time</t>
  </si>
  <si>
    <t>Allowances</t>
  </si>
  <si>
    <t>Training &amp; Development</t>
  </si>
  <si>
    <t>Safety Meetings/Toolbox Talks</t>
  </si>
  <si>
    <t>Compounded on cost factor</t>
  </si>
  <si>
    <t>Overhead</t>
  </si>
  <si>
    <t>Type of Overhead</t>
  </si>
  <si>
    <t>Type</t>
  </si>
  <si>
    <t>Notes</t>
  </si>
  <si>
    <t>Network Overhead</t>
  </si>
  <si>
    <t>Corporate Overhead</t>
  </si>
  <si>
    <t>Margins</t>
  </si>
  <si>
    <t>Margin 1</t>
  </si>
  <si>
    <t>Tax recovery rate</t>
  </si>
  <si>
    <t>Tax rate 1</t>
  </si>
  <si>
    <t>Do we need to explore more than one tax rate, eg. One for metering, etc.</t>
  </si>
  <si>
    <t>Tax rate 2</t>
  </si>
  <si>
    <t>6.1 Labour rates</t>
  </si>
  <si>
    <t>6.2 Notes and sources for "Other costs"</t>
  </si>
  <si>
    <t>Base labour rate ($2024-25)</t>
  </si>
  <si>
    <t>On costs 
(%)</t>
  </si>
  <si>
    <t>Overhead 
(%)</t>
  </si>
  <si>
    <t>Vehicle 
($2024-25)</t>
  </si>
  <si>
    <t>Other costs 
($2024-25)</t>
  </si>
  <si>
    <t>Business hours</t>
  </si>
  <si>
    <t xml:space="preserve">Supply abolishment (non-basic) </t>
  </si>
  <si>
    <t xml:space="preserve">Temporary covering of low voltage mains and service lines (fitting of tiger tails) </t>
  </si>
  <si>
    <t xml:space="preserve">Rearrangement of network assets at customer request, excluding alteration and relocation of public lighting assets </t>
  </si>
  <si>
    <t xml:space="preserve">Elective undergrounding </t>
  </si>
  <si>
    <t xml:space="preserve">Reserve feeder construction </t>
  </si>
  <si>
    <t xml:space="preserve">Access permits, oversight and facilitation </t>
  </si>
  <si>
    <t xml:space="preserve">Sale of approved materials or equipment </t>
  </si>
  <si>
    <t xml:space="preserve">Notices of arrangement and completion notices </t>
  </si>
  <si>
    <t xml:space="preserve">Network related property services </t>
  </si>
  <si>
    <t xml:space="preserve">Network safety services </t>
  </si>
  <si>
    <t xml:space="preserve">High load escorts </t>
  </si>
  <si>
    <t xml:space="preserve">Fitting of possum guards and aerial markers </t>
  </si>
  <si>
    <t xml:space="preserve">Site visit relating to location of underground cables/assets </t>
  </si>
  <si>
    <t xml:space="preserve">Third party request for de-energising wires for safe approach </t>
  </si>
  <si>
    <t xml:space="preserve">Provision of traffic control and safety observer services by the distributor where required </t>
  </si>
  <si>
    <t xml:space="preserve">Planned interruption – customer requested </t>
  </si>
  <si>
    <t xml:space="preserve">Customer requested supply interruption </t>
  </si>
  <si>
    <t xml:space="preserve">Inspection and auditing services </t>
  </si>
  <si>
    <t xml:space="preserve">Provision of training to third parties for network related access </t>
  </si>
  <si>
    <t xml:space="preserve">Authorisation and approval of third party service providers </t>
  </si>
  <si>
    <t xml:space="preserve">Replacement of security lights that are beyond repair </t>
  </si>
  <si>
    <t>Provision of electricity network data to customers or third parties outside of legislative obligations</t>
  </si>
  <si>
    <t xml:space="preserve">Third party requested network alterations or other improvements </t>
  </si>
  <si>
    <t xml:space="preserve">Community network upgrades </t>
  </si>
  <si>
    <t xml:space="preserve">Non-standard metering services (eg. initial setup of load and inventory table of non-contestable unmetered devices) </t>
  </si>
  <si>
    <t xml:space="preserve">Connection management services </t>
  </si>
  <si>
    <t xml:space="preserve">Temporary non-basic connections </t>
  </si>
  <si>
    <t xml:space="preserve">Temporary disconnection of non-basic connections </t>
  </si>
  <si>
    <t xml:space="preserve">Reconnection of non-basic connection after temporary disconnection </t>
  </si>
  <si>
    <t xml:space="preserve">Protection and power quality assessment </t>
  </si>
  <si>
    <t xml:space="preserve">Customer requested change requiring secondary and primary plant studies </t>
  </si>
  <si>
    <t xml:space="preserve">Calculation of a site-specific distribution loss factor on request </t>
  </si>
  <si>
    <t xml:space="preserve">Embedded network management </t>
  </si>
  <si>
    <t xml:space="preserve">Connection application related services </t>
  </si>
  <si>
    <t xml:space="preserve">Alteration and relocation of public lighting assets </t>
  </si>
  <si>
    <t>New public lighting services including greenfield sites and new light types (distributor provided)</t>
  </si>
  <si>
    <t>Provision, construction and maintenance of emerging public lighting technology</t>
  </si>
  <si>
    <t>ND1P</t>
  </si>
  <si>
    <t>ND3P</t>
  </si>
  <si>
    <t>BTSO</t>
  </si>
  <si>
    <t>BTSP</t>
  </si>
  <si>
    <t>SUTK</t>
  </si>
  <si>
    <t>RTK1</t>
  </si>
  <si>
    <t>REEN</t>
  </si>
  <si>
    <t>DEEN</t>
  </si>
  <si>
    <t>DCTK</t>
  </si>
  <si>
    <t>RCTK</t>
  </si>
  <si>
    <t>SLOM</t>
  </si>
  <si>
    <t>CUAC</t>
  </si>
  <si>
    <t>RFOM</t>
  </si>
  <si>
    <t>REENRM</t>
  </si>
  <si>
    <t>DEENRM</t>
  </si>
  <si>
    <t>MCTK</t>
  </si>
  <si>
    <t>SPRDRM</t>
  </si>
  <si>
    <t>MECFRM</t>
  </si>
  <si>
    <t>SPRD</t>
  </si>
  <si>
    <t>MTAL</t>
  </si>
  <si>
    <t>MDCH</t>
  </si>
  <si>
    <t>NCUM</t>
  </si>
  <si>
    <t>WSVR</t>
  </si>
  <si>
    <t>RTK3</t>
  </si>
  <si>
    <t>1PNOP</t>
  </si>
  <si>
    <t>1POP</t>
  </si>
  <si>
    <t>3DCL</t>
  </si>
  <si>
    <t>3CTL</t>
  </si>
  <si>
    <t>AEXTSP</t>
  </si>
  <si>
    <t>AEXTS2</t>
  </si>
  <si>
    <t>AEXTTP</t>
  </si>
  <si>
    <t>AEXTCT</t>
  </si>
  <si>
    <t>NCI1</t>
  </si>
  <si>
    <t>NCII</t>
  </si>
  <si>
    <t>7.1 Fee based services</t>
  </si>
  <si>
    <t>Mapping categories</t>
  </si>
  <si>
    <t>7.3 Service cost build - INDIRECT COSTS (per cent)</t>
  </si>
  <si>
    <t>7.4 Notes and sources for "Other costs"</t>
  </si>
  <si>
    <t>7.2.1 Non-field based labour</t>
  </si>
  <si>
    <t>7.2.2 Field based labour</t>
  </si>
  <si>
    <t>7.2.3 Direct non-labour</t>
  </si>
  <si>
    <t>Indirect Costs</t>
  </si>
  <si>
    <t>Labour category</t>
  </si>
  <si>
    <t>FTE</t>
  </si>
  <si>
    <t>Time on task (Minutes)</t>
  </si>
  <si>
    <t>Travel time
(Minutes)</t>
  </si>
  <si>
    <t>Network Overhead
(%)</t>
  </si>
  <si>
    <t>Corporate Overhead
(%)</t>
  </si>
  <si>
    <t>Margin
(%)</t>
  </si>
  <si>
    <t>Tax recovery
(%)</t>
  </si>
  <si>
    <t>Notes and sources for "Other costs"</t>
  </si>
  <si>
    <t>Basic connection, single-phase BH</t>
  </si>
  <si>
    <t>Basic connection, single-phase AH</t>
  </si>
  <si>
    <t>Basic connection, three-phase BH</t>
  </si>
  <si>
    <t>Basic connection, three-phase AH</t>
  </si>
  <si>
    <t>Temporary connection, single-phase BH</t>
  </si>
  <si>
    <t>Temporary connection, single-phase AH</t>
  </si>
  <si>
    <t>Temporary connection, three-phase BH</t>
  </si>
  <si>
    <t>Temporary connection, three-phase AH</t>
  </si>
  <si>
    <t>Supply upgrade/enhancement (1ph to 3ph) BH</t>
  </si>
  <si>
    <t>Supply upgrade/enhancement (1ph to 3ph) AH</t>
  </si>
  <si>
    <t>Replacement of 1-phase overhead service line BH</t>
  </si>
  <si>
    <t>Replacement of 1-phase overhead service line AH</t>
  </si>
  <si>
    <t>Field-based energisation BH</t>
  </si>
  <si>
    <t>Field-based energisation AH</t>
  </si>
  <si>
    <t>Field-based de-energisation BH</t>
  </si>
  <si>
    <t>Disconnection (temporary) BH</t>
  </si>
  <si>
    <t>Disconnection (temporary) AH</t>
  </si>
  <si>
    <t>Reconnection after temp discon BH</t>
  </si>
  <si>
    <t>Reconnection after temp discon AH</t>
  </si>
  <si>
    <t>Security Lighting - O&amp;M</t>
  </si>
  <si>
    <t>Refer to "Other Costs" table in 'SLOM' tab.</t>
  </si>
  <si>
    <t>Enhanced Connection Operation and Maintenance</t>
  </si>
  <si>
    <t>Estimation of operating and maintenance expenditure attributed to the high voltage network for deriving reserve feeder rate ($/kW)</t>
  </si>
  <si>
    <t>Remote  energisation</t>
  </si>
  <si>
    <t>Remote de-energisation</t>
  </si>
  <si>
    <t>Meter Alteration BH</t>
  </si>
  <si>
    <t>Meter Alteration AH</t>
  </si>
  <si>
    <t>Remote special meter read</t>
  </si>
  <si>
    <t>Remote meter reconfiguration</t>
  </si>
  <si>
    <t xml:space="preserve">Field-based special meter reads </t>
  </si>
  <si>
    <t>Meter test of types 5, 6 and AMI smart metering installations BH</t>
  </si>
  <si>
    <t>Meter test of types 5, 6 and AMI smart metering installations AH</t>
  </si>
  <si>
    <t>Type 7 metering</t>
  </si>
  <si>
    <t>Non-contestable unmetered loads</t>
  </si>
  <si>
    <t>Wasted site attendance BH</t>
  </si>
  <si>
    <t>Wasted site attendance AH</t>
  </si>
  <si>
    <t>Replacement of 3-phase overhead service line BH</t>
  </si>
  <si>
    <t>Replacement of 3-phase overhead service line AH</t>
  </si>
  <si>
    <t>For AER input</t>
  </si>
  <si>
    <t xml:space="preserve">(1) Jemena will apply a Wasted Site Attendance fee in circumstances where on arrival at the site, it is found the customer’s premises are not ready for </t>
  </si>
  <si>
    <t>* Estimate</t>
  </si>
  <si>
    <t>the scheduled work, or if the site is not safe to undertake the work or access to the site is limited.</t>
  </si>
  <si>
    <t>CPI</t>
  </si>
  <si>
    <t>(2) For services marked (*), the Wasted Site Attendance fee applies. For all other services, the Wasted Site Attendance fee is the service fee shown</t>
  </si>
  <si>
    <t>X factors</t>
  </si>
  <si>
    <t>applicable to the service</t>
  </si>
  <si>
    <t>8.1 Current regulatory period - Fee based services</t>
  </si>
  <si>
    <t>AER final decision
($ nominal)</t>
  </si>
  <si>
    <t>8.2 Forecast regulatory period - Fee based services</t>
  </si>
  <si>
    <t>Fee based service</t>
  </si>
  <si>
    <t>Hours
(List)</t>
  </si>
  <si>
    <t>Product Code 
(List)</t>
  </si>
  <si>
    <t>Unit Cost</t>
  </si>
  <si>
    <t>Basic connection, single-phase BH *</t>
  </si>
  <si>
    <t>ND1PBH</t>
  </si>
  <si>
    <t>Per connection</t>
  </si>
  <si>
    <t>Basic connection, single-phase AH *</t>
  </si>
  <si>
    <t>ND1PAH</t>
  </si>
  <si>
    <t>Basic connection, three-phase BH *</t>
  </si>
  <si>
    <t>ND3PBH</t>
  </si>
  <si>
    <t>Basic connection, three-phase AH *</t>
  </si>
  <si>
    <t>ND3PAH</t>
  </si>
  <si>
    <t>Temporary connection, single-phase BH *</t>
  </si>
  <si>
    <t>BTSOBH</t>
  </si>
  <si>
    <t>Temporary connection, single-phase AH *</t>
  </si>
  <si>
    <t>BTSOAH</t>
  </si>
  <si>
    <t>Temporary connection, three-phase BH *</t>
  </si>
  <si>
    <t>BTSPBH</t>
  </si>
  <si>
    <t>Temporary connection, three-phase AH *</t>
  </si>
  <si>
    <t>BTSPAH</t>
  </si>
  <si>
    <t>Supply upgrade/enhancement (1ph to 3ph) BH *</t>
  </si>
  <si>
    <t>SUTKBH</t>
  </si>
  <si>
    <t>Supply upgrade/enhancement (1ph to 3ph) AH *</t>
  </si>
  <si>
    <t>SUTKAH</t>
  </si>
  <si>
    <t>Replacement of 1-phase overhead service line BH *</t>
  </si>
  <si>
    <t>RTK1BH</t>
  </si>
  <si>
    <t>Replacement of 1-phase overhead service line AH *</t>
  </si>
  <si>
    <t>RTK1AH</t>
  </si>
  <si>
    <t>REENBH</t>
  </si>
  <si>
    <t>REENAH</t>
  </si>
  <si>
    <t>DEENBH</t>
  </si>
  <si>
    <t>DCTKBH</t>
  </si>
  <si>
    <t>DCTKAH</t>
  </si>
  <si>
    <t>RCTKBH</t>
  </si>
  <si>
    <t>RCTKAH</t>
  </si>
  <si>
    <t>$/light/annum</t>
  </si>
  <si>
    <t>$/kVA/annum</t>
  </si>
  <si>
    <t>Remote energisation</t>
  </si>
  <si>
    <t>MCTKBH</t>
  </si>
  <si>
    <t>MCTKAH</t>
  </si>
  <si>
    <t>SPRDBH</t>
  </si>
  <si>
    <t>MTALBH</t>
  </si>
  <si>
    <t>MTALAH</t>
  </si>
  <si>
    <t>$/unmetered install/annum</t>
  </si>
  <si>
    <t>Wasted site attendance BH (1),(2)</t>
  </si>
  <si>
    <t>WSVRBH</t>
  </si>
  <si>
    <t>Wasted site attendance AH (1),(2)</t>
  </si>
  <si>
    <t>WSVRAH</t>
  </si>
  <si>
    <t>Replacement of 3-phase overhead service line BH *</t>
  </si>
  <si>
    <t>RTK3BH</t>
  </si>
  <si>
    <t>Replacement of 3-phase overhead service line AH *</t>
  </si>
  <si>
    <t>RTK3AH</t>
  </si>
  <si>
    <t>Customer numnber growth</t>
  </si>
  <si>
    <t>Customer number growth</t>
  </si>
  <si>
    <t>Fee-Based Alternative Control Services - Forecast volumes and revenue</t>
  </si>
  <si>
    <t>Volumes Forecast</t>
  </si>
  <si>
    <t>Cost Breakdown</t>
  </si>
  <si>
    <t>Operating Expenditure, $ ($2025-26)</t>
  </si>
  <si>
    <t>Capital Expenditure, $ ($2025-26)</t>
  </si>
  <si>
    <t>Network Overheads rate, $ ($2025-26)</t>
  </si>
  <si>
    <t>Network Overheads Capex, $ ($2025-26)</t>
  </si>
  <si>
    <t>Network Overheads Opex, $ ($2025-26)</t>
  </si>
  <si>
    <t>Corproate Overheads rate, $ ($2025-26)</t>
  </si>
  <si>
    <t>Corproate Overheads Opex, $ ($2025-26)</t>
  </si>
  <si>
    <t>Operating</t>
  </si>
  <si>
    <t>Capital</t>
  </si>
  <si>
    <t>Input - Tax Recovery Rate 1</t>
  </si>
  <si>
    <t>Item - New Connection Services</t>
  </si>
  <si>
    <t>Source</t>
  </si>
  <si>
    <t>Basis</t>
  </si>
  <si>
    <t>Timing</t>
  </si>
  <si>
    <t>Note</t>
  </si>
  <si>
    <t>Nominal vanilla WACC</t>
  </si>
  <si>
    <t>Metering PTRM</t>
  </si>
  <si>
    <t>Percent</t>
  </si>
  <si>
    <t>n.m.</t>
  </si>
  <si>
    <t>N/A</t>
  </si>
  <si>
    <t>Asset life</t>
  </si>
  <si>
    <t>AER</t>
  </si>
  <si>
    <t>Standard cost (example)</t>
  </si>
  <si>
    <t>JEN</t>
  </si>
  <si>
    <t>Dollars</t>
  </si>
  <si>
    <t>End year</t>
  </si>
  <si>
    <t>Corporate tax rate</t>
  </si>
  <si>
    <t>Depreciation rate (diminishing value)</t>
  </si>
  <si>
    <t>Gamma</t>
  </si>
  <si>
    <t>Calc - Tax Recovery Rate 1</t>
  </si>
  <si>
    <t>Workings</t>
  </si>
  <si>
    <t>Additional taxable income</t>
  </si>
  <si>
    <t>Above</t>
  </si>
  <si>
    <t>$dollars</t>
  </si>
  <si>
    <t>Real 2019</t>
  </si>
  <si>
    <t>Additional tax depreciation</t>
  </si>
  <si>
    <t>Calculated</t>
  </si>
  <si>
    <t>Additional taxation</t>
  </si>
  <si>
    <t>Discount factor</t>
  </si>
  <si>
    <t>factor</t>
  </si>
  <si>
    <t>Tax Recovery on capex</t>
  </si>
  <si>
    <t>Value</t>
  </si>
  <si>
    <t>Post tax dollar margin required</t>
  </si>
  <si>
    <t>Tax on margin</t>
  </si>
  <si>
    <t>Tax on margin - discounted by half a year</t>
  </si>
  <si>
    <t>Pre tax mark-up required</t>
  </si>
  <si>
    <t>Input - Tax Recovery Rate 2</t>
  </si>
  <si>
    <t>Calc - Tax Recovery Rate 2</t>
  </si>
  <si>
    <t>Contract Number / Latest PO</t>
  </si>
  <si>
    <t>Material Code</t>
  </si>
  <si>
    <t>Material Name</t>
  </si>
  <si>
    <t>Unit Cost ($)</t>
  </si>
  <si>
    <t>9.1 Year 1 labour rates</t>
  </si>
  <si>
    <t>TOTAL LABOUR RATE (incl. On Costs &amp; Overheads)</t>
  </si>
  <si>
    <t>BASE LABOUR RATE</t>
  </si>
  <si>
    <t>STANDARD LABOUR RATE (EXCL OVERHEADS)</t>
  </si>
  <si>
    <t>Wage Measure Stickiness</t>
  </si>
  <si>
    <t>Vehicle and Other costs</t>
  </si>
  <si>
    <t>10.1 Fee based services</t>
  </si>
  <si>
    <t>Non-field based labour</t>
  </si>
  <si>
    <t>Field based labour</t>
  </si>
  <si>
    <t>Total Direct Cost</t>
  </si>
  <si>
    <t>Total</t>
  </si>
  <si>
    <t>Applied Labour Rate</t>
  </si>
  <si>
    <t>TOTAL NON-FIELD LABOUR</t>
  </si>
  <si>
    <t>Travel cost</t>
  </si>
  <si>
    <t>Task cost</t>
  </si>
  <si>
    <t>TOTAL FIELD LABOUR</t>
  </si>
  <si>
    <t>Network 
Overhead</t>
  </si>
  <si>
    <t>Margin</t>
  </si>
  <si>
    <t>Tax recovery</t>
  </si>
  <si>
    <t>Overall Model Check</t>
  </si>
  <si>
    <t>Labour Category</t>
  </si>
  <si>
    <t>Activity Name</t>
  </si>
  <si>
    <t>Labour Totals</t>
  </si>
  <si>
    <t>Check and validate NMI allocation service order (MSW)</t>
  </si>
  <si>
    <t>Travel to site</t>
  </si>
  <si>
    <t>Accept NMI allocation SO</t>
  </si>
  <si>
    <t>Field crew completes job safety assessment (JSA)</t>
  </si>
  <si>
    <t>Reject NMI allocation SO (if required)</t>
  </si>
  <si>
    <t>Setup traffic management</t>
  </si>
  <si>
    <t>Check and validate B2B service order (SO) - (MSW &amp; SSW)</t>
  </si>
  <si>
    <t>Install service cable, fit meter and prepare site for testing.</t>
  </si>
  <si>
    <t>Accept B2B SO</t>
  </si>
  <si>
    <t>Field crew completes NST testing and seal meter.</t>
  </si>
  <si>
    <t>Reject B2B SO (if required)</t>
  </si>
  <si>
    <t>Field crew completes paperwork, work activity record (WAR), record meter number, and remove traffic control devices.</t>
  </si>
  <si>
    <t>Schedule work as required</t>
  </si>
  <si>
    <t>Create SO in SAP</t>
  </si>
  <si>
    <t>Send SO to contractor</t>
  </si>
  <si>
    <t>Close SO in SAP</t>
  </si>
  <si>
    <t>Manage system exceptions, errors and reporting</t>
  </si>
  <si>
    <t>Manage phone calls and inquiries</t>
  </si>
  <si>
    <t>Administration of Inbox emails, correspondences</t>
  </si>
  <si>
    <t>Total Minutes</t>
  </si>
  <si>
    <t>Vehicle</t>
  </si>
  <si>
    <t>Other Costs</t>
  </si>
  <si>
    <t>Number of Units</t>
  </si>
  <si>
    <t>Unit Cost 
($)</t>
  </si>
  <si>
    <t>Cost of Unit
($)</t>
  </si>
  <si>
    <t>Connection Type</t>
  </si>
  <si>
    <t>Vehicle Code</t>
  </si>
  <si>
    <t>Vehicle Name</t>
  </si>
  <si>
    <t>Hire Time (Minutes)</t>
  </si>
  <si>
    <t>Hourly Unit Rate
($)</t>
  </si>
  <si>
    <t>Cost
($)</t>
  </si>
  <si>
    <t>Vehicle – Elevated Work Platform (small) and Cable Test Van- Average cost</t>
  </si>
  <si>
    <t>Weighted Avg</t>
  </si>
  <si>
    <t>Vol. share</t>
  </si>
  <si>
    <t>Vehicle Total</t>
  </si>
  <si>
    <t>Other Cost Total</t>
  </si>
  <si>
    <t>Materials OH</t>
  </si>
  <si>
    <t>Materials UG</t>
  </si>
  <si>
    <t>Materials Total</t>
  </si>
  <si>
    <t>Plant – Elevated Work Platform (small) and Cable Test Van- Average cost</t>
  </si>
  <si>
    <t>Check and validate B2B service order (SO)</t>
  </si>
  <si>
    <t>Field crew to complete job safety assessment (JSA)</t>
  </si>
  <si>
    <t>Remove existing service cable &amp; meter and install new cable &amp; meter and prepare for testing</t>
  </si>
  <si>
    <t>Field crew completes NST testing and seal of meter.</t>
  </si>
  <si>
    <t>Relocate service cable, connect service cable, and prepare installation for testing</t>
  </si>
  <si>
    <t>Field crew to complete NST testing</t>
  </si>
  <si>
    <t>Plant – Elevated Work Platform (small)</t>
  </si>
  <si>
    <t>Check, validate and accept B2B service order (SO)</t>
  </si>
  <si>
    <t>Create SO in SAP and send it to the contractor</t>
  </si>
  <si>
    <t>Field work</t>
  </si>
  <si>
    <t>Close SO in SAP after the contractor has completed SO</t>
  </si>
  <si>
    <t>[Insert]</t>
  </si>
  <si>
    <t>Check, validate and accept B2B SO</t>
  </si>
  <si>
    <t>Create SO in SAP and send it to contractor</t>
  </si>
  <si>
    <t>MSI task De-En &amp; Re-En coincidental</t>
  </si>
  <si>
    <t>MSI task life support</t>
  </si>
  <si>
    <t>Close SO in SAP after contractor has completed SO</t>
  </si>
  <si>
    <t>Field crew to complete JSA/Service Asset Register sheet</t>
  </si>
  <si>
    <t>Discuss work with REC</t>
  </si>
  <si>
    <t>Field crew completes disconnection work</t>
  </si>
  <si>
    <t>Field crew completes paperwork, work activity record (WAR) and remove traffic control devices.</t>
  </si>
  <si>
    <t>Plant – Elevated Work Platform (small) and Cable Test Van - Average cost</t>
  </si>
  <si>
    <t>Setup traffic management &amp; drop cone</t>
  </si>
  <si>
    <t>Schedule appointment as required</t>
  </si>
  <si>
    <t xml:space="preserve">Field crew completes reconnection work </t>
  </si>
  <si>
    <t>Field crew to complete NST testing.</t>
  </si>
  <si>
    <t>Plant – Elevated Work Platform (small) and Cable Test Va - Average cost</t>
  </si>
  <si>
    <t>Units</t>
  </si>
  <si>
    <t>Current period rate in the penultimate year</t>
  </si>
  <si>
    <t>- Network &amp; Corp O/H &amp; Margin</t>
  </si>
  <si>
    <t xml:space="preserve">Relocate and/or replace meter, prepare for testing </t>
  </si>
  <si>
    <t>Field crew to complete NST testing and seal meter</t>
  </si>
  <si>
    <t>Check and validate B2B SO</t>
  </si>
  <si>
    <t>Execute remote configuration in SAP</t>
  </si>
  <si>
    <t>Manage exceptions, phone calls and inquiries</t>
  </si>
  <si>
    <t>Meter safety check and read</t>
  </si>
  <si>
    <t>Meter testing</t>
  </si>
  <si>
    <t xml:space="preserve">Schedule appointment to test meter </t>
  </si>
  <si>
    <t>Create SO in SAP &amp; send SO to Specialist Metering</t>
  </si>
  <si>
    <t>Process type 7 loads through MSATS, maintain Inventory table &amp; Load table, annual audits of inventory table.</t>
  </si>
  <si>
    <t>Administrative officer,Technical Specialist,Engineer, Senior Engineer</t>
  </si>
  <si>
    <t xml:space="preserve">Overhead rate </t>
  </si>
  <si>
    <r>
      <t xml:space="preserve">Based on Network and Corporate overhead percentages in the </t>
    </r>
    <r>
      <rPr>
        <i/>
        <sz val="8"/>
        <rFont val="Arial"/>
        <family val="2"/>
      </rPr>
      <t>Input|Indirect Cost Rates</t>
    </r>
    <r>
      <rPr>
        <sz val="8"/>
        <rFont val="Arial"/>
        <family val="2"/>
      </rPr>
      <t xml:space="preserve"> tab</t>
    </r>
  </si>
  <si>
    <t>On-costs</t>
  </si>
  <si>
    <r>
      <t xml:space="preserve">Based on cost percentages in the </t>
    </r>
    <r>
      <rPr>
        <i/>
        <sz val="8"/>
        <rFont val="Arial"/>
        <family val="2"/>
      </rPr>
      <t>Input|Indirect Cost Rates</t>
    </r>
    <r>
      <rPr>
        <sz val="8"/>
        <rFont val="Arial"/>
        <family val="2"/>
      </rPr>
      <t xml:space="preserve"> tab</t>
    </r>
  </si>
  <si>
    <t>Weeks</t>
  </si>
  <si>
    <t>Review of ancillary network service: CitiPower, Poweror, Imoted Energy, Jemen and Ausnet - Advice to AER 30 Jun 2020. A Mardson Jacob Report</t>
  </si>
  <si>
    <t>Hours per week</t>
  </si>
  <si>
    <t>6.4 Notes and sources</t>
  </si>
  <si>
    <t>6.3 Assumptions</t>
  </si>
  <si>
    <t>Calc|Labour Rates</t>
  </si>
  <si>
    <t>Column L</t>
  </si>
  <si>
    <t>Values for Wage Stickiness have been updated to reflect the Labour Rates model, formula updated to match Labour Rates model.</t>
  </si>
  <si>
    <t>Tables 6.3 &amp; 6.4</t>
  </si>
  <si>
    <t>Included into ACS model to match for calculations used in Labour Rates model</t>
  </si>
  <si>
    <t>Revised proposal</t>
  </si>
  <si>
    <t>JEN Revised Proposal change log</t>
  </si>
  <si>
    <t xml:space="preserve">Adopted JEN revised labour rates </t>
  </si>
  <si>
    <t>Adopted AER max threshold</t>
  </si>
  <si>
    <t>Included the most recent labour escalator (JEN - Oxford Economics – RP – Att 05-07 Real cost escalation report. )</t>
  </si>
  <si>
    <t>E10, E12</t>
  </si>
  <si>
    <t>E11, E13, E14, E16</t>
  </si>
  <si>
    <t xml:space="preserve">Used our updated calculated labour rate for Admin Officer and Technical Specialist </t>
  </si>
  <si>
    <t>Used the AER's maximum thresholds for Engineer, Senior Engineer, Field Worker (BH) and Field Worker (AH) given they are lower than our updated calculated labour rates.</t>
  </si>
  <si>
    <t>AER Final Decision change log</t>
  </si>
  <si>
    <t>Final decision</t>
  </si>
  <si>
    <t>Revised proposal (business hours)</t>
  </si>
  <si>
    <t>Final decision (business hours)</t>
  </si>
  <si>
    <t>Revised proposal (after hours)</t>
  </si>
  <si>
    <t>Final decision (after hours)</t>
  </si>
  <si>
    <t>Included our final decision labour escalator</t>
  </si>
  <si>
    <t>Updated December 2025 actual inflation index</t>
  </si>
  <si>
    <t>WPI - Oxford Economics actual and forecast</t>
  </si>
  <si>
    <t>changes in the spreadsheet are highlighted in blue</t>
  </si>
  <si>
    <t>changes in the spreadsheet are highlighted in green</t>
  </si>
  <si>
    <t>AER Final Decision - Ancillary Network Services - Jemena - 2026–31</t>
  </si>
  <si>
    <t>sets out the final decision X factor referred to in section 16.1.1.2 of Final Decision Attachment 16 – Alternative control services. For ancillary network services, the X factor is the annual change in wage prices.</t>
  </si>
  <si>
    <t>sets out the Labour rates for Business and After hours referred to in Tables 16.1 and 16.2 of Final Decision Attachment 14 - Alternative control services.</t>
  </si>
  <si>
    <t>We do not apply an X factor for 2026–27 because we set 2026–27 ancillary network services prices in this Final Determination.  To be clear, the labour escalators in this table are operating as de facto X factors. Therefore, positive labour escalators are represented as negative in this table and vice versa. X factors in this table are rounded to 4 decimal places but distributors should use the raw X factors in the final decision model.</t>
  </si>
  <si>
    <t>Quoted service hourly labour rates for 2026–27, final decision ($2026–27)</t>
  </si>
  <si>
    <t>X factors for each year of the 2026–31 regulatory control period for ancillary network services, final decision (per cent)</t>
  </si>
  <si>
    <t>List of Fee-based and quoted ancillary network services prices for 2026–27, final decision ($2026–27)</t>
  </si>
  <si>
    <t>sets out our final decision for JEN's prices for its fee-based services</t>
  </si>
  <si>
    <t>row 43</t>
  </si>
  <si>
    <t>ND1P - Labour Breakdown</t>
  </si>
  <si>
    <t>ND1P - Non Labour Breakdown</t>
  </si>
  <si>
    <t>ND3P - Labour Breakdown</t>
  </si>
  <si>
    <t>ND3P - Non Labour Breakdown</t>
  </si>
  <si>
    <t>BTSO - Labour Breakdown</t>
  </si>
  <si>
    <t>BTSO - Non Labour Breakdown</t>
  </si>
  <si>
    <t>BTSP - Labour Breakdown</t>
  </si>
  <si>
    <t>BTSP - Non Labour Breakdown</t>
  </si>
  <si>
    <t>SUTK - Labour Breakdown</t>
  </si>
  <si>
    <t>SUTK - Non Labour Breakdown</t>
  </si>
  <si>
    <t>RTK1 - Labour Breakdown</t>
  </si>
  <si>
    <t>RTK1 - Non Labour Breakdown</t>
  </si>
  <si>
    <t>REEN - Labour Breakdown</t>
  </si>
  <si>
    <t>REEN - Non Labour Breakdown</t>
  </si>
  <si>
    <t>DEEN - Labour Breakdown</t>
  </si>
  <si>
    <t>DEEN - Non Labour Breakdown</t>
  </si>
  <si>
    <t>DCTK - Labour Breakdown</t>
  </si>
  <si>
    <t>DCTK - Non Labour Breakdown</t>
  </si>
  <si>
    <t>RCTK - Labour Breakdown</t>
  </si>
  <si>
    <t>RCTK - Non Labour Breakdown</t>
  </si>
  <si>
    <t>SLOM - Labour Breakdown</t>
  </si>
  <si>
    <t>SLOM - Non Labour Breakdown</t>
  </si>
  <si>
    <t>RFOM - Labour Breakdown</t>
  </si>
  <si>
    <t>RFOM - Non Labour Breakdown</t>
  </si>
  <si>
    <t>REENRM - Labour Breakdown</t>
  </si>
  <si>
    <t>REENRM - Non Labour Breakdown</t>
  </si>
  <si>
    <t>DEENRM - Labour Breakdown</t>
  </si>
  <si>
    <t>DEENRM - Non Labour Breakdown</t>
  </si>
  <si>
    <t>MCTK - Labour Breakdown</t>
  </si>
  <si>
    <t>MCTK - Non Labour Breakdown</t>
  </si>
  <si>
    <t>SPRDRM - Labour Breakdown</t>
  </si>
  <si>
    <t>SPRDRM - Non Labour Breakdown</t>
  </si>
  <si>
    <t>MECFRM - Labour Breakdown</t>
  </si>
  <si>
    <t>MECFRM - Non Labour Breakdown</t>
  </si>
  <si>
    <t>SPRD - Labour Breakdown</t>
  </si>
  <si>
    <t>SPRD - Non Labour Breakdown</t>
  </si>
  <si>
    <t>MTAL - Labour Breakdown</t>
  </si>
  <si>
    <t>MTAL - Non Labour Breakdown</t>
  </si>
  <si>
    <t>MDCH - Labour Breakdown</t>
  </si>
  <si>
    <t>MDCH - Non Labour Breakdown</t>
  </si>
  <si>
    <t>NCUM - Labour Breakdown</t>
  </si>
  <si>
    <t>NCUM - Non Labour Breakdown</t>
  </si>
  <si>
    <t>WSVR - Labour Breakdown</t>
  </si>
  <si>
    <t>WSVR - Non Labour Breakdown</t>
  </si>
  <si>
    <t>RTK3 - Labour Breakdown</t>
  </si>
  <si>
    <t>RTK3 - Non Labour Breakdown</t>
  </si>
  <si>
    <t>Template - Labour Breakdown</t>
  </si>
  <si>
    <t>Template - Non Labour Breakdown</t>
  </si>
  <si>
    <t>7.2 Service cost build up - DIRECT COSTS, $'s ($2024-25)</t>
  </si>
  <si>
    <t>Materials 
($2024-25)</t>
  </si>
  <si>
    <t>Vehicles 
($2024-25)</t>
  </si>
  <si>
    <t>Other 
($2024-25)</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</si>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</sst>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4" formatCode="_-&quot;$&quot;* #,##0.00_-;\-&quot;$&quot;* #,##0.00_-;_-&quot;$&quot;* &quot;-&quot;??_-;_-@_-"/>
    <numFmt numFmtId="164" formatCode="_(&quot;$&quot;* #,##0.00_);_(&quot;$&quot;* \(#,##0.00\);_(&quot;$&quot;* &quot;-&quot;??_);_(@_)"/>
    <numFmt numFmtId="165" formatCode="_(* #,##0.00_);_(* \(#,##0.00\);_(* &quot;-&quot;??_);_(@_)"/>
    <numFmt numFmtId="166" formatCode="_(#,##0.00%_);_(#,##0.00%_);_(&quot;-&quot;_)"/>
    <numFmt numFmtId="167" formatCode="_(#,##0_);_(#,##0_);_(&quot;-&quot;_)"/>
    <numFmt numFmtId="168" formatCode="_-* #,##0_-;\-* #,##0_-;_-* &quot;-&quot;??_-;_-@_-"/>
    <numFmt numFmtId="169" formatCode="[$-C09]dd\-mmm\-yy;@"/>
    <numFmt numFmtId="170" formatCode="dd\-mmm"/>
    <numFmt numFmtId="171" formatCode="#,##0.0000"/>
    <numFmt numFmtId="172" formatCode="[Red]\●;[Red]\●;[Color10]\●"/>
    <numFmt numFmtId="173" formatCode="_(#,##0_);\(#,##0\);_(&quot;-&quot;_)"/>
    <numFmt numFmtId="174" formatCode="0.000%"/>
    <numFmt numFmtId="175" formatCode="_(#,##0.0_);_(#,##0.0_);_(&quot;-&quot;_)"/>
    <numFmt numFmtId="176" formatCode="_(#,##0.00_);_(#,##0.00_);_(&quot;-&quot;_)"/>
    <numFmt numFmtId="177" formatCode="_(#,##0.00%_);\(#,##0.00%\);_(&quot;-&quot;_)"/>
    <numFmt numFmtId="178" formatCode="0.0000%"/>
    <numFmt numFmtId="179" formatCode="0.0000"/>
    <numFmt numFmtId="180" formatCode="_-* #,##0.0_-;\-* #,##0.0_-;_-* &quot;-&quot;??_-;_-@_-"/>
    <numFmt numFmtId="181" formatCode="_(#,##0.000_);_(#,##0.000_);_(&quot;-&quot;_)"/>
    <numFmt numFmtId="182" formatCode="_-[$€-2]* #,##0.00_-;\-[$€-2]* #,##0.00_-;_-[$€-2]* &quot;-&quot;??_-"/>
    <numFmt numFmtId="183" formatCode="&quot;$&quot;_(#,##0.00_);_(#,##0.00_);_(&quot;-&quot;_)"/>
    <numFmt numFmtId="184" formatCode="_(#,##0.00_);\(#,##0.00\);_(&quot;-&quot;_)"/>
    <numFmt numFmtId="185" formatCode="_(#,##0.0000_);\(#,##0.0000\);_(&quot;-&quot;_)"/>
    <numFmt numFmtId="186" formatCode="#,##0.0000000000000"/>
    <numFmt numFmtId="187" formatCode="#,##0.00000000000000"/>
    <numFmt numFmtId="188" formatCode="_-* #,##0_-;[Red]\(#,##0\)_-;_-* &quot;-&quot;??_-;_-@_-"/>
    <numFmt numFmtId="189" formatCode="#,##0.000_ ;[Red]\-#,##0.000\ "/>
    <numFmt numFmtId="190" formatCode="mmm\ yyyy"/>
    <numFmt numFmtId="191" formatCode="_-* #,##0.0000%_-;\-* #,##0.0000%_-;_-* &quot;-&quot;??_-;_-@_-"/>
    <numFmt numFmtId="192" formatCode="0.0"/>
  </numFmts>
  <fonts count="79"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color rgb="FF0000FF"/>
      <name val="Arial"/>
      <family val="2"/>
    </font>
    <font>
      <b/>
      <sz val="10"/>
      <name val="Arial"/>
      <family val="2"/>
    </font>
    <font>
      <sz val="10"/>
      <name val="Arial"/>
      <family val="2"/>
    </font>
    <font>
      <sz val="8"/>
      <color indexed="8"/>
      <name val="Arial"/>
      <family val="2"/>
    </font>
    <font>
      <b/>
      <sz val="12"/>
      <color theme="0"/>
      <name val="Calibri"/>
      <family val="2"/>
      <scheme val="minor"/>
    </font>
    <font>
      <b/>
      <sz val="12"/>
      <color theme="0"/>
      <name val="Arial"/>
      <family val="2"/>
    </font>
    <font>
      <sz val="8"/>
      <name val="Arial"/>
      <family val="2"/>
    </font>
    <font>
      <b/>
      <sz val="8"/>
      <name val="Arial"/>
      <family val="2"/>
    </font>
    <font>
      <sz val="8"/>
      <color theme="1"/>
      <name val="Arial"/>
      <family val="2"/>
    </font>
    <font>
      <sz val="10"/>
      <color theme="0"/>
      <name val="Arial"/>
      <family val="2"/>
    </font>
    <font>
      <b/>
      <u/>
      <sz val="10"/>
      <color theme="1"/>
      <name val="Arial"/>
      <family val="2"/>
    </font>
    <font>
      <b/>
      <sz val="8"/>
      <color indexed="8"/>
      <name val="Arial"/>
      <family val="2"/>
    </font>
    <font>
      <b/>
      <sz val="8"/>
      <color theme="0"/>
      <name val="Arial"/>
      <family val="2"/>
    </font>
    <font>
      <b/>
      <sz val="10"/>
      <color theme="0"/>
      <name val="Arial"/>
      <family val="2"/>
    </font>
    <font>
      <b/>
      <sz val="11"/>
      <color theme="0"/>
      <name val="Arial"/>
      <family val="2"/>
    </font>
    <font>
      <b/>
      <sz val="8"/>
      <color rgb="FF7030A0"/>
      <name val="Arial"/>
      <family val="2"/>
    </font>
    <font>
      <i/>
      <sz val="8"/>
      <name val="Arial"/>
      <family val="2"/>
    </font>
    <font>
      <sz val="8"/>
      <name val="Helvetica"/>
      <family val="2"/>
    </font>
    <font>
      <b/>
      <sz val="8"/>
      <color rgb="FF0070C0"/>
      <name val="Arial"/>
      <family val="2"/>
    </font>
    <font>
      <sz val="10"/>
      <color indexed="8"/>
      <name val="Arial"/>
      <family val="2"/>
    </font>
    <font>
      <b/>
      <sz val="10"/>
      <color rgb="FFFFFF00"/>
      <name val="Arial"/>
      <family val="2"/>
    </font>
    <font>
      <b/>
      <sz val="10"/>
      <color indexed="8"/>
      <name val="Arial"/>
      <family val="2"/>
    </font>
    <font>
      <b/>
      <i/>
      <sz val="8"/>
      <color indexed="8"/>
      <name val="Arial"/>
      <family val="2"/>
    </font>
    <font>
      <i/>
      <sz val="8"/>
      <color indexed="8"/>
      <name val="Arial"/>
      <family val="2"/>
    </font>
    <font>
      <sz val="3"/>
      <name val="Arial"/>
      <family val="2"/>
    </font>
    <font>
      <sz val="4"/>
      <color theme="1"/>
      <name val="Arial"/>
      <family val="2"/>
    </font>
    <font>
      <sz val="10"/>
      <name val="Calibri"/>
      <family val="2"/>
      <scheme val="minor"/>
    </font>
    <font>
      <sz val="4"/>
      <color theme="0"/>
      <name val="Arial"/>
      <family val="2"/>
    </font>
    <font>
      <u/>
      <sz val="10"/>
      <color theme="10"/>
      <name val="Arial"/>
      <family val="2"/>
    </font>
    <font>
      <u/>
      <sz val="10"/>
      <color rgb="FF0000FF"/>
      <name val="Arial"/>
      <family val="2"/>
    </font>
    <font>
      <sz val="9"/>
      <name val="Arial"/>
      <family val="2"/>
    </font>
    <font>
      <sz val="9"/>
      <color theme="1"/>
      <name val="Arial"/>
      <family val="2"/>
    </font>
    <font>
      <b/>
      <sz val="8"/>
      <color theme="1"/>
      <name val="Arial"/>
      <family val="2"/>
    </font>
    <font>
      <b/>
      <sz val="8"/>
      <color rgb="FF0000FF"/>
      <name val="Arial"/>
      <family val="2"/>
    </font>
    <font>
      <sz val="4"/>
      <name val="Arial"/>
      <family val="2"/>
    </font>
    <font>
      <b/>
      <sz val="12"/>
      <color rgb="FFFFFFFF"/>
      <name val="Calibri"/>
      <family val="2"/>
    </font>
    <font>
      <sz val="16"/>
      <color theme="1"/>
      <name val="Arial Black"/>
      <family val="2"/>
    </font>
    <font>
      <b/>
      <sz val="11"/>
      <color rgb="FF000000"/>
      <name val="Calibri"/>
      <family val="2"/>
    </font>
    <font>
      <b/>
      <sz val="10"/>
      <color rgb="FF000000"/>
      <name val="Calibri"/>
      <family val="2"/>
    </font>
    <font>
      <sz val="11"/>
      <color rgb="FF000000"/>
      <name val="Calibri"/>
      <family val="2"/>
    </font>
    <font>
      <i/>
      <sz val="10"/>
      <color theme="1"/>
      <name val="Arial"/>
      <family val="2"/>
    </font>
    <font>
      <b/>
      <sz val="10"/>
      <color rgb="FF000000"/>
      <name val="Arial"/>
      <family val="2"/>
    </font>
    <font>
      <b/>
      <sz val="20"/>
      <color theme="0"/>
      <name val="Arial"/>
      <family val="2"/>
    </font>
    <font>
      <b/>
      <sz val="16"/>
      <color indexed="9"/>
      <name val="Arial"/>
      <family val="2"/>
    </font>
    <font>
      <b/>
      <sz val="16"/>
      <color theme="0"/>
      <name val="Arial"/>
      <family val="2"/>
    </font>
    <font>
      <b/>
      <sz val="16"/>
      <color theme="9" tint="-0.24994659260841701"/>
      <name val="Calibri"/>
      <family val="2"/>
      <scheme val="minor"/>
    </font>
    <font>
      <sz val="11"/>
      <name val="Calibri"/>
      <family val="2"/>
      <scheme val="minor"/>
    </font>
    <font>
      <b/>
      <sz val="12"/>
      <color theme="0"/>
      <name val="Calibri"/>
      <family val="2"/>
    </font>
    <font>
      <b/>
      <sz val="11"/>
      <color indexed="8"/>
      <name val="Calibri"/>
      <family val="2"/>
    </font>
    <font>
      <b/>
      <sz val="9"/>
      <color indexed="10"/>
      <name val="Arial"/>
      <family val="2"/>
    </font>
    <font>
      <b/>
      <sz val="11"/>
      <name val="Calibri"/>
      <family val="2"/>
    </font>
    <font>
      <b/>
      <sz val="10"/>
      <name val="Calibri"/>
      <family val="2"/>
      <scheme val="minor"/>
    </font>
    <font>
      <b/>
      <i/>
      <sz val="11"/>
      <color indexed="8"/>
      <name val="Calibri"/>
      <family val="2"/>
    </font>
    <font>
      <b/>
      <sz val="11"/>
      <color theme="1"/>
      <name val="Calibri"/>
      <family val="2"/>
      <scheme val="minor"/>
    </font>
    <font>
      <b/>
      <sz val="12"/>
      <color theme="1"/>
      <name val="Arial"/>
      <family val="2"/>
    </font>
    <font>
      <b/>
      <i/>
      <sz val="8"/>
      <color theme="1"/>
      <name val="Arial"/>
      <family val="2"/>
    </font>
    <font>
      <u/>
      <sz val="11"/>
      <color theme="10"/>
      <name val="Calibri"/>
      <family val="2"/>
      <scheme val="minor"/>
    </font>
    <font>
      <u/>
      <sz val="10"/>
      <color indexed="12"/>
      <name val="Arial"/>
      <family val="2"/>
    </font>
    <font>
      <sz val="10"/>
      <name val="MS Sans Serif"/>
      <family val="2"/>
    </font>
    <font>
      <u/>
      <sz val="8"/>
      <color theme="10"/>
      <name val="Arial"/>
      <family val="2"/>
    </font>
    <font>
      <sz val="14"/>
      <color theme="1"/>
      <name val="Calibri"/>
      <family val="2"/>
      <scheme val="minor"/>
    </font>
  </fonts>
  <fills count="47">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8" tint="0.79998168889431442"/>
        <bgColor rgb="FF00FFFF"/>
      </patternFill>
    </fill>
    <fill>
      <patternFill patternType="solid">
        <fgColor theme="9" tint="0.59999389629810485"/>
        <bgColor indexed="64"/>
      </patternFill>
    </fill>
    <fill>
      <patternFill patternType="solid">
        <fgColor rgb="FFF2F2F2"/>
        <bgColor indexed="64"/>
      </patternFill>
    </fill>
    <fill>
      <patternFill patternType="solid">
        <fgColor rgb="FF9FC8C6"/>
        <bgColor indexed="64"/>
      </patternFill>
    </fill>
    <fill>
      <patternFill patternType="solid">
        <fgColor theme="6" tint="0.59999389629810485"/>
        <bgColor indexed="64"/>
      </patternFill>
    </fill>
    <fill>
      <patternFill patternType="solid">
        <fgColor rgb="FFD3EBDA"/>
        <bgColor indexed="64"/>
      </patternFill>
    </fill>
    <fill>
      <patternFill patternType="solid">
        <fgColor rgb="FF000000"/>
        <bgColor indexed="64"/>
      </patternFill>
    </fill>
    <fill>
      <patternFill patternType="solid">
        <fgColor rgb="FF95B3D7"/>
        <bgColor indexed="64"/>
      </patternFill>
    </fill>
    <fill>
      <patternFill patternType="solid">
        <fgColor rgb="FFB8CCE4"/>
        <bgColor indexed="64"/>
      </patternFill>
    </fill>
    <fill>
      <patternFill patternType="solid">
        <fgColor rgb="FFFFFFCC"/>
        <bgColor indexed="64"/>
      </patternFill>
    </fill>
    <fill>
      <patternFill patternType="solid">
        <fgColor rgb="FFBFBFBF"/>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FFFFCC"/>
        <bgColor rgb="FF000000"/>
      </patternFill>
    </fill>
    <fill>
      <patternFill patternType="solid">
        <fgColor theme="9" tint="0.79998168889431442"/>
        <bgColor rgb="FF000000"/>
      </patternFill>
    </fill>
    <fill>
      <patternFill patternType="solid">
        <fgColor theme="0" tint="-0.24994659260841701"/>
        <bgColor indexed="64"/>
      </patternFill>
    </fill>
    <fill>
      <patternFill patternType="solid">
        <fgColor rgb="FFD3EBDA"/>
        <bgColor rgb="FF00FFFF"/>
      </patternFill>
    </fill>
    <fill>
      <patternFill patternType="solid">
        <fgColor rgb="FFFFFFFF"/>
        <bgColor indexed="64"/>
      </patternFill>
    </fill>
    <fill>
      <patternFill patternType="solid">
        <fgColor rgb="FF487B79"/>
        <bgColor indexed="64"/>
      </patternFill>
    </fill>
    <fill>
      <patternFill patternType="solid">
        <fgColor rgb="FF1A2E39"/>
        <bgColor indexed="64"/>
      </patternFill>
    </fill>
    <fill>
      <patternFill patternType="solid">
        <fgColor rgb="FFD9D9D9"/>
        <bgColor indexed="64"/>
      </patternFill>
    </fill>
    <fill>
      <patternFill patternType="solid">
        <fgColor rgb="FFA9ECEF"/>
        <bgColor indexed="64"/>
      </patternFill>
    </fill>
    <fill>
      <patternFill patternType="solid">
        <fgColor rgb="FFFFC000"/>
        <bgColor indexed="64"/>
      </patternFill>
    </fill>
    <fill>
      <patternFill patternType="solid">
        <fgColor rgb="FFFFC000"/>
        <bgColor rgb="FF00FFFF"/>
      </patternFill>
    </fill>
    <fill>
      <patternFill patternType="solid">
        <fgColor indexed="47"/>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indexed="9"/>
        <bgColor indexed="64"/>
      </patternFill>
    </fill>
    <fill>
      <patternFill patternType="solid">
        <fgColor theme="5" tint="0.79998168889431442"/>
        <bgColor indexed="64"/>
      </patternFill>
    </fill>
    <fill>
      <patternFill patternType="solid">
        <fgColor rgb="FFFFFFCC"/>
      </patternFill>
    </fill>
    <fill>
      <patternFill patternType="solid">
        <fgColor rgb="FF00B0F0"/>
        <bgColor indexed="64"/>
      </patternFill>
    </fill>
    <fill>
      <patternFill patternType="solid">
        <fgColor rgb="FF00B050"/>
        <bgColor indexed="64"/>
      </patternFill>
    </fill>
    <fill>
      <patternFill patternType="solid">
        <fgColor rgb="FF92D050"/>
        <bgColor indexed="64"/>
      </patternFill>
    </fill>
  </fills>
  <borders count="91">
    <border>
      <left/>
      <right/>
      <top/>
      <bottom/>
      <diagonal/>
    </border>
    <border>
      <left style="medium">
        <color indexed="64"/>
      </left>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style="medium">
        <color indexed="18"/>
      </left>
      <right style="medium">
        <color indexed="18"/>
      </right>
      <top style="medium">
        <color indexed="18"/>
      </top>
      <bottom style="medium">
        <color indexed="18"/>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style="thin">
        <color theme="0"/>
      </bottom>
      <diagonal/>
    </border>
    <border>
      <left style="thin">
        <color theme="0"/>
      </left>
      <right/>
      <top style="thin">
        <color theme="0"/>
      </top>
      <bottom/>
      <diagonal/>
    </border>
    <border>
      <left style="medium">
        <color indexed="64"/>
      </left>
      <right/>
      <top/>
      <bottom/>
      <diagonal/>
    </border>
    <border>
      <left style="medium">
        <color indexed="64"/>
      </left>
      <right style="thin">
        <color theme="0"/>
      </right>
      <top style="thin">
        <color theme="0"/>
      </top>
      <bottom style="thin">
        <color theme="0"/>
      </bottom>
      <diagonal/>
    </border>
    <border>
      <left style="medium">
        <color theme="1"/>
      </left>
      <right/>
      <top/>
      <bottom/>
      <diagonal/>
    </border>
    <border>
      <left style="medium">
        <color theme="1"/>
      </left>
      <right style="thin">
        <color theme="0"/>
      </right>
      <top style="thin">
        <color theme="0"/>
      </top>
      <bottom style="thin">
        <color theme="0"/>
      </bottom>
      <diagonal/>
    </border>
    <border>
      <left/>
      <right/>
      <top/>
      <bottom style="thin">
        <color theme="0"/>
      </bottom>
      <diagonal/>
    </border>
    <border>
      <left/>
      <right style="thin">
        <color theme="1"/>
      </right>
      <top/>
      <bottom/>
      <diagonal/>
    </border>
    <border>
      <left style="thin">
        <color theme="0"/>
      </left>
      <right style="thin">
        <color theme="1"/>
      </right>
      <top style="thin">
        <color theme="0"/>
      </top>
      <bottom style="thin">
        <color theme="0"/>
      </bottom>
      <diagonal/>
    </border>
    <border>
      <left/>
      <right style="thin">
        <color theme="0"/>
      </right>
      <top/>
      <bottom style="thin">
        <color theme="0"/>
      </bottom>
      <diagonal/>
    </border>
    <border>
      <left/>
      <right style="thin">
        <color indexed="64"/>
      </right>
      <top/>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indexed="64"/>
      </top>
      <bottom style="medium">
        <color indexed="64"/>
      </bottom>
      <diagonal/>
    </border>
    <border>
      <left style="thin">
        <color indexed="64"/>
      </left>
      <right/>
      <top/>
      <bottom style="thin">
        <color theme="0"/>
      </bottom>
      <diagonal/>
    </border>
    <border>
      <left style="thin">
        <color theme="0"/>
      </left>
      <right/>
      <top style="thin">
        <color indexed="64"/>
      </top>
      <bottom style="medium">
        <color indexed="64"/>
      </bottom>
      <diagonal/>
    </border>
    <border>
      <left style="thin">
        <color indexed="64"/>
      </left>
      <right/>
      <top style="thin">
        <color theme="0"/>
      </top>
      <bottom style="thin">
        <color theme="0"/>
      </bottom>
      <diagonal/>
    </border>
    <border>
      <left style="thin">
        <color theme="0"/>
      </left>
      <right/>
      <top/>
      <bottom/>
      <diagonal/>
    </border>
    <border>
      <left style="thin">
        <color indexed="64"/>
      </left>
      <right style="thin">
        <color theme="0"/>
      </right>
      <top style="thin">
        <color theme="0"/>
      </top>
      <bottom style="thin">
        <color indexed="64"/>
      </bottom>
      <diagonal/>
    </border>
    <border>
      <left style="thin">
        <color indexed="64"/>
      </left>
      <right style="thin">
        <color theme="0"/>
      </right>
      <top style="thin">
        <color theme="0"/>
      </top>
      <bottom style="thin">
        <color theme="0"/>
      </bottom>
      <diagonal/>
    </border>
    <border>
      <left/>
      <right style="medium">
        <color indexed="64"/>
      </right>
      <top/>
      <bottom style="medium">
        <color rgb="FF000000"/>
      </bottom>
      <diagonal/>
    </border>
    <border>
      <left/>
      <right style="medium">
        <color indexed="64"/>
      </right>
      <top/>
      <bottom/>
      <diagonal/>
    </border>
    <border>
      <left/>
      <right style="medium">
        <color indexed="64"/>
      </right>
      <top/>
      <bottom style="medium">
        <color rgb="FFBFBFBF"/>
      </bottom>
      <diagonal/>
    </border>
    <border>
      <left/>
      <right/>
      <top/>
      <bottom style="medium">
        <color rgb="FFBFBFBF"/>
      </bottom>
      <diagonal/>
    </border>
    <border>
      <left/>
      <right style="medium">
        <color rgb="FFBFBFBF"/>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rgb="FFBFBFBF"/>
      </bottom>
      <diagonal/>
    </border>
    <border>
      <left/>
      <right style="medium">
        <color rgb="FFBFBFBF"/>
      </right>
      <top/>
      <bottom style="medium">
        <color rgb="FFBFBFBF"/>
      </bottom>
      <diagonal/>
    </border>
    <border>
      <left style="medium">
        <color indexed="64"/>
      </left>
      <right style="medium">
        <color indexed="64"/>
      </right>
      <top/>
      <bottom/>
      <diagonal/>
    </border>
    <border>
      <left style="medium">
        <color indexed="64"/>
      </left>
      <right style="medium">
        <color indexed="64"/>
      </right>
      <top style="medium">
        <color rgb="FFBFBFBF"/>
      </top>
      <bottom style="medium">
        <color rgb="FFBFBFBF"/>
      </bottom>
      <diagonal/>
    </border>
    <border>
      <left style="medium">
        <color indexed="64"/>
      </left>
      <right style="medium">
        <color indexed="64"/>
      </right>
      <top/>
      <bottom style="medium">
        <color indexed="64"/>
      </bottom>
      <diagonal/>
    </border>
    <border>
      <left style="medium">
        <color indexed="64"/>
      </left>
      <right style="medium">
        <color rgb="FFBFBFBF"/>
      </right>
      <top/>
      <bottom style="medium">
        <color indexed="64"/>
      </bottom>
      <diagonal/>
    </border>
    <border>
      <left/>
      <right style="medium">
        <color rgb="FFBFBFBF"/>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rgb="FFBFBFBF"/>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medium">
        <color indexed="64"/>
      </right>
      <top style="thin">
        <color auto="1"/>
      </top>
      <bottom style="medium">
        <color indexed="64"/>
      </bottom>
      <diagonal/>
    </border>
    <border>
      <left style="medium">
        <color indexed="64"/>
      </left>
      <right style="medium">
        <color indexed="64"/>
      </right>
      <top style="medium">
        <color auto="1"/>
      </top>
      <bottom style="thin">
        <color rgb="FFA6A6A6"/>
      </bottom>
      <diagonal/>
    </border>
    <border>
      <left style="medium">
        <color indexed="64"/>
      </left>
      <right style="thin">
        <color indexed="64"/>
      </right>
      <top style="medium">
        <color indexed="64"/>
      </top>
      <bottom style="thin">
        <color rgb="FFA6A6A6"/>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auto="1"/>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medium">
        <color indexed="64"/>
      </right>
      <top style="thin">
        <color rgb="FFA6A6A6"/>
      </top>
      <bottom style="thin">
        <color rgb="FFA6A6A6"/>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medium">
        <color indexed="64"/>
      </right>
      <top style="thin">
        <color rgb="FFA6A6A6"/>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auto="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style="medium">
        <color indexed="64"/>
      </right>
      <top style="thin">
        <color rgb="FFA6A6A6"/>
      </top>
      <bottom/>
      <diagonal/>
    </border>
    <border>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medium">
        <color indexed="64"/>
      </left>
      <right style="thin">
        <color theme="0" tint="-0.24994659260841701"/>
      </right>
      <top style="thin">
        <color theme="0" tint="-0.24994659260841701"/>
      </top>
      <bottom/>
      <diagonal/>
    </border>
    <border>
      <left style="medium">
        <color indexed="64"/>
      </left>
      <right/>
      <top style="medium">
        <color rgb="FFBFBFBF"/>
      </top>
      <bottom style="medium">
        <color rgb="FFBFBFBF"/>
      </bottom>
      <diagonal/>
    </border>
    <border>
      <left/>
      <right style="medium">
        <color indexed="64"/>
      </right>
      <top style="medium">
        <color rgb="FFBFBFBF"/>
      </top>
      <bottom style="medium">
        <color rgb="FFBFBFBF"/>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rgb="FFB2B2B2"/>
      </left>
      <right style="thin">
        <color rgb="FFB2B2B2"/>
      </right>
      <top style="thin">
        <color rgb="FFB2B2B2"/>
      </top>
      <bottom style="thin">
        <color rgb="FFB2B2B2"/>
      </bottom>
      <diagonal/>
    </border>
  </borders>
  <cellStyleXfs count="57">
    <xf numFmtId="0" fontId="0" fillId="0" borderId="0"/>
    <xf numFmtId="9" fontId="16" fillId="0" borderId="0" applyFont="0" applyFill="0" applyBorder="0" applyAlignment="0" applyProtection="0"/>
    <xf numFmtId="165" fontId="16" fillId="0" borderId="0" applyFont="0" applyFill="0" applyBorder="0" applyAlignment="0" applyProtection="0"/>
    <xf numFmtId="169" fontId="22" fillId="2" borderId="0">
      <alignment vertical="center"/>
      <protection locked="0"/>
    </xf>
    <xf numFmtId="0" fontId="23" fillId="2" borderId="1">
      <alignment vertical="center"/>
    </xf>
    <xf numFmtId="0" fontId="20" fillId="0" borderId="0"/>
    <xf numFmtId="169" fontId="15" fillId="0" borderId="0"/>
    <xf numFmtId="172" fontId="35" fillId="0" borderId="0">
      <alignment horizontal="center" vertical="center"/>
    </xf>
    <xf numFmtId="0" fontId="26" fillId="0" borderId="0"/>
    <xf numFmtId="9" fontId="26" fillId="0" borderId="0" applyFont="0" applyFill="0" applyBorder="0" applyAlignment="0" applyProtection="0"/>
    <xf numFmtId="165" fontId="26" fillId="0" borderId="0" applyFont="0" applyFill="0" applyBorder="0" applyAlignment="0" applyProtection="0"/>
    <xf numFmtId="173" fontId="24" fillId="0" borderId="9">
      <alignment horizontal="right" vertical="center"/>
      <protection locked="0"/>
    </xf>
    <xf numFmtId="165" fontId="16" fillId="0" borderId="0" applyFont="0" applyFill="0" applyBorder="0" applyAlignment="0" applyProtection="0"/>
    <xf numFmtId="169" fontId="14" fillId="0" borderId="0"/>
    <xf numFmtId="165" fontId="26" fillId="0" borderId="0" applyFont="0" applyFill="0" applyBorder="0" applyAlignment="0" applyProtection="0"/>
    <xf numFmtId="165" fontId="16" fillId="0" borderId="0" applyFont="0" applyFill="0" applyBorder="0" applyAlignment="0" applyProtection="0"/>
    <xf numFmtId="169" fontId="13" fillId="0" borderId="0"/>
    <xf numFmtId="0" fontId="46" fillId="0" borderId="0" applyNumberFormat="0" applyFill="0" applyBorder="0" applyAlignment="0" applyProtection="0"/>
    <xf numFmtId="169" fontId="26" fillId="0" borderId="0"/>
    <xf numFmtId="169" fontId="12" fillId="0" borderId="0"/>
    <xf numFmtId="182" fontId="26" fillId="0" borderId="0"/>
    <xf numFmtId="164" fontId="26" fillId="0" borderId="0" applyFont="0" applyFill="0" applyBorder="0" applyAlignment="0" applyProtection="0"/>
    <xf numFmtId="9" fontId="26" fillId="0" borderId="0" applyFont="0" applyFill="0" applyBorder="0" applyAlignment="0" applyProtection="0"/>
    <xf numFmtId="0" fontId="16" fillId="0" borderId="0"/>
    <xf numFmtId="0" fontId="46" fillId="0" borderId="0" applyNumberFormat="0" applyFill="0" applyBorder="0" applyAlignment="0" applyProtection="0"/>
    <xf numFmtId="49" fontId="60" fillId="2" borderId="0">
      <alignment vertical="center"/>
    </xf>
    <xf numFmtId="0" fontId="11" fillId="0" borderId="0"/>
    <xf numFmtId="0" fontId="62" fillId="23" borderId="0">
      <alignment vertical="center"/>
    </xf>
    <xf numFmtId="0" fontId="65" fillId="2" borderId="1">
      <alignment vertical="center"/>
    </xf>
    <xf numFmtId="0" fontId="68" fillId="25" borderId="51">
      <alignment horizontal="centerContinuous" vertical="center" wrapText="1"/>
    </xf>
    <xf numFmtId="0" fontId="69" fillId="26" borderId="52">
      <alignment horizontal="right" vertical="center" wrapText="1" indent="1"/>
    </xf>
    <xf numFmtId="0" fontId="69" fillId="25" borderId="52">
      <alignment horizontal="right" vertical="center" wrapText="1" indent="1"/>
    </xf>
    <xf numFmtId="188" fontId="64" fillId="27" borderId="56" applyBorder="0">
      <alignment horizontal="right"/>
      <protection locked="0"/>
    </xf>
    <xf numFmtId="165" fontId="11" fillId="0" borderId="0" applyFont="0" applyFill="0" applyBorder="0" applyAlignment="0" applyProtection="0"/>
    <xf numFmtId="168" fontId="39" fillId="29" borderId="71" applyBorder="0">
      <alignment horizontal="right" vertical="center"/>
      <protection locked="0"/>
    </xf>
    <xf numFmtId="0" fontId="9"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0" fontId="20" fillId="0" borderId="0"/>
    <xf numFmtId="0" fontId="20" fillId="0" borderId="0"/>
    <xf numFmtId="165" fontId="20" fillId="0" borderId="0" applyFont="0" applyFill="0" applyBorder="0" applyAlignment="0" applyProtection="0"/>
    <xf numFmtId="0" fontId="20" fillId="0" borderId="0"/>
    <xf numFmtId="164"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74" fillId="0" borderId="0" applyNumberFormat="0" applyFill="0" applyBorder="0" applyAlignment="0" applyProtection="0"/>
    <xf numFmtId="0" fontId="20" fillId="0" borderId="0"/>
    <xf numFmtId="0" fontId="75" fillId="0" borderId="0" applyNumberFormat="0" applyFill="0" applyBorder="0" applyAlignment="0" applyProtection="0">
      <alignment vertical="top"/>
      <protection locked="0"/>
    </xf>
    <xf numFmtId="0" fontId="20" fillId="0" borderId="0"/>
    <xf numFmtId="0" fontId="76" fillId="0" borderId="0"/>
    <xf numFmtId="0" fontId="8" fillId="43" borderId="90" applyNumberFormat="0" applyFont="0" applyAlignment="0" applyProtection="0"/>
    <xf numFmtId="0" fontId="74" fillId="0" borderId="0" applyNumberFormat="0" applyFill="0" applyBorder="0" applyAlignment="0" applyProtection="0"/>
    <xf numFmtId="0" fontId="20" fillId="0" borderId="0"/>
    <xf numFmtId="0" fontId="20" fillId="0" borderId="0"/>
    <xf numFmtId="0" fontId="20" fillId="0" borderId="0"/>
    <xf numFmtId="0" fontId="20" fillId="0" borderId="0"/>
  </cellStyleXfs>
  <cellXfs count="553">
    <xf numFmtId="0" fontId="0" fillId="0" borderId="0" xfId="0"/>
    <xf numFmtId="0" fontId="0" fillId="0" borderId="0" xfId="0" applyAlignment="1">
      <alignment vertical="center"/>
    </xf>
    <xf numFmtId="0" fontId="20" fillId="0" borderId="0" xfId="0" applyFont="1" applyAlignment="1">
      <alignment horizontal="center" vertical="center"/>
    </xf>
    <xf numFmtId="0" fontId="0" fillId="5" borderId="0" xfId="0" applyFill="1" applyAlignment="1">
      <alignment vertical="center"/>
    </xf>
    <xf numFmtId="0" fontId="0" fillId="5" borderId="0" xfId="0" applyFill="1" applyAlignment="1">
      <alignment horizontal="center" vertical="center"/>
    </xf>
    <xf numFmtId="0" fontId="0" fillId="5" borderId="0" xfId="0" applyFill="1"/>
    <xf numFmtId="0" fontId="20" fillId="5" borderId="0" xfId="0" applyFont="1" applyFill="1"/>
    <xf numFmtId="0" fontId="20" fillId="5" borderId="0" xfId="0" quotePrefix="1" applyFont="1" applyFill="1" applyAlignment="1">
      <alignment horizontal="center" vertical="center"/>
    </xf>
    <xf numFmtId="0" fontId="20" fillId="0" borderId="0" xfId="0" applyFont="1"/>
    <xf numFmtId="0" fontId="17" fillId="5" borderId="0" xfId="0" applyFont="1" applyFill="1"/>
    <xf numFmtId="0" fontId="20" fillId="5" borderId="0" xfId="0" applyFont="1" applyFill="1" applyAlignment="1">
      <alignment horizontal="center"/>
    </xf>
    <xf numFmtId="0" fontId="0" fillId="5" borderId="0" xfId="0" applyFill="1" applyAlignment="1">
      <alignment horizontal="center"/>
    </xf>
    <xf numFmtId="0" fontId="17" fillId="5" borderId="0" xfId="0" applyFont="1" applyFill="1" applyAlignment="1">
      <alignment wrapText="1"/>
    </xf>
    <xf numFmtId="166" fontId="18" fillId="5" borderId="0" xfId="1" applyNumberFormat="1" applyFont="1" applyFill="1" applyBorder="1"/>
    <xf numFmtId="166" fontId="19" fillId="5" borderId="0" xfId="1" applyNumberFormat="1" applyFont="1" applyFill="1" applyBorder="1" applyAlignment="1">
      <alignment horizontal="center" vertical="center"/>
    </xf>
    <xf numFmtId="3" fontId="17" fillId="5" borderId="0" xfId="0" applyNumberFormat="1" applyFont="1" applyFill="1" applyAlignment="1">
      <alignment horizontal="center"/>
    </xf>
    <xf numFmtId="0" fontId="17" fillId="0" borderId="0" xfId="0" applyFont="1"/>
    <xf numFmtId="0" fontId="20" fillId="0" borderId="0" xfId="0" applyFont="1" applyAlignment="1">
      <alignment horizontal="center"/>
    </xf>
    <xf numFmtId="168" fontId="25" fillId="5" borderId="0" xfId="0" applyNumberFormat="1" applyFont="1" applyFill="1"/>
    <xf numFmtId="0" fontId="20" fillId="5" borderId="0" xfId="0" applyFont="1" applyFill="1" applyAlignment="1">
      <alignment horizontal="center" vertical="center"/>
    </xf>
    <xf numFmtId="0" fontId="20" fillId="0" borderId="0" xfId="0" applyFont="1" applyAlignment="1">
      <alignment vertical="center"/>
    </xf>
    <xf numFmtId="0" fontId="0" fillId="6" borderId="0" xfId="0" applyFill="1"/>
    <xf numFmtId="168" fontId="32" fillId="6" borderId="0" xfId="0" applyNumberFormat="1" applyFont="1" applyFill="1"/>
    <xf numFmtId="0" fontId="0" fillId="5" borderId="0" xfId="0" quotePrefix="1" applyFill="1"/>
    <xf numFmtId="0" fontId="33" fillId="5" borderId="0" xfId="0" applyFont="1" applyFill="1" applyAlignment="1">
      <alignment horizontal="center" vertical="center" wrapText="1"/>
    </xf>
    <xf numFmtId="168" fontId="32" fillId="6" borderId="0" xfId="0" quotePrefix="1" applyNumberFormat="1" applyFont="1" applyFill="1"/>
    <xf numFmtId="0" fontId="21" fillId="3" borderId="2" xfId="0" applyFont="1" applyFill="1" applyBorder="1" applyAlignment="1">
      <alignment horizontal="center" vertical="center"/>
    </xf>
    <xf numFmtId="0" fontId="27" fillId="8" borderId="0" xfId="0" applyFont="1" applyFill="1" applyAlignment="1">
      <alignment vertical="center"/>
    </xf>
    <xf numFmtId="0" fontId="27" fillId="8" borderId="0" xfId="0" applyFont="1" applyFill="1" applyAlignment="1">
      <alignment horizontal="center" vertical="center"/>
    </xf>
    <xf numFmtId="0" fontId="21" fillId="9" borderId="2" xfId="0" applyFont="1" applyFill="1" applyBorder="1" applyAlignment="1">
      <alignment horizontal="center" vertical="center"/>
    </xf>
    <xf numFmtId="168" fontId="29" fillId="8" borderId="0" xfId="0" applyNumberFormat="1" applyFont="1" applyFill="1"/>
    <xf numFmtId="0" fontId="0" fillId="8" borderId="0" xfId="0" applyFill="1"/>
    <xf numFmtId="0" fontId="36" fillId="5" borderId="0" xfId="0" applyFont="1" applyFill="1" applyAlignment="1">
      <alignment horizontal="center" vertical="center" wrapText="1"/>
    </xf>
    <xf numFmtId="0" fontId="25" fillId="7" borderId="0" xfId="0" applyFont="1" applyFill="1" applyAlignment="1">
      <alignment vertical="center"/>
    </xf>
    <xf numFmtId="0" fontId="25" fillId="7" borderId="0" xfId="0" applyFont="1" applyFill="1" applyAlignment="1">
      <alignment horizontal="center" vertical="center"/>
    </xf>
    <xf numFmtId="168" fontId="31" fillId="8" borderId="0" xfId="0" applyNumberFormat="1" applyFont="1" applyFill="1" applyAlignment="1">
      <alignment vertical="center"/>
    </xf>
    <xf numFmtId="168" fontId="31" fillId="8" borderId="0" xfId="0" applyNumberFormat="1" applyFont="1" applyFill="1" applyAlignment="1">
      <alignment horizontal="center" vertical="center"/>
    </xf>
    <xf numFmtId="10" fontId="16" fillId="3" borderId="5" xfId="1" applyNumberFormat="1" applyFont="1" applyFill="1" applyBorder="1" applyAlignment="1">
      <alignment horizontal="center" vertical="center"/>
    </xf>
    <xf numFmtId="0" fontId="27" fillId="8" borderId="0" xfId="0" applyFont="1" applyFill="1"/>
    <xf numFmtId="168" fontId="31" fillId="8" borderId="0" xfId="0" applyNumberFormat="1" applyFont="1" applyFill="1"/>
    <xf numFmtId="0" fontId="25" fillId="7" borderId="0" xfId="0" applyFont="1" applyFill="1" applyAlignment="1">
      <alignment horizontal="center" vertical="center" wrapText="1"/>
    </xf>
    <xf numFmtId="0" fontId="38" fillId="8" borderId="0" xfId="0" applyFont="1" applyFill="1"/>
    <xf numFmtId="0" fontId="31" fillId="6" borderId="0" xfId="0" applyFont="1" applyFill="1" applyAlignment="1">
      <alignment horizontal="center"/>
    </xf>
    <xf numFmtId="168" fontId="32" fillId="6" borderId="0" xfId="0" applyNumberFormat="1" applyFont="1" applyFill="1" applyAlignment="1">
      <alignment horizontal="center" wrapText="1"/>
    </xf>
    <xf numFmtId="167" fontId="34" fillId="5" borderId="0" xfId="0" applyNumberFormat="1" applyFont="1" applyFill="1" applyAlignment="1">
      <alignment horizontal="center" vertical="center"/>
    </xf>
    <xf numFmtId="168" fontId="32" fillId="5" borderId="0" xfId="0" quotePrefix="1" applyNumberFormat="1" applyFont="1" applyFill="1"/>
    <xf numFmtId="0" fontId="20" fillId="5" borderId="0" xfId="0" applyFont="1" applyFill="1" applyAlignment="1">
      <alignment vertical="center"/>
    </xf>
    <xf numFmtId="168" fontId="32" fillId="6" borderId="0" xfId="0" applyNumberFormat="1" applyFont="1" applyFill="1" applyAlignment="1">
      <alignment horizontal="left"/>
    </xf>
    <xf numFmtId="171" fontId="25" fillId="7" borderId="0" xfId="0" applyNumberFormat="1" applyFont="1" applyFill="1" applyAlignment="1">
      <alignment horizontal="center" vertical="center"/>
    </xf>
    <xf numFmtId="168" fontId="29" fillId="7" borderId="0" xfId="0" applyNumberFormat="1" applyFont="1" applyFill="1" applyAlignment="1">
      <alignment horizontal="center" vertical="center" wrapText="1"/>
    </xf>
    <xf numFmtId="168" fontId="32" fillId="5" borderId="0" xfId="0" applyNumberFormat="1" applyFont="1" applyFill="1"/>
    <xf numFmtId="0" fontId="31" fillId="5" borderId="0" xfId="0" applyFont="1" applyFill="1" applyAlignment="1">
      <alignment horizontal="center"/>
    </xf>
    <xf numFmtId="0" fontId="31" fillId="5" borderId="0" xfId="0" applyFont="1" applyFill="1" applyAlignment="1">
      <alignment horizontal="center" vertical="center"/>
    </xf>
    <xf numFmtId="0" fontId="19" fillId="10" borderId="0" xfId="0" applyFont="1" applyFill="1" applyAlignment="1">
      <alignment horizontal="center" vertical="center"/>
    </xf>
    <xf numFmtId="168" fontId="32" fillId="6" borderId="0" xfId="0" applyNumberFormat="1" applyFont="1" applyFill="1" applyAlignment="1">
      <alignment horizontal="center"/>
    </xf>
    <xf numFmtId="176" fontId="20" fillId="3" borderId="2" xfId="0" applyNumberFormat="1" applyFont="1" applyFill="1" applyBorder="1" applyAlignment="1">
      <alignment horizontal="center" vertical="center"/>
    </xf>
    <xf numFmtId="176" fontId="0" fillId="9" borderId="2" xfId="0" applyNumberFormat="1" applyFill="1" applyBorder="1" applyAlignment="1">
      <alignment horizontal="center" vertical="center"/>
    </xf>
    <xf numFmtId="0" fontId="25" fillId="0" borderId="0" xfId="0" applyFont="1" applyAlignment="1">
      <alignment horizontal="center" vertical="center"/>
    </xf>
    <xf numFmtId="176" fontId="19" fillId="0" borderId="2" xfId="0" applyNumberFormat="1" applyFont="1" applyBorder="1" applyAlignment="1">
      <alignment horizontal="center" vertical="center"/>
    </xf>
    <xf numFmtId="175" fontId="19" fillId="0" borderId="2" xfId="0" applyNumberFormat="1" applyFont="1" applyBorder="1" applyAlignment="1">
      <alignment horizontal="center" vertical="center"/>
    </xf>
    <xf numFmtId="0" fontId="19" fillId="0" borderId="0" xfId="0" applyFont="1" applyAlignment="1">
      <alignment horizontal="center" vertical="center"/>
    </xf>
    <xf numFmtId="176" fontId="20" fillId="0" borderId="2" xfId="0" applyNumberFormat="1" applyFont="1" applyBorder="1" applyAlignment="1">
      <alignment horizontal="center" vertical="center"/>
    </xf>
    <xf numFmtId="175" fontId="20" fillId="0" borderId="2" xfId="0" applyNumberFormat="1" applyFont="1" applyBorder="1" applyAlignment="1">
      <alignment horizontal="center" vertical="center"/>
    </xf>
    <xf numFmtId="167" fontId="0" fillId="0" borderId="0" xfId="0" applyNumberFormat="1" applyAlignment="1">
      <alignment horizontal="center" vertical="center"/>
    </xf>
    <xf numFmtId="176" fontId="0" fillId="0" borderId="0" xfId="0" applyNumberFormat="1" applyAlignment="1">
      <alignment horizontal="center" vertical="center"/>
    </xf>
    <xf numFmtId="168" fontId="32" fillId="0" borderId="0" xfId="0" applyNumberFormat="1" applyFont="1" applyAlignment="1">
      <alignment horizontal="left"/>
    </xf>
    <xf numFmtId="176" fontId="0" fillId="0" borderId="2" xfId="0" applyNumberFormat="1" applyBorder="1" applyAlignment="1">
      <alignment horizontal="center" vertical="center"/>
    </xf>
    <xf numFmtId="168" fontId="32" fillId="6" borderId="0" xfId="0" applyNumberFormat="1" applyFont="1" applyFill="1" applyAlignment="1">
      <alignment horizontal="center" vertical="center"/>
    </xf>
    <xf numFmtId="176" fontId="0" fillId="3" borderId="2" xfId="0" applyNumberFormat="1" applyFill="1" applyBorder="1" applyAlignment="1">
      <alignment horizontal="center" vertical="center"/>
    </xf>
    <xf numFmtId="10" fontId="16" fillId="9" borderId="5" xfId="1" applyNumberFormat="1" applyFont="1" applyFill="1" applyBorder="1" applyAlignment="1">
      <alignment horizontal="center" vertical="center"/>
    </xf>
    <xf numFmtId="0" fontId="27" fillId="0" borderId="0" xfId="0" applyFont="1" applyAlignment="1">
      <alignment horizontal="center" vertical="center"/>
    </xf>
    <xf numFmtId="0" fontId="31" fillId="0" borderId="0" xfId="0" applyFont="1" applyAlignment="1">
      <alignment vertical="center"/>
    </xf>
    <xf numFmtId="0" fontId="31" fillId="0" borderId="0" xfId="0" applyFont="1" applyAlignment="1">
      <alignment horizontal="center" vertical="center"/>
    </xf>
    <xf numFmtId="0" fontId="17" fillId="0" borderId="0" xfId="0" applyFont="1" applyAlignment="1">
      <alignment horizontal="center" vertical="center"/>
    </xf>
    <xf numFmtId="168" fontId="29" fillId="0" borderId="0" xfId="0" applyNumberFormat="1" applyFont="1" applyAlignment="1">
      <alignment horizontal="center" vertical="center" wrapText="1"/>
    </xf>
    <xf numFmtId="175" fontId="21" fillId="0" borderId="8" xfId="0" applyNumberFormat="1" applyFont="1" applyBorder="1" applyAlignment="1">
      <alignment horizontal="center" vertical="center"/>
    </xf>
    <xf numFmtId="0" fontId="0" fillId="10" borderId="0" xfId="0" applyFill="1"/>
    <xf numFmtId="168" fontId="32" fillId="0" borderId="0" xfId="0" applyNumberFormat="1" applyFont="1" applyAlignment="1">
      <alignment horizontal="center"/>
    </xf>
    <xf numFmtId="0" fontId="21" fillId="0" borderId="2" xfId="0" applyFont="1" applyBorder="1" applyAlignment="1">
      <alignment horizontal="center" vertical="center"/>
    </xf>
    <xf numFmtId="170" fontId="21" fillId="3" borderId="2" xfId="0" applyNumberFormat="1" applyFont="1" applyFill="1" applyBorder="1" applyAlignment="1">
      <alignment horizontal="center" vertical="center"/>
    </xf>
    <xf numFmtId="168" fontId="32" fillId="0" borderId="0" xfId="0" quotePrefix="1" applyNumberFormat="1" applyFont="1"/>
    <xf numFmtId="0" fontId="21" fillId="9" borderId="0" xfId="0" applyFont="1" applyFill="1" applyAlignment="1">
      <alignment horizontal="center" vertical="center"/>
    </xf>
    <xf numFmtId="0" fontId="0" fillId="0" borderId="0" xfId="0" applyAlignment="1">
      <alignment horizontal="center" vertical="center"/>
    </xf>
    <xf numFmtId="0" fontId="25" fillId="7" borderId="0" xfId="0" applyFont="1" applyFill="1" applyAlignment="1">
      <alignment horizontal="left" vertical="center"/>
    </xf>
    <xf numFmtId="168" fontId="29" fillId="0" borderId="0" xfId="0" applyNumberFormat="1" applyFont="1"/>
    <xf numFmtId="0" fontId="20" fillId="3" borderId="2" xfId="0" applyFont="1" applyFill="1" applyBorder="1"/>
    <xf numFmtId="168" fontId="40" fillId="0" borderId="0" xfId="0" applyNumberFormat="1" applyFont="1" applyAlignment="1">
      <alignment horizontal="center"/>
    </xf>
    <xf numFmtId="168" fontId="40" fillId="0" borderId="0" xfId="0" applyNumberFormat="1" applyFont="1" applyAlignment="1">
      <alignment horizontal="center" vertical="center"/>
    </xf>
    <xf numFmtId="177" fontId="24" fillId="12" borderId="2" xfId="9" applyNumberFormat="1" applyFont="1" applyFill="1" applyBorder="1" applyAlignment="1">
      <alignment horizontal="center" vertical="center"/>
    </xf>
    <xf numFmtId="168" fontId="41" fillId="4" borderId="2" xfId="0" applyNumberFormat="1" applyFont="1" applyFill="1" applyBorder="1" applyAlignment="1">
      <alignment horizontal="center"/>
    </xf>
    <xf numFmtId="168" fontId="29" fillId="4" borderId="2" xfId="0" applyNumberFormat="1" applyFont="1" applyFill="1" applyBorder="1" applyAlignment="1">
      <alignment horizontal="left" indent="1"/>
    </xf>
    <xf numFmtId="168" fontId="40" fillId="4" borderId="2" xfId="0" applyNumberFormat="1" applyFont="1" applyFill="1" applyBorder="1" applyAlignment="1">
      <alignment horizontal="center"/>
    </xf>
    <xf numFmtId="177" fontId="25" fillId="12" borderId="2" xfId="9" applyNumberFormat="1" applyFont="1" applyFill="1" applyBorder="1" applyAlignment="1">
      <alignment horizontal="center" vertical="center"/>
    </xf>
    <xf numFmtId="3" fontId="17" fillId="0" borderId="0" xfId="0" applyNumberFormat="1" applyFont="1" applyAlignment="1">
      <alignment horizontal="center"/>
    </xf>
    <xf numFmtId="0" fontId="28" fillId="5" borderId="0" xfId="0" applyFont="1" applyFill="1"/>
    <xf numFmtId="0" fontId="27" fillId="6" borderId="0" xfId="0" applyFont="1" applyFill="1"/>
    <xf numFmtId="0" fontId="31" fillId="6" borderId="0" xfId="0" applyFont="1" applyFill="1" applyAlignment="1">
      <alignment horizontal="center" vertical="center"/>
    </xf>
    <xf numFmtId="0" fontId="31" fillId="6" borderId="0" xfId="0" quotePrefix="1" applyFont="1" applyFill="1"/>
    <xf numFmtId="0" fontId="31" fillId="6" borderId="0" xfId="0" applyFont="1" applyFill="1"/>
    <xf numFmtId="0" fontId="27" fillId="5" borderId="0" xfId="0" applyFont="1" applyFill="1"/>
    <xf numFmtId="0" fontId="31" fillId="5" borderId="0" xfId="0" applyFont="1" applyFill="1"/>
    <xf numFmtId="0" fontId="43" fillId="5" borderId="0" xfId="0" applyFont="1" applyFill="1" applyAlignment="1">
      <alignment horizontal="center" vertical="center"/>
    </xf>
    <xf numFmtId="166" fontId="42" fillId="5" borderId="0" xfId="0" applyNumberFormat="1" applyFont="1" applyFill="1" applyAlignment="1">
      <alignment horizontal="center" vertical="center"/>
    </xf>
    <xf numFmtId="0" fontId="42" fillId="0" borderId="0" xfId="0" applyFont="1" applyAlignment="1">
      <alignment horizontal="center" vertical="center"/>
    </xf>
    <xf numFmtId="0" fontId="42" fillId="5" borderId="0" xfId="0" applyFont="1" applyFill="1" applyAlignment="1">
      <alignment horizontal="center" vertical="center"/>
    </xf>
    <xf numFmtId="0" fontId="31" fillId="6" borderId="0" xfId="0" applyFont="1" applyFill="1" applyAlignment="1">
      <alignment vertical="center"/>
    </xf>
    <xf numFmtId="0" fontId="21" fillId="4" borderId="2" xfId="0" applyFont="1" applyFill="1" applyBorder="1" applyAlignment="1">
      <alignment horizontal="center" vertical="center"/>
    </xf>
    <xf numFmtId="0" fontId="0" fillId="3" borderId="7" xfId="0" applyFill="1" applyBorder="1" applyAlignment="1">
      <alignment vertical="center"/>
    </xf>
    <xf numFmtId="0" fontId="25" fillId="0" borderId="0" xfId="0" applyFont="1" applyAlignment="1">
      <alignment vertical="center"/>
    </xf>
    <xf numFmtId="167" fontId="0" fillId="0" borderId="0" xfId="0" applyNumberFormat="1" applyAlignment="1">
      <alignment vertical="center"/>
    </xf>
    <xf numFmtId="168" fontId="21" fillId="3" borderId="2" xfId="0" applyNumberFormat="1" applyFont="1" applyFill="1" applyBorder="1" applyAlignment="1">
      <alignment horizontal="left" indent="1"/>
    </xf>
    <xf numFmtId="0" fontId="19" fillId="7" borderId="0" xfId="0" applyFont="1" applyFill="1" applyAlignment="1">
      <alignment horizontal="center" vertical="center"/>
    </xf>
    <xf numFmtId="0" fontId="19" fillId="7" borderId="0" xfId="0" applyFont="1" applyFill="1" applyAlignment="1">
      <alignment horizontal="center" vertical="center" wrapText="1"/>
    </xf>
    <xf numFmtId="0" fontId="19" fillId="7" borderId="2" xfId="0" applyFont="1" applyFill="1" applyBorder="1" applyAlignment="1">
      <alignment horizontal="center" vertical="center"/>
    </xf>
    <xf numFmtId="0" fontId="20" fillId="0" borderId="2" xfId="0" applyFont="1" applyBorder="1" applyAlignment="1">
      <alignment horizontal="center"/>
    </xf>
    <xf numFmtId="167" fontId="20" fillId="0" borderId="2" xfId="0" applyNumberFormat="1" applyFont="1" applyBorder="1" applyAlignment="1">
      <alignment horizontal="center" vertical="center"/>
    </xf>
    <xf numFmtId="166" fontId="18" fillId="0" borderId="0" xfId="1" applyNumberFormat="1" applyFont="1" applyFill="1" applyBorder="1"/>
    <xf numFmtId="0" fontId="20" fillId="0" borderId="2" xfId="0" applyFont="1" applyBorder="1"/>
    <xf numFmtId="175" fontId="39" fillId="0" borderId="2" xfId="0" applyNumberFormat="1" applyFont="1" applyBorder="1" applyAlignment="1">
      <alignment horizontal="center" vertical="center"/>
    </xf>
    <xf numFmtId="175" fontId="37" fillId="0" borderId="2" xfId="0" applyNumberFormat="1" applyFont="1" applyBorder="1" applyAlignment="1">
      <alignment horizontal="center" vertical="center"/>
    </xf>
    <xf numFmtId="175" fontId="37" fillId="0" borderId="8" xfId="0" applyNumberFormat="1" applyFont="1" applyBorder="1" applyAlignment="1">
      <alignment horizontal="center" vertical="center"/>
    </xf>
    <xf numFmtId="167" fontId="20" fillId="3" borderId="2" xfId="0" applyNumberFormat="1" applyFont="1" applyFill="1" applyBorder="1" applyAlignment="1">
      <alignment horizontal="center" vertical="center"/>
    </xf>
    <xf numFmtId="172" fontId="44" fillId="13" borderId="0" xfId="7" applyFont="1" applyFill="1">
      <alignment horizontal="center" vertical="center"/>
    </xf>
    <xf numFmtId="0" fontId="43" fillId="5" borderId="0" xfId="0" quotePrefix="1" applyFont="1" applyFill="1" applyAlignment="1">
      <alignment horizontal="center" vertical="center"/>
    </xf>
    <xf numFmtId="0" fontId="45" fillId="6" borderId="0" xfId="0" applyFont="1" applyFill="1" applyAlignment="1">
      <alignment horizontal="center" vertical="center"/>
    </xf>
    <xf numFmtId="0" fontId="45" fillId="5" borderId="0" xfId="0" applyFont="1" applyFill="1" applyAlignment="1">
      <alignment horizontal="center" vertical="center"/>
    </xf>
    <xf numFmtId="0" fontId="43" fillId="0" borderId="0" xfId="0" applyFont="1" applyAlignment="1">
      <alignment horizontal="center" vertical="center"/>
    </xf>
    <xf numFmtId="0" fontId="19" fillId="10" borderId="0" xfId="0" applyFont="1" applyFill="1" applyAlignment="1">
      <alignment vertical="center"/>
    </xf>
    <xf numFmtId="0" fontId="19" fillId="10" borderId="0" xfId="0" applyFont="1" applyFill="1" applyAlignment="1">
      <alignment vertical="center" wrapText="1"/>
    </xf>
    <xf numFmtId="0" fontId="19" fillId="10" borderId="0" xfId="0" applyFont="1" applyFill="1" applyAlignment="1">
      <alignment horizontal="left" vertical="center"/>
    </xf>
    <xf numFmtId="0" fontId="17" fillId="10" borderId="0" xfId="0" applyFont="1" applyFill="1" applyAlignment="1">
      <alignment vertical="center"/>
    </xf>
    <xf numFmtId="0" fontId="25" fillId="7" borderId="15" xfId="0" applyFont="1" applyFill="1" applyBorder="1" applyAlignment="1">
      <alignment horizontal="center" vertical="center" wrapText="1"/>
    </xf>
    <xf numFmtId="0" fontId="25" fillId="7" borderId="17" xfId="0" applyFont="1" applyFill="1" applyBorder="1" applyAlignment="1">
      <alignment horizontal="center" vertical="center" wrapText="1"/>
    </xf>
    <xf numFmtId="171" fontId="20" fillId="0" borderId="0" xfId="2" quotePrefix="1" applyNumberFormat="1" applyFont="1" applyFill="1" applyBorder="1" applyAlignment="1">
      <alignment horizontal="center" vertical="center"/>
    </xf>
    <xf numFmtId="180" fontId="32" fillId="6" borderId="0" xfId="0" applyNumberFormat="1" applyFont="1" applyFill="1"/>
    <xf numFmtId="180" fontId="32" fillId="6" borderId="0" xfId="0" applyNumberFormat="1" applyFont="1" applyFill="1" applyAlignment="1">
      <alignment horizontal="center"/>
    </xf>
    <xf numFmtId="180" fontId="32" fillId="6" borderId="19" xfId="0" applyNumberFormat="1" applyFont="1" applyFill="1" applyBorder="1" applyAlignment="1">
      <alignment horizontal="center"/>
    </xf>
    <xf numFmtId="170" fontId="21" fillId="9" borderId="2" xfId="0" applyNumberFormat="1" applyFont="1" applyFill="1" applyBorder="1" applyAlignment="1">
      <alignment horizontal="center" vertical="center"/>
    </xf>
    <xf numFmtId="0" fontId="25" fillId="7" borderId="20" xfId="0" applyFont="1" applyFill="1" applyBorder="1" applyAlignment="1">
      <alignment horizontal="center" vertical="center" wrapText="1"/>
    </xf>
    <xf numFmtId="168" fontId="32" fillId="0" borderId="0" xfId="0" applyNumberFormat="1" applyFont="1"/>
    <xf numFmtId="175" fontId="39" fillId="0" borderId="8" xfId="0" applyNumberFormat="1" applyFont="1" applyBorder="1" applyAlignment="1">
      <alignment horizontal="center" vertical="center"/>
    </xf>
    <xf numFmtId="168" fontId="31" fillId="8" borderId="0" xfId="0" applyNumberFormat="1" applyFont="1" applyFill="1" applyAlignment="1">
      <alignment horizontal="left" vertical="center"/>
    </xf>
    <xf numFmtId="170" fontId="21" fillId="0" borderId="2" xfId="0" applyNumberFormat="1" applyFont="1" applyBorder="1" applyAlignment="1">
      <alignment horizontal="center" vertical="center"/>
    </xf>
    <xf numFmtId="180" fontId="32" fillId="0" borderId="19" xfId="0" applyNumberFormat="1" applyFont="1" applyBorder="1" applyAlignment="1">
      <alignment horizontal="center"/>
    </xf>
    <xf numFmtId="168" fontId="32" fillId="0" borderId="0" xfId="0" applyNumberFormat="1" applyFont="1" applyAlignment="1">
      <alignment horizontal="center" wrapText="1"/>
    </xf>
    <xf numFmtId="170" fontId="21" fillId="0" borderId="0" xfId="0" applyNumberFormat="1" applyFont="1" applyAlignment="1">
      <alignment horizontal="center" vertical="center"/>
    </xf>
    <xf numFmtId="181" fontId="39" fillId="0" borderId="2" xfId="0" applyNumberFormat="1" applyFont="1" applyBorder="1" applyAlignment="1">
      <alignment horizontal="center" vertical="center"/>
    </xf>
    <xf numFmtId="0" fontId="40" fillId="3" borderId="22" xfId="0" applyFont="1" applyFill="1" applyBorder="1" applyAlignment="1">
      <alignment horizontal="center"/>
    </xf>
    <xf numFmtId="0" fontId="40" fillId="3" borderId="8" xfId="0" applyFont="1" applyFill="1" applyBorder="1" applyAlignment="1">
      <alignment horizontal="center"/>
    </xf>
    <xf numFmtId="0" fontId="40" fillId="3" borderId="13" xfId="0" applyFont="1" applyFill="1" applyBorder="1" applyAlignment="1">
      <alignment horizontal="center"/>
    </xf>
    <xf numFmtId="0" fontId="25" fillId="7" borderId="23" xfId="0" applyFont="1" applyFill="1" applyBorder="1" applyAlignment="1">
      <alignment horizontal="center" vertical="center" wrapText="1"/>
    </xf>
    <xf numFmtId="167" fontId="20" fillId="3" borderId="24" xfId="0" applyNumberFormat="1" applyFont="1" applyFill="1" applyBorder="1" applyAlignment="1">
      <alignment horizontal="center" vertical="center"/>
    </xf>
    <xf numFmtId="168" fontId="32" fillId="6" borderId="0" xfId="0" applyNumberFormat="1" applyFont="1" applyFill="1" applyAlignment="1">
      <alignment vertical="center"/>
    </xf>
    <xf numFmtId="0" fontId="25" fillId="7" borderId="0" xfId="0" applyFont="1" applyFill="1" applyAlignment="1">
      <alignment vertical="center" wrapText="1"/>
    </xf>
    <xf numFmtId="168" fontId="32" fillId="11" borderId="0" xfId="0" applyNumberFormat="1" applyFont="1" applyFill="1"/>
    <xf numFmtId="167" fontId="20" fillId="3" borderId="2" xfId="0" quotePrefix="1" applyNumberFormat="1" applyFont="1" applyFill="1" applyBorder="1" applyAlignment="1">
      <alignment horizontal="center" vertical="center"/>
    </xf>
    <xf numFmtId="175" fontId="20" fillId="3" borderId="2" xfId="0" quotePrefix="1" applyNumberFormat="1" applyFont="1" applyFill="1" applyBorder="1" applyAlignment="1">
      <alignment horizontal="center" vertical="center"/>
    </xf>
    <xf numFmtId="0" fontId="47" fillId="5" borderId="0" xfId="17" applyFont="1" applyFill="1"/>
    <xf numFmtId="167" fontId="20" fillId="3" borderId="2" xfId="0" quotePrefix="1" applyNumberFormat="1" applyFont="1" applyFill="1" applyBorder="1" applyAlignment="1">
      <alignment horizontal="left" vertical="center"/>
    </xf>
    <xf numFmtId="175" fontId="20" fillId="3" borderId="2" xfId="0" applyNumberFormat="1" applyFont="1" applyFill="1" applyBorder="1" applyAlignment="1">
      <alignment horizontal="left" vertical="center"/>
    </xf>
    <xf numFmtId="176" fontId="20" fillId="0" borderId="8" xfId="0" applyNumberFormat="1" applyFont="1" applyBorder="1" applyAlignment="1">
      <alignment horizontal="center" vertical="center"/>
    </xf>
    <xf numFmtId="176" fontId="19" fillId="0" borderId="25" xfId="0" applyNumberFormat="1" applyFont="1" applyBorder="1" applyAlignment="1">
      <alignment horizontal="center" vertical="center"/>
    </xf>
    <xf numFmtId="183" fontId="19" fillId="0" borderId="25" xfId="0" applyNumberFormat="1" applyFont="1" applyBorder="1" applyAlignment="1">
      <alignment horizontal="center" vertical="center"/>
    </xf>
    <xf numFmtId="0" fontId="25" fillId="7" borderId="26" xfId="0" applyFont="1" applyFill="1" applyBorder="1" applyAlignment="1">
      <alignment horizontal="center" vertical="center" wrapText="1"/>
    </xf>
    <xf numFmtId="167" fontId="20" fillId="9" borderId="6" xfId="0" applyNumberFormat="1" applyFont="1" applyFill="1" applyBorder="1" applyAlignment="1">
      <alignment horizontal="center" vertical="center"/>
    </xf>
    <xf numFmtId="176" fontId="19" fillId="0" borderId="27" xfId="0" applyNumberFormat="1" applyFont="1" applyBorder="1" applyAlignment="1">
      <alignment horizontal="center" vertical="center"/>
    </xf>
    <xf numFmtId="167" fontId="20" fillId="9" borderId="28" xfId="0" applyNumberFormat="1" applyFont="1" applyFill="1" applyBorder="1" applyAlignment="1">
      <alignment horizontal="center" vertical="center"/>
    </xf>
    <xf numFmtId="0" fontId="20" fillId="5" borderId="0" xfId="17" applyFont="1" applyFill="1"/>
    <xf numFmtId="175" fontId="20" fillId="3" borderId="2" xfId="0" quotePrefix="1" applyNumberFormat="1" applyFont="1" applyFill="1" applyBorder="1" applyAlignment="1">
      <alignment horizontal="left" vertical="center"/>
    </xf>
    <xf numFmtId="176" fontId="20" fillId="3" borderId="6" xfId="0" applyNumberFormat="1" applyFont="1" applyFill="1" applyBorder="1" applyAlignment="1">
      <alignment horizontal="center" vertical="center"/>
    </xf>
    <xf numFmtId="0" fontId="31" fillId="6" borderId="0" xfId="0" applyFont="1" applyFill="1" applyAlignment="1">
      <alignment horizontal="right" vertical="center"/>
    </xf>
    <xf numFmtId="0" fontId="0" fillId="5" borderId="0" xfId="0" applyFill="1" applyAlignment="1">
      <alignment vertical="top"/>
    </xf>
    <xf numFmtId="0" fontId="17" fillId="5" borderId="0" xfId="0" applyFont="1" applyFill="1" applyAlignment="1">
      <alignment vertical="top"/>
    </xf>
    <xf numFmtId="0" fontId="19" fillId="5" borderId="0" xfId="0" applyFont="1" applyFill="1" applyAlignment="1">
      <alignment horizontal="center" vertical="top" wrapText="1"/>
    </xf>
    <xf numFmtId="0" fontId="17" fillId="5" borderId="0" xfId="0" applyFont="1" applyFill="1" applyAlignment="1">
      <alignment horizontal="center" vertical="top" wrapText="1"/>
    </xf>
    <xf numFmtId="0" fontId="0" fillId="0" borderId="0" xfId="0" applyAlignment="1">
      <alignment vertical="top"/>
    </xf>
    <xf numFmtId="0" fontId="0" fillId="8" borderId="0" xfId="0" applyFill="1" applyAlignment="1">
      <alignment vertical="center"/>
    </xf>
    <xf numFmtId="168" fontId="30" fillId="8" borderId="0" xfId="0" applyNumberFormat="1" applyFont="1" applyFill="1" applyAlignment="1">
      <alignment vertical="center"/>
    </xf>
    <xf numFmtId="168" fontId="29" fillId="8" borderId="0" xfId="0" applyNumberFormat="1" applyFont="1" applyFill="1" applyAlignment="1">
      <alignment vertical="center"/>
    </xf>
    <xf numFmtId="0" fontId="20" fillId="8" borderId="0" xfId="0" applyFont="1" applyFill="1" applyAlignment="1">
      <alignment horizontal="center" vertical="center"/>
    </xf>
    <xf numFmtId="175" fontId="20" fillId="9" borderId="31" xfId="0" applyNumberFormat="1" applyFont="1" applyFill="1" applyBorder="1" applyAlignment="1">
      <alignment horizontal="center" vertical="center"/>
    </xf>
    <xf numFmtId="175" fontId="20" fillId="9" borderId="30" xfId="0" applyNumberFormat="1" applyFont="1" applyFill="1" applyBorder="1" applyAlignment="1">
      <alignment horizontal="center" vertical="center"/>
    </xf>
    <xf numFmtId="0" fontId="25" fillId="15" borderId="0" xfId="0" applyFont="1" applyFill="1" applyAlignment="1">
      <alignment horizontal="center" vertical="center" wrapText="1"/>
    </xf>
    <xf numFmtId="0" fontId="25" fillId="15" borderId="23" xfId="0" applyFont="1" applyFill="1" applyBorder="1" applyAlignment="1">
      <alignment horizontal="center" vertical="center" wrapText="1"/>
    </xf>
    <xf numFmtId="0" fontId="25" fillId="15" borderId="26" xfId="0" applyFont="1" applyFill="1" applyBorder="1" applyAlignment="1">
      <alignment horizontal="center" vertical="center" wrapText="1"/>
    </xf>
    <xf numFmtId="168" fontId="29" fillId="15" borderId="0" xfId="0" applyNumberFormat="1" applyFont="1" applyFill="1" applyAlignment="1">
      <alignment horizontal="center" vertical="center" wrapText="1"/>
    </xf>
    <xf numFmtId="0" fontId="19" fillId="7" borderId="8" xfId="0" applyFont="1" applyFill="1" applyBorder="1" applyAlignment="1">
      <alignment horizontal="center" vertical="center"/>
    </xf>
    <xf numFmtId="176" fontId="24" fillId="3" borderId="2" xfId="0" applyNumberFormat="1" applyFont="1" applyFill="1" applyBorder="1" applyAlignment="1">
      <alignment horizontal="center" vertical="center"/>
    </xf>
    <xf numFmtId="0" fontId="24" fillId="3" borderId="2" xfId="0" applyFont="1" applyFill="1" applyBorder="1" applyAlignment="1">
      <alignment horizontal="left"/>
    </xf>
    <xf numFmtId="0" fontId="24" fillId="3" borderId="2" xfId="0" applyFont="1" applyFill="1" applyBorder="1"/>
    <xf numFmtId="0" fontId="24" fillId="3" borderId="2" xfId="0" applyFont="1" applyFill="1" applyBorder="1" applyAlignment="1">
      <alignment horizontal="center"/>
    </xf>
    <xf numFmtId="0" fontId="24" fillId="3" borderId="13" xfId="0" applyFont="1" applyFill="1" applyBorder="1" applyAlignment="1">
      <alignment horizontal="left"/>
    </xf>
    <xf numFmtId="0" fontId="24" fillId="3" borderId="13" xfId="0" applyFont="1" applyFill="1" applyBorder="1" applyAlignment="1">
      <alignment horizontal="center"/>
    </xf>
    <xf numFmtId="0" fontId="24" fillId="3" borderId="6" xfId="0" applyFont="1" applyFill="1" applyBorder="1" applyAlignment="1">
      <alignment horizontal="center"/>
    </xf>
    <xf numFmtId="167" fontId="24" fillId="9" borderId="2" xfId="0" applyNumberFormat="1" applyFont="1" applyFill="1" applyBorder="1" applyAlignment="1">
      <alignment horizontal="center" vertical="center"/>
    </xf>
    <xf numFmtId="0" fontId="24" fillId="9" borderId="2" xfId="0" applyFont="1" applyFill="1" applyBorder="1" applyAlignment="1">
      <alignment horizontal="center"/>
    </xf>
    <xf numFmtId="167" fontId="24" fillId="9" borderId="2" xfId="0" quotePrefix="1" applyNumberFormat="1" applyFont="1" applyFill="1" applyBorder="1" applyAlignment="1">
      <alignment horizontal="center" vertical="center"/>
    </xf>
    <xf numFmtId="167" fontId="24" fillId="9" borderId="6" xfId="0" applyNumberFormat="1" applyFont="1" applyFill="1" applyBorder="1" applyAlignment="1">
      <alignment horizontal="center" vertical="center"/>
    </xf>
    <xf numFmtId="176" fontId="24" fillId="9" borderId="2" xfId="0" applyNumberFormat="1" applyFont="1" applyFill="1" applyBorder="1" applyAlignment="1">
      <alignment horizontal="center" vertical="center"/>
    </xf>
    <xf numFmtId="176" fontId="24" fillId="9" borderId="6" xfId="0" applyNumberFormat="1" applyFont="1" applyFill="1" applyBorder="1" applyAlignment="1">
      <alignment horizontal="center" vertical="center"/>
    </xf>
    <xf numFmtId="167" fontId="24" fillId="9" borderId="3" xfId="0" applyNumberFormat="1" applyFont="1" applyFill="1" applyBorder="1" applyAlignment="1">
      <alignment horizontal="center" vertical="center"/>
    </xf>
    <xf numFmtId="167" fontId="24" fillId="9" borderId="6" xfId="0" quotePrefix="1" applyNumberFormat="1" applyFont="1" applyFill="1" applyBorder="1" applyAlignment="1">
      <alignment horizontal="center" vertical="center"/>
    </xf>
    <xf numFmtId="175" fontId="24" fillId="9" borderId="3" xfId="0" quotePrefix="1" applyNumberFormat="1" applyFont="1" applyFill="1" applyBorder="1" applyAlignment="1">
      <alignment horizontal="center" vertical="center"/>
    </xf>
    <xf numFmtId="175" fontId="24" fillId="9" borderId="2" xfId="0" quotePrefix="1" applyNumberFormat="1" applyFont="1" applyFill="1" applyBorder="1" applyAlignment="1">
      <alignment horizontal="center" vertical="center"/>
    </xf>
    <xf numFmtId="175" fontId="24" fillId="9" borderId="3" xfId="0" applyNumberFormat="1" applyFont="1" applyFill="1" applyBorder="1" applyAlignment="1">
      <alignment horizontal="center" vertical="center"/>
    </xf>
    <xf numFmtId="175" fontId="24" fillId="9" borderId="2" xfId="0" applyNumberFormat="1" applyFont="1" applyFill="1" applyBorder="1" applyAlignment="1">
      <alignment horizontal="center" vertical="center"/>
    </xf>
    <xf numFmtId="10" fontId="21" fillId="9" borderId="2" xfId="1" applyNumberFormat="1" applyFont="1" applyFill="1" applyBorder="1" applyAlignment="1">
      <alignment horizontal="center" vertical="center"/>
    </xf>
    <xf numFmtId="176" fontId="24" fillId="3" borderId="2" xfId="0" applyNumberFormat="1" applyFont="1" applyFill="1" applyBorder="1" applyAlignment="1">
      <alignment horizontal="left" vertical="center"/>
    </xf>
    <xf numFmtId="0" fontId="49" fillId="0" borderId="0" xfId="0" applyFont="1"/>
    <xf numFmtId="0" fontId="48" fillId="5" borderId="0" xfId="0" applyFont="1" applyFill="1"/>
    <xf numFmtId="0" fontId="24" fillId="5" borderId="0" xfId="0" applyFont="1" applyFill="1" applyAlignment="1">
      <alignment horizontal="center"/>
    </xf>
    <xf numFmtId="167" fontId="24" fillId="3" borderId="2" xfId="0" applyNumberFormat="1" applyFont="1" applyFill="1" applyBorder="1" applyAlignment="1">
      <alignment vertical="center"/>
    </xf>
    <xf numFmtId="167" fontId="24" fillId="3" borderId="2" xfId="0" applyNumberFormat="1" applyFont="1" applyFill="1" applyBorder="1" applyAlignment="1">
      <alignment horizontal="center" vertical="center"/>
    </xf>
    <xf numFmtId="0" fontId="26" fillId="0" borderId="0" xfId="0" applyFont="1"/>
    <xf numFmtId="175" fontId="24" fillId="3" borderId="2" xfId="0" applyNumberFormat="1" applyFont="1" applyFill="1" applyBorder="1" applyAlignment="1">
      <alignment horizontal="center" vertical="center"/>
    </xf>
    <xf numFmtId="184" fontId="24" fillId="14" borderId="2" xfId="0" applyNumberFormat="1" applyFont="1" applyFill="1" applyBorder="1" applyAlignment="1">
      <alignment horizontal="center" vertical="center"/>
    </xf>
    <xf numFmtId="185" fontId="24" fillId="14" borderId="2" xfId="0" applyNumberFormat="1" applyFont="1" applyFill="1" applyBorder="1" applyAlignment="1">
      <alignment horizontal="center" vertical="center"/>
    </xf>
    <xf numFmtId="0" fontId="27" fillId="8" borderId="0" xfId="0" applyFont="1" applyFill="1" applyAlignment="1">
      <alignment horizontal="right" vertical="center"/>
    </xf>
    <xf numFmtId="176" fontId="25" fillId="4" borderId="2" xfId="0" applyNumberFormat="1" applyFont="1" applyFill="1" applyBorder="1" applyAlignment="1">
      <alignment horizontal="center" vertical="center"/>
    </xf>
    <xf numFmtId="176" fontId="24" fillId="4" borderId="2" xfId="0" applyNumberFormat="1" applyFont="1" applyFill="1" applyBorder="1" applyAlignment="1">
      <alignment horizontal="center" vertical="center"/>
    </xf>
    <xf numFmtId="0" fontId="24" fillId="9" borderId="2" xfId="0" applyFont="1" applyFill="1" applyBorder="1"/>
    <xf numFmtId="0" fontId="24" fillId="9" borderId="2" xfId="0" applyFont="1" applyFill="1" applyBorder="1" applyAlignment="1">
      <alignment horizontal="center" vertical="center"/>
    </xf>
    <xf numFmtId="176" fontId="24" fillId="9" borderId="21" xfId="0" applyNumberFormat="1" applyFont="1" applyFill="1" applyBorder="1" applyAlignment="1">
      <alignment horizontal="center" vertical="center"/>
    </xf>
    <xf numFmtId="176" fontId="25" fillId="9" borderId="16" xfId="0" applyNumberFormat="1" applyFont="1" applyFill="1" applyBorder="1" applyAlignment="1">
      <alignment horizontal="center" vertical="center"/>
    </xf>
    <xf numFmtId="176" fontId="25" fillId="9" borderId="18" xfId="0" applyNumberFormat="1" applyFont="1" applyFill="1" applyBorder="1" applyAlignment="1">
      <alignment horizontal="center" vertical="center"/>
    </xf>
    <xf numFmtId="176" fontId="25" fillId="9" borderId="2" xfId="0" applyNumberFormat="1" applyFont="1" applyFill="1" applyBorder="1" applyAlignment="1">
      <alignment horizontal="center" vertical="center"/>
    </xf>
    <xf numFmtId="175" fontId="21" fillId="9" borderId="2" xfId="0" applyNumberFormat="1" applyFont="1" applyFill="1" applyBorder="1" applyAlignment="1">
      <alignment horizontal="center" vertical="center"/>
    </xf>
    <xf numFmtId="175" fontId="21" fillId="9" borderId="8" xfId="0" applyNumberFormat="1" applyFont="1" applyFill="1" applyBorder="1" applyAlignment="1">
      <alignment horizontal="center" vertical="center"/>
    </xf>
    <xf numFmtId="179" fontId="49" fillId="9" borderId="2" xfId="0" applyNumberFormat="1" applyFont="1" applyFill="1" applyBorder="1" applyAlignment="1">
      <alignment horizontal="center" vertical="center"/>
    </xf>
    <xf numFmtId="171" fontId="24" fillId="9" borderId="2" xfId="2" quotePrefix="1" applyNumberFormat="1" applyFont="1" applyFill="1" applyBorder="1" applyAlignment="1">
      <alignment horizontal="center" vertical="center"/>
    </xf>
    <xf numFmtId="176" fontId="24" fillId="16" borderId="2" xfId="0" applyNumberFormat="1" applyFont="1" applyFill="1" applyBorder="1" applyAlignment="1">
      <alignment horizontal="center" vertical="center"/>
    </xf>
    <xf numFmtId="175" fontId="19" fillId="3" borderId="2" xfId="0" quotePrefix="1" applyNumberFormat="1" applyFont="1" applyFill="1" applyBorder="1" applyAlignment="1">
      <alignment horizontal="left" vertical="center"/>
    </xf>
    <xf numFmtId="177" fontId="24" fillId="12" borderId="2" xfId="22" applyNumberFormat="1" applyFont="1" applyFill="1" applyBorder="1" applyAlignment="1">
      <alignment horizontal="left" vertical="center"/>
    </xf>
    <xf numFmtId="168" fontId="21" fillId="3" borderId="2" xfId="23" applyNumberFormat="1" applyFont="1" applyFill="1" applyBorder="1" applyAlignment="1">
      <alignment horizontal="left" indent="1"/>
    </xf>
    <xf numFmtId="168" fontId="41" fillId="4" borderId="2" xfId="23" applyNumberFormat="1" applyFont="1" applyFill="1" applyBorder="1" applyAlignment="1">
      <alignment horizontal="center"/>
    </xf>
    <xf numFmtId="177" fontId="24" fillId="12" borderId="2" xfId="22" applyNumberFormat="1" applyFont="1" applyFill="1" applyBorder="1" applyAlignment="1">
      <alignment horizontal="center" vertical="center"/>
    </xf>
    <xf numFmtId="0" fontId="21" fillId="3" borderId="2" xfId="23" applyFont="1" applyFill="1" applyBorder="1" applyAlignment="1">
      <alignment horizontal="center" vertical="center"/>
    </xf>
    <xf numFmtId="168" fontId="29" fillId="0" borderId="0" xfId="23" applyNumberFormat="1" applyFont="1"/>
    <xf numFmtId="0" fontId="24" fillId="5" borderId="0" xfId="0" applyFont="1" applyFill="1"/>
    <xf numFmtId="171" fontId="24" fillId="9" borderId="3" xfId="2" quotePrefix="1" applyNumberFormat="1" applyFont="1" applyFill="1" applyBorder="1" applyAlignment="1">
      <alignment horizontal="center" vertical="center"/>
    </xf>
    <xf numFmtId="171" fontId="24" fillId="0" borderId="3" xfId="2" quotePrefix="1" applyNumberFormat="1" applyFont="1" applyFill="1" applyBorder="1" applyAlignment="1">
      <alignment horizontal="center" vertical="center"/>
    </xf>
    <xf numFmtId="17" fontId="24" fillId="9" borderId="3" xfId="0" applyNumberFormat="1" applyFont="1" applyFill="1" applyBorder="1" applyAlignment="1">
      <alignment horizontal="center"/>
    </xf>
    <xf numFmtId="17" fontId="24" fillId="9" borderId="2" xfId="0" applyNumberFormat="1" applyFont="1" applyFill="1" applyBorder="1" applyAlignment="1">
      <alignment horizontal="center"/>
    </xf>
    <xf numFmtId="17" fontId="24" fillId="9" borderId="6" xfId="0" applyNumberFormat="1" applyFont="1" applyFill="1" applyBorder="1" applyAlignment="1">
      <alignment horizontal="center"/>
    </xf>
    <xf numFmtId="178" fontId="24" fillId="9" borderId="3" xfId="1" quotePrefix="1" applyNumberFormat="1" applyFont="1" applyFill="1" applyBorder="1" applyAlignment="1">
      <alignment horizontal="center" vertical="center"/>
    </xf>
    <xf numFmtId="0" fontId="45" fillId="8" borderId="0" xfId="0" applyFont="1" applyFill="1" applyAlignment="1">
      <alignment vertical="center"/>
    </xf>
    <xf numFmtId="0" fontId="43" fillId="0" borderId="0" xfId="0" applyFont="1"/>
    <xf numFmtId="0" fontId="43" fillId="5" borderId="0" xfId="0" applyFont="1" applyFill="1"/>
    <xf numFmtId="0" fontId="52" fillId="5" borderId="0" xfId="0" quotePrefix="1" applyFont="1" applyFill="1" applyAlignment="1">
      <alignment horizontal="center" vertical="center"/>
    </xf>
    <xf numFmtId="0" fontId="52" fillId="5" borderId="0" xfId="0" applyFont="1" applyFill="1" applyAlignment="1">
      <alignment horizontal="center"/>
    </xf>
    <xf numFmtId="0" fontId="43" fillId="0" borderId="0" xfId="0" applyFont="1" applyAlignment="1">
      <alignment horizontal="center"/>
    </xf>
    <xf numFmtId="171" fontId="43" fillId="5" borderId="0" xfId="2" applyNumberFormat="1" applyFont="1" applyFill="1" applyBorder="1" applyAlignment="1">
      <alignment horizontal="center" vertical="center"/>
    </xf>
    <xf numFmtId="167" fontId="24" fillId="9" borderId="2" xfId="0" applyNumberFormat="1" applyFont="1" applyFill="1" applyBorder="1" applyAlignment="1">
      <alignment horizontal="left" vertical="center"/>
    </xf>
    <xf numFmtId="0" fontId="21" fillId="3" borderId="0" xfId="0" applyFont="1" applyFill="1" applyAlignment="1">
      <alignment horizontal="center" vertical="center"/>
    </xf>
    <xf numFmtId="9" fontId="27" fillId="8" borderId="0" xfId="1" applyFont="1" applyFill="1" applyBorder="1" applyAlignment="1">
      <alignment vertical="center"/>
    </xf>
    <xf numFmtId="9" fontId="27" fillId="8" borderId="0" xfId="1" applyFont="1" applyFill="1" applyBorder="1"/>
    <xf numFmtId="9" fontId="20" fillId="0" borderId="0" xfId="1" applyFont="1" applyBorder="1" applyAlignment="1">
      <alignment horizontal="center" vertical="center"/>
    </xf>
    <xf numFmtId="0" fontId="17" fillId="5" borderId="0" xfId="0" applyFont="1" applyFill="1" applyAlignment="1">
      <alignment vertical="center" wrapText="1"/>
    </xf>
    <xf numFmtId="3" fontId="17" fillId="5" borderId="0" xfId="0" applyNumberFormat="1" applyFont="1" applyFill="1" applyAlignment="1">
      <alignment horizontal="center" vertical="center"/>
    </xf>
    <xf numFmtId="0" fontId="24" fillId="3" borderId="2" xfId="0" applyFont="1" applyFill="1" applyBorder="1" applyAlignment="1">
      <alignment horizontal="left" vertical="center"/>
    </xf>
    <xf numFmtId="0" fontId="24" fillId="3" borderId="2" xfId="0" applyFont="1" applyFill="1" applyBorder="1" applyAlignment="1">
      <alignment vertical="center"/>
    </xf>
    <xf numFmtId="0" fontId="24" fillId="3" borderId="2" xfId="0" applyFont="1" applyFill="1" applyBorder="1" applyAlignment="1">
      <alignment horizontal="center" vertical="center"/>
    </xf>
    <xf numFmtId="3" fontId="50" fillId="5" borderId="0" xfId="0" applyNumberFormat="1" applyFont="1" applyFill="1" applyAlignment="1">
      <alignment horizontal="center" vertical="center"/>
    </xf>
    <xf numFmtId="9" fontId="0" fillId="0" borderId="0" xfId="1" applyFont="1" applyBorder="1" applyAlignment="1">
      <alignment vertical="center"/>
    </xf>
    <xf numFmtId="166" fontId="51" fillId="5" borderId="0" xfId="1" applyNumberFormat="1" applyFont="1" applyFill="1" applyBorder="1" applyAlignment="1">
      <alignment vertical="center"/>
    </xf>
    <xf numFmtId="166" fontId="18" fillId="5" borderId="0" xfId="1" applyNumberFormat="1" applyFont="1" applyFill="1" applyBorder="1" applyAlignment="1">
      <alignment vertical="center"/>
    </xf>
    <xf numFmtId="0" fontId="24" fillId="3" borderId="2" xfId="0" applyFont="1" applyFill="1" applyBorder="1" applyAlignment="1">
      <alignment horizontal="center" vertical="center" wrapText="1"/>
    </xf>
    <xf numFmtId="0" fontId="30" fillId="6" borderId="0" xfId="0" applyFont="1" applyFill="1" applyAlignment="1">
      <alignment horizontal="center"/>
    </xf>
    <xf numFmtId="168" fontId="21" fillId="3" borderId="6" xfId="0" applyNumberFormat="1" applyFont="1" applyFill="1" applyBorder="1" applyAlignment="1">
      <alignment horizontal="left"/>
    </xf>
    <xf numFmtId="168" fontId="21" fillId="3" borderId="7" xfId="0" applyNumberFormat="1" applyFont="1" applyFill="1" applyBorder="1" applyAlignment="1">
      <alignment horizontal="left"/>
    </xf>
    <xf numFmtId="168" fontId="21" fillId="3" borderId="3" xfId="0" applyNumberFormat="1" applyFont="1" applyFill="1" applyBorder="1" applyAlignment="1">
      <alignment horizontal="left"/>
    </xf>
    <xf numFmtId="10" fontId="24" fillId="9" borderId="6" xfId="1" applyNumberFormat="1" applyFont="1" applyFill="1" applyBorder="1" applyAlignment="1">
      <alignment horizontal="center" vertical="center"/>
    </xf>
    <xf numFmtId="167" fontId="24" fillId="9" borderId="6" xfId="1" applyNumberFormat="1" applyFont="1" applyFill="1" applyBorder="1" applyAlignment="1">
      <alignment horizontal="center" vertical="center"/>
    </xf>
    <xf numFmtId="167" fontId="20" fillId="0" borderId="0" xfId="0" applyNumberFormat="1" applyFont="1" applyAlignment="1">
      <alignment horizontal="center" vertical="center"/>
    </xf>
    <xf numFmtId="167" fontId="19" fillId="0" borderId="0" xfId="0" applyNumberFormat="1" applyFont="1" applyAlignment="1">
      <alignment horizontal="center" vertical="center"/>
    </xf>
    <xf numFmtId="167" fontId="20" fillId="17" borderId="2" xfId="0" applyNumberFormat="1" applyFont="1" applyFill="1" applyBorder="1" applyAlignment="1">
      <alignment horizontal="center" vertical="center"/>
    </xf>
    <xf numFmtId="176" fontId="29" fillId="9" borderId="8" xfId="0" applyNumberFormat="1" applyFont="1" applyFill="1" applyBorder="1" applyAlignment="1">
      <alignment horizontal="center" vertical="center"/>
    </xf>
    <xf numFmtId="0" fontId="53" fillId="18" borderId="1" xfId="0" applyFont="1" applyFill="1" applyBorder="1" applyAlignment="1">
      <alignment vertical="center"/>
    </xf>
    <xf numFmtId="0" fontId="56" fillId="20" borderId="36" xfId="0" applyFont="1" applyFill="1" applyBorder="1" applyAlignment="1">
      <alignment horizontal="right" vertical="center" wrapText="1"/>
    </xf>
    <xf numFmtId="0" fontId="56" fillId="19" borderId="36" xfId="0" applyFont="1" applyFill="1" applyBorder="1" applyAlignment="1">
      <alignment horizontal="right" vertical="center" wrapText="1"/>
    </xf>
    <xf numFmtId="0" fontId="56" fillId="19" borderId="37" xfId="0" applyFont="1" applyFill="1" applyBorder="1" applyAlignment="1">
      <alignment horizontal="right" vertical="center" wrapText="1"/>
    </xf>
    <xf numFmtId="0" fontId="16" fillId="0" borderId="38" xfId="0" applyFont="1" applyBorder="1" applyAlignment="1">
      <alignment horizontal="right" vertical="center"/>
    </xf>
    <xf numFmtId="0" fontId="57" fillId="21" borderId="39" xfId="0" applyFont="1" applyFill="1" applyBorder="1" applyAlignment="1">
      <alignment horizontal="right" vertical="center"/>
    </xf>
    <xf numFmtId="0" fontId="57" fillId="21" borderId="34" xfId="0" applyFont="1" applyFill="1" applyBorder="1" applyAlignment="1">
      <alignment horizontal="right" vertical="center"/>
    </xf>
    <xf numFmtId="0" fontId="57" fillId="22" borderId="39" xfId="0" applyFont="1" applyFill="1" applyBorder="1" applyAlignment="1">
      <alignment horizontal="right" vertical="center"/>
    </xf>
    <xf numFmtId="0" fontId="57" fillId="22" borderId="34" xfId="0" applyFont="1" applyFill="1" applyBorder="1" applyAlignment="1">
      <alignment horizontal="right" vertical="center"/>
    </xf>
    <xf numFmtId="0" fontId="16" fillId="0" borderId="40" xfId="0" applyFont="1" applyBorder="1" applyAlignment="1">
      <alignment horizontal="right" vertical="center"/>
    </xf>
    <xf numFmtId="0" fontId="16" fillId="0" borderId="41" xfId="0" applyFont="1" applyBorder="1" applyAlignment="1">
      <alignment horizontal="right" vertical="center"/>
    </xf>
    <xf numFmtId="0" fontId="16" fillId="0" borderId="42" xfId="0" applyFont="1" applyBorder="1" applyAlignment="1">
      <alignment horizontal="right" vertical="center"/>
    </xf>
    <xf numFmtId="0" fontId="57" fillId="22" borderId="36" xfId="0" applyFont="1" applyFill="1" applyBorder="1" applyAlignment="1">
      <alignment horizontal="right" vertical="center"/>
    </xf>
    <xf numFmtId="0" fontId="57" fillId="22" borderId="37" xfId="0" applyFont="1" applyFill="1" applyBorder="1" applyAlignment="1">
      <alignment horizontal="right" vertical="center"/>
    </xf>
    <xf numFmtId="0" fontId="58" fillId="0" borderId="42" xfId="0" applyFont="1" applyBorder="1" applyAlignment="1">
      <alignment horizontal="right" vertical="center"/>
    </xf>
    <xf numFmtId="0" fontId="59" fillId="22" borderId="43" xfId="0" applyFont="1" applyFill="1" applyBorder="1" applyAlignment="1">
      <alignment horizontal="right" vertical="center"/>
    </xf>
    <xf numFmtId="0" fontId="59" fillId="22" borderId="36" xfId="0" applyFont="1" applyFill="1" applyBorder="1" applyAlignment="1">
      <alignment horizontal="right" vertical="center"/>
    </xf>
    <xf numFmtId="0" fontId="59" fillId="22" borderId="37" xfId="0" applyFont="1" applyFill="1" applyBorder="1" applyAlignment="1">
      <alignment horizontal="right" vertical="center"/>
    </xf>
    <xf numFmtId="0" fontId="57" fillId="21" borderId="44" xfId="0" applyFont="1" applyFill="1" applyBorder="1" applyAlignment="1">
      <alignment horizontal="right" vertical="center"/>
    </xf>
    <xf numFmtId="0" fontId="16" fillId="0" borderId="0" xfId="0" applyFont="1" applyAlignment="1">
      <alignment vertical="center"/>
    </xf>
    <xf numFmtId="3" fontId="57" fillId="21" borderId="39" xfId="0" applyNumberFormat="1" applyFont="1" applyFill="1" applyBorder="1" applyAlignment="1">
      <alignment horizontal="right" vertical="center"/>
    </xf>
    <xf numFmtId="3" fontId="57" fillId="21" borderId="34" xfId="0" applyNumberFormat="1" applyFont="1" applyFill="1" applyBorder="1" applyAlignment="1">
      <alignment horizontal="right" vertical="center"/>
    </xf>
    <xf numFmtId="167" fontId="43" fillId="5" borderId="0" xfId="0" applyNumberFormat="1" applyFont="1" applyFill="1" applyAlignment="1">
      <alignment horizontal="center" vertical="center"/>
    </xf>
    <xf numFmtId="176" fontId="24" fillId="9" borderId="3" xfId="0" quotePrefix="1" applyNumberFormat="1" applyFont="1" applyFill="1" applyBorder="1" applyAlignment="1">
      <alignment horizontal="center" vertical="center"/>
    </xf>
    <xf numFmtId="186" fontId="0" fillId="5" borderId="0" xfId="0" applyNumberFormat="1" applyFill="1" applyAlignment="1">
      <alignment vertical="center"/>
    </xf>
    <xf numFmtId="4" fontId="20" fillId="3" borderId="6" xfId="0" applyNumberFormat="1" applyFont="1" applyFill="1" applyBorder="1" applyAlignment="1">
      <alignment horizontal="center" vertical="center"/>
    </xf>
    <xf numFmtId="9" fontId="24" fillId="9" borderId="6" xfId="1" applyFont="1" applyFill="1" applyBorder="1" applyAlignment="1">
      <alignment horizontal="center" vertical="center"/>
    </xf>
    <xf numFmtId="0" fontId="60" fillId="2" borderId="0" xfId="25" quotePrefix="1" applyNumberFormat="1">
      <alignment vertical="center"/>
    </xf>
    <xf numFmtId="0" fontId="11" fillId="2" borderId="0" xfId="26" applyFill="1"/>
    <xf numFmtId="0" fontId="11" fillId="0" borderId="0" xfId="26"/>
    <xf numFmtId="49" fontId="60" fillId="2" borderId="0" xfId="25">
      <alignment vertical="center"/>
    </xf>
    <xf numFmtId="0" fontId="60" fillId="2" borderId="0" xfId="25" applyNumberFormat="1" applyAlignment="1">
      <alignment horizontal="left" vertical="center"/>
    </xf>
    <xf numFmtId="0" fontId="61" fillId="2" borderId="0" xfId="26" applyFont="1" applyFill="1" applyAlignment="1">
      <alignment vertical="center" wrapText="1"/>
    </xf>
    <xf numFmtId="0" fontId="62" fillId="23" borderId="0" xfId="27">
      <alignment vertical="center"/>
    </xf>
    <xf numFmtId="0" fontId="63" fillId="24" borderId="0" xfId="26" applyFont="1" applyFill="1" applyAlignment="1">
      <alignment horizontal="centerContinuous" vertical="center"/>
    </xf>
    <xf numFmtId="0" fontId="64" fillId="24" borderId="49" xfId="26" applyFont="1" applyFill="1" applyBorder="1" applyAlignment="1">
      <alignment horizontal="left" vertical="center" wrapText="1"/>
    </xf>
    <xf numFmtId="0" fontId="11" fillId="5" borderId="0" xfId="26" applyFill="1" applyAlignment="1">
      <alignment horizontal="right" vertical="center" wrapText="1" indent="1"/>
    </xf>
    <xf numFmtId="0" fontId="65" fillId="2" borderId="1" xfId="28">
      <alignment vertical="center"/>
    </xf>
    <xf numFmtId="0" fontId="11" fillId="0" borderId="0" xfId="26" applyAlignment="1">
      <alignment vertical="center"/>
    </xf>
    <xf numFmtId="0" fontId="11" fillId="5" borderId="0" xfId="26" applyFill="1" applyAlignment="1">
      <alignment horizontal="right" indent="1"/>
    </xf>
    <xf numFmtId="0" fontId="66" fillId="5" borderId="0" xfId="26" applyFont="1" applyFill="1"/>
    <xf numFmtId="0" fontId="11" fillId="5" borderId="0" xfId="26" applyFill="1"/>
    <xf numFmtId="0" fontId="67" fillId="5" borderId="0" xfId="26" applyFont="1" applyFill="1"/>
    <xf numFmtId="0" fontId="68" fillId="25" borderId="51" xfId="29">
      <alignment horizontal="centerContinuous" vertical="center" wrapText="1"/>
    </xf>
    <xf numFmtId="0" fontId="11" fillId="5" borderId="33" xfId="26" applyFill="1" applyBorder="1"/>
    <xf numFmtId="0" fontId="69" fillId="26" borderId="52" xfId="30">
      <alignment horizontal="right" vertical="center" wrapText="1" indent="1"/>
    </xf>
    <xf numFmtId="0" fontId="69" fillId="25" borderId="52" xfId="31">
      <alignment horizontal="right" vertical="center" wrapText="1" indent="1"/>
    </xf>
    <xf numFmtId="0" fontId="69" fillId="26" borderId="53" xfId="30" applyBorder="1">
      <alignment horizontal="right" vertical="center" wrapText="1" indent="1"/>
    </xf>
    <xf numFmtId="0" fontId="69" fillId="25" borderId="54" xfId="31" applyBorder="1">
      <alignment horizontal="right" vertical="center" wrapText="1" indent="1"/>
    </xf>
    <xf numFmtId="0" fontId="11" fillId="0" borderId="55" xfId="26" applyBorder="1"/>
    <xf numFmtId="188" fontId="64" fillId="27" borderId="57" xfId="32" applyBorder="1">
      <alignment horizontal="right"/>
      <protection locked="0"/>
    </xf>
    <xf numFmtId="188" fontId="64" fillId="27" borderId="58" xfId="32" applyBorder="1">
      <alignment horizontal="right"/>
      <protection locked="0"/>
    </xf>
    <xf numFmtId="188" fontId="64" fillId="27" borderId="59" xfId="32" applyBorder="1">
      <alignment horizontal="right"/>
      <protection locked="0"/>
    </xf>
    <xf numFmtId="189" fontId="0" fillId="5" borderId="0" xfId="33" applyNumberFormat="1" applyFont="1" applyFill="1" applyBorder="1" applyProtection="1"/>
    <xf numFmtId="188" fontId="64" fillId="27" borderId="60" xfId="32" applyBorder="1">
      <alignment horizontal="right"/>
      <protection locked="0"/>
    </xf>
    <xf numFmtId="0" fontId="11" fillId="0" borderId="61" xfId="26" applyBorder="1"/>
    <xf numFmtId="188" fontId="64" fillId="27" borderId="62" xfId="32" applyBorder="1">
      <alignment horizontal="right"/>
      <protection locked="0"/>
    </xf>
    <xf numFmtId="188" fontId="64" fillId="27" borderId="63" xfId="32" applyBorder="1">
      <alignment horizontal="right"/>
      <protection locked="0"/>
    </xf>
    <xf numFmtId="188" fontId="64" fillId="27" borderId="64" xfId="32" applyBorder="1">
      <alignment horizontal="right"/>
      <protection locked="0"/>
    </xf>
    <xf numFmtId="188" fontId="64" fillId="27" borderId="65" xfId="32" applyBorder="1">
      <alignment horizontal="right"/>
      <protection locked="0"/>
    </xf>
    <xf numFmtId="188" fontId="64" fillId="28" borderId="65" xfId="32" applyFill="1" applyBorder="1">
      <alignment horizontal="right"/>
      <protection locked="0"/>
    </xf>
    <xf numFmtId="188" fontId="64" fillId="28" borderId="63" xfId="32" applyFill="1" applyBorder="1">
      <alignment horizontal="right"/>
      <protection locked="0"/>
    </xf>
    <xf numFmtId="188" fontId="64" fillId="28" borderId="62" xfId="32" applyFill="1" applyBorder="1">
      <alignment horizontal="right"/>
      <protection locked="0"/>
    </xf>
    <xf numFmtId="188" fontId="64" fillId="28" borderId="64" xfId="32" applyFill="1" applyBorder="1">
      <alignment horizontal="right"/>
      <protection locked="0"/>
    </xf>
    <xf numFmtId="0" fontId="11" fillId="0" borderId="66" xfId="26" applyBorder="1"/>
    <xf numFmtId="188" fontId="64" fillId="27" borderId="67" xfId="32" applyBorder="1">
      <alignment horizontal="right"/>
      <protection locked="0"/>
    </xf>
    <xf numFmtId="188" fontId="64" fillId="27" borderId="68" xfId="32" applyBorder="1">
      <alignment horizontal="right"/>
      <protection locked="0"/>
    </xf>
    <xf numFmtId="188" fontId="64" fillId="27" borderId="69" xfId="32" applyBorder="1">
      <alignment horizontal="right"/>
      <protection locked="0"/>
    </xf>
    <xf numFmtId="188" fontId="64" fillId="28" borderId="70" xfId="32" applyFill="1" applyBorder="1">
      <alignment horizontal="right"/>
      <protection locked="0"/>
    </xf>
    <xf numFmtId="188" fontId="64" fillId="28" borderId="68" xfId="32" applyFill="1" applyBorder="1">
      <alignment horizontal="right"/>
      <protection locked="0"/>
    </xf>
    <xf numFmtId="188" fontId="64" fillId="28" borderId="67" xfId="32" applyFill="1" applyBorder="1">
      <alignment horizontal="right"/>
      <protection locked="0"/>
    </xf>
    <xf numFmtId="188" fontId="64" fillId="28" borderId="69" xfId="32" applyFill="1" applyBorder="1">
      <alignment horizontal="right"/>
      <protection locked="0"/>
    </xf>
    <xf numFmtId="168" fontId="39" fillId="29" borderId="72" xfId="34" applyBorder="1">
      <alignment horizontal="right" vertical="center"/>
      <protection locked="0"/>
    </xf>
    <xf numFmtId="168" fontId="39" fillId="29" borderId="73" xfId="34" applyBorder="1">
      <alignment horizontal="right" vertical="center"/>
      <protection locked="0"/>
    </xf>
    <xf numFmtId="168" fontId="39" fillId="29" borderId="74" xfId="34" applyBorder="1">
      <alignment horizontal="right" vertical="center"/>
      <protection locked="0"/>
    </xf>
    <xf numFmtId="168" fontId="39" fillId="29" borderId="75" xfId="34" applyBorder="1">
      <alignment horizontal="right" vertical="center"/>
      <protection locked="0"/>
    </xf>
    <xf numFmtId="0" fontId="11" fillId="5" borderId="0" xfId="26" applyFill="1" applyAlignment="1">
      <alignment horizontal="right" wrapText="1" indent="1"/>
    </xf>
    <xf numFmtId="0" fontId="70" fillId="0" borderId="0" xfId="26" applyFont="1" applyAlignment="1">
      <alignment horizontal="left" vertical="center" wrapText="1"/>
    </xf>
    <xf numFmtId="189" fontId="11" fillId="0" borderId="0" xfId="26" applyNumberFormat="1" applyAlignment="1">
      <alignment horizontal="center" vertical="center" wrapText="1"/>
    </xf>
    <xf numFmtId="189" fontId="0" fillId="5" borderId="0" xfId="33" applyNumberFormat="1" applyFont="1" applyFill="1" applyProtection="1"/>
    <xf numFmtId="0" fontId="67" fillId="5" borderId="33" xfId="26" applyFont="1" applyFill="1" applyBorder="1"/>
    <xf numFmtId="188" fontId="64" fillId="27" borderId="70" xfId="32" applyBorder="1">
      <alignment horizontal="right"/>
      <protection locked="0"/>
    </xf>
    <xf numFmtId="189" fontId="0" fillId="0" borderId="0" xfId="33" applyNumberFormat="1" applyFont="1" applyAlignment="1" applyProtection="1">
      <alignment horizontal="center" vertical="center" wrapText="1"/>
    </xf>
    <xf numFmtId="0" fontId="11" fillId="0" borderId="76" xfId="26" applyBorder="1"/>
    <xf numFmtId="188" fontId="64" fillId="27" borderId="77" xfId="32" applyBorder="1">
      <alignment horizontal="right"/>
      <protection locked="0"/>
    </xf>
    <xf numFmtId="188" fontId="64" fillId="27" borderId="78" xfId="32" applyBorder="1">
      <alignment horizontal="right"/>
      <protection locked="0"/>
    </xf>
    <xf numFmtId="188" fontId="64" fillId="27" borderId="79" xfId="32" applyBorder="1">
      <alignment horizontal="right"/>
      <protection locked="0"/>
    </xf>
    <xf numFmtId="188" fontId="64" fillId="27" borderId="80" xfId="32" applyBorder="1">
      <alignment horizontal="right"/>
      <protection locked="0"/>
    </xf>
    <xf numFmtId="0" fontId="11" fillId="0" borderId="0" xfId="26" applyAlignment="1">
      <alignment horizontal="right" indent="1"/>
    </xf>
    <xf numFmtId="189" fontId="0" fillId="5" borderId="0" xfId="33" applyNumberFormat="1" applyFont="1" applyFill="1" applyBorder="1" applyAlignment="1" applyProtection="1">
      <alignment horizontal="center" vertical="center"/>
    </xf>
    <xf numFmtId="10" fontId="49" fillId="9" borderId="2" xfId="1" applyNumberFormat="1" applyFont="1" applyFill="1" applyBorder="1" applyAlignment="1">
      <alignment horizontal="center" vertical="center"/>
    </xf>
    <xf numFmtId="3" fontId="57" fillId="22" borderId="39" xfId="0" applyNumberFormat="1" applyFont="1" applyFill="1" applyBorder="1" applyAlignment="1">
      <alignment horizontal="right" vertical="center"/>
    </xf>
    <xf numFmtId="3" fontId="57" fillId="22" borderId="34" xfId="0" applyNumberFormat="1" applyFont="1" applyFill="1" applyBorder="1" applyAlignment="1">
      <alignment horizontal="right" vertical="center"/>
    </xf>
    <xf numFmtId="3" fontId="57" fillId="22" borderId="36" xfId="0" applyNumberFormat="1" applyFont="1" applyFill="1" applyBorder="1" applyAlignment="1">
      <alignment horizontal="right" vertical="center"/>
    </xf>
    <xf numFmtId="3" fontId="57" fillId="22" borderId="37" xfId="0" applyNumberFormat="1" applyFont="1" applyFill="1" applyBorder="1" applyAlignment="1">
      <alignment horizontal="right" vertical="center"/>
    </xf>
    <xf numFmtId="3" fontId="57" fillId="22" borderId="81" xfId="0" applyNumberFormat="1" applyFont="1" applyFill="1" applyBorder="1" applyAlignment="1">
      <alignment horizontal="right" vertical="center"/>
    </xf>
    <xf numFmtId="3" fontId="57" fillId="22" borderId="82" xfId="0" applyNumberFormat="1" applyFont="1" applyFill="1" applyBorder="1" applyAlignment="1">
      <alignment horizontal="right" vertical="center"/>
    </xf>
    <xf numFmtId="177" fontId="24" fillId="30" borderId="2" xfId="9" applyNumberFormat="1" applyFont="1" applyFill="1" applyBorder="1" applyAlignment="1">
      <alignment horizontal="center" vertical="center"/>
    </xf>
    <xf numFmtId="0" fontId="21" fillId="17" borderId="2" xfId="0" applyFont="1" applyFill="1" applyBorder="1" applyAlignment="1">
      <alignment horizontal="center" vertical="center"/>
    </xf>
    <xf numFmtId="0" fontId="20" fillId="31" borderId="0" xfId="0" applyFont="1" applyFill="1" applyAlignment="1">
      <alignment horizontal="center"/>
    </xf>
    <xf numFmtId="0" fontId="24" fillId="31" borderId="0" xfId="0" applyFont="1" applyFill="1" applyAlignment="1">
      <alignment horizontal="center"/>
    </xf>
    <xf numFmtId="0" fontId="24" fillId="14" borderId="2" xfId="0" applyFont="1" applyFill="1" applyBorder="1" applyAlignment="1">
      <alignment horizontal="center" vertical="center"/>
    </xf>
    <xf numFmtId="176" fontId="24" fillId="14" borderId="2" xfId="0" applyNumberFormat="1" applyFont="1" applyFill="1" applyBorder="1" applyAlignment="1">
      <alignment horizontal="center" vertical="center"/>
    </xf>
    <xf numFmtId="0" fontId="21" fillId="14" borderId="2" xfId="0" applyFont="1" applyFill="1" applyBorder="1" applyAlignment="1">
      <alignment horizontal="center" vertical="center"/>
    </xf>
    <xf numFmtId="167" fontId="43" fillId="31" borderId="0" xfId="0" applyNumberFormat="1" applyFont="1" applyFill="1" applyAlignment="1">
      <alignment horizontal="center" vertical="center"/>
    </xf>
    <xf numFmtId="10" fontId="16" fillId="17" borderId="5" xfId="1" applyNumberFormat="1" applyFont="1" applyFill="1" applyBorder="1" applyAlignment="1">
      <alignment horizontal="center" vertical="center"/>
    </xf>
    <xf numFmtId="10" fontId="16" fillId="14" borderId="5" xfId="1" applyNumberFormat="1" applyFont="1" applyFill="1" applyBorder="1" applyAlignment="1">
      <alignment horizontal="center" vertical="center"/>
    </xf>
    <xf numFmtId="0" fontId="0" fillId="32" borderId="0" xfId="0" applyFill="1"/>
    <xf numFmtId="0" fontId="0" fillId="31" borderId="0" xfId="0" applyFill="1"/>
    <xf numFmtId="0" fontId="25" fillId="15" borderId="0" xfId="0" applyFont="1" applyFill="1" applyAlignment="1">
      <alignment horizontal="center" vertical="center"/>
    </xf>
    <xf numFmtId="167" fontId="24" fillId="17" borderId="2" xfId="0" applyNumberFormat="1" applyFont="1" applyFill="1" applyBorder="1" applyAlignment="1">
      <alignment horizontal="center" vertical="center"/>
    </xf>
    <xf numFmtId="168" fontId="32" fillId="32" borderId="0" xfId="0" applyNumberFormat="1" applyFont="1" applyFill="1"/>
    <xf numFmtId="0" fontId="27" fillId="33" borderId="0" xfId="0" applyFont="1" applyFill="1" applyAlignment="1">
      <alignment horizontal="center" vertical="center"/>
    </xf>
    <xf numFmtId="0" fontId="27" fillId="33" borderId="0" xfId="0" applyFont="1" applyFill="1"/>
    <xf numFmtId="0" fontId="21" fillId="34" borderId="2" xfId="0" applyFont="1" applyFill="1" applyBorder="1" applyAlignment="1">
      <alignment horizontal="center" vertical="center"/>
    </xf>
    <xf numFmtId="176" fontId="25" fillId="34" borderId="2" xfId="0" applyNumberFormat="1" applyFont="1" applyFill="1" applyBorder="1" applyAlignment="1">
      <alignment horizontal="center" vertical="center"/>
    </xf>
    <xf numFmtId="176" fontId="24" fillId="34" borderId="2" xfId="0" applyNumberFormat="1" applyFont="1" applyFill="1" applyBorder="1" applyAlignment="1">
      <alignment horizontal="center" vertical="center"/>
    </xf>
    <xf numFmtId="187" fontId="21" fillId="34" borderId="2" xfId="0" applyNumberFormat="1" applyFont="1" applyFill="1" applyBorder="1" applyAlignment="1">
      <alignment horizontal="center" vertical="center"/>
    </xf>
    <xf numFmtId="0" fontId="24" fillId="14" borderId="2" xfId="0" applyFont="1" applyFill="1" applyBorder="1"/>
    <xf numFmtId="0" fontId="24" fillId="14" borderId="2" xfId="0" applyFont="1" applyFill="1" applyBorder="1" applyAlignment="1">
      <alignment horizontal="center"/>
    </xf>
    <xf numFmtId="168" fontId="31" fillId="33" borderId="0" xfId="0" applyNumberFormat="1" applyFont="1" applyFill="1" applyAlignment="1">
      <alignment vertical="center"/>
    </xf>
    <xf numFmtId="10" fontId="10" fillId="17" borderId="2" xfId="1" applyNumberFormat="1" applyFont="1" applyFill="1" applyBorder="1" applyAlignment="1">
      <alignment horizontal="center" vertical="center"/>
    </xf>
    <xf numFmtId="175" fontId="24" fillId="17" borderId="2" xfId="0" applyNumberFormat="1" applyFont="1" applyFill="1" applyBorder="1" applyAlignment="1">
      <alignment horizontal="center" vertical="center"/>
    </xf>
    <xf numFmtId="0" fontId="49" fillId="35" borderId="0" xfId="0" applyFont="1" applyFill="1"/>
    <xf numFmtId="183" fontId="20" fillId="0" borderId="0" xfId="0" applyNumberFormat="1" applyFont="1" applyAlignment="1">
      <alignment horizontal="center" vertical="center"/>
    </xf>
    <xf numFmtId="9" fontId="20" fillId="0" borderId="0" xfId="0" applyNumberFormat="1" applyFont="1" applyAlignment="1">
      <alignment horizontal="center"/>
    </xf>
    <xf numFmtId="167" fontId="10" fillId="9" borderId="2" xfId="0" applyNumberFormat="1" applyFont="1" applyFill="1" applyBorder="1" applyAlignment="1">
      <alignment horizontal="center" vertical="center"/>
    </xf>
    <xf numFmtId="176" fontId="10" fillId="9" borderId="2" xfId="0" applyNumberFormat="1" applyFont="1" applyFill="1" applyBorder="1" applyAlignment="1">
      <alignment horizontal="center" vertical="center"/>
    </xf>
    <xf numFmtId="167" fontId="10" fillId="14" borderId="2" xfId="0" applyNumberFormat="1" applyFont="1" applyFill="1" applyBorder="1" applyAlignment="1">
      <alignment horizontal="center" vertical="center"/>
    </xf>
    <xf numFmtId="176" fontId="10" fillId="14" borderId="2" xfId="0" applyNumberFormat="1" applyFont="1" applyFill="1" applyBorder="1" applyAlignment="1">
      <alignment horizontal="center" vertical="center"/>
    </xf>
    <xf numFmtId="167" fontId="10" fillId="9" borderId="6" xfId="0" applyNumberFormat="1" applyFont="1" applyFill="1" applyBorder="1" applyAlignment="1">
      <alignment vertical="center"/>
    </xf>
    <xf numFmtId="167" fontId="10" fillId="9" borderId="7" xfId="0" applyNumberFormat="1" applyFont="1" applyFill="1" applyBorder="1" applyAlignment="1">
      <alignment vertical="center"/>
    </xf>
    <xf numFmtId="0" fontId="10" fillId="3" borderId="2" xfId="0" applyFont="1" applyFill="1" applyBorder="1" applyAlignment="1">
      <alignment horizontal="center"/>
    </xf>
    <xf numFmtId="0" fontId="10" fillId="5" borderId="0" xfId="0" applyFont="1" applyFill="1"/>
    <xf numFmtId="10" fontId="10" fillId="9" borderId="5" xfId="1" applyNumberFormat="1" applyFont="1" applyFill="1" applyBorder="1" applyAlignment="1">
      <alignment horizontal="center" vertical="center"/>
    </xf>
    <xf numFmtId="2" fontId="10" fillId="3" borderId="11" xfId="1" applyNumberFormat="1" applyFont="1" applyFill="1" applyBorder="1" applyAlignment="1">
      <alignment horizontal="center" vertical="center"/>
    </xf>
    <xf numFmtId="2" fontId="10" fillId="3" borderId="12" xfId="1" applyNumberFormat="1" applyFont="1" applyFill="1" applyBorder="1" applyAlignment="1">
      <alignment horizontal="center" vertical="center"/>
    </xf>
    <xf numFmtId="10" fontId="10" fillId="3" borderId="2" xfId="1" applyNumberFormat="1" applyFont="1" applyFill="1" applyBorder="1" applyAlignment="1">
      <alignment horizontal="center" vertical="center"/>
    </xf>
    <xf numFmtId="174" fontId="10" fillId="9" borderId="4" xfId="1" applyNumberFormat="1" applyFont="1" applyFill="1" applyBorder="1" applyAlignment="1">
      <alignment horizontal="center" vertical="center"/>
    </xf>
    <xf numFmtId="0" fontId="10" fillId="0" borderId="0" xfId="0" applyFont="1"/>
    <xf numFmtId="0" fontId="10" fillId="5" borderId="0" xfId="0" applyFont="1" applyFill="1" applyAlignment="1">
      <alignment horizontal="center" vertical="center"/>
    </xf>
    <xf numFmtId="171" fontId="10" fillId="5" borderId="0" xfId="2" applyNumberFormat="1" applyFont="1" applyFill="1" applyBorder="1" applyAlignment="1">
      <alignment horizontal="center" vertical="center"/>
    </xf>
    <xf numFmtId="9" fontId="10" fillId="3" borderId="2" xfId="1" applyFont="1" applyFill="1" applyBorder="1" applyAlignment="1">
      <alignment horizontal="center" vertical="center"/>
    </xf>
    <xf numFmtId="0" fontId="10" fillId="0" borderId="0" xfId="0" applyFont="1" applyAlignment="1">
      <alignment vertical="center"/>
    </xf>
    <xf numFmtId="0" fontId="10" fillId="3" borderId="7" xfId="0" applyFont="1" applyFill="1" applyBorder="1" applyAlignment="1">
      <alignment vertical="center"/>
    </xf>
    <xf numFmtId="174" fontId="10" fillId="9" borderId="2" xfId="1" applyNumberFormat="1" applyFont="1" applyFill="1" applyBorder="1" applyAlignment="1">
      <alignment horizontal="center" vertical="center"/>
    </xf>
    <xf numFmtId="10" fontId="10" fillId="9" borderId="2" xfId="1" applyNumberFormat="1" applyFont="1" applyFill="1" applyBorder="1" applyAlignment="1">
      <alignment horizontal="center" vertical="center"/>
    </xf>
    <xf numFmtId="10" fontId="10" fillId="14" borderId="4" xfId="1" applyNumberFormat="1" applyFont="1" applyFill="1" applyBorder="1" applyAlignment="1">
      <alignment horizontal="center" vertical="center"/>
    </xf>
    <xf numFmtId="0" fontId="9" fillId="0" borderId="0" xfId="35"/>
    <xf numFmtId="0" fontId="9" fillId="36" borderId="0" xfId="35" applyFill="1"/>
    <xf numFmtId="0" fontId="71" fillId="0" borderId="83" xfId="35" applyFont="1" applyBorder="1"/>
    <xf numFmtId="10" fontId="10" fillId="36" borderId="2" xfId="1" applyNumberFormat="1" applyFont="1" applyFill="1" applyBorder="1" applyAlignment="1">
      <alignment horizontal="center" vertical="center"/>
    </xf>
    <xf numFmtId="177" fontId="24" fillId="37" borderId="2" xfId="9" applyNumberFormat="1" applyFont="1" applyFill="1" applyBorder="1" applyAlignment="1">
      <alignment horizontal="center" vertical="center"/>
    </xf>
    <xf numFmtId="2" fontId="10" fillId="36" borderId="12" xfId="1" applyNumberFormat="1" applyFont="1" applyFill="1" applyBorder="1" applyAlignment="1">
      <alignment horizontal="center" vertical="center"/>
    </xf>
    <xf numFmtId="9" fontId="10" fillId="36" borderId="2" xfId="1" applyFont="1" applyFill="1" applyBorder="1" applyAlignment="1">
      <alignment horizontal="center" vertical="center"/>
    </xf>
    <xf numFmtId="167" fontId="24" fillId="36" borderId="2" xfId="0" applyNumberFormat="1" applyFont="1" applyFill="1" applyBorder="1" applyAlignment="1">
      <alignment vertical="center"/>
    </xf>
    <xf numFmtId="176" fontId="20" fillId="36" borderId="6" xfId="0" applyNumberFormat="1" applyFont="1" applyFill="1" applyBorder="1" applyAlignment="1">
      <alignment horizontal="center" vertical="center"/>
    </xf>
    <xf numFmtId="0" fontId="72" fillId="5" borderId="0" xfId="8" applyFont="1" applyFill="1" applyAlignment="1">
      <alignment horizontal="left" vertical="center"/>
    </xf>
    <xf numFmtId="0" fontId="72" fillId="5" borderId="0" xfId="8" applyFont="1" applyFill="1" applyAlignment="1">
      <alignment horizontal="right" vertical="center"/>
    </xf>
    <xf numFmtId="0" fontId="50" fillId="38" borderId="84" xfId="8" applyFont="1" applyFill="1" applyBorder="1"/>
    <xf numFmtId="190" fontId="73" fillId="39" borderId="85" xfId="8" applyNumberFormat="1" applyFont="1" applyFill="1" applyBorder="1" applyAlignment="1">
      <alignment horizontal="center" vertical="center" wrapText="1"/>
    </xf>
    <xf numFmtId="190" fontId="73" fillId="39" borderId="84" xfId="8" applyNumberFormat="1" applyFont="1" applyFill="1" applyBorder="1" applyAlignment="1">
      <alignment horizontal="center" vertical="center" wrapText="1"/>
    </xf>
    <xf numFmtId="190" fontId="73" fillId="39" borderId="86" xfId="8" applyNumberFormat="1" applyFont="1" applyFill="1" applyBorder="1" applyAlignment="1">
      <alignment horizontal="center" vertical="center" wrapText="1"/>
    </xf>
    <xf numFmtId="49" fontId="21" fillId="0" borderId="87" xfId="8" applyNumberFormat="1" applyFont="1" applyBorder="1" applyAlignment="1">
      <alignment horizontal="left" indent="1"/>
    </xf>
    <xf numFmtId="190" fontId="41" fillId="4" borderId="88" xfId="9" applyNumberFormat="1" applyFont="1" applyFill="1" applyBorder="1" applyAlignment="1" applyProtection="1">
      <alignment horizontal="center"/>
    </xf>
    <xf numFmtId="191" fontId="21" fillId="40" borderId="87" xfId="8" applyNumberFormat="1" applyFont="1" applyFill="1" applyBorder="1" applyAlignment="1">
      <alignment horizontal="center" vertical="center"/>
    </xf>
    <xf numFmtId="49" fontId="21" fillId="0" borderId="0" xfId="8" applyNumberFormat="1" applyFont="1" applyAlignment="1">
      <alignment horizontal="left" indent="1"/>
    </xf>
    <xf numFmtId="49" fontId="29" fillId="0" borderId="87" xfId="8" applyNumberFormat="1" applyFont="1" applyBorder="1" applyAlignment="1">
      <alignment horizontal="center"/>
    </xf>
    <xf numFmtId="165" fontId="21" fillId="42" borderId="89" xfId="2" applyFont="1" applyFill="1" applyBorder="1" applyAlignment="1">
      <alignment horizontal="center" vertical="center"/>
    </xf>
    <xf numFmtId="165" fontId="21" fillId="40" borderId="87" xfId="2" applyFont="1" applyFill="1" applyBorder="1" applyAlignment="1">
      <alignment horizontal="center" vertical="center"/>
    </xf>
    <xf numFmtId="165" fontId="21" fillId="42" borderId="87" xfId="2" applyFont="1" applyFill="1" applyBorder="1" applyAlignment="1">
      <alignment horizontal="center" vertical="center"/>
    </xf>
    <xf numFmtId="168" fontId="29" fillId="41" borderId="0" xfId="8" applyNumberFormat="1" applyFont="1" applyFill="1" applyAlignment="1">
      <alignment horizontal="center"/>
    </xf>
    <xf numFmtId="190" fontId="73" fillId="0" borderId="0" xfId="8" applyNumberFormat="1" applyFont="1" applyAlignment="1">
      <alignment horizontal="center" vertical="center" wrapText="1"/>
    </xf>
    <xf numFmtId="49" fontId="29" fillId="0" borderId="0" xfId="8" applyNumberFormat="1" applyFont="1" applyAlignment="1">
      <alignment horizontal="center"/>
    </xf>
    <xf numFmtId="49" fontId="21" fillId="0" borderId="0" xfId="8" applyNumberFormat="1" applyFont="1" applyAlignment="1">
      <alignment horizontal="left" wrapText="1" indent="1"/>
    </xf>
    <xf numFmtId="165" fontId="21" fillId="0" borderId="0" xfId="2" applyFont="1" applyFill="1" applyBorder="1" applyAlignment="1">
      <alignment horizontal="center" vertical="center"/>
    </xf>
    <xf numFmtId="49" fontId="21" fillId="5" borderId="0" xfId="8" applyNumberFormat="1" applyFont="1" applyFill="1" applyAlignment="1">
      <alignment horizontal="left" indent="1"/>
    </xf>
    <xf numFmtId="0" fontId="10" fillId="5" borderId="0" xfId="0" applyFont="1" applyFill="1" applyAlignment="1">
      <alignment vertical="center" wrapText="1"/>
    </xf>
    <xf numFmtId="0" fontId="10" fillId="5" borderId="0" xfId="0" applyFont="1" applyFill="1" applyAlignment="1">
      <alignment horizontal="left" vertical="center" indent="3"/>
    </xf>
    <xf numFmtId="0" fontId="46" fillId="5" borderId="0" xfId="17" applyFill="1" applyAlignment="1">
      <alignment horizontal="right" vertical="center"/>
    </xf>
    <xf numFmtId="0" fontId="21" fillId="0" borderId="87" xfId="8" applyFont="1" applyBorder="1" applyAlignment="1">
      <alignment horizontal="left" indent="1"/>
    </xf>
    <xf numFmtId="0" fontId="0" fillId="5" borderId="0" xfId="0" applyFill="1" applyAlignment="1">
      <alignment horizontal="left"/>
    </xf>
    <xf numFmtId="0" fontId="17" fillId="5" borderId="0" xfId="0" applyFont="1" applyFill="1" applyAlignment="1">
      <alignment horizontal="right"/>
    </xf>
    <xf numFmtId="168" fontId="29" fillId="5" borderId="83" xfId="8" applyNumberFormat="1" applyFont="1" applyFill="1" applyBorder="1" applyAlignment="1">
      <alignment horizontal="center"/>
    </xf>
    <xf numFmtId="0" fontId="21" fillId="0" borderId="87" xfId="8" applyFont="1" applyBorder="1" applyAlignment="1">
      <alignment horizontal="left" wrapText="1" indent="1"/>
    </xf>
    <xf numFmtId="0" fontId="24" fillId="36" borderId="2" xfId="0" applyFont="1" applyFill="1" applyBorder="1"/>
    <xf numFmtId="167" fontId="24" fillId="36" borderId="2" xfId="0" applyNumberFormat="1" applyFont="1" applyFill="1" applyBorder="1" applyAlignment="1">
      <alignment horizontal="center" vertical="center"/>
    </xf>
    <xf numFmtId="0" fontId="24" fillId="36" borderId="2" xfId="0" applyFont="1" applyFill="1" applyBorder="1" applyAlignment="1">
      <alignment horizontal="center"/>
    </xf>
    <xf numFmtId="167" fontId="24" fillId="36" borderId="2" xfId="0" quotePrefix="1" applyNumberFormat="1" applyFont="1" applyFill="1" applyBorder="1" applyAlignment="1">
      <alignment horizontal="center" vertical="center"/>
    </xf>
    <xf numFmtId="167" fontId="24" fillId="36" borderId="6" xfId="0" applyNumberFormat="1" applyFont="1" applyFill="1" applyBorder="1" applyAlignment="1">
      <alignment horizontal="center" vertical="center"/>
    </xf>
    <xf numFmtId="167" fontId="24" fillId="36" borderId="3" xfId="0" applyNumberFormat="1" applyFont="1" applyFill="1" applyBorder="1" applyAlignment="1">
      <alignment horizontal="center" vertical="center"/>
    </xf>
    <xf numFmtId="167" fontId="24" fillId="36" borderId="6" xfId="0" quotePrefix="1" applyNumberFormat="1" applyFont="1" applyFill="1" applyBorder="1" applyAlignment="1">
      <alignment horizontal="center" vertical="center"/>
    </xf>
    <xf numFmtId="175" fontId="24" fillId="36" borderId="3" xfId="0" quotePrefix="1" applyNumberFormat="1" applyFont="1" applyFill="1" applyBorder="1" applyAlignment="1">
      <alignment horizontal="center" vertical="center"/>
    </xf>
    <xf numFmtId="175" fontId="24" fillId="36" borderId="2" xfId="0" quotePrefix="1" applyNumberFormat="1" applyFont="1" applyFill="1" applyBorder="1" applyAlignment="1">
      <alignment horizontal="center" vertical="center"/>
    </xf>
    <xf numFmtId="176" fontId="24" fillId="36" borderId="2" xfId="0" quotePrefix="1" applyNumberFormat="1" applyFont="1" applyFill="1" applyBorder="1" applyAlignment="1">
      <alignment horizontal="center" vertical="center"/>
    </xf>
    <xf numFmtId="175" fontId="21" fillId="36" borderId="2" xfId="0" applyNumberFormat="1" applyFont="1" applyFill="1" applyBorder="1" applyAlignment="1">
      <alignment horizontal="center" vertical="center"/>
    </xf>
    <xf numFmtId="175" fontId="21" fillId="36" borderId="8" xfId="0" applyNumberFormat="1" applyFont="1" applyFill="1" applyBorder="1" applyAlignment="1">
      <alignment horizontal="center" vertical="center"/>
    </xf>
    <xf numFmtId="0" fontId="7" fillId="0" borderId="0" xfId="35" applyFont="1"/>
    <xf numFmtId="176" fontId="24" fillId="44" borderId="2" xfId="0" applyNumberFormat="1" applyFont="1" applyFill="1" applyBorder="1" applyAlignment="1">
      <alignment horizontal="center" vertical="center"/>
    </xf>
    <xf numFmtId="0" fontId="10" fillId="44" borderId="0" xfId="0" applyFont="1" applyFill="1" applyAlignment="1">
      <alignment vertical="center"/>
    </xf>
    <xf numFmtId="2" fontId="10" fillId="5" borderId="0" xfId="0" applyNumberFormat="1" applyFont="1" applyFill="1"/>
    <xf numFmtId="192" fontId="32" fillId="6" borderId="0" xfId="0" quotePrefix="1" applyNumberFormat="1" applyFont="1" applyFill="1" applyAlignment="1">
      <alignment horizontal="center" vertical="top"/>
    </xf>
    <xf numFmtId="168" fontId="30" fillId="6" borderId="0" xfId="0" applyNumberFormat="1" applyFont="1" applyFill="1"/>
    <xf numFmtId="0" fontId="24" fillId="0" borderId="0" xfId="0" applyFont="1" applyAlignment="1">
      <alignment vertical="center"/>
    </xf>
    <xf numFmtId="10" fontId="24" fillId="9" borderId="2" xfId="1" applyNumberFormat="1" applyFont="1" applyFill="1" applyBorder="1" applyAlignment="1">
      <alignment horizontal="center" vertical="center"/>
    </xf>
    <xf numFmtId="0" fontId="0" fillId="0" borderId="0" xfId="0" applyAlignment="1">
      <alignment horizontal="center"/>
    </xf>
    <xf numFmtId="2" fontId="24" fillId="3" borderId="2" xfId="2" applyNumberFormat="1" applyFont="1" applyFill="1" applyBorder="1" applyAlignment="1">
      <alignment horizontal="center" vertical="center"/>
    </xf>
    <xf numFmtId="176" fontId="77" fillId="3" borderId="2" xfId="17" applyNumberFormat="1" applyFont="1" applyFill="1" applyBorder="1" applyAlignment="1">
      <alignment horizontal="left" vertical="center"/>
    </xf>
    <xf numFmtId="10" fontId="24" fillId="3" borderId="2" xfId="1" applyNumberFormat="1" applyFont="1" applyFill="1" applyBorder="1" applyAlignment="1">
      <alignment horizontal="center" vertical="center"/>
    </xf>
    <xf numFmtId="0" fontId="6" fillId="0" borderId="0" xfId="35" applyFont="1"/>
    <xf numFmtId="0" fontId="78" fillId="0" borderId="0" xfId="35" applyFont="1"/>
    <xf numFmtId="0" fontId="9" fillId="44" borderId="0" xfId="35" applyFill="1"/>
    <xf numFmtId="0" fontId="0" fillId="45" borderId="0" xfId="0" applyFill="1" applyAlignment="1">
      <alignment vertical="center"/>
    </xf>
    <xf numFmtId="176" fontId="10" fillId="45" borderId="2" xfId="0" applyNumberFormat="1" applyFont="1" applyFill="1" applyBorder="1" applyAlignment="1">
      <alignment horizontal="center" vertical="center"/>
    </xf>
    <xf numFmtId="0" fontId="5" fillId="0" borderId="0" xfId="35" applyFont="1"/>
    <xf numFmtId="176" fontId="24" fillId="45" borderId="2" xfId="0" applyNumberFormat="1" applyFont="1" applyFill="1" applyBorder="1" applyAlignment="1">
      <alignment horizontal="center" vertical="center"/>
    </xf>
    <xf numFmtId="9" fontId="0" fillId="5" borderId="0" xfId="1" applyFont="1" applyFill="1"/>
    <xf numFmtId="0" fontId="9" fillId="46" borderId="0" xfId="35" applyFill="1"/>
    <xf numFmtId="0" fontId="4" fillId="0" borderId="0" xfId="35" applyFont="1"/>
    <xf numFmtId="0" fontId="46" fillId="5" borderId="0" xfId="17" applyFill="1" applyAlignment="1">
      <alignment horizontal="right"/>
    </xf>
    <xf numFmtId="167" fontId="24" fillId="46" borderId="2" xfId="0" applyNumberFormat="1" applyFont="1" applyFill="1" applyBorder="1" applyAlignment="1">
      <alignment vertical="center"/>
    </xf>
    <xf numFmtId="10" fontId="10" fillId="46" borderId="2" xfId="1" applyNumberFormat="1" applyFont="1" applyFill="1" applyBorder="1" applyAlignment="1">
      <alignment horizontal="center" vertical="center"/>
    </xf>
    <xf numFmtId="10" fontId="10" fillId="46" borderId="12" xfId="1" applyNumberFormat="1" applyFont="1" applyFill="1" applyBorder="1" applyAlignment="1">
      <alignment horizontal="center" vertical="center"/>
    </xf>
    <xf numFmtId="0" fontId="3" fillId="44" borderId="0" xfId="35" applyFont="1" applyFill="1"/>
    <xf numFmtId="0" fontId="2" fillId="46" borderId="0" xfId="35" applyFont="1" applyFill="1"/>
    <xf numFmtId="0" fontId="1" fillId="0" borderId="0" xfId="35" applyFont="1"/>
    <xf numFmtId="44" fontId="0" fillId="0" borderId="0" xfId="0" applyNumberFormat="1"/>
    <xf numFmtId="0" fontId="10" fillId="5" borderId="0" xfId="0" applyFont="1" applyFill="1" applyAlignment="1">
      <alignment horizontal="left" vertical="center" wrapText="1"/>
    </xf>
    <xf numFmtId="168" fontId="29" fillId="41" borderId="84" xfId="8" applyNumberFormat="1" applyFont="1" applyFill="1" applyBorder="1" applyAlignment="1">
      <alignment horizontal="center"/>
    </xf>
    <xf numFmtId="168" fontId="29" fillId="41" borderId="0" xfId="8" applyNumberFormat="1" applyFont="1" applyFill="1" applyAlignment="1">
      <alignment horizontal="center"/>
    </xf>
    <xf numFmtId="168" fontId="29" fillId="0" borderId="0" xfId="8" applyNumberFormat="1" applyFont="1" applyAlignment="1">
      <alignment horizontal="center"/>
    </xf>
    <xf numFmtId="168" fontId="29" fillId="5" borderId="0" xfId="8" applyNumberFormat="1" applyFont="1" applyFill="1" applyAlignment="1">
      <alignment horizontal="center"/>
    </xf>
    <xf numFmtId="168" fontId="29" fillId="5" borderId="83" xfId="8" applyNumberFormat="1" applyFont="1" applyFill="1" applyBorder="1" applyAlignment="1">
      <alignment horizontal="center"/>
    </xf>
    <xf numFmtId="168" fontId="32" fillId="11" borderId="0" xfId="0" applyNumberFormat="1" applyFont="1" applyFill="1" applyAlignment="1">
      <alignment horizontal="center"/>
    </xf>
    <xf numFmtId="0" fontId="54" fillId="0" borderId="45" xfId="0" applyFont="1" applyBorder="1" applyAlignment="1">
      <alignment horizontal="right" vertical="center" wrapText="1"/>
    </xf>
    <xf numFmtId="0" fontId="54" fillId="0" borderId="33" xfId="0" applyFont="1" applyBorder="1" applyAlignment="1">
      <alignment horizontal="right" vertical="center" wrapText="1"/>
    </xf>
    <xf numFmtId="0" fontId="54" fillId="0" borderId="32" xfId="0" applyFont="1" applyBorder="1" applyAlignment="1">
      <alignment horizontal="right" vertical="center" wrapText="1"/>
    </xf>
    <xf numFmtId="0" fontId="55" fillId="19" borderId="46" xfId="0" applyFont="1" applyFill="1" applyBorder="1" applyAlignment="1">
      <alignment horizontal="center" vertical="center" wrapText="1"/>
    </xf>
    <xf numFmtId="0" fontId="55" fillId="19" borderId="47" xfId="0" applyFont="1" applyFill="1" applyBorder="1" applyAlignment="1">
      <alignment horizontal="center" vertical="center" wrapText="1"/>
    </xf>
    <xf numFmtId="0" fontId="55" fillId="19" borderId="45" xfId="0" applyFont="1" applyFill="1" applyBorder="1" applyAlignment="1">
      <alignment horizontal="center" vertical="center" wrapText="1"/>
    </xf>
    <xf numFmtId="0" fontId="55" fillId="19" borderId="48" xfId="0" applyFont="1" applyFill="1" applyBorder="1" applyAlignment="1">
      <alignment horizontal="center" vertical="center" wrapText="1"/>
    </xf>
    <xf numFmtId="0" fontId="55" fillId="19" borderId="35" xfId="0" applyFont="1" applyFill="1" applyBorder="1" applyAlignment="1">
      <alignment horizontal="center" vertical="center" wrapText="1"/>
    </xf>
    <xf numFmtId="0" fontId="55" fillId="19" borderId="34" xfId="0" applyFont="1" applyFill="1" applyBorder="1" applyAlignment="1">
      <alignment horizontal="center" vertical="center" wrapText="1"/>
    </xf>
    <xf numFmtId="0" fontId="66" fillId="5" borderId="0" xfId="26" applyFont="1" applyFill="1" applyAlignment="1">
      <alignment horizontal="center"/>
    </xf>
    <xf numFmtId="0" fontId="66" fillId="5" borderId="50" xfId="26" applyFont="1" applyFill="1" applyBorder="1" applyAlignment="1">
      <alignment horizontal="center"/>
    </xf>
    <xf numFmtId="168" fontId="21" fillId="3" borderId="6" xfId="0" applyNumberFormat="1" applyFont="1" applyFill="1" applyBorder="1" applyAlignment="1">
      <alignment horizontal="left"/>
    </xf>
    <xf numFmtId="168" fontId="21" fillId="3" borderId="7" xfId="0" applyNumberFormat="1" applyFont="1" applyFill="1" applyBorder="1" applyAlignment="1">
      <alignment horizontal="left"/>
    </xf>
    <xf numFmtId="168" fontId="21" fillId="3" borderId="3" xfId="0" applyNumberFormat="1" applyFont="1" applyFill="1" applyBorder="1" applyAlignment="1">
      <alignment horizontal="left"/>
    </xf>
    <xf numFmtId="0" fontId="17" fillId="10" borderId="0" xfId="0" applyFont="1" applyFill="1" applyAlignment="1">
      <alignment horizontal="center" vertical="center"/>
    </xf>
    <xf numFmtId="0" fontId="31" fillId="6" borderId="0" xfId="0" applyFont="1" applyFill="1" applyAlignment="1">
      <alignment horizontal="center" vertical="center"/>
    </xf>
    <xf numFmtId="0" fontId="31" fillId="6" borderId="0" xfId="0" applyFont="1" applyFill="1" applyAlignment="1">
      <alignment horizontal="left" vertical="center"/>
    </xf>
    <xf numFmtId="0" fontId="31" fillId="6" borderId="0" xfId="0" applyFont="1" applyFill="1" applyAlignment="1">
      <alignment horizontal="center" vertical="center" wrapText="1"/>
    </xf>
    <xf numFmtId="168" fontId="30" fillId="11" borderId="0" xfId="0" applyNumberFormat="1" applyFont="1" applyFill="1" applyAlignment="1">
      <alignment horizontal="center"/>
    </xf>
    <xf numFmtId="168" fontId="32" fillId="6" borderId="0" xfId="0" applyNumberFormat="1" applyFont="1" applyFill="1" applyAlignment="1">
      <alignment horizontal="center" vertical="center"/>
    </xf>
    <xf numFmtId="0" fontId="32" fillId="6" borderId="0" xfId="0" applyFont="1" applyFill="1" applyAlignment="1">
      <alignment horizontal="center" vertical="center" wrapText="1"/>
    </xf>
    <xf numFmtId="167" fontId="24" fillId="3" borderId="14" xfId="0" applyNumberFormat="1" applyFont="1" applyFill="1" applyBorder="1" applyAlignment="1">
      <alignment horizontal="left" vertical="top" wrapText="1"/>
    </xf>
    <xf numFmtId="167" fontId="24" fillId="3" borderId="10" xfId="0" applyNumberFormat="1" applyFont="1" applyFill="1" applyBorder="1" applyAlignment="1">
      <alignment horizontal="left" vertical="top"/>
    </xf>
    <xf numFmtId="167" fontId="24" fillId="3" borderId="11" xfId="0" applyNumberFormat="1" applyFont="1" applyFill="1" applyBorder="1" applyAlignment="1">
      <alignment horizontal="left" vertical="top"/>
    </xf>
    <xf numFmtId="167" fontId="24" fillId="3" borderId="29" xfId="0" applyNumberFormat="1" applyFont="1" applyFill="1" applyBorder="1" applyAlignment="1">
      <alignment horizontal="left" vertical="top"/>
    </xf>
    <xf numFmtId="167" fontId="24" fillId="3" borderId="0" xfId="0" applyNumberFormat="1" applyFont="1" applyFill="1" applyAlignment="1">
      <alignment horizontal="left" vertical="top"/>
    </xf>
    <xf numFmtId="167" fontId="24" fillId="3" borderId="4" xfId="0" applyNumberFormat="1" applyFont="1" applyFill="1" applyBorder="1" applyAlignment="1">
      <alignment horizontal="left" vertical="top"/>
    </xf>
    <xf numFmtId="167" fontId="24" fillId="3" borderId="13" xfId="0" applyNumberFormat="1" applyFont="1" applyFill="1" applyBorder="1" applyAlignment="1">
      <alignment horizontal="left" vertical="top"/>
    </xf>
    <xf numFmtId="167" fontId="24" fillId="3" borderId="19" xfId="0" applyNumberFormat="1" applyFont="1" applyFill="1" applyBorder="1" applyAlignment="1">
      <alignment horizontal="left" vertical="top"/>
    </xf>
    <xf numFmtId="167" fontId="24" fillId="3" borderId="22" xfId="0" applyNumberFormat="1" applyFont="1" applyFill="1" applyBorder="1" applyAlignment="1">
      <alignment horizontal="left" vertical="top"/>
    </xf>
    <xf numFmtId="0" fontId="17" fillId="10" borderId="29" xfId="0" applyFont="1" applyFill="1" applyBorder="1" applyAlignment="1">
      <alignment horizontal="center" vertical="center"/>
    </xf>
    <xf numFmtId="0" fontId="20" fillId="2" borderId="2" xfId="0" quotePrefix="1" applyFont="1" applyFill="1" applyBorder="1" applyAlignment="1">
      <alignment horizontal="center" vertical="center"/>
    </xf>
    <xf numFmtId="167" fontId="20" fillId="2" borderId="2" xfId="0" quotePrefix="1" applyNumberFormat="1" applyFont="1" applyFill="1" applyBorder="1" applyAlignment="1">
      <alignment horizontal="left" vertical="center"/>
    </xf>
    <xf numFmtId="175" fontId="20" fillId="2" borderId="2" xfId="0" quotePrefix="1" applyNumberFormat="1" applyFont="1" applyFill="1" applyBorder="1" applyAlignment="1">
      <alignment horizontal="center" vertical="center"/>
    </xf>
    <xf numFmtId="176" fontId="20" fillId="2" borderId="6" xfId="0" applyNumberFormat="1" applyFont="1" applyFill="1" applyBorder="1" applyAlignment="1">
      <alignment horizontal="center" vertical="center"/>
    </xf>
    <xf numFmtId="176" fontId="20" fillId="2" borderId="31" xfId="0" applyNumberFormat="1" applyFont="1" applyFill="1" applyBorder="1" applyAlignment="1">
      <alignment horizontal="center" vertical="center"/>
    </xf>
    <xf numFmtId="167" fontId="20" fillId="2" borderId="2" xfId="0" quotePrefix="1" applyNumberFormat="1" applyFont="1" applyFill="1" applyBorder="1" applyAlignment="1">
      <alignment horizontal="center" vertical="center"/>
    </xf>
    <xf numFmtId="175" fontId="20" fillId="2" borderId="2" xfId="0" applyNumberFormat="1" applyFont="1" applyFill="1" applyBorder="1" applyAlignment="1">
      <alignment horizontal="left" vertical="center"/>
    </xf>
    <xf numFmtId="176" fontId="20" fillId="2" borderId="30" xfId="0" applyNumberFormat="1" applyFont="1" applyFill="1" applyBorder="1" applyAlignment="1">
      <alignment horizontal="center" vertical="center"/>
    </xf>
    <xf numFmtId="175" fontId="20" fillId="2" borderId="2" xfId="0" applyNumberFormat="1" applyFont="1" applyFill="1" applyBorder="1" applyAlignment="1">
      <alignment horizontal="center" vertical="center"/>
    </xf>
    <xf numFmtId="0" fontId="24" fillId="2" borderId="2" xfId="0" applyFont="1" applyFill="1" applyBorder="1" applyAlignment="1">
      <alignment horizontal="center" vertical="center"/>
    </xf>
    <xf numFmtId="2" fontId="24" fillId="2" borderId="2" xfId="0" applyNumberFormat="1" applyFont="1" applyFill="1" applyBorder="1" applyAlignment="1">
      <alignment horizontal="center" vertical="center"/>
    </xf>
  </cellXfs>
  <cellStyles count="57">
    <cellStyle name="Assumptions Right Number" xfId="11" xr:uid="{00000000-0005-0000-0000-000000000000}"/>
    <cellStyle name="Check RedRedGreen" xfId="7" xr:uid="{00000000-0005-0000-0000-000001000000}"/>
    <cellStyle name="Comma" xfId="2" builtinId="3"/>
    <cellStyle name="Comma 2" xfId="10" xr:uid="{00000000-0005-0000-0000-000003000000}"/>
    <cellStyle name="Comma 2 2" xfId="14" xr:uid="{00000000-0005-0000-0000-000004000000}"/>
    <cellStyle name="Comma 2 3" xfId="41" xr:uid="{D28CCED3-2A51-4239-873B-49464CA724D7}"/>
    <cellStyle name="Comma 3" xfId="12" xr:uid="{00000000-0005-0000-0000-000005000000}"/>
    <cellStyle name="Comma 4" xfId="15" xr:uid="{00000000-0005-0000-0000-000006000000}"/>
    <cellStyle name="Comma 5" xfId="33" xr:uid="{28338BE2-B6DD-4ACD-A5AE-65BC2FE16164}"/>
    <cellStyle name="Comma 6" xfId="37" xr:uid="{B7FE9560-76B3-47C4-811E-72242478D73A}"/>
    <cellStyle name="Currency 2" xfId="21" xr:uid="{CF1487E2-E4A2-4513-926A-BA9D37443E60}"/>
    <cellStyle name="Currency 2 2" xfId="43" xr:uid="{815B945D-E437-44F2-B57C-C5F804B058ED}"/>
    <cellStyle name="dms_1" xfId="4" xr:uid="{00000000-0005-0000-0000-000007000000}"/>
    <cellStyle name="dms_1 2" xfId="28" xr:uid="{D2829D96-9F14-43B1-94D7-B774B6A8CB67}"/>
    <cellStyle name="dms_BH" xfId="29" xr:uid="{5A5E75B2-BE07-4E58-AE4A-016AD4CCDE94}"/>
    <cellStyle name="dms_BY1" xfId="31" xr:uid="{59A31F69-49B4-458C-B3AD-4E769F740753}"/>
    <cellStyle name="dms_BY2" xfId="30" xr:uid="{A24FAEFE-A112-4466-84EF-3C6F9D97BC9F}"/>
    <cellStyle name="dms_H" xfId="27" xr:uid="{25957C21-4CB5-4CEF-AD79-487D544C9998}"/>
    <cellStyle name="dms_NUM" xfId="32" xr:uid="{2949B1AB-0E0B-4595-AE5E-918D682B1053}"/>
    <cellStyle name="dms_T1" xfId="34" xr:uid="{96DD37DA-5F29-4EBE-9367-B618A6B2A0C8}"/>
    <cellStyle name="dms_TopHeader" xfId="25" xr:uid="{330D9FFE-FA7C-42C1-A25D-D6A0F408EF00}"/>
    <cellStyle name="Hyperlink" xfId="17" builtinId="8"/>
    <cellStyle name="Hyperlink 2" xfId="24" xr:uid="{31F0075D-CCBB-4336-A004-ED121F8E12D1}"/>
    <cellStyle name="Hyperlink 2 2" xfId="52" xr:uid="{089C6D6C-5F52-4756-BA33-D3BBB1740BA6}"/>
    <cellStyle name="Hyperlink 3" xfId="48" xr:uid="{CF17A06F-E9B1-499B-9CA0-06D423B2CC59}"/>
    <cellStyle name="Hyperlink 4" xfId="46" xr:uid="{88A552B4-9B13-4D8F-9F90-410BD4FA7DBF}"/>
    <cellStyle name="Normal" xfId="0" builtinId="0"/>
    <cellStyle name="Normal 11" xfId="6" xr:uid="{00000000-0005-0000-0000-000009000000}"/>
    <cellStyle name="Normal 11 2" xfId="13" xr:uid="{00000000-0005-0000-0000-00000A000000}"/>
    <cellStyle name="Normal 11 3" xfId="16" xr:uid="{00000000-0005-0000-0000-00000B000000}"/>
    <cellStyle name="Normal 11 4" xfId="19" xr:uid="{3DF7531D-25B4-465B-BFFD-27743E5C6196}"/>
    <cellStyle name="Normal 112" xfId="18" xr:uid="{628CA2B2-07BB-4620-B988-AD67103DEFFD}"/>
    <cellStyle name="Normal 2" xfId="8" xr:uid="{00000000-0005-0000-0000-00000C000000}"/>
    <cellStyle name="Normal 2 2" xfId="23" xr:uid="{3B48E238-EE05-4713-85F4-1FC1C19A980B}"/>
    <cellStyle name="Normal 2 2 2" xfId="56" xr:uid="{763E04D2-7012-45DA-8834-D94BDA495395}"/>
    <cellStyle name="Normal 2 3" xfId="49" xr:uid="{25624744-83B3-468E-A8ED-D6BEDA2614EA}"/>
    <cellStyle name="Normal 2 4" xfId="42" xr:uid="{C9B725E3-F481-40AB-AA40-BF7589D76699}"/>
    <cellStyle name="Normal 3" xfId="5" xr:uid="{00000000-0005-0000-0000-00000D000000}"/>
    <cellStyle name="Normal 3 2" xfId="50" xr:uid="{3646CD97-60F1-4CFD-A957-D0AED9C0C857}"/>
    <cellStyle name="Normal 3 3" xfId="53" xr:uid="{C27C6102-0BCF-4087-98E5-061900BCB1CF}"/>
    <cellStyle name="Normal 4" xfId="26" xr:uid="{FEDFFC75-522D-4604-ADE4-2ED665211468}"/>
    <cellStyle name="Normal 4 2" xfId="47" xr:uid="{2D79CB72-801B-41AF-8AA3-8D834B868806}"/>
    <cellStyle name="Normal 5" xfId="35" xr:uid="{802ECACB-4D14-40C4-8C7F-48CC569EF92E}"/>
    <cellStyle name="Normal 5 2" xfId="40" xr:uid="{0F2F6ECB-5DA1-4C4C-A561-209527394B60}"/>
    <cellStyle name="Normal 5 25" xfId="20" xr:uid="{C8F8FF55-3C5B-4F93-95DA-97EFD7816804}"/>
    <cellStyle name="Normal 6" xfId="39" xr:uid="{D93B296E-E6CE-4ABC-B9D6-2FD35E7F4DDA}"/>
    <cellStyle name="Normal 7" xfId="54" xr:uid="{6A4EF08B-6752-4773-ABDC-DDD76CF8362A}"/>
    <cellStyle name="Normal 8" xfId="55" xr:uid="{B5C58D4D-7FBD-4C00-9E85-0682A387301D}"/>
    <cellStyle name="Normal 9" xfId="36" xr:uid="{5B899219-1C6B-40C5-A8F8-104E94422727}"/>
    <cellStyle name="Note 2" xfId="51" xr:uid="{C756619E-A0C6-4066-977F-5EB043627CBA}"/>
    <cellStyle name="Percent" xfId="1" builtinId="5"/>
    <cellStyle name="Percent 2" xfId="9" xr:uid="{00000000-0005-0000-0000-00000F000000}"/>
    <cellStyle name="Percent 2 2" xfId="45" xr:uid="{13DFBF9E-F033-4737-876B-0148E9F06CF4}"/>
    <cellStyle name="Percent 2 2 2" xfId="22" xr:uid="{447C287B-52EF-48D1-8473-E04A31EA3B93}"/>
    <cellStyle name="Percent 3" xfId="44" xr:uid="{16885078-B912-45AB-9FE5-195782C6AF63}"/>
    <cellStyle name="Percent 4" xfId="38" xr:uid="{E7C0F50F-C892-4572-95AA-326E9D8578D0}"/>
    <cellStyle name="TableLvl3" xfId="3" xr:uid="{00000000-0005-0000-0000-000010000000}"/>
  </cellStyles>
  <dxfs count="111">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CC99"/>
      <color rgb="FFD3EBDA"/>
      <color rgb="FFFFCCCC"/>
      <color rgb="FF9FC8C6"/>
      <color rgb="FF0000FF"/>
      <color rgb="FFFFFFCC"/>
      <color rgb="FFFFCC66"/>
      <color rgb="FFCCCC00"/>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10</xdr:col>
      <xdr:colOff>23812</xdr:colOff>
      <xdr:row>0</xdr:row>
      <xdr:rowOff>0</xdr:rowOff>
    </xdr:from>
    <xdr:to>
      <xdr:col>13</xdr:col>
      <xdr:colOff>425450</xdr:colOff>
      <xdr:row>1</xdr:row>
      <xdr:rowOff>279400</xdr:rowOff>
    </xdr:to>
    <xdr:grpSp>
      <xdr:nvGrpSpPr>
        <xdr:cNvPr id="2" name="Group 1">
          <a:extLst>
            <a:ext uri="{FF2B5EF4-FFF2-40B4-BE49-F238E27FC236}">
              <a16:creationId xmlns:a16="http://schemas.microsoft.com/office/drawing/2014/main" id="{131E2689-1167-4190-94AD-FE2249A2DDEE}"/>
            </a:ext>
          </a:extLst>
        </xdr:cNvPr>
        <xdr:cNvGrpSpPr/>
      </xdr:nvGrpSpPr>
      <xdr:grpSpPr>
        <a:xfrm>
          <a:off x="9043987" y="0"/>
          <a:ext cx="2963863" cy="593725"/>
          <a:chOff x="10265833" y="4413250"/>
          <a:chExt cx="1825884" cy="479009"/>
        </a:xfrm>
      </xdr:grpSpPr>
      <xdr:sp macro="[0]!MarkAsConfidential" textlink="">
        <xdr:nvSpPr>
          <xdr:cNvPr id="3" name="Rounded Rectangle 21">
            <a:extLst>
              <a:ext uri="{FF2B5EF4-FFF2-40B4-BE49-F238E27FC236}">
                <a16:creationId xmlns:a16="http://schemas.microsoft.com/office/drawing/2014/main" id="{E1473201-D171-4AEF-A9C9-E9A65ACEA3B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E31B726B-A103-4AF3-8CDD-DE54864BE05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427833</xdr:colOff>
      <xdr:row>0</xdr:row>
      <xdr:rowOff>0</xdr:rowOff>
    </xdr:from>
    <xdr:to>
      <xdr:col>8</xdr:col>
      <xdr:colOff>304802</xdr:colOff>
      <xdr:row>1</xdr:row>
      <xdr:rowOff>191807</xdr:rowOff>
    </xdr:to>
    <xdr:grpSp>
      <xdr:nvGrpSpPr>
        <xdr:cNvPr id="2" name="Group 1">
          <a:extLst>
            <a:ext uri="{FF2B5EF4-FFF2-40B4-BE49-F238E27FC236}">
              <a16:creationId xmlns:a16="http://schemas.microsoft.com/office/drawing/2014/main" id="{ECD3AE64-6741-439B-9B07-8670439BA467}"/>
            </a:ext>
          </a:extLst>
        </xdr:cNvPr>
        <xdr:cNvGrpSpPr/>
      </xdr:nvGrpSpPr>
      <xdr:grpSpPr>
        <a:xfrm>
          <a:off x="7495383" y="0"/>
          <a:ext cx="2782094"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F339528B-0211-4662-A0A6-ACB209AC01F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1ED1752-A33D-4F71-AE7B-C0B5095E05FB}"/>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84667</xdr:colOff>
      <xdr:row>0</xdr:row>
      <xdr:rowOff>0</xdr:rowOff>
    </xdr:from>
    <xdr:to>
      <xdr:col>12</xdr:col>
      <xdr:colOff>17462</xdr:colOff>
      <xdr:row>1</xdr:row>
      <xdr:rowOff>188632</xdr:rowOff>
    </xdr:to>
    <xdr:grpSp>
      <xdr:nvGrpSpPr>
        <xdr:cNvPr id="2" name="Group 1">
          <a:extLst>
            <a:ext uri="{FF2B5EF4-FFF2-40B4-BE49-F238E27FC236}">
              <a16:creationId xmlns:a16="http://schemas.microsoft.com/office/drawing/2014/main" id="{569917E8-EE49-48C3-9D61-FB6ED7754D55}"/>
            </a:ext>
          </a:extLst>
        </xdr:cNvPr>
        <xdr:cNvGrpSpPr/>
      </xdr:nvGrpSpPr>
      <xdr:grpSpPr>
        <a:xfrm>
          <a:off x="9747250" y="0"/>
          <a:ext cx="2578629"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A02A3403-575F-4B36-AEF6-FA161F09816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AE1196CE-45AD-465A-B7CE-58A3E1C48CA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495300</xdr:colOff>
      <xdr:row>0</xdr:row>
      <xdr:rowOff>0</xdr:rowOff>
    </xdr:from>
    <xdr:to>
      <xdr:col>13</xdr:col>
      <xdr:colOff>209550</xdr:colOff>
      <xdr:row>1</xdr:row>
      <xdr:rowOff>191807</xdr:rowOff>
    </xdr:to>
    <xdr:grpSp>
      <xdr:nvGrpSpPr>
        <xdr:cNvPr id="2" name="Group 1">
          <a:extLst>
            <a:ext uri="{FF2B5EF4-FFF2-40B4-BE49-F238E27FC236}">
              <a16:creationId xmlns:a16="http://schemas.microsoft.com/office/drawing/2014/main" id="{9C5A01D3-0E74-4CE3-932D-422B13A90695}"/>
            </a:ext>
          </a:extLst>
        </xdr:cNvPr>
        <xdr:cNvGrpSpPr/>
      </xdr:nvGrpSpPr>
      <xdr:grpSpPr>
        <a:xfrm>
          <a:off x="13286014" y="0"/>
          <a:ext cx="2803072" cy="504771"/>
          <a:chOff x="10265833" y="4413250"/>
          <a:chExt cx="1825884" cy="479009"/>
        </a:xfrm>
      </xdr:grpSpPr>
      <xdr:sp macro="[0]!MarkAsConfidential" textlink="">
        <xdr:nvSpPr>
          <xdr:cNvPr id="3" name="Rounded Rectangle 21">
            <a:extLst>
              <a:ext uri="{FF2B5EF4-FFF2-40B4-BE49-F238E27FC236}">
                <a16:creationId xmlns:a16="http://schemas.microsoft.com/office/drawing/2014/main" id="{B1AC4BC9-2414-C7E7-E413-2EE3E7CAAB0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F23136AA-9A10-5420-3EE7-275FC2C97D3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447675</xdr:colOff>
      <xdr:row>0</xdr:row>
      <xdr:rowOff>0</xdr:rowOff>
    </xdr:from>
    <xdr:to>
      <xdr:col>13</xdr:col>
      <xdr:colOff>161925</xdr:colOff>
      <xdr:row>1</xdr:row>
      <xdr:rowOff>191807</xdr:rowOff>
    </xdr:to>
    <xdr:grpSp>
      <xdr:nvGrpSpPr>
        <xdr:cNvPr id="2" name="Group 1">
          <a:extLst>
            <a:ext uri="{FF2B5EF4-FFF2-40B4-BE49-F238E27FC236}">
              <a16:creationId xmlns:a16="http://schemas.microsoft.com/office/drawing/2014/main" id="{CFB15838-0A5A-4E04-A712-F8E494E6568B}"/>
            </a:ext>
          </a:extLst>
        </xdr:cNvPr>
        <xdr:cNvGrpSpPr/>
      </xdr:nvGrpSpPr>
      <xdr:grpSpPr>
        <a:xfrm>
          <a:off x="13246894"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8B72499-3241-8859-7A42-1CCA88787E3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76AFA64B-85A4-B25C-9B5C-C70A5712069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677863</xdr:colOff>
      <xdr:row>0</xdr:row>
      <xdr:rowOff>0</xdr:rowOff>
    </xdr:from>
    <xdr:to>
      <xdr:col>13</xdr:col>
      <xdr:colOff>392113</xdr:colOff>
      <xdr:row>1</xdr:row>
      <xdr:rowOff>191807</xdr:rowOff>
    </xdr:to>
    <xdr:grpSp>
      <xdr:nvGrpSpPr>
        <xdr:cNvPr id="2" name="Group 1">
          <a:extLst>
            <a:ext uri="{FF2B5EF4-FFF2-40B4-BE49-F238E27FC236}">
              <a16:creationId xmlns:a16="http://schemas.microsoft.com/office/drawing/2014/main" id="{AC53EE2E-7112-4D81-AD8B-1BF1A42EA123}"/>
            </a:ext>
          </a:extLst>
        </xdr:cNvPr>
        <xdr:cNvGrpSpPr/>
      </xdr:nvGrpSpPr>
      <xdr:grpSpPr>
        <a:xfrm>
          <a:off x="13477082"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3D82205-D9BB-CCEF-EC85-70AC1586466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B99A698-DFDC-6CF1-B4F2-2D2E1F7EE30A}"/>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439737</xdr:colOff>
      <xdr:row>0</xdr:row>
      <xdr:rowOff>0</xdr:rowOff>
    </xdr:from>
    <xdr:to>
      <xdr:col>13</xdr:col>
      <xdr:colOff>153987</xdr:colOff>
      <xdr:row>1</xdr:row>
      <xdr:rowOff>191807</xdr:rowOff>
    </xdr:to>
    <xdr:grpSp>
      <xdr:nvGrpSpPr>
        <xdr:cNvPr id="2" name="Group 1">
          <a:extLst>
            <a:ext uri="{FF2B5EF4-FFF2-40B4-BE49-F238E27FC236}">
              <a16:creationId xmlns:a16="http://schemas.microsoft.com/office/drawing/2014/main" id="{26844911-11E7-4F38-B1CB-C885492C9865}"/>
            </a:ext>
          </a:extLst>
        </xdr:cNvPr>
        <xdr:cNvGrpSpPr/>
      </xdr:nvGrpSpPr>
      <xdr:grpSpPr>
        <a:xfrm>
          <a:off x="13238956"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8B50968-267D-B1FD-FB11-915AABC70B2C}"/>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F341D60-5756-6CDF-CAFA-C525EE1C056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439738</xdr:colOff>
      <xdr:row>0</xdr:row>
      <xdr:rowOff>0</xdr:rowOff>
    </xdr:from>
    <xdr:to>
      <xdr:col>13</xdr:col>
      <xdr:colOff>153988</xdr:colOff>
      <xdr:row>1</xdr:row>
      <xdr:rowOff>191807</xdr:rowOff>
    </xdr:to>
    <xdr:grpSp>
      <xdr:nvGrpSpPr>
        <xdr:cNvPr id="2" name="Group 1">
          <a:extLst>
            <a:ext uri="{FF2B5EF4-FFF2-40B4-BE49-F238E27FC236}">
              <a16:creationId xmlns:a16="http://schemas.microsoft.com/office/drawing/2014/main" id="{52B37DDE-F5AC-45AD-A523-8E6D69132419}"/>
            </a:ext>
          </a:extLst>
        </xdr:cNvPr>
        <xdr:cNvGrpSpPr/>
      </xdr:nvGrpSpPr>
      <xdr:grpSpPr>
        <a:xfrm>
          <a:off x="13238957"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6B5D847-B305-1BEA-F0AC-D7E46CC5C15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E21CC79-6999-22C0-91B9-1F6E5668455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447675</xdr:colOff>
      <xdr:row>0</xdr:row>
      <xdr:rowOff>0</xdr:rowOff>
    </xdr:from>
    <xdr:to>
      <xdr:col>13</xdr:col>
      <xdr:colOff>161925</xdr:colOff>
      <xdr:row>1</xdr:row>
      <xdr:rowOff>191807</xdr:rowOff>
    </xdr:to>
    <xdr:grpSp>
      <xdr:nvGrpSpPr>
        <xdr:cNvPr id="2" name="Group 1">
          <a:extLst>
            <a:ext uri="{FF2B5EF4-FFF2-40B4-BE49-F238E27FC236}">
              <a16:creationId xmlns:a16="http://schemas.microsoft.com/office/drawing/2014/main" id="{821A5DFE-1204-4611-BAD4-95E59F5C678E}"/>
            </a:ext>
          </a:extLst>
        </xdr:cNvPr>
        <xdr:cNvGrpSpPr/>
      </xdr:nvGrpSpPr>
      <xdr:grpSpPr>
        <a:xfrm>
          <a:off x="12794456"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EC2C66A-940F-2EA8-992A-188D7547A68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DB14EC8-E1F6-EF67-41A8-8D0B69E059D4}"/>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463550</xdr:colOff>
      <xdr:row>0</xdr:row>
      <xdr:rowOff>0</xdr:rowOff>
    </xdr:from>
    <xdr:to>
      <xdr:col>13</xdr:col>
      <xdr:colOff>177800</xdr:colOff>
      <xdr:row>1</xdr:row>
      <xdr:rowOff>191807</xdr:rowOff>
    </xdr:to>
    <xdr:grpSp>
      <xdr:nvGrpSpPr>
        <xdr:cNvPr id="2" name="Group 1">
          <a:extLst>
            <a:ext uri="{FF2B5EF4-FFF2-40B4-BE49-F238E27FC236}">
              <a16:creationId xmlns:a16="http://schemas.microsoft.com/office/drawing/2014/main" id="{0F3F911A-83AC-49A5-8740-E709DC1A4774}"/>
            </a:ext>
          </a:extLst>
        </xdr:cNvPr>
        <xdr:cNvGrpSpPr/>
      </xdr:nvGrpSpPr>
      <xdr:grpSpPr>
        <a:xfrm>
          <a:off x="12810331"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EE25D4BA-FE27-5AC8-CC9A-4CD6B824822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451E391-90D4-62ED-ECEC-312FFCFF2EF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622300</xdr:colOff>
      <xdr:row>0</xdr:row>
      <xdr:rowOff>0</xdr:rowOff>
    </xdr:from>
    <xdr:to>
      <xdr:col>13</xdr:col>
      <xdr:colOff>336550</xdr:colOff>
      <xdr:row>1</xdr:row>
      <xdr:rowOff>191807</xdr:rowOff>
    </xdr:to>
    <xdr:grpSp>
      <xdr:nvGrpSpPr>
        <xdr:cNvPr id="2" name="Group 1">
          <a:extLst>
            <a:ext uri="{FF2B5EF4-FFF2-40B4-BE49-F238E27FC236}">
              <a16:creationId xmlns:a16="http://schemas.microsoft.com/office/drawing/2014/main" id="{5F33F22D-3706-408B-9C2A-FE4270A34838}"/>
            </a:ext>
          </a:extLst>
        </xdr:cNvPr>
        <xdr:cNvGrpSpPr/>
      </xdr:nvGrpSpPr>
      <xdr:grpSpPr>
        <a:xfrm>
          <a:off x="12969081"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47747D29-1C95-357B-BDE7-F7244463F29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44FC3A7-3428-388E-E264-57FBCD37ED4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561415</xdr:colOff>
      <xdr:row>0</xdr:row>
      <xdr:rowOff>0</xdr:rowOff>
    </xdr:from>
    <xdr:to>
      <xdr:col>10</xdr:col>
      <xdr:colOff>783665</xdr:colOff>
      <xdr:row>1</xdr:row>
      <xdr:rowOff>192367</xdr:rowOff>
    </xdr:to>
    <xdr:grpSp>
      <xdr:nvGrpSpPr>
        <xdr:cNvPr id="2" name="Group 1">
          <a:extLst>
            <a:ext uri="{FF2B5EF4-FFF2-40B4-BE49-F238E27FC236}">
              <a16:creationId xmlns:a16="http://schemas.microsoft.com/office/drawing/2014/main" id="{BB0707A7-6605-4EA0-9ABE-6F1556C49A4B}"/>
            </a:ext>
          </a:extLst>
        </xdr:cNvPr>
        <xdr:cNvGrpSpPr/>
      </xdr:nvGrpSpPr>
      <xdr:grpSpPr>
        <a:xfrm>
          <a:off x="9676840" y="0"/>
          <a:ext cx="2736850" cy="506692"/>
          <a:chOff x="10265833" y="4413250"/>
          <a:chExt cx="1825884" cy="479009"/>
        </a:xfrm>
      </xdr:grpSpPr>
      <xdr:sp macro="[0]!MarkAsConfidential" textlink="">
        <xdr:nvSpPr>
          <xdr:cNvPr id="3" name="Rounded Rectangle 21">
            <a:extLst>
              <a:ext uri="{FF2B5EF4-FFF2-40B4-BE49-F238E27FC236}">
                <a16:creationId xmlns:a16="http://schemas.microsoft.com/office/drawing/2014/main" id="{AC58F088-C176-4946-8012-111AB01D339D}"/>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08104A68-1F46-4B1D-B37F-C30B8811627E}"/>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304800</xdr:colOff>
      <xdr:row>0</xdr:row>
      <xdr:rowOff>0</xdr:rowOff>
    </xdr:from>
    <xdr:to>
      <xdr:col>13</xdr:col>
      <xdr:colOff>19050</xdr:colOff>
      <xdr:row>1</xdr:row>
      <xdr:rowOff>191807</xdr:rowOff>
    </xdr:to>
    <xdr:grpSp>
      <xdr:nvGrpSpPr>
        <xdr:cNvPr id="2" name="Group 1">
          <a:extLst>
            <a:ext uri="{FF2B5EF4-FFF2-40B4-BE49-F238E27FC236}">
              <a16:creationId xmlns:a16="http://schemas.microsoft.com/office/drawing/2014/main" id="{85BC31AB-6F00-4F05-AC1E-764F8B8DFC0E}"/>
            </a:ext>
          </a:extLst>
        </xdr:cNvPr>
        <xdr:cNvGrpSpPr/>
      </xdr:nvGrpSpPr>
      <xdr:grpSpPr>
        <a:xfrm>
          <a:off x="12651581"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9562195D-957E-C0F7-3680-42F251C7D14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BE21C4D5-C009-81A4-B373-F08C01571F25}"/>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471487</xdr:colOff>
      <xdr:row>0</xdr:row>
      <xdr:rowOff>0</xdr:rowOff>
    </xdr:from>
    <xdr:to>
      <xdr:col>13</xdr:col>
      <xdr:colOff>185737</xdr:colOff>
      <xdr:row>1</xdr:row>
      <xdr:rowOff>191807</xdr:rowOff>
    </xdr:to>
    <xdr:grpSp>
      <xdr:nvGrpSpPr>
        <xdr:cNvPr id="2" name="Group 1">
          <a:extLst>
            <a:ext uri="{FF2B5EF4-FFF2-40B4-BE49-F238E27FC236}">
              <a16:creationId xmlns:a16="http://schemas.microsoft.com/office/drawing/2014/main" id="{3C259F94-E31F-49B5-9A2A-5B744200523E}"/>
            </a:ext>
          </a:extLst>
        </xdr:cNvPr>
        <xdr:cNvGrpSpPr/>
      </xdr:nvGrpSpPr>
      <xdr:grpSpPr>
        <a:xfrm>
          <a:off x="12818268"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D472A70-64FC-BD0C-2228-DC21BFF78040}"/>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BAC382D-8A9B-0FFA-CFAD-08A95D4E2310}"/>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598487</xdr:colOff>
      <xdr:row>0</xdr:row>
      <xdr:rowOff>0</xdr:rowOff>
    </xdr:from>
    <xdr:to>
      <xdr:col>13</xdr:col>
      <xdr:colOff>312737</xdr:colOff>
      <xdr:row>1</xdr:row>
      <xdr:rowOff>191807</xdr:rowOff>
    </xdr:to>
    <xdr:grpSp>
      <xdr:nvGrpSpPr>
        <xdr:cNvPr id="2" name="Group 1">
          <a:extLst>
            <a:ext uri="{FF2B5EF4-FFF2-40B4-BE49-F238E27FC236}">
              <a16:creationId xmlns:a16="http://schemas.microsoft.com/office/drawing/2014/main" id="{D5E2BA60-F2A0-4D6E-A8AB-33678658A70C}"/>
            </a:ext>
          </a:extLst>
        </xdr:cNvPr>
        <xdr:cNvGrpSpPr/>
      </xdr:nvGrpSpPr>
      <xdr:grpSpPr>
        <a:xfrm>
          <a:off x="12945268"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B67262AC-0481-F62B-E4D5-A3532408B364}"/>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3964F5C-3B8A-47A8-882A-F44A8E528E04}"/>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0</xdr:colOff>
      <xdr:row>0</xdr:row>
      <xdr:rowOff>0</xdr:rowOff>
    </xdr:from>
    <xdr:to>
      <xdr:col>13</xdr:col>
      <xdr:colOff>801688</xdr:colOff>
      <xdr:row>1</xdr:row>
      <xdr:rowOff>191807</xdr:rowOff>
    </xdr:to>
    <xdr:grpSp>
      <xdr:nvGrpSpPr>
        <xdr:cNvPr id="5" name="Group 4">
          <a:extLst>
            <a:ext uri="{FF2B5EF4-FFF2-40B4-BE49-F238E27FC236}">
              <a16:creationId xmlns:a16="http://schemas.microsoft.com/office/drawing/2014/main" id="{0794BF5C-F953-4545-9BCA-56018E34050B}"/>
            </a:ext>
          </a:extLst>
        </xdr:cNvPr>
        <xdr:cNvGrpSpPr/>
      </xdr:nvGrpSpPr>
      <xdr:grpSpPr>
        <a:xfrm>
          <a:off x="13382625" y="0"/>
          <a:ext cx="2861469" cy="501370"/>
          <a:chOff x="10265833" y="4413250"/>
          <a:chExt cx="1825884" cy="479009"/>
        </a:xfrm>
      </xdr:grpSpPr>
      <xdr:sp macro="[0]!MarkAsConfidential" textlink="">
        <xdr:nvSpPr>
          <xdr:cNvPr id="6" name="Rounded Rectangle 21">
            <a:extLst>
              <a:ext uri="{FF2B5EF4-FFF2-40B4-BE49-F238E27FC236}">
                <a16:creationId xmlns:a16="http://schemas.microsoft.com/office/drawing/2014/main" id="{9B215627-4046-1BE7-2540-E74BCEF4953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C5520E0D-4DA2-1F3B-B610-AA1E48144F63}"/>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487363</xdr:colOff>
      <xdr:row>0</xdr:row>
      <xdr:rowOff>0</xdr:rowOff>
    </xdr:from>
    <xdr:to>
      <xdr:col>13</xdr:col>
      <xdr:colOff>201613</xdr:colOff>
      <xdr:row>1</xdr:row>
      <xdr:rowOff>191807</xdr:rowOff>
    </xdr:to>
    <xdr:grpSp>
      <xdr:nvGrpSpPr>
        <xdr:cNvPr id="2" name="Group 1">
          <a:extLst>
            <a:ext uri="{FF2B5EF4-FFF2-40B4-BE49-F238E27FC236}">
              <a16:creationId xmlns:a16="http://schemas.microsoft.com/office/drawing/2014/main" id="{A59749C2-CB30-497B-9D03-8D317D49256E}"/>
            </a:ext>
          </a:extLst>
        </xdr:cNvPr>
        <xdr:cNvGrpSpPr/>
      </xdr:nvGrpSpPr>
      <xdr:grpSpPr>
        <a:xfrm>
          <a:off x="12834144"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D1FEF70E-329E-A592-A571-B8BB1A92D307}"/>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FDEB970-FB14-3F99-A710-A31C30AF5C8A}"/>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630237</xdr:colOff>
      <xdr:row>0</xdr:row>
      <xdr:rowOff>0</xdr:rowOff>
    </xdr:from>
    <xdr:to>
      <xdr:col>13</xdr:col>
      <xdr:colOff>344487</xdr:colOff>
      <xdr:row>1</xdr:row>
      <xdr:rowOff>191807</xdr:rowOff>
    </xdr:to>
    <xdr:grpSp>
      <xdr:nvGrpSpPr>
        <xdr:cNvPr id="2" name="Group 1">
          <a:extLst>
            <a:ext uri="{FF2B5EF4-FFF2-40B4-BE49-F238E27FC236}">
              <a16:creationId xmlns:a16="http://schemas.microsoft.com/office/drawing/2014/main" id="{DB578BA1-5D56-4931-A34D-79F694B5B57F}"/>
            </a:ext>
          </a:extLst>
        </xdr:cNvPr>
        <xdr:cNvGrpSpPr/>
      </xdr:nvGrpSpPr>
      <xdr:grpSpPr>
        <a:xfrm>
          <a:off x="12977018"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0E8E000-F063-23B0-B5FF-D405FF05389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9BBA3B1-9583-BAC2-3C7E-A299CB5220C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10</xdr:col>
      <xdr:colOff>534987</xdr:colOff>
      <xdr:row>0</xdr:row>
      <xdr:rowOff>0</xdr:rowOff>
    </xdr:from>
    <xdr:to>
      <xdr:col>13</xdr:col>
      <xdr:colOff>249237</xdr:colOff>
      <xdr:row>1</xdr:row>
      <xdr:rowOff>191807</xdr:rowOff>
    </xdr:to>
    <xdr:grpSp>
      <xdr:nvGrpSpPr>
        <xdr:cNvPr id="2" name="Group 1">
          <a:extLst>
            <a:ext uri="{FF2B5EF4-FFF2-40B4-BE49-F238E27FC236}">
              <a16:creationId xmlns:a16="http://schemas.microsoft.com/office/drawing/2014/main" id="{1B868933-3FE8-4FA2-9B50-55B02186660A}"/>
            </a:ext>
          </a:extLst>
        </xdr:cNvPr>
        <xdr:cNvGrpSpPr/>
      </xdr:nvGrpSpPr>
      <xdr:grpSpPr>
        <a:xfrm>
          <a:off x="14655800"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A79BAAD2-42BE-381E-EFEB-665CE4022B9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55FFC75-A547-A85E-6442-78AEAEBB1B89}"/>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534988</xdr:colOff>
      <xdr:row>0</xdr:row>
      <xdr:rowOff>0</xdr:rowOff>
    </xdr:from>
    <xdr:to>
      <xdr:col>13</xdr:col>
      <xdr:colOff>249238</xdr:colOff>
      <xdr:row>1</xdr:row>
      <xdr:rowOff>191807</xdr:rowOff>
    </xdr:to>
    <xdr:grpSp>
      <xdr:nvGrpSpPr>
        <xdr:cNvPr id="2" name="Group 1">
          <a:extLst>
            <a:ext uri="{FF2B5EF4-FFF2-40B4-BE49-F238E27FC236}">
              <a16:creationId xmlns:a16="http://schemas.microsoft.com/office/drawing/2014/main" id="{45BBC204-021D-4181-A5A9-F40F73438DEF}"/>
            </a:ext>
          </a:extLst>
        </xdr:cNvPr>
        <xdr:cNvGrpSpPr/>
      </xdr:nvGrpSpPr>
      <xdr:grpSpPr>
        <a:xfrm>
          <a:off x="12881769"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A77EB9B-B56A-38CA-743D-736D97C96731}"/>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FF7A37CE-6ED0-FC6A-D4B7-EAE6AA81607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twoCellAnchor>
    <xdr:from>
      <xdr:col>10</xdr:col>
      <xdr:colOff>534988</xdr:colOff>
      <xdr:row>0</xdr:row>
      <xdr:rowOff>0</xdr:rowOff>
    </xdr:from>
    <xdr:to>
      <xdr:col>13</xdr:col>
      <xdr:colOff>249238</xdr:colOff>
      <xdr:row>1</xdr:row>
      <xdr:rowOff>191807</xdr:rowOff>
    </xdr:to>
    <xdr:grpSp>
      <xdr:nvGrpSpPr>
        <xdr:cNvPr id="5" name="Group 4">
          <a:extLst>
            <a:ext uri="{FF2B5EF4-FFF2-40B4-BE49-F238E27FC236}">
              <a16:creationId xmlns:a16="http://schemas.microsoft.com/office/drawing/2014/main" id="{D60EF7FF-CED6-4277-805C-1FADF1336288}"/>
            </a:ext>
          </a:extLst>
        </xdr:cNvPr>
        <xdr:cNvGrpSpPr/>
      </xdr:nvGrpSpPr>
      <xdr:grpSpPr>
        <a:xfrm>
          <a:off x="12881769" y="0"/>
          <a:ext cx="2809875" cy="501370"/>
          <a:chOff x="10265833" y="4413250"/>
          <a:chExt cx="1825884" cy="479009"/>
        </a:xfrm>
      </xdr:grpSpPr>
      <xdr:sp macro="[0]!MarkAsConfidential" textlink="">
        <xdr:nvSpPr>
          <xdr:cNvPr id="6" name="Rounded Rectangle 21">
            <a:extLst>
              <a:ext uri="{FF2B5EF4-FFF2-40B4-BE49-F238E27FC236}">
                <a16:creationId xmlns:a16="http://schemas.microsoft.com/office/drawing/2014/main" id="{A45A112F-E99F-666C-4549-251C8CF1870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E60A63A8-E660-C501-F528-966577E97B1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638175</xdr:colOff>
      <xdr:row>0</xdr:row>
      <xdr:rowOff>0</xdr:rowOff>
    </xdr:from>
    <xdr:to>
      <xdr:col>13</xdr:col>
      <xdr:colOff>352425</xdr:colOff>
      <xdr:row>1</xdr:row>
      <xdr:rowOff>191807</xdr:rowOff>
    </xdr:to>
    <xdr:grpSp>
      <xdr:nvGrpSpPr>
        <xdr:cNvPr id="2" name="Group 1">
          <a:extLst>
            <a:ext uri="{FF2B5EF4-FFF2-40B4-BE49-F238E27FC236}">
              <a16:creationId xmlns:a16="http://schemas.microsoft.com/office/drawing/2014/main" id="{63EF1A18-B353-460A-B29C-7056C3B80E2D}"/>
            </a:ext>
          </a:extLst>
        </xdr:cNvPr>
        <xdr:cNvGrpSpPr/>
      </xdr:nvGrpSpPr>
      <xdr:grpSpPr>
        <a:xfrm>
          <a:off x="12984956"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5936ED66-E513-F699-2954-A815C45680BE}"/>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61D31C2-9439-F6F2-155A-444658A72DF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582613</xdr:colOff>
      <xdr:row>0</xdr:row>
      <xdr:rowOff>0</xdr:rowOff>
    </xdr:from>
    <xdr:to>
      <xdr:col>13</xdr:col>
      <xdr:colOff>296863</xdr:colOff>
      <xdr:row>1</xdr:row>
      <xdr:rowOff>191807</xdr:rowOff>
    </xdr:to>
    <xdr:grpSp>
      <xdr:nvGrpSpPr>
        <xdr:cNvPr id="2" name="Group 1">
          <a:extLst>
            <a:ext uri="{FF2B5EF4-FFF2-40B4-BE49-F238E27FC236}">
              <a16:creationId xmlns:a16="http://schemas.microsoft.com/office/drawing/2014/main" id="{6F23A994-BB74-4A65-8CB3-36DD4E1F1F3C}"/>
            </a:ext>
          </a:extLst>
        </xdr:cNvPr>
        <xdr:cNvGrpSpPr/>
      </xdr:nvGrpSpPr>
      <xdr:grpSpPr>
        <a:xfrm>
          <a:off x="12929394"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EB10ED0C-1A02-54C4-500A-D888A7CB6BA3}"/>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94B6A4A-7902-A4FF-EC9D-0202CD769102}"/>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465278</xdr:colOff>
      <xdr:row>0</xdr:row>
      <xdr:rowOff>0</xdr:rowOff>
    </xdr:from>
    <xdr:to>
      <xdr:col>9</xdr:col>
      <xdr:colOff>836612</xdr:colOff>
      <xdr:row>1</xdr:row>
      <xdr:rowOff>192367</xdr:rowOff>
    </xdr:to>
    <xdr:grpSp>
      <xdr:nvGrpSpPr>
        <xdr:cNvPr id="2" name="Group 1">
          <a:extLst>
            <a:ext uri="{FF2B5EF4-FFF2-40B4-BE49-F238E27FC236}">
              <a16:creationId xmlns:a16="http://schemas.microsoft.com/office/drawing/2014/main" id="{C3E6BC62-282D-4535-A39A-17319B6BA16F}"/>
            </a:ext>
          </a:extLst>
        </xdr:cNvPr>
        <xdr:cNvGrpSpPr/>
      </xdr:nvGrpSpPr>
      <xdr:grpSpPr>
        <a:xfrm>
          <a:off x="12304853" y="0"/>
          <a:ext cx="2495409" cy="506692"/>
          <a:chOff x="10265833" y="4413250"/>
          <a:chExt cx="1825884" cy="479009"/>
        </a:xfrm>
      </xdr:grpSpPr>
      <xdr:sp macro="[0]!MarkAsConfidential" textlink="">
        <xdr:nvSpPr>
          <xdr:cNvPr id="3" name="Rounded Rectangle 21">
            <a:extLst>
              <a:ext uri="{FF2B5EF4-FFF2-40B4-BE49-F238E27FC236}">
                <a16:creationId xmlns:a16="http://schemas.microsoft.com/office/drawing/2014/main" id="{0CC3C34F-30BE-4543-B6E1-021F7ABB1101}"/>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971CE68-AEA3-45B8-9BFA-580D991E2F0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534988</xdr:colOff>
      <xdr:row>0</xdr:row>
      <xdr:rowOff>0</xdr:rowOff>
    </xdr:from>
    <xdr:to>
      <xdr:col>13</xdr:col>
      <xdr:colOff>249238</xdr:colOff>
      <xdr:row>1</xdr:row>
      <xdr:rowOff>191807</xdr:rowOff>
    </xdr:to>
    <xdr:grpSp>
      <xdr:nvGrpSpPr>
        <xdr:cNvPr id="2" name="Group 1">
          <a:extLst>
            <a:ext uri="{FF2B5EF4-FFF2-40B4-BE49-F238E27FC236}">
              <a16:creationId xmlns:a16="http://schemas.microsoft.com/office/drawing/2014/main" id="{B475B1DB-5DD3-4C28-9DBD-975C7EC18F31}"/>
            </a:ext>
          </a:extLst>
        </xdr:cNvPr>
        <xdr:cNvGrpSpPr/>
      </xdr:nvGrpSpPr>
      <xdr:grpSpPr>
        <a:xfrm>
          <a:off x="12881769"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93F41DA0-14F4-8263-5A69-D1DD3B185C56}"/>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7D0A180E-3B47-32A4-9E1C-1E6A57A1ABB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10</xdr:col>
      <xdr:colOff>582612</xdr:colOff>
      <xdr:row>0</xdr:row>
      <xdr:rowOff>6350</xdr:rowOff>
    </xdr:from>
    <xdr:to>
      <xdr:col>13</xdr:col>
      <xdr:colOff>296862</xdr:colOff>
      <xdr:row>1</xdr:row>
      <xdr:rowOff>198157</xdr:rowOff>
    </xdr:to>
    <xdr:grpSp>
      <xdr:nvGrpSpPr>
        <xdr:cNvPr id="2" name="Group 1">
          <a:extLst>
            <a:ext uri="{FF2B5EF4-FFF2-40B4-BE49-F238E27FC236}">
              <a16:creationId xmlns:a16="http://schemas.microsoft.com/office/drawing/2014/main" id="{262D4C13-7AC2-4250-A318-3A9AF39CFAD3}"/>
            </a:ext>
          </a:extLst>
        </xdr:cNvPr>
        <xdr:cNvGrpSpPr/>
      </xdr:nvGrpSpPr>
      <xdr:grpSpPr>
        <a:xfrm>
          <a:off x="12929393" y="635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894EBBF-65BA-3455-FC5C-10F55749C82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327EAF84-4938-5C55-F771-337DBFB44A2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630237</xdr:colOff>
      <xdr:row>0</xdr:row>
      <xdr:rowOff>0</xdr:rowOff>
    </xdr:from>
    <xdr:to>
      <xdr:col>13</xdr:col>
      <xdr:colOff>344487</xdr:colOff>
      <xdr:row>1</xdr:row>
      <xdr:rowOff>191807</xdr:rowOff>
    </xdr:to>
    <xdr:grpSp>
      <xdr:nvGrpSpPr>
        <xdr:cNvPr id="2" name="Group 1">
          <a:extLst>
            <a:ext uri="{FF2B5EF4-FFF2-40B4-BE49-F238E27FC236}">
              <a16:creationId xmlns:a16="http://schemas.microsoft.com/office/drawing/2014/main" id="{70B529D1-28C8-41F7-996A-2BCB499172F7}"/>
            </a:ext>
          </a:extLst>
        </xdr:cNvPr>
        <xdr:cNvGrpSpPr/>
      </xdr:nvGrpSpPr>
      <xdr:grpSpPr>
        <a:xfrm>
          <a:off x="12977018"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28BE44C-9E87-8785-BACD-03BABECE880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811736A-BA2B-C90A-751A-F3DFF5FCD06D}"/>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10</xdr:col>
      <xdr:colOff>582612</xdr:colOff>
      <xdr:row>0</xdr:row>
      <xdr:rowOff>0</xdr:rowOff>
    </xdr:from>
    <xdr:to>
      <xdr:col>13</xdr:col>
      <xdr:colOff>296862</xdr:colOff>
      <xdr:row>1</xdr:row>
      <xdr:rowOff>191807</xdr:rowOff>
    </xdr:to>
    <xdr:grpSp>
      <xdr:nvGrpSpPr>
        <xdr:cNvPr id="2" name="Group 1">
          <a:extLst>
            <a:ext uri="{FF2B5EF4-FFF2-40B4-BE49-F238E27FC236}">
              <a16:creationId xmlns:a16="http://schemas.microsoft.com/office/drawing/2014/main" id="{38666677-74BF-4954-9319-38F9B54B499A}"/>
            </a:ext>
          </a:extLst>
        </xdr:cNvPr>
        <xdr:cNvGrpSpPr/>
      </xdr:nvGrpSpPr>
      <xdr:grpSpPr>
        <a:xfrm>
          <a:off x="12929393"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6DBE621-312B-156A-CEB4-4F306D5429B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9D5DD2CE-28C1-5A56-3031-C2D5D432247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10</xdr:col>
      <xdr:colOff>606425</xdr:colOff>
      <xdr:row>0</xdr:row>
      <xdr:rowOff>0</xdr:rowOff>
    </xdr:from>
    <xdr:to>
      <xdr:col>13</xdr:col>
      <xdr:colOff>320675</xdr:colOff>
      <xdr:row>1</xdr:row>
      <xdr:rowOff>191807</xdr:rowOff>
    </xdr:to>
    <xdr:grpSp>
      <xdr:nvGrpSpPr>
        <xdr:cNvPr id="2" name="Group 1">
          <a:extLst>
            <a:ext uri="{FF2B5EF4-FFF2-40B4-BE49-F238E27FC236}">
              <a16:creationId xmlns:a16="http://schemas.microsoft.com/office/drawing/2014/main" id="{A04173DA-06A4-497D-90F1-046E5EBC9045}"/>
            </a:ext>
          </a:extLst>
        </xdr:cNvPr>
        <xdr:cNvGrpSpPr/>
      </xdr:nvGrpSpPr>
      <xdr:grpSpPr>
        <a:xfrm>
          <a:off x="12953206"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FC7B275D-4FE5-C917-FABD-1883E63FDFCC}"/>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8A3A41C-BDF1-7724-62B8-B9ED230C3D5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10</xdr:col>
      <xdr:colOff>598487</xdr:colOff>
      <xdr:row>0</xdr:row>
      <xdr:rowOff>0</xdr:rowOff>
    </xdr:from>
    <xdr:to>
      <xdr:col>13</xdr:col>
      <xdr:colOff>312737</xdr:colOff>
      <xdr:row>1</xdr:row>
      <xdr:rowOff>191807</xdr:rowOff>
    </xdr:to>
    <xdr:grpSp>
      <xdr:nvGrpSpPr>
        <xdr:cNvPr id="2" name="Group 1">
          <a:extLst>
            <a:ext uri="{FF2B5EF4-FFF2-40B4-BE49-F238E27FC236}">
              <a16:creationId xmlns:a16="http://schemas.microsoft.com/office/drawing/2014/main" id="{C26688C3-19BE-46A3-B193-CA853FFF5274}"/>
            </a:ext>
          </a:extLst>
        </xdr:cNvPr>
        <xdr:cNvGrpSpPr/>
      </xdr:nvGrpSpPr>
      <xdr:grpSpPr>
        <a:xfrm>
          <a:off x="12945268" y="0"/>
          <a:ext cx="2809875"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F9C75F5-6A3E-B53F-8CD8-6F8AB98EBA1D}"/>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5C1B7EC-077D-6774-32CE-60E051BF6B5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571492</xdr:colOff>
      <xdr:row>0</xdr:row>
      <xdr:rowOff>0</xdr:rowOff>
    </xdr:from>
    <xdr:to>
      <xdr:col>10</xdr:col>
      <xdr:colOff>2017712</xdr:colOff>
      <xdr:row>1</xdr:row>
      <xdr:rowOff>191807</xdr:rowOff>
    </xdr:to>
    <xdr:grpSp>
      <xdr:nvGrpSpPr>
        <xdr:cNvPr id="2" name="Group 1">
          <a:extLst>
            <a:ext uri="{FF2B5EF4-FFF2-40B4-BE49-F238E27FC236}">
              <a16:creationId xmlns:a16="http://schemas.microsoft.com/office/drawing/2014/main" id="{48BE28F6-B59C-45CB-B9CB-DF0E89A8324C}"/>
            </a:ext>
          </a:extLst>
        </xdr:cNvPr>
        <xdr:cNvGrpSpPr/>
      </xdr:nvGrpSpPr>
      <xdr:grpSpPr>
        <a:xfrm>
          <a:off x="11870523" y="0"/>
          <a:ext cx="2720189"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3B5D777-5FBF-477B-873A-4296BF196ECB}"/>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34180AE6-EB2A-4795-B4ED-76E448DC8A0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393700</xdr:colOff>
      <xdr:row>0</xdr:row>
      <xdr:rowOff>0</xdr:rowOff>
    </xdr:from>
    <xdr:to>
      <xdr:col>14</xdr:col>
      <xdr:colOff>709612</xdr:colOff>
      <xdr:row>1</xdr:row>
      <xdr:rowOff>191807</xdr:rowOff>
    </xdr:to>
    <xdr:grpSp>
      <xdr:nvGrpSpPr>
        <xdr:cNvPr id="2" name="Group 1">
          <a:extLst>
            <a:ext uri="{FF2B5EF4-FFF2-40B4-BE49-F238E27FC236}">
              <a16:creationId xmlns:a16="http://schemas.microsoft.com/office/drawing/2014/main" id="{CA0D0FD0-580A-49A8-855F-E1E15146C3C7}"/>
            </a:ext>
          </a:extLst>
        </xdr:cNvPr>
        <xdr:cNvGrpSpPr/>
      </xdr:nvGrpSpPr>
      <xdr:grpSpPr>
        <a:xfrm>
          <a:off x="11785600" y="0"/>
          <a:ext cx="2573337"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0757AC3E-AA01-42AE-A1EF-A9FF62D75F4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E0BE4C8-92D9-4567-A434-8B4B89E335DB}"/>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0</xdr:row>
      <xdr:rowOff>0</xdr:rowOff>
    </xdr:from>
    <xdr:to>
      <xdr:col>12</xdr:col>
      <xdr:colOff>466772</xdr:colOff>
      <xdr:row>1</xdr:row>
      <xdr:rowOff>266700</xdr:rowOff>
    </xdr:to>
    <xdr:grpSp>
      <xdr:nvGrpSpPr>
        <xdr:cNvPr id="5" name="Group 4">
          <a:extLst>
            <a:ext uri="{FF2B5EF4-FFF2-40B4-BE49-F238E27FC236}">
              <a16:creationId xmlns:a16="http://schemas.microsoft.com/office/drawing/2014/main" id="{69235B40-D249-4052-8C3D-57742CEE1E26}"/>
            </a:ext>
          </a:extLst>
        </xdr:cNvPr>
        <xdr:cNvGrpSpPr/>
      </xdr:nvGrpSpPr>
      <xdr:grpSpPr>
        <a:xfrm>
          <a:off x="10560844" y="0"/>
          <a:ext cx="2514647" cy="576263"/>
          <a:chOff x="10265833" y="4413250"/>
          <a:chExt cx="1825884" cy="479009"/>
        </a:xfrm>
      </xdr:grpSpPr>
      <xdr:sp macro="[0]!MarkAsConfidential" textlink="">
        <xdr:nvSpPr>
          <xdr:cNvPr id="6" name="Rounded Rectangle 21">
            <a:extLst>
              <a:ext uri="{FF2B5EF4-FFF2-40B4-BE49-F238E27FC236}">
                <a16:creationId xmlns:a16="http://schemas.microsoft.com/office/drawing/2014/main" id="{2E1E5B14-5287-DA74-0989-A1EC48F5289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9B699901-10D7-AF86-F5CB-C15F9D3A3D4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282528</xdr:colOff>
      <xdr:row>0</xdr:row>
      <xdr:rowOff>0</xdr:rowOff>
    </xdr:from>
    <xdr:to>
      <xdr:col>12</xdr:col>
      <xdr:colOff>19050</xdr:colOff>
      <xdr:row>1</xdr:row>
      <xdr:rowOff>266700</xdr:rowOff>
    </xdr:to>
    <xdr:grpSp>
      <xdr:nvGrpSpPr>
        <xdr:cNvPr id="2" name="Group 1">
          <a:extLst>
            <a:ext uri="{FF2B5EF4-FFF2-40B4-BE49-F238E27FC236}">
              <a16:creationId xmlns:a16="http://schemas.microsoft.com/office/drawing/2014/main" id="{ABA5AA79-64EF-4944-BFEC-51D0062F7B80}"/>
            </a:ext>
          </a:extLst>
        </xdr:cNvPr>
        <xdr:cNvGrpSpPr/>
      </xdr:nvGrpSpPr>
      <xdr:grpSpPr>
        <a:xfrm>
          <a:off x="11074353" y="0"/>
          <a:ext cx="2565447" cy="581025"/>
          <a:chOff x="10265833" y="4413250"/>
          <a:chExt cx="1825884" cy="479009"/>
        </a:xfrm>
      </xdr:grpSpPr>
      <xdr:sp macro="[0]!MarkAsConfidential" textlink="">
        <xdr:nvSpPr>
          <xdr:cNvPr id="3" name="Rounded Rectangle 21">
            <a:extLst>
              <a:ext uri="{FF2B5EF4-FFF2-40B4-BE49-F238E27FC236}">
                <a16:creationId xmlns:a16="http://schemas.microsoft.com/office/drawing/2014/main" id="{9A4622BF-AB44-A9EC-B11D-5B5B98D6C20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BE05DFF-8BBC-1586-3086-D5BA4B3785B5}"/>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99213</xdr:colOff>
      <xdr:row>0</xdr:row>
      <xdr:rowOff>0</xdr:rowOff>
    </xdr:from>
    <xdr:to>
      <xdr:col>13</xdr:col>
      <xdr:colOff>463550</xdr:colOff>
      <xdr:row>1</xdr:row>
      <xdr:rowOff>247650</xdr:rowOff>
    </xdr:to>
    <xdr:grpSp>
      <xdr:nvGrpSpPr>
        <xdr:cNvPr id="2" name="Group 1">
          <a:extLst>
            <a:ext uri="{FF2B5EF4-FFF2-40B4-BE49-F238E27FC236}">
              <a16:creationId xmlns:a16="http://schemas.microsoft.com/office/drawing/2014/main" id="{EA6F6CEE-4048-4772-8712-1DEA35D2937C}"/>
            </a:ext>
          </a:extLst>
        </xdr:cNvPr>
        <xdr:cNvGrpSpPr/>
      </xdr:nvGrpSpPr>
      <xdr:grpSpPr>
        <a:xfrm>
          <a:off x="10136182" y="0"/>
          <a:ext cx="2471743" cy="557213"/>
          <a:chOff x="10265833" y="4413250"/>
          <a:chExt cx="1825884" cy="479009"/>
        </a:xfrm>
      </xdr:grpSpPr>
      <xdr:sp macro="[0]!MarkAsConfidential" textlink="">
        <xdr:nvSpPr>
          <xdr:cNvPr id="3" name="Rounded Rectangle 21">
            <a:extLst>
              <a:ext uri="{FF2B5EF4-FFF2-40B4-BE49-F238E27FC236}">
                <a16:creationId xmlns:a16="http://schemas.microsoft.com/office/drawing/2014/main" id="{012CD59D-4160-3A18-2D25-9382CB482C00}"/>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4AA9DD62-088D-A945-747E-A7C0D34BB4B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0</xdr:row>
      <xdr:rowOff>0</xdr:rowOff>
    </xdr:from>
    <xdr:to>
      <xdr:col>12</xdr:col>
      <xdr:colOff>592937</xdr:colOff>
      <xdr:row>1</xdr:row>
      <xdr:rowOff>247650</xdr:rowOff>
    </xdr:to>
    <xdr:grpSp>
      <xdr:nvGrpSpPr>
        <xdr:cNvPr id="5" name="Group 4">
          <a:extLst>
            <a:ext uri="{FF2B5EF4-FFF2-40B4-BE49-F238E27FC236}">
              <a16:creationId xmlns:a16="http://schemas.microsoft.com/office/drawing/2014/main" id="{597A88CE-D8DE-4644-A50E-96AC8B27FC1A}"/>
            </a:ext>
          </a:extLst>
        </xdr:cNvPr>
        <xdr:cNvGrpSpPr/>
      </xdr:nvGrpSpPr>
      <xdr:grpSpPr>
        <a:xfrm>
          <a:off x="9601200" y="0"/>
          <a:ext cx="2478887" cy="561975"/>
          <a:chOff x="10265833" y="4413250"/>
          <a:chExt cx="1825884" cy="479009"/>
        </a:xfrm>
      </xdr:grpSpPr>
      <xdr:sp macro="[0]!MarkAsConfidential" textlink="">
        <xdr:nvSpPr>
          <xdr:cNvPr id="6" name="Rounded Rectangle 21">
            <a:extLst>
              <a:ext uri="{FF2B5EF4-FFF2-40B4-BE49-F238E27FC236}">
                <a16:creationId xmlns:a16="http://schemas.microsoft.com/office/drawing/2014/main" id="{61A79793-F7F5-3F17-0416-D34D3BF288C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FDDF4238-B9D8-F4D7-C366-D5EE78F90F6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aer.gov.au/system/files/Marsden%20Jacob%20Associates%20-%20Review%20of%20Victorian%20distributors%20Alternative%20Control%20Services%20-%20%20June%202020_7.pdf" TargetMode="External"/><Relationship Id="rId1" Type="http://schemas.openxmlformats.org/officeDocument/2006/relationships/hyperlink" Target="https://www.aer.gov.au/system/files/Marsden%20Jacob%20Associates%20-%20Review%20of%20Victorian%20distributors%20Alternative%20Control%20Services%20-%20%20June%202020_7.pdf" TargetMode="External"/><Relationship Id="rId4"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316D6-607B-49D6-853A-B412B48B3451}">
  <sheetPr>
    <tabColor theme="6" tint="0.79998168889431442"/>
  </sheetPr>
  <dimension ref="A1:N133"/>
  <sheetViews>
    <sheetView topLeftCell="A5" workbookViewId="0">
      <selection activeCell="B17" sqref="B17"/>
    </sheetView>
  </sheetViews>
  <sheetFormatPr defaultColWidth="0" defaultRowHeight="12.75" zeroHeight="1" x14ac:dyDescent="0.2"/>
  <cols>
    <col min="1" max="1" width="1.85546875" customWidth="1"/>
    <col min="2" max="2" width="28.28515625" bestFit="1" customWidth="1"/>
    <col min="3" max="3" width="23.28515625" customWidth="1"/>
    <col min="4" max="4" width="22.42578125" customWidth="1"/>
    <col min="5" max="8" width="23.28515625" customWidth="1"/>
    <col min="9" max="14" width="9.140625" customWidth="1"/>
  </cols>
  <sheetData>
    <row r="1" spans="1:14" ht="15.75" x14ac:dyDescent="0.2">
      <c r="A1" s="434"/>
      <c r="B1" s="434" t="s">
        <v>720</v>
      </c>
      <c r="C1" s="5"/>
      <c r="D1" s="5"/>
      <c r="E1" s="5"/>
      <c r="F1" s="5"/>
      <c r="G1" s="5"/>
      <c r="H1" s="5"/>
      <c r="I1" s="5"/>
      <c r="J1" s="5"/>
      <c r="K1" s="5"/>
      <c r="L1" s="5"/>
      <c r="M1" s="5"/>
      <c r="N1" s="5"/>
    </row>
    <row r="2" spans="1:14" ht="15.75" x14ac:dyDescent="0.2">
      <c r="A2" s="434"/>
      <c r="B2" s="434"/>
      <c r="C2" s="5"/>
      <c r="D2" s="5"/>
      <c r="E2" s="5"/>
      <c r="F2" s="5"/>
      <c r="G2" s="5"/>
      <c r="H2" s="5"/>
      <c r="I2" s="5"/>
      <c r="J2" s="5"/>
      <c r="K2" s="5"/>
      <c r="L2" s="5"/>
      <c r="M2" s="5"/>
      <c r="N2" s="5"/>
    </row>
    <row r="3" spans="1:14" ht="15.75" x14ac:dyDescent="0.2">
      <c r="A3" s="434"/>
      <c r="B3" s="435" t="s">
        <v>0</v>
      </c>
      <c r="C3" s="5"/>
      <c r="D3" s="5"/>
      <c r="E3" s="5"/>
      <c r="F3" s="5"/>
      <c r="G3" s="5"/>
      <c r="H3" s="5"/>
      <c r="I3" s="5"/>
      <c r="J3" s="5"/>
      <c r="K3" s="5"/>
      <c r="L3" s="5"/>
      <c r="M3" s="5"/>
      <c r="N3" s="5"/>
    </row>
    <row r="4" spans="1:14" ht="15.75" x14ac:dyDescent="0.2">
      <c r="A4" s="434"/>
      <c r="B4" s="456" t="s">
        <v>1</v>
      </c>
      <c r="C4" s="5" t="s">
        <v>721</v>
      </c>
      <c r="D4" s="5"/>
      <c r="E4" s="5"/>
      <c r="F4" s="5"/>
      <c r="G4" s="5"/>
      <c r="H4" s="5"/>
      <c r="I4" s="5"/>
      <c r="J4" s="5"/>
      <c r="K4" s="5"/>
      <c r="L4" s="5"/>
      <c r="M4" s="5"/>
      <c r="N4" s="5"/>
    </row>
    <row r="5" spans="1:14" ht="15.75" x14ac:dyDescent="0.2">
      <c r="A5" s="434"/>
      <c r="B5" s="456" t="s">
        <v>2</v>
      </c>
      <c r="C5" s="5" t="s">
        <v>722</v>
      </c>
      <c r="D5" s="5"/>
      <c r="E5" s="5"/>
      <c r="F5" s="5"/>
      <c r="G5" s="5"/>
      <c r="H5" s="5"/>
      <c r="I5" s="5"/>
      <c r="J5" s="5"/>
      <c r="K5" s="5"/>
      <c r="L5" s="5"/>
      <c r="M5" s="5"/>
      <c r="N5" s="5"/>
    </row>
    <row r="6" spans="1:14" ht="15.75" x14ac:dyDescent="0.2">
      <c r="A6" s="434"/>
      <c r="B6" s="434"/>
      <c r="C6" s="5"/>
      <c r="D6" s="5"/>
      <c r="E6" s="5"/>
      <c r="F6" s="5"/>
      <c r="G6" s="5"/>
      <c r="H6" s="5"/>
      <c r="I6" s="5"/>
      <c r="J6" s="5"/>
      <c r="K6" s="5"/>
      <c r="L6" s="5"/>
      <c r="M6" s="5"/>
      <c r="N6" s="5"/>
    </row>
    <row r="7" spans="1:14" ht="15.75" x14ac:dyDescent="0.2">
      <c r="A7" s="434"/>
      <c r="B7" s="434"/>
      <c r="C7" s="5"/>
      <c r="D7" s="5"/>
      <c r="E7" s="5"/>
      <c r="F7" s="5"/>
      <c r="G7" s="5"/>
      <c r="H7" s="5"/>
      <c r="I7" s="5"/>
      <c r="J7" s="5"/>
      <c r="K7" s="5"/>
      <c r="L7" s="5"/>
      <c r="M7" s="5"/>
      <c r="N7" s="5"/>
    </row>
    <row r="8" spans="1:14" x14ac:dyDescent="0.2">
      <c r="A8" s="5"/>
      <c r="B8" s="5"/>
      <c r="C8" s="5"/>
      <c r="D8" s="5"/>
      <c r="E8" s="5"/>
      <c r="F8" s="5"/>
      <c r="G8" s="5"/>
      <c r="H8" s="5"/>
      <c r="I8" s="5"/>
      <c r="J8" s="5"/>
      <c r="K8" s="5"/>
      <c r="L8" s="5"/>
      <c r="M8" s="5"/>
      <c r="N8" s="5"/>
    </row>
    <row r="9" spans="1:14" x14ac:dyDescent="0.2">
      <c r="A9" s="436"/>
      <c r="B9" s="436" t="s">
        <v>1</v>
      </c>
      <c r="C9" s="436" t="s">
        <v>725</v>
      </c>
      <c r="D9" s="436"/>
      <c r="E9" s="436"/>
      <c r="F9" s="436"/>
      <c r="G9" s="436"/>
      <c r="H9" s="436"/>
      <c r="I9" s="436"/>
      <c r="J9" s="436"/>
      <c r="K9" s="436"/>
      <c r="L9" s="436"/>
      <c r="M9" s="436"/>
      <c r="N9" s="436"/>
    </row>
    <row r="10" spans="1:14" x14ac:dyDescent="0.2">
      <c r="A10" s="5"/>
      <c r="B10" s="5"/>
      <c r="C10" s="5"/>
      <c r="D10" s="5"/>
      <c r="E10" s="5"/>
      <c r="F10" s="5"/>
      <c r="G10" s="5"/>
      <c r="H10" s="5"/>
      <c r="I10" s="5"/>
      <c r="J10" s="5"/>
      <c r="K10" s="5"/>
      <c r="L10" s="5"/>
      <c r="M10" s="5"/>
      <c r="N10" s="5"/>
    </row>
    <row r="11" spans="1:14" x14ac:dyDescent="0.2">
      <c r="A11" s="5"/>
      <c r="B11" s="437"/>
      <c r="C11" s="438"/>
      <c r="D11" s="438" t="s">
        <v>3</v>
      </c>
      <c r="E11" s="438" t="s">
        <v>4</v>
      </c>
      <c r="F11" s="438" t="s">
        <v>5</v>
      </c>
      <c r="G11" s="439" t="s">
        <v>6</v>
      </c>
      <c r="H11" s="439" t="s">
        <v>7</v>
      </c>
      <c r="I11" s="5"/>
      <c r="J11" s="5"/>
      <c r="K11" s="5"/>
      <c r="L11" s="5"/>
      <c r="M11" s="5"/>
      <c r="N11" s="5"/>
    </row>
    <row r="12" spans="1:14" x14ac:dyDescent="0.2">
      <c r="A12" s="5"/>
      <c r="B12" s="440" t="s">
        <v>8</v>
      </c>
      <c r="C12" s="441" t="s">
        <v>9</v>
      </c>
      <c r="D12" s="442"/>
      <c r="E12" s="442">
        <f>'Output|Fee Based'!D7</f>
        <v>-8.5734453709334808E-3</v>
      </c>
      <c r="F12" s="442">
        <f>'Output|Fee Based'!E7</f>
        <v>-1.002659802990522E-2</v>
      </c>
      <c r="G12" s="442">
        <f>'Output|Fee Based'!F7</f>
        <v>-1.1296131514512021E-2</v>
      </c>
      <c r="H12" s="442">
        <f>'Output|Fee Based'!G7</f>
        <v>-1.1485766163867313E-2</v>
      </c>
      <c r="I12" s="5"/>
      <c r="J12" s="5"/>
      <c r="K12" s="5"/>
      <c r="L12" s="5"/>
      <c r="M12" s="5"/>
      <c r="N12" s="5"/>
    </row>
    <row r="13" spans="1:14" x14ac:dyDescent="0.2">
      <c r="A13" s="5"/>
      <c r="B13" s="453"/>
      <c r="C13" s="5"/>
      <c r="D13" s="5"/>
      <c r="E13" s="5"/>
      <c r="F13" s="5"/>
      <c r="G13" s="5"/>
      <c r="H13" s="5"/>
      <c r="I13" s="5"/>
      <c r="J13" s="5"/>
      <c r="K13" s="5"/>
      <c r="L13" s="5"/>
      <c r="M13" s="5"/>
      <c r="N13" s="5"/>
    </row>
    <row r="14" spans="1:14" x14ac:dyDescent="0.2">
      <c r="A14" s="5"/>
      <c r="B14" s="454" t="s">
        <v>10</v>
      </c>
      <c r="C14" s="454"/>
      <c r="D14" s="454"/>
      <c r="E14" s="454"/>
      <c r="F14" s="454"/>
      <c r="G14" s="454"/>
      <c r="H14" s="454"/>
      <c r="I14" s="454"/>
      <c r="J14" s="454"/>
      <c r="K14" s="454"/>
      <c r="L14" s="454"/>
      <c r="M14" s="454"/>
      <c r="N14" s="5"/>
    </row>
    <row r="15" spans="1:14" ht="42" customHeight="1" x14ac:dyDescent="0.2">
      <c r="A15" s="5"/>
      <c r="B15" s="504" t="s">
        <v>723</v>
      </c>
      <c r="C15" s="504"/>
      <c r="D15" s="504"/>
      <c r="E15" s="504"/>
      <c r="F15" s="504"/>
      <c r="G15" s="504"/>
      <c r="H15" s="504"/>
      <c r="I15" s="504"/>
      <c r="J15" s="504"/>
      <c r="K15" s="504"/>
      <c r="L15" s="504"/>
      <c r="M15" s="504"/>
      <c r="N15" s="5"/>
    </row>
    <row r="16" spans="1:14" x14ac:dyDescent="0.2">
      <c r="A16" s="5"/>
      <c r="B16" s="455"/>
      <c r="C16" s="5"/>
      <c r="D16" s="5"/>
      <c r="E16" s="5"/>
      <c r="F16" s="5"/>
      <c r="G16" s="5"/>
      <c r="H16" s="5"/>
      <c r="I16" s="5"/>
      <c r="J16" s="5"/>
      <c r="K16" s="5"/>
      <c r="L16" s="5"/>
      <c r="M16" s="5"/>
      <c r="N16" s="5"/>
    </row>
    <row r="17" spans="1:14" x14ac:dyDescent="0.2">
      <c r="A17" s="5"/>
      <c r="B17" s="455"/>
      <c r="C17" s="5"/>
      <c r="D17" s="5"/>
      <c r="E17" s="5"/>
      <c r="F17" s="5"/>
      <c r="G17" s="5"/>
      <c r="H17" s="5"/>
      <c r="I17" s="5"/>
      <c r="J17" s="5"/>
      <c r="K17" s="5"/>
      <c r="L17" s="5"/>
      <c r="M17" s="5"/>
      <c r="N17" s="5"/>
    </row>
    <row r="18" spans="1:14" x14ac:dyDescent="0.2">
      <c r="A18" s="436"/>
      <c r="B18" s="436" t="s">
        <v>2</v>
      </c>
      <c r="C18" s="436" t="s">
        <v>724</v>
      </c>
      <c r="D18" s="436"/>
      <c r="E18" s="436"/>
      <c r="F18" s="436"/>
      <c r="G18" s="436"/>
      <c r="H18" s="436"/>
      <c r="I18" s="436"/>
      <c r="J18" s="436"/>
      <c r="K18" s="436"/>
      <c r="L18" s="436"/>
      <c r="M18" s="436"/>
      <c r="N18" s="436"/>
    </row>
    <row r="19" spans="1:14" x14ac:dyDescent="0.2">
      <c r="A19" s="5"/>
      <c r="C19" s="505"/>
      <c r="D19" s="505"/>
      <c r="E19" s="505"/>
      <c r="F19" s="505"/>
      <c r="H19" s="5"/>
      <c r="I19" s="5"/>
      <c r="J19" s="5"/>
      <c r="K19" s="5"/>
      <c r="L19" s="5"/>
      <c r="M19" s="5"/>
      <c r="N19" s="5"/>
    </row>
    <row r="20" spans="1:14" ht="42" customHeight="1" x14ac:dyDescent="0.2">
      <c r="A20" s="5"/>
      <c r="B20" s="437"/>
      <c r="C20" s="438"/>
      <c r="D20" s="438" t="s">
        <v>711</v>
      </c>
      <c r="E20" s="438" t="s">
        <v>712</v>
      </c>
      <c r="F20" s="438" t="s">
        <v>713</v>
      </c>
      <c r="G20" s="439" t="s">
        <v>714</v>
      </c>
      <c r="H20" s="5"/>
      <c r="I20" s="5"/>
      <c r="J20" s="5"/>
      <c r="K20" s="5"/>
      <c r="L20" s="5"/>
      <c r="M20" s="5"/>
      <c r="N20" s="5"/>
    </row>
    <row r="21" spans="1:14" x14ac:dyDescent="0.2">
      <c r="A21" s="5"/>
      <c r="B21" s="444">
        <v>1</v>
      </c>
      <c r="C21" s="457" t="str">
        <f>'Output|Quoted'!B12</f>
        <v>Administrative Officer</v>
      </c>
      <c r="D21" s="445">
        <v>117.56646786655394</v>
      </c>
      <c r="E21" s="446">
        <f>'Output|Quoted'!D12</f>
        <v>117.90428373511546</v>
      </c>
      <c r="F21" s="447"/>
      <c r="G21" s="446"/>
      <c r="H21" s="5"/>
      <c r="I21" s="5"/>
      <c r="J21" s="5"/>
      <c r="K21" s="5"/>
      <c r="L21" s="5"/>
      <c r="M21" s="5"/>
      <c r="N21" s="5"/>
    </row>
    <row r="22" spans="1:14" x14ac:dyDescent="0.2">
      <c r="A22" s="5"/>
      <c r="B22" s="444">
        <v>2</v>
      </c>
      <c r="C22" s="457" t="str">
        <f>'Output|Quoted'!B13</f>
        <v>Field Worker</v>
      </c>
      <c r="D22" s="445">
        <v>222.05</v>
      </c>
      <c r="E22" s="446">
        <f>'Output|Quoted'!D13</f>
        <v>222.20152713203854</v>
      </c>
      <c r="F22" s="447">
        <v>388.59000000000015</v>
      </c>
      <c r="G22" s="446">
        <f>'Output|Quoted'!D18</f>
        <v>388.21524441641481</v>
      </c>
      <c r="H22" s="5"/>
      <c r="I22" s="5"/>
      <c r="J22" s="5"/>
      <c r="K22" s="5"/>
      <c r="L22" s="5"/>
      <c r="M22" s="5"/>
      <c r="N22" s="5"/>
    </row>
    <row r="23" spans="1:14" x14ac:dyDescent="0.2">
      <c r="A23" s="5"/>
      <c r="B23" s="444">
        <v>3</v>
      </c>
      <c r="C23" s="457" t="str">
        <f>'Output|Quoted'!B14</f>
        <v>Technical Specialist</v>
      </c>
      <c r="D23" s="445">
        <v>222.31177911410569</v>
      </c>
      <c r="E23" s="446">
        <f>'Output|Quoted'!D14</f>
        <v>222.8643692871733</v>
      </c>
      <c r="F23" s="447"/>
      <c r="G23" s="446"/>
      <c r="H23" s="5"/>
      <c r="I23" s="5"/>
      <c r="J23" s="5"/>
      <c r="K23" s="5"/>
      <c r="L23" s="5"/>
      <c r="M23" s="5"/>
      <c r="N23" s="5"/>
    </row>
    <row r="24" spans="1:14" x14ac:dyDescent="0.2">
      <c r="A24" s="5"/>
      <c r="B24" s="444">
        <v>4</v>
      </c>
      <c r="C24" s="457" t="str">
        <f>'Output|Quoted'!B15</f>
        <v>Engineer</v>
      </c>
      <c r="D24" s="445">
        <v>253.35000000000002</v>
      </c>
      <c r="E24" s="446">
        <f>'Output|Quoted'!D15</f>
        <v>254.07797670843706</v>
      </c>
      <c r="F24" s="447"/>
      <c r="G24" s="446"/>
      <c r="H24" s="5"/>
      <c r="I24" s="5"/>
      <c r="J24" s="5"/>
      <c r="K24" s="5"/>
      <c r="L24" s="5"/>
      <c r="M24" s="5"/>
      <c r="N24" s="5"/>
    </row>
    <row r="25" spans="1:14" x14ac:dyDescent="0.2">
      <c r="A25" s="5"/>
      <c r="B25" s="444">
        <v>5</v>
      </c>
      <c r="C25" s="457" t="str">
        <f>'Output|Quoted'!B16</f>
        <v>Senior Engineer</v>
      </c>
      <c r="D25" s="445">
        <v>304.0200000000001</v>
      </c>
      <c r="E25" s="446">
        <f>'Output|Quoted'!D16</f>
        <v>304.89357205012459</v>
      </c>
      <c r="F25" s="447"/>
      <c r="G25" s="446"/>
      <c r="H25" s="5"/>
      <c r="I25" s="5"/>
      <c r="J25" s="5"/>
      <c r="K25" s="5"/>
      <c r="L25" s="5"/>
      <c r="M25" s="5"/>
      <c r="N25" s="5"/>
    </row>
    <row r="26" spans="1:14" x14ac:dyDescent="0.2">
      <c r="A26" s="5"/>
      <c r="B26" s="444"/>
      <c r="C26" s="440"/>
      <c r="D26" s="445"/>
      <c r="E26" s="446"/>
      <c r="F26" s="447"/>
      <c r="G26" s="446"/>
      <c r="H26" s="5"/>
      <c r="I26" s="5"/>
      <c r="J26" s="5"/>
      <c r="K26" s="5"/>
      <c r="L26" s="5"/>
      <c r="M26" s="5"/>
      <c r="N26" s="5"/>
    </row>
    <row r="27" spans="1:14" ht="12.75" hidden="1" customHeight="1" x14ac:dyDescent="0.2">
      <c r="A27" s="5"/>
    </row>
    <row r="28" spans="1:14" ht="12.75" hidden="1" customHeight="1" x14ac:dyDescent="0.2">
      <c r="A28" s="5"/>
    </row>
    <row r="29" spans="1:14" ht="12.75" hidden="1" customHeight="1" x14ac:dyDescent="0.2">
      <c r="A29" s="5"/>
    </row>
    <row r="30" spans="1:14" ht="12.75" hidden="1" customHeight="1" x14ac:dyDescent="0.2">
      <c r="A30" s="5"/>
    </row>
    <row r="31" spans="1:14" ht="12.75" hidden="1" customHeight="1" x14ac:dyDescent="0.2">
      <c r="A31" s="5"/>
    </row>
    <row r="32" spans="1:14" ht="12.75" hidden="1" customHeight="1" x14ac:dyDescent="0.2">
      <c r="A32" s="5"/>
      <c r="B32" s="506"/>
      <c r="C32" s="506"/>
      <c r="D32" s="506"/>
      <c r="E32" s="506"/>
      <c r="F32" s="448"/>
      <c r="G32" s="507"/>
      <c r="H32" s="507"/>
    </row>
    <row r="33" spans="1:8" ht="12.75" hidden="1" customHeight="1" x14ac:dyDescent="0.2">
      <c r="A33" s="5"/>
      <c r="B33" s="449"/>
      <c r="C33" s="449"/>
      <c r="D33" s="449"/>
      <c r="E33" s="449"/>
      <c r="F33" s="449"/>
      <c r="G33" s="449"/>
      <c r="H33" s="449"/>
    </row>
    <row r="34" spans="1:8" ht="12.75" hidden="1" customHeight="1" x14ac:dyDescent="0.2">
      <c r="A34" s="5"/>
      <c r="B34" s="450"/>
      <c r="C34" s="443"/>
      <c r="D34" s="451"/>
      <c r="E34" s="443"/>
      <c r="F34" s="443"/>
      <c r="G34" s="452"/>
      <c r="H34" s="452"/>
    </row>
    <row r="35" spans="1:8" ht="12.75" hidden="1" customHeight="1" x14ac:dyDescent="0.2">
      <c r="A35" s="5"/>
      <c r="B35" s="450"/>
      <c r="C35" s="443"/>
      <c r="D35" s="451"/>
      <c r="E35" s="443"/>
      <c r="F35" s="443"/>
      <c r="G35" s="452"/>
      <c r="H35" s="452"/>
    </row>
    <row r="36" spans="1:8" ht="12.75" hidden="1" customHeight="1" x14ac:dyDescent="0.2">
      <c r="A36" s="5"/>
      <c r="B36" s="450"/>
      <c r="C36" s="443"/>
      <c r="D36" s="451"/>
      <c r="E36" s="443"/>
      <c r="F36" s="443"/>
      <c r="G36" s="452"/>
      <c r="H36" s="452"/>
    </row>
    <row r="37" spans="1:8" ht="12.75" hidden="1" customHeight="1" x14ac:dyDescent="0.2">
      <c r="A37" s="5"/>
      <c r="B37" s="450"/>
      <c r="C37" s="443"/>
      <c r="D37" s="451"/>
      <c r="E37" s="443"/>
      <c r="F37" s="443"/>
      <c r="G37" s="452"/>
      <c r="H37" s="452"/>
    </row>
    <row r="38" spans="1:8" ht="12.75" hidden="1" customHeight="1" x14ac:dyDescent="0.2">
      <c r="A38" s="5"/>
      <c r="B38" s="450"/>
      <c r="C38" s="443"/>
      <c r="D38" s="451"/>
      <c r="E38" s="443"/>
      <c r="F38" s="443"/>
      <c r="G38" s="452"/>
      <c r="H38" s="452"/>
    </row>
    <row r="39" spans="1:8" ht="12.75" hidden="1" customHeight="1" x14ac:dyDescent="0.2">
      <c r="A39" s="5"/>
      <c r="B39" s="450"/>
      <c r="C39" s="443"/>
      <c r="D39" s="451"/>
      <c r="E39" s="443"/>
      <c r="F39" s="443"/>
      <c r="G39" s="452"/>
      <c r="H39" s="452"/>
    </row>
    <row r="40" spans="1:8" ht="12.75" hidden="1" customHeight="1" x14ac:dyDescent="0.2">
      <c r="A40" s="5"/>
      <c r="B40" s="450"/>
      <c r="C40" s="443"/>
      <c r="D40" s="451"/>
      <c r="E40" s="443"/>
      <c r="F40" s="443"/>
      <c r="G40" s="452"/>
      <c r="H40" s="452"/>
    </row>
    <row r="41" spans="1:8" ht="12.75" hidden="1" customHeight="1" x14ac:dyDescent="0.2">
      <c r="A41" s="5"/>
      <c r="B41" s="450"/>
      <c r="C41" s="443"/>
      <c r="D41" s="451"/>
      <c r="E41" s="443"/>
      <c r="F41" s="443"/>
      <c r="G41" s="452"/>
      <c r="H41" s="452"/>
    </row>
    <row r="42" spans="1:8" ht="12.75" hidden="1" customHeight="1" x14ac:dyDescent="0.2">
      <c r="A42" s="5"/>
      <c r="B42" s="450"/>
      <c r="C42" s="443"/>
      <c r="D42" s="451"/>
      <c r="E42" s="443"/>
      <c r="F42" s="443"/>
      <c r="G42" s="452"/>
      <c r="H42" s="452"/>
    </row>
    <row r="43" spans="1:8" ht="12.75" hidden="1" customHeight="1" x14ac:dyDescent="0.2">
      <c r="A43" s="5"/>
      <c r="B43" s="450"/>
      <c r="C43" s="443"/>
      <c r="D43" s="451"/>
      <c r="E43" s="443"/>
      <c r="F43" s="443"/>
      <c r="G43" s="452"/>
      <c r="H43" s="452"/>
    </row>
    <row r="44" spans="1:8" ht="12.75" hidden="1" customHeight="1" x14ac:dyDescent="0.2">
      <c r="A44" s="5"/>
      <c r="B44" s="450"/>
      <c r="C44" s="443"/>
      <c r="D44" s="451"/>
      <c r="E44" s="443"/>
      <c r="F44" s="443"/>
      <c r="G44" s="452"/>
      <c r="H44" s="452"/>
    </row>
    <row r="45" spans="1:8" ht="12.75" hidden="1" customHeight="1" x14ac:dyDescent="0.2">
      <c r="A45" s="5"/>
      <c r="B45" s="450"/>
      <c r="C45" s="443"/>
      <c r="D45" s="451"/>
      <c r="E45" s="443"/>
      <c r="F45" s="443"/>
      <c r="G45" s="452"/>
      <c r="H45" s="452"/>
    </row>
    <row r="46" spans="1:8" ht="12.75" hidden="1" customHeight="1" x14ac:dyDescent="0.2">
      <c r="A46" s="5"/>
      <c r="B46" s="450"/>
      <c r="C46" s="443"/>
      <c r="D46" s="451"/>
      <c r="E46" s="443"/>
      <c r="F46" s="443"/>
      <c r="G46" s="452"/>
      <c r="H46" s="452"/>
    </row>
    <row r="47" spans="1:8" ht="12.75" hidden="1" customHeight="1" x14ac:dyDescent="0.2">
      <c r="A47" s="5"/>
      <c r="B47" s="450"/>
      <c r="C47" s="443"/>
      <c r="D47" s="451"/>
      <c r="E47" s="443"/>
      <c r="F47" s="443"/>
      <c r="G47" s="452"/>
      <c r="H47" s="452"/>
    </row>
    <row r="48" spans="1:8" ht="12.75" hidden="1" customHeight="1" x14ac:dyDescent="0.2">
      <c r="A48" s="5"/>
      <c r="B48" s="450"/>
      <c r="C48" s="443"/>
      <c r="D48" s="451"/>
      <c r="E48" s="443"/>
      <c r="F48" s="443"/>
      <c r="G48" s="452"/>
      <c r="H48" s="452"/>
    </row>
    <row r="49" spans="1:8" ht="12.75" hidden="1" customHeight="1" x14ac:dyDescent="0.2">
      <c r="A49" s="5"/>
      <c r="B49" s="450"/>
      <c r="C49" s="443"/>
      <c r="D49" s="451"/>
      <c r="E49" s="443"/>
      <c r="F49" s="443"/>
      <c r="G49" s="452"/>
      <c r="H49" s="452"/>
    </row>
    <row r="50" spans="1:8" ht="12.75" hidden="1" customHeight="1" x14ac:dyDescent="0.2">
      <c r="A50" s="5"/>
      <c r="B50" s="450"/>
      <c r="C50" s="443"/>
      <c r="D50" s="451"/>
      <c r="E50" s="443"/>
      <c r="F50" s="443"/>
      <c r="G50" s="452"/>
      <c r="H50" s="452"/>
    </row>
    <row r="51" spans="1:8" ht="12.75" hidden="1" customHeight="1" x14ac:dyDescent="0.2">
      <c r="A51" s="5"/>
      <c r="B51" s="450"/>
      <c r="C51" s="443"/>
      <c r="D51" s="451"/>
      <c r="E51" s="443"/>
      <c r="F51" s="443"/>
      <c r="G51" s="452"/>
      <c r="H51" s="452"/>
    </row>
    <row r="52" spans="1:8" ht="12.75" hidden="1" customHeight="1" x14ac:dyDescent="0.2">
      <c r="A52" s="5"/>
      <c r="B52" s="450"/>
      <c r="C52" s="443"/>
      <c r="D52" s="451"/>
      <c r="E52" s="443"/>
      <c r="F52" s="443"/>
      <c r="G52" s="452"/>
      <c r="H52" s="452"/>
    </row>
    <row r="53" spans="1:8" ht="12.75" hidden="1" customHeight="1" x14ac:dyDescent="0.2">
      <c r="A53" s="5"/>
      <c r="B53" s="450"/>
      <c r="C53" s="443"/>
      <c r="D53" s="451"/>
      <c r="E53" s="443"/>
      <c r="F53" s="443"/>
      <c r="G53" s="452"/>
      <c r="H53" s="452"/>
    </row>
    <row r="54" spans="1:8" ht="12.75" hidden="1" customHeight="1" x14ac:dyDescent="0.2">
      <c r="A54" s="5"/>
      <c r="B54" s="450"/>
      <c r="C54" s="443"/>
      <c r="D54" s="451"/>
      <c r="E54" s="443"/>
      <c r="F54" s="443"/>
      <c r="G54" s="452"/>
      <c r="H54" s="452"/>
    </row>
    <row r="55" spans="1:8" ht="12.75" hidden="1" customHeight="1" x14ac:dyDescent="0.2">
      <c r="A55" s="5"/>
      <c r="B55" s="450"/>
      <c r="C55" s="443"/>
      <c r="D55" s="451"/>
      <c r="E55" s="443"/>
      <c r="F55" s="443"/>
      <c r="G55" s="452"/>
      <c r="H55" s="452"/>
    </row>
    <row r="56" spans="1:8" ht="12.75" hidden="1" customHeight="1" x14ac:dyDescent="0.2">
      <c r="A56" s="5"/>
      <c r="B56" s="450"/>
      <c r="C56" s="443"/>
      <c r="D56" s="451"/>
      <c r="E56" s="443"/>
      <c r="F56" s="443"/>
      <c r="G56" s="452"/>
      <c r="H56" s="452"/>
    </row>
    <row r="57" spans="1:8" ht="12.75" hidden="1" customHeight="1" x14ac:dyDescent="0.2">
      <c r="A57" s="5"/>
      <c r="B57" s="450"/>
      <c r="C57" s="443"/>
      <c r="D57" s="451"/>
      <c r="E57" s="443"/>
      <c r="F57" s="443"/>
      <c r="G57" s="452"/>
      <c r="H57" s="452"/>
    </row>
    <row r="58" spans="1:8" ht="12.75" hidden="1" customHeight="1" x14ac:dyDescent="0.2">
      <c r="A58" s="5"/>
      <c r="B58" s="450"/>
      <c r="C58" s="443"/>
      <c r="D58" s="451"/>
      <c r="E58" s="443"/>
      <c r="F58" s="443"/>
      <c r="G58" s="452"/>
      <c r="H58" s="452"/>
    </row>
    <row r="59" spans="1:8" ht="12.75" hidden="1" customHeight="1" x14ac:dyDescent="0.2">
      <c r="A59" s="5"/>
      <c r="B59" s="450"/>
      <c r="C59" s="443"/>
      <c r="D59" s="451"/>
      <c r="E59" s="443"/>
      <c r="F59" s="443"/>
      <c r="G59" s="452"/>
      <c r="H59" s="452"/>
    </row>
    <row r="60" spans="1:8" ht="12.75" hidden="1" customHeight="1" x14ac:dyDescent="0.2">
      <c r="A60" s="5"/>
      <c r="B60" s="450"/>
      <c r="C60" s="443"/>
      <c r="D60" s="451"/>
      <c r="E60" s="443"/>
      <c r="F60" s="443"/>
      <c r="G60" s="452"/>
      <c r="H60" s="452"/>
    </row>
    <row r="61" spans="1:8" ht="12.75" hidden="1" customHeight="1" x14ac:dyDescent="0.2">
      <c r="A61" s="5"/>
      <c r="B61" s="450"/>
      <c r="C61" s="443"/>
      <c r="D61" s="451"/>
      <c r="E61" s="443"/>
      <c r="F61" s="443"/>
      <c r="G61" s="452"/>
      <c r="H61" s="452"/>
    </row>
    <row r="62" spans="1:8" ht="12.75" hidden="1" customHeight="1" x14ac:dyDescent="0.2">
      <c r="A62" s="5"/>
      <c r="B62" s="450"/>
      <c r="C62" s="443"/>
      <c r="D62" s="451"/>
      <c r="E62" s="443"/>
      <c r="F62" s="443"/>
      <c r="G62" s="452"/>
      <c r="H62" s="452"/>
    </row>
    <row r="63" spans="1:8" ht="12.75" hidden="1" customHeight="1" x14ac:dyDescent="0.2">
      <c r="A63" s="5"/>
      <c r="B63" s="450"/>
      <c r="C63" s="443"/>
      <c r="D63" s="451"/>
      <c r="E63" s="443"/>
      <c r="F63" s="443"/>
      <c r="G63" s="452"/>
      <c r="H63" s="452"/>
    </row>
    <row r="64" spans="1:8" ht="12.75" hidden="1" customHeight="1" x14ac:dyDescent="0.2">
      <c r="A64" s="5"/>
      <c r="B64" s="450"/>
      <c r="C64" s="443"/>
      <c r="D64" s="451"/>
      <c r="E64" s="443"/>
      <c r="F64" s="443"/>
      <c r="G64" s="452"/>
      <c r="H64" s="452"/>
    </row>
    <row r="65" spans="1:8" ht="12.75" hidden="1" customHeight="1" x14ac:dyDescent="0.2">
      <c r="A65" s="5"/>
      <c r="B65" s="450"/>
      <c r="C65" s="443"/>
      <c r="D65" s="451"/>
      <c r="E65" s="443"/>
      <c r="F65" s="443"/>
      <c r="G65" s="452"/>
      <c r="H65" s="452"/>
    </row>
    <row r="66" spans="1:8" ht="12.75" hidden="1" customHeight="1" x14ac:dyDescent="0.2">
      <c r="A66" s="5"/>
      <c r="B66" s="450"/>
      <c r="C66" s="443"/>
      <c r="D66" s="451"/>
      <c r="E66" s="443"/>
      <c r="F66" s="443"/>
      <c r="G66" s="452"/>
      <c r="H66" s="452"/>
    </row>
    <row r="67" spans="1:8" ht="12.75" hidden="1" customHeight="1" x14ac:dyDescent="0.2">
      <c r="A67" s="5"/>
      <c r="B67" s="450"/>
      <c r="C67" s="443"/>
      <c r="D67" s="451"/>
      <c r="E67" s="443"/>
      <c r="F67" s="443"/>
      <c r="G67" s="452"/>
      <c r="H67" s="452"/>
    </row>
    <row r="68" spans="1:8" ht="12.75" hidden="1" customHeight="1" x14ac:dyDescent="0.2">
      <c r="A68" s="5"/>
      <c r="B68" s="450"/>
      <c r="C68" s="443"/>
      <c r="D68" s="451"/>
      <c r="E68" s="443"/>
      <c r="F68" s="443"/>
      <c r="G68" s="452"/>
      <c r="H68" s="452"/>
    </row>
    <row r="69" spans="1:8" ht="12.75" hidden="1" customHeight="1" x14ac:dyDescent="0.2">
      <c r="A69" s="5"/>
      <c r="B69" s="450"/>
      <c r="C69" s="443"/>
      <c r="D69" s="451"/>
      <c r="E69" s="443"/>
      <c r="F69" s="443"/>
      <c r="G69" s="452"/>
      <c r="H69" s="452"/>
    </row>
    <row r="70" spans="1:8" ht="12.75" hidden="1" customHeight="1" x14ac:dyDescent="0.2">
      <c r="A70" s="5"/>
      <c r="B70" s="450"/>
      <c r="C70" s="443"/>
      <c r="D70" s="451"/>
      <c r="E70" s="443"/>
      <c r="F70" s="443"/>
      <c r="G70" s="452"/>
      <c r="H70" s="452"/>
    </row>
    <row r="71" spans="1:8" ht="12.75" hidden="1" customHeight="1" x14ac:dyDescent="0.2">
      <c r="A71" s="5"/>
      <c r="B71" s="450"/>
      <c r="C71" s="443"/>
      <c r="D71" s="451"/>
      <c r="E71" s="443"/>
      <c r="F71" s="443"/>
      <c r="G71" s="452"/>
      <c r="H71" s="452"/>
    </row>
    <row r="72" spans="1:8" ht="12.75" hidden="1" customHeight="1" x14ac:dyDescent="0.2">
      <c r="A72" s="5"/>
      <c r="B72" s="450"/>
      <c r="C72" s="443"/>
      <c r="D72" s="451"/>
      <c r="E72" s="443"/>
      <c r="F72" s="443"/>
      <c r="G72" s="452"/>
      <c r="H72" s="452"/>
    </row>
    <row r="73" spans="1:8" ht="12.75" hidden="1" customHeight="1" x14ac:dyDescent="0.2">
      <c r="A73" s="5"/>
      <c r="B73" s="450"/>
      <c r="C73" s="443"/>
      <c r="D73" s="451"/>
      <c r="E73" s="443"/>
      <c r="F73" s="443"/>
      <c r="G73" s="452"/>
      <c r="H73" s="452"/>
    </row>
    <row r="74" spans="1:8" ht="12.75" hidden="1" customHeight="1" x14ac:dyDescent="0.2">
      <c r="A74" s="5"/>
      <c r="B74" s="450"/>
      <c r="C74" s="443"/>
      <c r="D74" s="451"/>
      <c r="E74" s="443"/>
      <c r="F74" s="443"/>
      <c r="G74" s="452"/>
      <c r="H74" s="452"/>
    </row>
    <row r="75" spans="1:8" ht="12.75" hidden="1" customHeight="1" x14ac:dyDescent="0.2">
      <c r="A75" s="5"/>
      <c r="B75" s="450"/>
      <c r="C75" s="443"/>
      <c r="D75" s="451"/>
      <c r="E75" s="443"/>
      <c r="F75" s="443"/>
      <c r="G75" s="452"/>
      <c r="H75" s="452"/>
    </row>
    <row r="76" spans="1:8" ht="12.75" hidden="1" customHeight="1" x14ac:dyDescent="0.2">
      <c r="A76" s="5"/>
      <c r="B76" s="450"/>
      <c r="C76" s="443"/>
      <c r="D76" s="451"/>
      <c r="E76" s="443"/>
      <c r="F76" s="443"/>
      <c r="G76" s="452"/>
      <c r="H76" s="452"/>
    </row>
    <row r="77" spans="1:8" ht="12.75" hidden="1" customHeight="1" x14ac:dyDescent="0.2">
      <c r="A77" s="5"/>
      <c r="B77" s="450"/>
      <c r="C77" s="443"/>
      <c r="D77" s="451"/>
      <c r="E77" s="443"/>
      <c r="F77" s="443"/>
      <c r="G77" s="452"/>
      <c r="H77" s="452"/>
    </row>
    <row r="78" spans="1:8" ht="12.75" hidden="1" customHeight="1" x14ac:dyDescent="0.2">
      <c r="A78" s="5"/>
      <c r="B78" s="450"/>
      <c r="C78" s="443"/>
      <c r="D78" s="451"/>
      <c r="E78" s="443"/>
      <c r="F78" s="443"/>
      <c r="G78" s="452"/>
      <c r="H78" s="452"/>
    </row>
    <row r="79" spans="1:8" ht="12.75" hidden="1" customHeight="1" x14ac:dyDescent="0.2">
      <c r="A79" s="5"/>
      <c r="B79" s="450"/>
      <c r="C79" s="443"/>
      <c r="D79" s="451"/>
      <c r="E79" s="443"/>
      <c r="F79" s="443"/>
      <c r="G79" s="452"/>
      <c r="H79" s="452"/>
    </row>
    <row r="80" spans="1:8" ht="12.75" hidden="1" customHeight="1" x14ac:dyDescent="0.2">
      <c r="A80" s="5"/>
      <c r="B80" s="450"/>
      <c r="C80" s="443"/>
      <c r="D80" s="451"/>
      <c r="E80" s="443"/>
      <c r="F80" s="443"/>
      <c r="G80" s="452"/>
      <c r="H80" s="452"/>
    </row>
    <row r="81" spans="1:8" ht="12.75" hidden="1" customHeight="1" x14ac:dyDescent="0.2">
      <c r="A81" s="5"/>
      <c r="B81" s="450"/>
      <c r="C81" s="443"/>
      <c r="D81" s="451"/>
      <c r="E81" s="443"/>
      <c r="F81" s="443"/>
      <c r="G81" s="452"/>
      <c r="H81" s="452"/>
    </row>
    <row r="82" spans="1:8" ht="12.75" hidden="1" customHeight="1" x14ac:dyDescent="0.2">
      <c r="A82" s="5"/>
      <c r="B82" s="450"/>
      <c r="C82" s="443"/>
      <c r="D82" s="451"/>
      <c r="E82" s="443"/>
      <c r="F82" s="443"/>
      <c r="G82" s="452"/>
      <c r="H82" s="452"/>
    </row>
    <row r="83" spans="1:8" ht="12.75" hidden="1" customHeight="1" x14ac:dyDescent="0.2">
      <c r="A83" s="5"/>
      <c r="B83" s="450"/>
      <c r="C83" s="443"/>
      <c r="D83" s="451"/>
      <c r="E83" s="443"/>
      <c r="F83" s="443"/>
      <c r="G83" s="452"/>
      <c r="H83" s="452"/>
    </row>
    <row r="84" spans="1:8" ht="12.75" hidden="1" customHeight="1" x14ac:dyDescent="0.2">
      <c r="A84" s="5"/>
      <c r="B84" s="450"/>
      <c r="C84" s="443"/>
      <c r="D84" s="451"/>
      <c r="E84" s="443"/>
      <c r="F84" s="443"/>
      <c r="G84" s="452"/>
      <c r="H84" s="452"/>
    </row>
    <row r="85" spans="1:8" ht="12.75" hidden="1" customHeight="1" x14ac:dyDescent="0.2">
      <c r="A85" s="5"/>
      <c r="B85" s="450"/>
      <c r="C85" s="443"/>
      <c r="D85" s="451"/>
      <c r="E85" s="443"/>
      <c r="F85" s="443"/>
      <c r="G85" s="452"/>
      <c r="H85" s="452"/>
    </row>
    <row r="86" spans="1:8" ht="12.75" hidden="1" customHeight="1" x14ac:dyDescent="0.2">
      <c r="A86" s="5"/>
      <c r="B86" s="450"/>
      <c r="C86" s="443"/>
      <c r="D86" s="451"/>
      <c r="E86" s="443"/>
      <c r="F86" s="443"/>
      <c r="G86" s="452"/>
      <c r="H86" s="452"/>
    </row>
    <row r="87" spans="1:8" ht="12.75" hidden="1" customHeight="1" x14ac:dyDescent="0.2">
      <c r="A87" s="5"/>
      <c r="B87" s="450"/>
      <c r="C87" s="443"/>
      <c r="D87" s="451"/>
      <c r="E87" s="443"/>
      <c r="F87" s="443"/>
      <c r="G87" s="452"/>
      <c r="H87" s="452"/>
    </row>
    <row r="88" spans="1:8" ht="12.75" hidden="1" customHeight="1" x14ac:dyDescent="0.2">
      <c r="A88" s="5"/>
      <c r="B88" s="450"/>
      <c r="C88" s="443"/>
      <c r="D88" s="451"/>
      <c r="E88" s="443"/>
      <c r="F88" s="443"/>
      <c r="G88" s="452"/>
      <c r="H88" s="452"/>
    </row>
    <row r="89" spans="1:8" ht="12.75" hidden="1" customHeight="1" x14ac:dyDescent="0.2">
      <c r="A89" s="5"/>
      <c r="B89" s="450"/>
      <c r="C89" s="443"/>
      <c r="D89" s="451"/>
      <c r="E89" s="443"/>
      <c r="F89" s="443"/>
      <c r="G89" s="452"/>
      <c r="H89" s="452"/>
    </row>
    <row r="90" spans="1:8" ht="12.75" hidden="1" customHeight="1" x14ac:dyDescent="0.2">
      <c r="A90" s="5"/>
      <c r="B90" s="450"/>
      <c r="C90" s="443"/>
      <c r="D90" s="451"/>
      <c r="E90" s="443"/>
      <c r="F90" s="443"/>
      <c r="G90" s="452"/>
      <c r="H90" s="452"/>
    </row>
    <row r="91" spans="1:8" ht="12.75" hidden="1" customHeight="1" x14ac:dyDescent="0.2">
      <c r="A91" s="5"/>
      <c r="B91" s="450"/>
      <c r="C91" s="443"/>
      <c r="D91" s="451"/>
      <c r="E91" s="443"/>
      <c r="F91" s="443"/>
      <c r="G91" s="452"/>
      <c r="H91" s="452"/>
    </row>
    <row r="92" spans="1:8" ht="12.75" hidden="1" customHeight="1" x14ac:dyDescent="0.2">
      <c r="A92" s="5"/>
      <c r="B92" s="450"/>
      <c r="C92" s="443"/>
      <c r="D92" s="451"/>
      <c r="E92" s="443"/>
      <c r="F92" s="443"/>
      <c r="G92" s="452"/>
      <c r="H92" s="452"/>
    </row>
    <row r="93" spans="1:8" ht="12.75" hidden="1" customHeight="1" x14ac:dyDescent="0.2">
      <c r="A93" s="5"/>
      <c r="B93" s="450"/>
      <c r="C93" s="443"/>
      <c r="D93" s="451"/>
      <c r="E93" s="443"/>
      <c r="F93" s="443"/>
      <c r="G93" s="452"/>
      <c r="H93" s="452"/>
    </row>
    <row r="94" spans="1:8" ht="12.75" hidden="1" customHeight="1" x14ac:dyDescent="0.2">
      <c r="A94" s="5"/>
      <c r="B94" s="450"/>
      <c r="C94" s="443"/>
      <c r="D94" s="451"/>
      <c r="E94" s="443"/>
      <c r="F94" s="443"/>
      <c r="G94" s="452"/>
      <c r="H94" s="452"/>
    </row>
    <row r="95" spans="1:8" ht="12.75" hidden="1" customHeight="1" x14ac:dyDescent="0.2">
      <c r="A95" s="5"/>
      <c r="B95" s="450"/>
      <c r="C95" s="443"/>
      <c r="D95" s="451"/>
      <c r="E95" s="443"/>
      <c r="F95" s="443"/>
      <c r="G95" s="452"/>
      <c r="H95" s="452"/>
    </row>
    <row r="96" spans="1:8" ht="12.75" hidden="1" customHeight="1" x14ac:dyDescent="0.2">
      <c r="A96" s="5"/>
      <c r="B96" s="450"/>
      <c r="C96" s="443"/>
      <c r="D96" s="451"/>
      <c r="E96" s="443"/>
      <c r="F96" s="443"/>
      <c r="G96" s="452"/>
      <c r="H96" s="452"/>
    </row>
    <row r="97" spans="1:8" ht="12.75" hidden="1" customHeight="1" x14ac:dyDescent="0.2">
      <c r="A97" s="5"/>
      <c r="B97" s="450"/>
      <c r="C97" s="443"/>
      <c r="D97" s="451"/>
      <c r="E97" s="443"/>
      <c r="F97" s="443"/>
      <c r="G97" s="452"/>
      <c r="H97" s="452"/>
    </row>
    <row r="98" spans="1:8" ht="12.75" hidden="1" customHeight="1" x14ac:dyDescent="0.2">
      <c r="A98" s="5"/>
      <c r="B98" s="450"/>
      <c r="C98" s="443"/>
      <c r="D98" s="451"/>
      <c r="E98" s="443"/>
      <c r="F98" s="443"/>
      <c r="G98" s="452"/>
      <c r="H98" s="452"/>
    </row>
    <row r="99" spans="1:8" ht="12.75" hidden="1" customHeight="1" x14ac:dyDescent="0.2">
      <c r="A99" s="5"/>
      <c r="B99" s="450"/>
      <c r="C99" s="443"/>
      <c r="D99" s="451"/>
      <c r="E99" s="443"/>
      <c r="F99" s="443"/>
      <c r="G99" s="452"/>
      <c r="H99" s="452"/>
    </row>
    <row r="100" spans="1:8" ht="12.75" hidden="1" customHeight="1" x14ac:dyDescent="0.2">
      <c r="A100" s="5"/>
      <c r="B100" s="450"/>
      <c r="C100" s="443"/>
      <c r="D100" s="451"/>
      <c r="E100" s="443"/>
      <c r="F100" s="443"/>
      <c r="G100" s="452"/>
      <c r="H100" s="452"/>
    </row>
    <row r="101" spans="1:8" ht="12.75" hidden="1" customHeight="1" x14ac:dyDescent="0.2">
      <c r="A101" s="5"/>
      <c r="B101" s="450"/>
      <c r="C101" s="443"/>
      <c r="D101" s="451"/>
      <c r="E101" s="443"/>
      <c r="F101" s="443"/>
      <c r="G101" s="452"/>
      <c r="H101" s="452"/>
    </row>
    <row r="102" spans="1:8" ht="12.75" hidden="1" customHeight="1" x14ac:dyDescent="0.2">
      <c r="A102" s="5"/>
      <c r="B102" s="450"/>
      <c r="C102" s="443"/>
      <c r="D102" s="451"/>
      <c r="E102" s="443"/>
      <c r="F102" s="443"/>
      <c r="G102" s="452"/>
      <c r="H102" s="452"/>
    </row>
    <row r="103" spans="1:8" ht="12.75" hidden="1" customHeight="1" x14ac:dyDescent="0.2">
      <c r="A103" s="5"/>
      <c r="B103" s="450"/>
      <c r="C103" s="443"/>
      <c r="D103" s="451"/>
      <c r="E103" s="443"/>
      <c r="F103" s="443"/>
      <c r="G103" s="452"/>
      <c r="H103" s="452"/>
    </row>
    <row r="104" spans="1:8" ht="12.75" hidden="1" customHeight="1" x14ac:dyDescent="0.2">
      <c r="A104" s="5"/>
      <c r="B104" s="450"/>
      <c r="C104" s="443"/>
      <c r="D104" s="451"/>
      <c r="E104" s="443"/>
      <c r="F104" s="443"/>
      <c r="G104" s="452"/>
      <c r="H104" s="452"/>
    </row>
    <row r="105" spans="1:8" ht="12.75" hidden="1" customHeight="1" x14ac:dyDescent="0.2">
      <c r="A105" s="5"/>
      <c r="B105" s="450"/>
      <c r="C105" s="443"/>
      <c r="D105" s="451"/>
      <c r="E105" s="443"/>
      <c r="F105" s="443"/>
      <c r="G105" s="452"/>
      <c r="H105" s="452"/>
    </row>
    <row r="106" spans="1:8" ht="12.75" hidden="1" customHeight="1" x14ac:dyDescent="0.2">
      <c r="A106" s="5"/>
      <c r="B106" s="450"/>
      <c r="C106" s="443"/>
      <c r="D106" s="451"/>
      <c r="E106" s="443"/>
      <c r="F106" s="443"/>
      <c r="G106" s="452"/>
      <c r="H106" s="452"/>
    </row>
    <row r="107" spans="1:8" ht="12.75" hidden="1" customHeight="1" x14ac:dyDescent="0.2">
      <c r="A107" s="5"/>
      <c r="B107" s="450"/>
      <c r="C107" s="443"/>
      <c r="D107" s="451"/>
      <c r="E107" s="443"/>
      <c r="F107" s="443"/>
      <c r="G107" s="452"/>
      <c r="H107" s="452"/>
    </row>
    <row r="108" spans="1:8" ht="12.75" hidden="1" customHeight="1" x14ac:dyDescent="0.2">
      <c r="A108" s="5"/>
      <c r="B108" s="450"/>
      <c r="C108" s="443"/>
      <c r="D108" s="451"/>
      <c r="E108" s="443"/>
      <c r="F108" s="443"/>
      <c r="G108" s="452"/>
      <c r="H108" s="452"/>
    </row>
    <row r="109" spans="1:8" ht="12.75" hidden="1" customHeight="1" x14ac:dyDescent="0.2">
      <c r="A109" s="5"/>
      <c r="B109" s="450"/>
      <c r="C109" s="443"/>
      <c r="D109" s="451"/>
      <c r="E109" s="443"/>
      <c r="F109" s="443"/>
      <c r="G109" s="452"/>
      <c r="H109" s="452"/>
    </row>
    <row r="110" spans="1:8" ht="12.75" hidden="1" customHeight="1" x14ac:dyDescent="0.2">
      <c r="A110" s="5"/>
      <c r="B110" s="450"/>
      <c r="C110" s="443"/>
      <c r="D110" s="451"/>
      <c r="E110" s="443"/>
      <c r="F110" s="443"/>
      <c r="G110" s="452"/>
      <c r="H110" s="452"/>
    </row>
    <row r="111" spans="1:8" ht="12.75" hidden="1" customHeight="1" x14ac:dyDescent="0.2">
      <c r="A111" s="5"/>
      <c r="B111" s="450"/>
      <c r="C111" s="443"/>
      <c r="D111" s="451"/>
      <c r="E111" s="443"/>
      <c r="F111" s="443"/>
      <c r="G111" s="452"/>
      <c r="H111" s="452"/>
    </row>
    <row r="112" spans="1:8" ht="12.75" hidden="1" customHeight="1" x14ac:dyDescent="0.2">
      <c r="A112" s="5"/>
      <c r="B112" s="450"/>
      <c r="C112" s="443"/>
      <c r="D112" s="451"/>
      <c r="E112" s="443"/>
      <c r="F112" s="443"/>
      <c r="G112" s="452"/>
      <c r="H112" s="452"/>
    </row>
    <row r="113" spans="1:8" ht="12.75" hidden="1" customHeight="1" x14ac:dyDescent="0.2">
      <c r="A113" s="5"/>
      <c r="B113" s="450"/>
      <c r="C113" s="443"/>
      <c r="D113" s="451"/>
      <c r="E113" s="443"/>
      <c r="F113" s="443"/>
      <c r="G113" s="452"/>
      <c r="H113" s="452"/>
    </row>
    <row r="114" spans="1:8" ht="12.75" hidden="1" customHeight="1" x14ac:dyDescent="0.2">
      <c r="A114" s="5"/>
      <c r="B114" s="450"/>
      <c r="C114" s="443"/>
      <c r="D114" s="451"/>
      <c r="E114" s="443"/>
      <c r="F114" s="443"/>
      <c r="G114" s="452"/>
      <c r="H114" s="452"/>
    </row>
    <row r="115" spans="1:8" ht="12.75" hidden="1" customHeight="1" x14ac:dyDescent="0.2">
      <c r="A115" s="5"/>
      <c r="B115" s="450"/>
      <c r="C115" s="443"/>
      <c r="D115" s="451"/>
      <c r="E115" s="443"/>
      <c r="F115" s="443"/>
      <c r="G115" s="452"/>
      <c r="H115" s="452"/>
    </row>
    <row r="116" spans="1:8" ht="12.75" hidden="1" customHeight="1" x14ac:dyDescent="0.2">
      <c r="A116" s="5"/>
      <c r="B116" s="450"/>
      <c r="C116" s="443"/>
      <c r="D116" s="451"/>
      <c r="E116" s="443"/>
      <c r="F116" s="443"/>
      <c r="G116" s="452"/>
      <c r="H116" s="452"/>
    </row>
    <row r="117" spans="1:8" ht="12.75" hidden="1" customHeight="1" x14ac:dyDescent="0.2">
      <c r="A117" s="5"/>
      <c r="B117" s="450"/>
      <c r="C117" s="443"/>
      <c r="D117" s="451"/>
      <c r="E117" s="443"/>
      <c r="F117" s="443"/>
      <c r="G117" s="452"/>
      <c r="H117" s="452"/>
    </row>
    <row r="118" spans="1:8" ht="12.75" hidden="1" customHeight="1" x14ac:dyDescent="0.2">
      <c r="A118" s="5"/>
      <c r="B118" s="450"/>
      <c r="C118" s="443"/>
      <c r="D118" s="451"/>
      <c r="E118" s="443"/>
      <c r="F118" s="443"/>
      <c r="G118" s="452"/>
      <c r="H118" s="452"/>
    </row>
    <row r="119" spans="1:8" ht="12.75" hidden="1" customHeight="1" x14ac:dyDescent="0.2">
      <c r="A119" s="5"/>
      <c r="B119" s="450"/>
      <c r="C119" s="443"/>
      <c r="D119" s="451"/>
      <c r="E119" s="443"/>
      <c r="F119" s="443"/>
      <c r="G119" s="452"/>
      <c r="H119" s="452"/>
    </row>
    <row r="120" spans="1:8" ht="12.75" hidden="1" customHeight="1" x14ac:dyDescent="0.2">
      <c r="A120" s="5"/>
      <c r="B120" s="450"/>
      <c r="C120" s="443"/>
      <c r="D120" s="451"/>
      <c r="E120" s="443"/>
      <c r="F120" s="443"/>
      <c r="G120" s="452"/>
      <c r="H120" s="452"/>
    </row>
    <row r="121" spans="1:8" ht="12.75" hidden="1" customHeight="1" x14ac:dyDescent="0.2">
      <c r="A121" s="5"/>
      <c r="B121" s="450"/>
      <c r="C121" s="443"/>
      <c r="D121" s="451"/>
      <c r="E121" s="443"/>
      <c r="F121" s="443"/>
      <c r="G121" s="452"/>
      <c r="H121" s="452"/>
    </row>
    <row r="122" spans="1:8" ht="12.75" hidden="1" customHeight="1" x14ac:dyDescent="0.2">
      <c r="A122" s="5"/>
      <c r="B122" s="450"/>
      <c r="C122" s="443"/>
      <c r="D122" s="451"/>
      <c r="E122" s="443"/>
      <c r="F122" s="443"/>
      <c r="G122" s="452"/>
      <c r="H122" s="452"/>
    </row>
    <row r="123" spans="1:8" ht="12.75" hidden="1" customHeight="1" x14ac:dyDescent="0.2">
      <c r="A123" s="5"/>
      <c r="B123" s="450"/>
      <c r="C123" s="443"/>
      <c r="D123" s="451"/>
      <c r="E123" s="443"/>
      <c r="F123" s="443"/>
      <c r="G123" s="452"/>
      <c r="H123" s="452"/>
    </row>
    <row r="124" spans="1:8" ht="12.75" hidden="1" customHeight="1" x14ac:dyDescent="0.2">
      <c r="A124" s="5"/>
      <c r="B124" s="450"/>
      <c r="C124" s="443"/>
      <c r="D124" s="451"/>
      <c r="E124" s="443"/>
      <c r="F124" s="443"/>
      <c r="G124" s="452"/>
      <c r="H124" s="452"/>
    </row>
    <row r="125" spans="1:8" ht="12.75" hidden="1" customHeight="1" x14ac:dyDescent="0.2">
      <c r="A125" s="5"/>
      <c r="B125" s="450"/>
      <c r="C125" s="443"/>
      <c r="D125" s="451"/>
      <c r="E125" s="443"/>
      <c r="F125" s="443"/>
      <c r="G125" s="452"/>
      <c r="H125" s="452"/>
    </row>
    <row r="126" spans="1:8" ht="12.75" hidden="1" customHeight="1" x14ac:dyDescent="0.2">
      <c r="A126" s="5"/>
      <c r="B126" s="450"/>
      <c r="C126" s="443"/>
      <c r="D126" s="451"/>
      <c r="E126" s="443"/>
      <c r="F126" s="443"/>
      <c r="G126" s="452"/>
      <c r="H126" s="452"/>
    </row>
    <row r="127" spans="1:8" ht="12.75" hidden="1" customHeight="1" x14ac:dyDescent="0.2">
      <c r="A127" s="5"/>
      <c r="B127" s="450"/>
      <c r="C127" s="443"/>
      <c r="D127" s="451"/>
      <c r="E127" s="443"/>
      <c r="F127" s="443"/>
      <c r="G127" s="452"/>
      <c r="H127" s="452"/>
    </row>
    <row r="128" spans="1:8" ht="12.75" hidden="1" customHeight="1" x14ac:dyDescent="0.2">
      <c r="A128" s="5"/>
      <c r="B128" s="450"/>
      <c r="C128" s="443"/>
      <c r="D128" s="451"/>
      <c r="E128" s="443"/>
      <c r="F128" s="443"/>
      <c r="G128" s="452"/>
      <c r="H128" s="452"/>
    </row>
    <row r="129" spans="1:14" ht="12.75" hidden="1" customHeight="1" x14ac:dyDescent="0.2">
      <c r="A129" s="5"/>
      <c r="B129" s="450"/>
      <c r="C129" s="443"/>
      <c r="D129" s="451"/>
      <c r="E129" s="443"/>
      <c r="F129" s="443"/>
      <c r="G129" s="452"/>
      <c r="H129" s="452"/>
    </row>
    <row r="130" spans="1:14" ht="12.75" hidden="1" customHeight="1" x14ac:dyDescent="0.2">
      <c r="A130" s="5"/>
      <c r="B130" s="450"/>
      <c r="C130" s="443"/>
      <c r="D130" s="451"/>
      <c r="E130" s="443"/>
      <c r="F130" s="443"/>
      <c r="G130" s="452"/>
      <c r="H130" s="452"/>
    </row>
    <row r="131" spans="1:14" ht="12.75" hidden="1" customHeight="1" x14ac:dyDescent="0.2">
      <c r="A131" s="5"/>
      <c r="B131" s="450"/>
      <c r="C131" s="443"/>
      <c r="D131" s="451"/>
      <c r="E131" s="443"/>
      <c r="F131" s="443"/>
      <c r="G131" s="452"/>
      <c r="H131" s="452"/>
    </row>
    <row r="132" spans="1:14" x14ac:dyDescent="0.2">
      <c r="A132" s="5"/>
      <c r="B132" s="5"/>
      <c r="C132" s="5"/>
      <c r="D132" s="5"/>
      <c r="E132" s="5"/>
      <c r="F132" s="5"/>
      <c r="G132" s="5"/>
      <c r="H132" s="5"/>
      <c r="I132" s="5"/>
      <c r="J132" s="5"/>
      <c r="K132" s="5"/>
      <c r="L132" s="5"/>
      <c r="M132" s="5"/>
      <c r="N132" s="5"/>
    </row>
    <row r="133" spans="1:14" x14ac:dyDescent="0.2">
      <c r="A133" s="436" t="s">
        <v>11</v>
      </c>
      <c r="B133" s="436"/>
      <c r="C133" s="436"/>
      <c r="D133" s="436"/>
      <c r="E133" s="436"/>
      <c r="F133" s="436"/>
      <c r="G133" s="436"/>
      <c r="H133" s="436"/>
      <c r="I133" s="436"/>
      <c r="J133" s="436"/>
      <c r="K133" s="436"/>
      <c r="L133" s="436"/>
      <c r="M133" s="436"/>
      <c r="N133" s="436"/>
    </row>
  </sheetData>
  <mergeCells count="6">
    <mergeCell ref="B15:M15"/>
    <mergeCell ref="C19:D19"/>
    <mergeCell ref="E19:F19"/>
    <mergeCell ref="B32:C32"/>
    <mergeCell ref="D32:E32"/>
    <mergeCell ref="G32:H32"/>
  </mergeCells>
  <phoneticPr fontId="24" type="noConversion"/>
  <hyperlinks>
    <hyperlink ref="B4" location="'AER Final Decision - Labour'!B9" display="Table 1" xr:uid="{241E682B-0D48-4C5E-826B-729D6E30330F}"/>
    <hyperlink ref="B5" location="'AER Final Decision - Labour'!B18" display="Table 2" xr:uid="{12B59176-CDEE-453B-88F3-E7470767F05F}"/>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82B0-887D-4A35-9308-EFA658FCAB2D}">
  <sheetPr codeName="Sheet5">
    <tabColor theme="8" tint="0.79998168889431442"/>
  </sheetPr>
  <dimension ref="A1:N78"/>
  <sheetViews>
    <sheetView showGridLines="0" topLeftCell="B1" zoomScaleNormal="100" workbookViewId="0">
      <pane ySplit="2" topLeftCell="A3" activePane="bottomLeft" state="frozen"/>
      <selection activeCell="A2" sqref="A2"/>
      <selection pane="bottomLeft" activeCell="B30" sqref="B30"/>
    </sheetView>
  </sheetViews>
  <sheetFormatPr defaultRowHeight="12.75" x14ac:dyDescent="0.2"/>
  <cols>
    <col min="1" max="1" width="7.42578125" bestFit="1" customWidth="1"/>
    <col min="2" max="2" width="69.85546875" customWidth="1"/>
    <col min="3" max="3" width="9.140625" customWidth="1"/>
    <col min="4" max="13" width="12.5703125" customWidth="1"/>
    <col min="14" max="14" width="3.5703125" style="246" customWidth="1"/>
  </cols>
  <sheetData>
    <row r="1" spans="1:14" s="1" customFormat="1" ht="24.95" customHeight="1" x14ac:dyDescent="0.2">
      <c r="A1" s="27"/>
      <c r="B1" s="35" t="str">
        <f>IFERROR(Index!B1,"")</f>
        <v>Jemena Electricity Networks – Alternative Control Services Forecast model</v>
      </c>
      <c r="C1" s="217" t="s">
        <v>256</v>
      </c>
      <c r="D1" s="37" t="s">
        <v>116</v>
      </c>
      <c r="E1" s="27"/>
      <c r="F1" s="217" t="s">
        <v>257</v>
      </c>
      <c r="G1" s="122">
        <f>'Model Validation'!C11</f>
        <v>0</v>
      </c>
      <c r="H1" s="35"/>
      <c r="I1" s="27"/>
      <c r="J1" s="27"/>
      <c r="K1" s="27"/>
      <c r="L1" s="27"/>
      <c r="M1" s="27"/>
      <c r="N1" s="245"/>
    </row>
    <row r="2" spans="1:14" ht="24.95" customHeight="1" x14ac:dyDescent="0.2">
      <c r="A2" s="27"/>
      <c r="B2" s="35" t="str">
        <f ca="1">IFERROR(MID(CELL("filename",A1),FIND("]",CELL("filename",A1))+1,255),"")</f>
        <v>Input|Escalations</v>
      </c>
      <c r="C2" s="28"/>
      <c r="D2" s="69" t="s">
        <v>118</v>
      </c>
      <c r="E2" s="28"/>
      <c r="F2" s="27"/>
      <c r="G2" s="27"/>
      <c r="H2" s="27"/>
      <c r="I2" s="27"/>
      <c r="J2" s="27"/>
      <c r="K2" s="27"/>
      <c r="L2" s="27"/>
      <c r="M2" s="27"/>
      <c r="N2" s="245"/>
    </row>
    <row r="3" spans="1:14" x14ac:dyDescent="0.2">
      <c r="A3" s="5"/>
      <c r="B3" s="18"/>
      <c r="C3" s="5"/>
      <c r="D3" s="5"/>
      <c r="E3" s="5"/>
      <c r="F3" s="5"/>
      <c r="G3" s="5"/>
      <c r="H3" s="5"/>
      <c r="I3" s="5"/>
      <c r="J3" s="5"/>
      <c r="K3" s="5"/>
      <c r="L3" s="5"/>
      <c r="M3" s="5"/>
    </row>
    <row r="4" spans="1:14" x14ac:dyDescent="0.2">
      <c r="A4" s="5"/>
      <c r="B4" s="5"/>
      <c r="C4" s="5"/>
      <c r="D4" s="5"/>
      <c r="E4" s="5"/>
      <c r="F4" s="5"/>
      <c r="G4" s="5"/>
      <c r="H4" s="5"/>
      <c r="I4" s="5"/>
      <c r="J4" s="5"/>
      <c r="K4" s="5"/>
      <c r="L4" s="5"/>
      <c r="M4" s="5"/>
      <c r="N4" s="247"/>
    </row>
    <row r="5" spans="1:14" ht="15" x14ac:dyDescent="0.25">
      <c r="A5" s="134">
        <v>4.0999999999999996</v>
      </c>
      <c r="B5" s="22" t="s">
        <v>258</v>
      </c>
      <c r="C5" s="21"/>
      <c r="D5" s="21"/>
      <c r="E5" s="21"/>
      <c r="F5" s="21"/>
      <c r="G5" s="21"/>
      <c r="H5" s="21"/>
      <c r="I5" s="21"/>
      <c r="J5" s="21"/>
      <c r="K5" s="21"/>
      <c r="L5" s="21"/>
      <c r="M5" s="21"/>
    </row>
    <row r="6" spans="1:14" x14ac:dyDescent="0.2">
      <c r="A6" s="5"/>
      <c r="B6" s="5"/>
      <c r="C6" s="5"/>
      <c r="D6" s="5"/>
      <c r="E6" s="5"/>
      <c r="F6" s="5"/>
      <c r="G6" s="5"/>
      <c r="H6" s="5"/>
      <c r="I6" s="5"/>
      <c r="J6" s="5"/>
      <c r="K6" s="5"/>
      <c r="L6" s="5"/>
      <c r="M6" s="5"/>
    </row>
    <row r="7" spans="1:14" x14ac:dyDescent="0.2">
      <c r="A7" s="5"/>
      <c r="B7" s="33"/>
      <c r="C7" s="34" t="s">
        <v>216</v>
      </c>
      <c r="D7" s="5"/>
      <c r="E7" s="5"/>
      <c r="F7" s="5"/>
      <c r="G7" s="5"/>
      <c r="H7" s="5"/>
      <c r="I7" s="5"/>
      <c r="J7" s="5"/>
      <c r="K7" s="5"/>
      <c r="L7" s="5"/>
      <c r="M7" s="5"/>
    </row>
    <row r="8" spans="1:14" x14ac:dyDescent="0.2">
      <c r="A8" s="5"/>
      <c r="B8" s="238" t="s">
        <v>218</v>
      </c>
      <c r="C8" s="229" t="str">
        <f>'Input|Setup'!E6</f>
        <v>2026-27</v>
      </c>
      <c r="D8" s="5"/>
      <c r="E8" s="5"/>
      <c r="F8" s="5"/>
      <c r="G8" s="5"/>
      <c r="H8" s="5"/>
      <c r="I8" s="5"/>
      <c r="J8" s="5"/>
      <c r="K8" s="5"/>
      <c r="L8" s="5"/>
      <c r="M8" s="5"/>
    </row>
    <row r="9" spans="1:14" x14ac:dyDescent="0.2">
      <c r="A9" s="5"/>
      <c r="B9" s="238" t="s">
        <v>220</v>
      </c>
      <c r="C9" s="229" t="str">
        <f>'Input|Setup'!E7</f>
        <v>2024-25</v>
      </c>
      <c r="D9" s="5"/>
      <c r="E9" s="5"/>
      <c r="F9" s="5"/>
      <c r="G9" s="5"/>
      <c r="H9" s="5"/>
      <c r="I9" s="5"/>
      <c r="J9" s="5"/>
      <c r="K9" s="5"/>
      <c r="L9" s="5"/>
      <c r="M9" s="5"/>
    </row>
    <row r="10" spans="1:14" x14ac:dyDescent="0.2">
      <c r="A10" s="5"/>
      <c r="B10" s="238" t="s">
        <v>221</v>
      </c>
      <c r="C10" s="229" t="str">
        <f>'Input|Setup'!E8</f>
        <v>2026-27</v>
      </c>
      <c r="D10" s="5"/>
      <c r="E10" s="5"/>
      <c r="F10" s="5"/>
      <c r="G10" s="5"/>
      <c r="H10" s="5"/>
      <c r="I10" s="5"/>
      <c r="J10" s="5"/>
      <c r="K10" s="5"/>
      <c r="L10" s="5"/>
      <c r="M10" s="5"/>
    </row>
    <row r="11" spans="1:14" x14ac:dyDescent="0.2">
      <c r="A11" s="5"/>
      <c r="B11" s="6"/>
      <c r="C11" s="133"/>
      <c r="D11" s="5"/>
      <c r="E11" s="5"/>
      <c r="F11" s="5"/>
      <c r="G11" s="5"/>
      <c r="H11" s="5"/>
      <c r="I11" s="5"/>
      <c r="J11" s="5"/>
      <c r="K11" s="5"/>
      <c r="L11" s="5"/>
      <c r="M11" s="5"/>
    </row>
    <row r="12" spans="1:14" x14ac:dyDescent="0.2">
      <c r="A12" s="5"/>
      <c r="B12" s="5"/>
      <c r="C12" s="5"/>
      <c r="D12" s="5"/>
      <c r="E12" s="5"/>
      <c r="F12" s="5"/>
      <c r="G12" s="5"/>
      <c r="H12" s="5"/>
      <c r="I12" s="5"/>
      <c r="J12" s="5"/>
      <c r="K12" s="5"/>
      <c r="N12" s="247"/>
    </row>
    <row r="13" spans="1:14" ht="15" x14ac:dyDescent="0.25">
      <c r="A13" s="134">
        <v>4.2</v>
      </c>
      <c r="B13" s="22" t="s">
        <v>259</v>
      </c>
      <c r="C13" s="22"/>
      <c r="D13" s="22" t="s">
        <v>222</v>
      </c>
      <c r="E13" s="21"/>
      <c r="F13" s="21"/>
      <c r="G13" s="21"/>
      <c r="H13" s="21"/>
      <c r="I13" s="22" t="s">
        <v>223</v>
      </c>
      <c r="J13" s="21"/>
      <c r="K13" s="21"/>
      <c r="L13" s="21"/>
      <c r="M13" s="21"/>
    </row>
    <row r="14" spans="1:14" x14ac:dyDescent="0.2">
      <c r="A14" s="5"/>
      <c r="B14" s="5"/>
      <c r="C14" s="5"/>
      <c r="D14" s="5"/>
      <c r="E14" s="5"/>
      <c r="F14" s="5"/>
      <c r="G14" s="5"/>
      <c r="H14" s="5"/>
      <c r="I14" s="5"/>
      <c r="J14" s="5"/>
      <c r="K14" s="5"/>
      <c r="L14" s="7"/>
      <c r="M14" s="7"/>
      <c r="N14" s="248"/>
    </row>
    <row r="15" spans="1:14" x14ac:dyDescent="0.2">
      <c r="A15" s="5"/>
      <c r="B15" s="34"/>
      <c r="C15" s="34"/>
      <c r="D15" s="34" t="str">
        <f>IFERROR((LEFT(E15,4)-1&amp;IF(MID(E15,5,1)="","","-"&amp;TEXT(MOD(MID(E15,6,2)-1,100),"00"))),"")</f>
        <v>2021-22</v>
      </c>
      <c r="E15" s="34" t="str">
        <f>IFERROR((LEFT(F15,4)-1&amp;IF(MID(F15,5,1)="","","-"&amp;TEXT(MOD(MID(F15,6,2)-1,100),"00"))),"")</f>
        <v>2022-23</v>
      </c>
      <c r="F15" s="34" t="str">
        <f>IFERROR((LEFT(G15,4)-1&amp;IF(MID(G15,5,1)="","","-"&amp;TEXT(MOD(MID(G15,6,2)-1,100),"00"))),"")</f>
        <v>2023-24</v>
      </c>
      <c r="G15" s="34" t="str">
        <f>IFERROR((LEFT(H15,4)-1&amp;IF(MID(H15,5,1)="","","-"&amp;TEXT(MOD(MID(H15,6,2)-1,100),"00"))),"")</f>
        <v>2024-25</v>
      </c>
      <c r="H15" s="34" t="str">
        <f>IFERROR((LEFT(I15,4)-1&amp;IF(MID(I15,5,1)="","","-"&amp;TEXT(MOD(MID(I15,6,2)-1,100),"00"))),"")</f>
        <v>2025-26</v>
      </c>
      <c r="I15" s="48" t="str">
        <f>$C$8</f>
        <v>2026-27</v>
      </c>
      <c r="J15" s="34" t="str">
        <f>IFERROR((LEFT(I15,4)+1&amp;IF(MID(I15,5,1)="","","-"&amp;TEXT(MOD(MID(I15,6,2)+1,100),"00"))),"")</f>
        <v>2027-28</v>
      </c>
      <c r="K15" s="34" t="str">
        <f>IFERROR((LEFT(J15,4)+1&amp;IF(MID(J15,5,1)="","","-"&amp;TEXT(MOD(MID(J15,6,2)+1,100),"00"))),"")</f>
        <v>2028-29</v>
      </c>
      <c r="L15" s="34" t="str">
        <f>IFERROR((LEFT(K15,4)+1&amp;IF(MID(K15,5,1)="","","-"&amp;TEXT(MOD(MID(K15,6,2)+1,100),"00"))),"")</f>
        <v>2029-30</v>
      </c>
      <c r="M15" s="34" t="str">
        <f>IFERROR((LEFT(L15,4)+1&amp;IF(MID(L15,5,1)="","","-"&amp;TEXT(MOD(MID(L15,6,2)+1,100),"00"))),"")</f>
        <v>2030-31</v>
      </c>
      <c r="N15" s="249"/>
    </row>
    <row r="16" spans="1:14" x14ac:dyDescent="0.2">
      <c r="A16" s="5"/>
      <c r="B16" s="410" t="s">
        <v>260</v>
      </c>
      <c r="C16" s="410"/>
      <c r="D16" s="411">
        <v>8.6058519793459354E-3</v>
      </c>
      <c r="E16" s="411">
        <f>IFERROR(E20/D20-1,0)</f>
        <v>3.4982935153583528E-2</v>
      </c>
      <c r="F16" s="411">
        <f t="shared" ref="F16:M16" si="0">IFERROR(F20/E20-1,0)</f>
        <v>7.8318219291014124E-2</v>
      </c>
      <c r="G16" s="411">
        <f t="shared" si="0"/>
        <v>4.0519877675840865E-2</v>
      </c>
      <c r="H16" s="411">
        <f t="shared" si="0"/>
        <v>2.4246877296105973E-2</v>
      </c>
      <c r="I16" s="411">
        <f t="shared" si="0"/>
        <v>3.6256585063526359E-2</v>
      </c>
      <c r="J16" s="411">
        <f t="shared" si="0"/>
        <v>2.8999999999999915E-2</v>
      </c>
      <c r="K16" s="411">
        <f t="shared" si="0"/>
        <v>2.6000000000000023E-2</v>
      </c>
      <c r="L16" s="411">
        <f t="shared" si="0"/>
        <v>2.5666666666666726E-2</v>
      </c>
      <c r="M16" s="411">
        <f t="shared" si="0"/>
        <v>2.533333333333343E-2</v>
      </c>
      <c r="N16" s="249"/>
    </row>
    <row r="17" spans="1:14" x14ac:dyDescent="0.2">
      <c r="A17" s="5"/>
      <c r="B17" s="410" t="s">
        <v>261</v>
      </c>
      <c r="C17" s="410"/>
      <c r="D17" s="239">
        <v>1</v>
      </c>
      <c r="E17" s="239">
        <f>IFERROR(D17*(1+E16),"")</f>
        <v>1.0349829351535835</v>
      </c>
      <c r="F17" s="239">
        <f t="shared" ref="F17:M17" si="1">IFERROR(E17*(1+F16),"")</f>
        <v>1.1160409556313993</v>
      </c>
      <c r="G17" s="239">
        <f t="shared" si="1"/>
        <v>1.1612627986348121</v>
      </c>
      <c r="H17" s="239">
        <f t="shared" si="1"/>
        <v>1.189419795221843</v>
      </c>
      <c r="I17" s="239">
        <f t="shared" si="1"/>
        <v>1.2325440952035458</v>
      </c>
      <c r="J17" s="239">
        <f t="shared" si="1"/>
        <v>1.2682878739644485</v>
      </c>
      <c r="K17" s="239">
        <f t="shared" si="1"/>
        <v>1.3012633586875242</v>
      </c>
      <c r="L17" s="239">
        <f t="shared" si="1"/>
        <v>1.3346624515605041</v>
      </c>
      <c r="M17" s="239">
        <f t="shared" si="1"/>
        <v>1.3684739003333704</v>
      </c>
      <c r="N17" s="249"/>
    </row>
    <row r="18" spans="1:14" x14ac:dyDescent="0.2">
      <c r="A18" s="5"/>
      <c r="B18" s="238" t="str">
        <f>IFERROR("Real "&amp;C9 &amp;" "&amp;LEFT(D9,9)&amp;" to "&amp; "Real "&amp;C10 &amp;" "&amp;LEFT(D10,9),"")</f>
        <v xml:space="preserve">Real 2024-25  to Real 2026-27 </v>
      </c>
      <c r="C18" s="238"/>
      <c r="D18" s="240"/>
      <c r="E18" s="240"/>
      <c r="F18" s="240"/>
      <c r="G18" s="240"/>
      <c r="H18" s="240"/>
      <c r="I18" s="239">
        <f>I$17/INDEX($D$15:$M$17,3, MATCH($C$9,$D$15:$M$15,0))</f>
        <v>1.0613825713288434</v>
      </c>
      <c r="J18" s="240"/>
      <c r="K18" s="240"/>
      <c r="L18" s="240"/>
      <c r="M18" s="240"/>
      <c r="N18" s="247"/>
    </row>
    <row r="19" spans="1:14" x14ac:dyDescent="0.2">
      <c r="A19" s="5"/>
      <c r="B19" s="238" t="s">
        <v>262</v>
      </c>
      <c r="C19" s="238"/>
      <c r="D19" s="241" t="s">
        <v>263</v>
      </c>
      <c r="E19" s="242" t="s">
        <v>264</v>
      </c>
      <c r="F19" s="242" t="s">
        <v>265</v>
      </c>
      <c r="G19" s="242" t="s">
        <v>266</v>
      </c>
      <c r="H19" s="242" t="s">
        <v>267</v>
      </c>
      <c r="I19" s="242" t="s">
        <v>268</v>
      </c>
      <c r="J19" s="242" t="s">
        <v>269</v>
      </c>
      <c r="K19" s="242" t="s">
        <v>270</v>
      </c>
      <c r="L19" s="242" t="s">
        <v>271</v>
      </c>
      <c r="M19" s="243" t="s">
        <v>272</v>
      </c>
      <c r="N19" s="247"/>
    </row>
    <row r="20" spans="1:14" x14ac:dyDescent="0.2">
      <c r="A20" s="5"/>
      <c r="B20" s="238"/>
      <c r="C20" s="238"/>
      <c r="D20" s="412">
        <v>117.2</v>
      </c>
      <c r="E20" s="413">
        <v>121.3</v>
      </c>
      <c r="F20" s="413">
        <v>130.80000000000001</v>
      </c>
      <c r="G20" s="413">
        <v>136.1</v>
      </c>
      <c r="H20" s="430">
        <v>139.4</v>
      </c>
      <c r="I20" s="413">
        <f t="shared" ref="I20:M20" si="2">H20*(1+I21)</f>
        <v>144.45416795785559</v>
      </c>
      <c r="J20" s="413">
        <f t="shared" si="2"/>
        <v>148.64333882863338</v>
      </c>
      <c r="K20" s="413">
        <f t="shared" si="2"/>
        <v>152.50806563817784</v>
      </c>
      <c r="L20" s="413">
        <f t="shared" si="2"/>
        <v>156.42243932289108</v>
      </c>
      <c r="M20" s="413">
        <f t="shared" si="2"/>
        <v>160.38514111907099</v>
      </c>
      <c r="N20" s="101">
        <f>IF(COUNTA(D20:M20)=0,1,0)</f>
        <v>0</v>
      </c>
    </row>
    <row r="21" spans="1:14" x14ac:dyDescent="0.2">
      <c r="A21" s="5"/>
      <c r="B21" s="410" t="s">
        <v>273</v>
      </c>
      <c r="C21" s="410"/>
      <c r="D21" s="477"/>
      <c r="E21" s="477"/>
      <c r="F21" s="477"/>
      <c r="G21" s="413"/>
      <c r="H21" s="413"/>
      <c r="I21" s="499">
        <f>(100.32/96.81)-1</f>
        <v>3.6256585063526359E-2</v>
      </c>
      <c r="J21" s="499">
        <v>2.9000000000000001E-2</v>
      </c>
      <c r="K21" s="499">
        <v>2.5999999999999999E-2</v>
      </c>
      <c r="L21" s="499">
        <v>2.5666666666666667E-2</v>
      </c>
      <c r="M21" s="499">
        <v>2.5333333333333333E-2</v>
      </c>
      <c r="N21" s="101">
        <f>IF(COUNTA(G21:M21)=0,1,0)</f>
        <v>0</v>
      </c>
    </row>
    <row r="22" spans="1:14" x14ac:dyDescent="0.2">
      <c r="D22" s="208"/>
      <c r="E22" s="208"/>
      <c r="F22" s="208"/>
      <c r="G22" s="208"/>
      <c r="H22" s="208"/>
      <c r="I22" s="208"/>
      <c r="J22" s="208"/>
      <c r="K22" s="208"/>
      <c r="L22" s="208"/>
      <c r="M22" s="208"/>
      <c r="N22" s="247"/>
    </row>
    <row r="23" spans="1:14" x14ac:dyDescent="0.2">
      <c r="I23" s="503"/>
      <c r="N23" s="247"/>
    </row>
    <row r="24" spans="1:14" ht="15" x14ac:dyDescent="0.25">
      <c r="A24" s="134">
        <v>4.3</v>
      </c>
      <c r="B24" s="22" t="s">
        <v>274</v>
      </c>
      <c r="C24" s="21"/>
      <c r="D24" s="22" t="s">
        <v>222</v>
      </c>
      <c r="E24" s="21"/>
      <c r="F24" s="21"/>
      <c r="G24" s="21"/>
      <c r="H24" s="21"/>
      <c r="I24" s="22" t="s">
        <v>223</v>
      </c>
      <c r="J24" s="21"/>
      <c r="K24" s="21"/>
      <c r="L24" s="21"/>
      <c r="M24" s="21"/>
    </row>
    <row r="25" spans="1:14" x14ac:dyDescent="0.2">
      <c r="A25" s="5"/>
      <c r="B25" s="5"/>
      <c r="C25" s="5"/>
      <c r="D25" s="5"/>
      <c r="E25" s="5"/>
      <c r="F25" s="5"/>
      <c r="G25" s="5"/>
      <c r="H25" s="5"/>
      <c r="I25" s="5"/>
      <c r="J25" s="5"/>
      <c r="K25" s="5"/>
      <c r="L25" s="5"/>
      <c r="M25" s="5"/>
      <c r="N25" s="247"/>
    </row>
    <row r="26" spans="1:14" x14ac:dyDescent="0.2">
      <c r="A26" s="5"/>
      <c r="B26" s="34"/>
      <c r="C26" s="33"/>
      <c r="D26" s="34" t="str">
        <f>IFERROR((LEFT(E26,4)-1&amp;IF(MID(E26,5,1)="","","-"&amp;TEXT(MOD(MID(E26,6,2)-1,100),"00"))),"")</f>
        <v>2021-22</v>
      </c>
      <c r="E26" s="34" t="str">
        <f>IFERROR((LEFT(F26,4)-1&amp;IF(MID(F26,5,1)="","","-"&amp;TEXT(MOD(MID(F26,6,2)-1,100),"00"))),"")</f>
        <v>2022-23</v>
      </c>
      <c r="F26" s="34" t="str">
        <f>IFERROR((LEFT(G26,4)-1&amp;IF(MID(G26,5,1)="","","-"&amp;TEXT(MOD(MID(G26,6,2)-1,100),"00"))),"")</f>
        <v>2023-24</v>
      </c>
      <c r="G26" s="34" t="str">
        <f>IFERROR((LEFT(H26,4)-1&amp;IF(MID(H26,5,1)="","","-"&amp;TEXT(MOD(MID(H26,6,2)-1,100),"00"))),"")</f>
        <v>2024-25</v>
      </c>
      <c r="H26" s="34" t="str">
        <f>IFERROR((LEFT(I26,4)-1&amp;IF(MID(I26,5,1)="","","-"&amp;TEXT(MOD(MID(I26,6,2)-1,100),"00"))),"")</f>
        <v>2025-26</v>
      </c>
      <c r="I26" s="48" t="str">
        <f>$C$8</f>
        <v>2026-27</v>
      </c>
      <c r="J26" s="34" t="str">
        <f>IFERROR((LEFT(I26,4)+1&amp;IF(MID(I26,5,1)="","","-"&amp;TEXT(MOD(MID(I26,6,2)+1,100),"00"))),"")</f>
        <v>2027-28</v>
      </c>
      <c r="K26" s="34" t="str">
        <f>IFERROR((LEFT(J26,4)+1&amp;IF(MID(J26,5,1)="","","-"&amp;TEXT(MOD(MID(J26,6,2)+1,100),"00"))),"")</f>
        <v>2028-29</v>
      </c>
      <c r="L26" s="34" t="str">
        <f>IFERROR((LEFT(K26,4)+1&amp;IF(MID(K26,5,1)="","","-"&amp;TEXT(MOD(MID(K26,6,2)+1,100),"00"))),"")</f>
        <v>2029-30</v>
      </c>
      <c r="M26" s="34" t="str">
        <f>IFERROR((LEFT(L26,4)+1&amp;IF(MID(L26,5,1)="","","-"&amp;TEXT(MOD(MID(L26,6,2)+1,100),"00"))),"")</f>
        <v>2030-31</v>
      </c>
      <c r="N26" s="250"/>
    </row>
    <row r="27" spans="1:14" x14ac:dyDescent="0.2">
      <c r="A27" s="5"/>
      <c r="B27" s="410" t="s">
        <v>275</v>
      </c>
      <c r="C27" s="410"/>
      <c r="D27" s="244">
        <f t="shared" ref="D27:M27" si="3">-D37</f>
        <v>2.8120407869096802E-2</v>
      </c>
      <c r="E27" s="244">
        <f t="shared" si="3"/>
        <v>3.8748358757266073E-2</v>
      </c>
      <c r="F27" s="244">
        <f t="shared" si="3"/>
        <v>8.8043290719790369E-3</v>
      </c>
      <c r="G27" s="244">
        <f t="shared" si="3"/>
        <v>-1.9500105332415019E-2</v>
      </c>
      <c r="H27" s="244">
        <f t="shared" si="3"/>
        <v>-7.3232263809143629E-3</v>
      </c>
      <c r="I27" s="244">
        <f t="shared" si="3"/>
        <v>-6.4142447704512448E-3</v>
      </c>
      <c r="J27" s="244">
        <f t="shared" si="3"/>
        <v>-8.5734453709334808E-3</v>
      </c>
      <c r="K27" s="244">
        <f t="shared" si="3"/>
        <v>-1.002659802990522E-2</v>
      </c>
      <c r="L27" s="244">
        <f t="shared" si="3"/>
        <v>-1.1296131514512021E-2</v>
      </c>
      <c r="M27" s="244">
        <f t="shared" si="3"/>
        <v>-1.1485766163867313E-2</v>
      </c>
      <c r="N27" s="247"/>
    </row>
    <row r="28" spans="1:14" x14ac:dyDescent="0.2">
      <c r="A28" s="5"/>
      <c r="B28" s="410" t="s">
        <v>276</v>
      </c>
      <c r="C28" s="5"/>
      <c r="D28" s="414">
        <v>0</v>
      </c>
      <c r="E28" s="414">
        <v>0</v>
      </c>
      <c r="F28" s="414">
        <v>0</v>
      </c>
      <c r="G28" s="414">
        <v>0</v>
      </c>
      <c r="H28" s="414">
        <v>0</v>
      </c>
      <c r="I28" s="414">
        <v>0</v>
      </c>
      <c r="J28" s="414">
        <v>0</v>
      </c>
      <c r="K28" s="414">
        <v>0</v>
      </c>
      <c r="L28" s="414">
        <v>0</v>
      </c>
      <c r="M28" s="414">
        <v>0</v>
      </c>
      <c r="N28" s="247"/>
    </row>
    <row r="29" spans="1:14" x14ac:dyDescent="0.2">
      <c r="A29" s="5"/>
      <c r="B29" s="410" t="s">
        <v>277</v>
      </c>
      <c r="C29" s="5"/>
      <c r="D29" s="414">
        <v>0</v>
      </c>
      <c r="E29" s="414">
        <v>0</v>
      </c>
      <c r="F29" s="414">
        <v>0</v>
      </c>
      <c r="G29" s="414">
        <v>0</v>
      </c>
      <c r="H29" s="414">
        <v>0</v>
      </c>
      <c r="I29" s="414">
        <v>0</v>
      </c>
      <c r="J29" s="414">
        <v>0</v>
      </c>
      <c r="K29" s="414">
        <v>0</v>
      </c>
      <c r="L29" s="414">
        <v>0</v>
      </c>
      <c r="M29" s="414">
        <v>0</v>
      </c>
      <c r="N29" s="247"/>
    </row>
    <row r="30" spans="1:14" x14ac:dyDescent="0.2">
      <c r="B30" s="410" t="s">
        <v>278</v>
      </c>
      <c r="D30" s="414">
        <v>0</v>
      </c>
      <c r="E30" s="414">
        <v>0</v>
      </c>
      <c r="F30" s="414">
        <v>0</v>
      </c>
      <c r="G30" s="414">
        <v>0</v>
      </c>
      <c r="H30" s="414">
        <v>0</v>
      </c>
      <c r="I30" s="414">
        <v>0</v>
      </c>
      <c r="J30" s="414">
        <v>0</v>
      </c>
      <c r="K30" s="414">
        <v>0</v>
      </c>
      <c r="L30" s="414">
        <v>0</v>
      </c>
      <c r="M30" s="414">
        <v>0</v>
      </c>
      <c r="N30" s="247"/>
    </row>
    <row r="31" spans="1:14" x14ac:dyDescent="0.2">
      <c r="B31" s="410" t="s">
        <v>212</v>
      </c>
      <c r="D31" s="414">
        <v>0</v>
      </c>
      <c r="E31" s="414">
        <v>0</v>
      </c>
      <c r="F31" s="414">
        <v>0</v>
      </c>
      <c r="G31" s="414">
        <v>0</v>
      </c>
      <c r="H31" s="414">
        <v>0</v>
      </c>
      <c r="I31" s="414">
        <v>0</v>
      </c>
      <c r="J31" s="414">
        <v>0</v>
      </c>
      <c r="K31" s="414">
        <v>0</v>
      </c>
      <c r="L31" s="414">
        <v>0</v>
      </c>
      <c r="M31" s="414">
        <v>0</v>
      </c>
      <c r="N31" s="247"/>
    </row>
    <row r="32" spans="1:14" x14ac:dyDescent="0.2">
      <c r="D32" s="208"/>
      <c r="E32" s="208"/>
      <c r="F32" s="208"/>
      <c r="G32" s="208"/>
      <c r="H32" s="208"/>
      <c r="I32" s="208"/>
      <c r="J32" s="208"/>
      <c r="K32" s="208"/>
      <c r="L32" s="208"/>
      <c r="M32" s="208"/>
      <c r="N32" s="247"/>
    </row>
    <row r="33" spans="1:14" x14ac:dyDescent="0.2">
      <c r="N33" s="247"/>
    </row>
    <row r="34" spans="1:14" ht="15" x14ac:dyDescent="0.25">
      <c r="A34" s="134" t="s">
        <v>279</v>
      </c>
      <c r="B34" s="22" t="s">
        <v>280</v>
      </c>
      <c r="C34" s="21"/>
      <c r="D34" s="22" t="s">
        <v>222</v>
      </c>
      <c r="E34" s="21"/>
      <c r="F34" s="21"/>
      <c r="G34" s="21"/>
      <c r="H34" s="21"/>
      <c r="I34" s="22" t="s">
        <v>223</v>
      </c>
      <c r="J34" s="21"/>
      <c r="K34" s="21"/>
      <c r="L34" s="21"/>
      <c r="M34" s="21"/>
    </row>
    <row r="35" spans="1:14" x14ac:dyDescent="0.2">
      <c r="A35" s="5"/>
      <c r="B35" s="5"/>
      <c r="C35" s="5"/>
      <c r="D35" s="5"/>
      <c r="E35" s="5"/>
      <c r="F35" s="5"/>
      <c r="G35" s="5"/>
      <c r="H35" s="5"/>
      <c r="I35" s="5"/>
      <c r="J35" s="5"/>
      <c r="K35" s="5"/>
      <c r="L35" s="5"/>
      <c r="M35" s="5"/>
      <c r="N35" s="247"/>
    </row>
    <row r="36" spans="1:14" x14ac:dyDescent="0.2">
      <c r="A36" s="5"/>
      <c r="B36" s="33"/>
      <c r="C36" s="33"/>
      <c r="D36" s="34" t="str">
        <f>IFERROR((LEFT(E36,4)-1&amp;IF(MID(E36,5,1)="","","-"&amp;TEXT(MOD(MID(E36,6,2)-1,100),"00"))),"")</f>
        <v>2021-22</v>
      </c>
      <c r="E36" s="34" t="str">
        <f>IFERROR((LEFT(F36,4)-1&amp;IF(MID(F36,5,1)="","","-"&amp;TEXT(MOD(MID(F36,6,2)-1,100),"00"))),"")</f>
        <v>2022-23</v>
      </c>
      <c r="F36" s="34" t="str">
        <f>IFERROR((LEFT(G36,4)-1&amp;IF(MID(G36,5,1)="","","-"&amp;TEXT(MOD(MID(G36,6,2)-1,100),"00"))),"")</f>
        <v>2023-24</v>
      </c>
      <c r="G36" s="34" t="str">
        <f>IFERROR((LEFT(H36,4)-1&amp;IF(MID(H36,5,1)="","","-"&amp;TEXT(MOD(MID(H36,6,2)-1,100),"00"))),"")</f>
        <v>2024-25</v>
      </c>
      <c r="H36" s="34" t="str">
        <f>IFERROR((LEFT(I36,4)-1&amp;IF(MID(I36,5,1)="","","-"&amp;TEXT(MOD(MID(I36,6,2)-1,100),"00"))),"")</f>
        <v>2025-26</v>
      </c>
      <c r="I36" s="48" t="str">
        <f>$C$8</f>
        <v>2026-27</v>
      </c>
      <c r="J36" s="34" t="str">
        <f>IFERROR((LEFT(I36,4)+1&amp;IF(MID(I36,5,1)="","","-"&amp;TEXT(MOD(MID(I36,6,2)+1,100),"00"))),"")</f>
        <v>2027-28</v>
      </c>
      <c r="K36" s="34" t="str">
        <f>IFERROR((LEFT(J36,4)+1&amp;IF(MID(J36,5,1)="","","-"&amp;TEXT(MOD(MID(J36,6,2)+1,100),"00"))),"")</f>
        <v>2028-29</v>
      </c>
      <c r="L36" s="34" t="str">
        <f>IFERROR((LEFT(K36,4)+1&amp;IF(MID(K36,5,1)="","","-"&amp;TEXT(MOD(MID(K36,6,2)+1,100),"00"))),"")</f>
        <v>2029-30</v>
      </c>
      <c r="M36" s="34" t="str">
        <f>IFERROR((LEFT(L36,4)+1&amp;IF(MID(L36,5,1)="","","-"&amp;TEXT(MOD(MID(L36,6,2)+1,100),"00"))),"")</f>
        <v>2030-31</v>
      </c>
      <c r="N36" s="250"/>
    </row>
    <row r="37" spans="1:14" x14ac:dyDescent="0.2">
      <c r="A37" s="5"/>
      <c r="B37" s="410" t="s">
        <v>281</v>
      </c>
      <c r="C37" s="410"/>
      <c r="D37" s="415">
        <f t="shared" ref="D37:M37" si="4">SUM((D42*D48),(D43*D49)+D44)</f>
        <v>-2.8120407869096802E-2</v>
      </c>
      <c r="E37" s="415">
        <f t="shared" si="4"/>
        <v>-3.8748358757266073E-2</v>
      </c>
      <c r="F37" s="415">
        <f>SUM((F42*F48),(F43*F49)+F44)</f>
        <v>-8.8043290719790369E-3</v>
      </c>
      <c r="G37" s="415">
        <f t="shared" si="4"/>
        <v>1.9500105332415019E-2</v>
      </c>
      <c r="H37" s="415">
        <f t="shared" si="4"/>
        <v>7.3232263809143629E-3</v>
      </c>
      <c r="I37" s="415">
        <f t="shared" si="4"/>
        <v>6.4142447704512448E-3</v>
      </c>
      <c r="J37" s="415">
        <f t="shared" si="4"/>
        <v>8.5734453709334808E-3</v>
      </c>
      <c r="K37" s="415">
        <f t="shared" si="4"/>
        <v>1.002659802990522E-2</v>
      </c>
      <c r="L37" s="415">
        <f t="shared" si="4"/>
        <v>1.1296131514512021E-2</v>
      </c>
      <c r="M37" s="415">
        <f t="shared" si="4"/>
        <v>1.1485766163867313E-2</v>
      </c>
      <c r="N37" s="251"/>
    </row>
    <row r="38" spans="1:14" x14ac:dyDescent="0.2">
      <c r="A38" s="5"/>
      <c r="B38" s="410" t="s">
        <v>282</v>
      </c>
      <c r="C38" s="410"/>
      <c r="D38" s="239">
        <f>1+D37</f>
        <v>0.97187959213090325</v>
      </c>
      <c r="E38" s="239">
        <f t="shared" ref="E38:M38" si="5">IFERROR(D38*(1+E37),"")</f>
        <v>0.93422085302614954</v>
      </c>
      <c r="F38" s="239">
        <f t="shared" si="5"/>
        <v>0.92599566521020238</v>
      </c>
      <c r="G38" s="239">
        <f t="shared" si="5"/>
        <v>0.94405267821916106</v>
      </c>
      <c r="H38" s="239">
        <f t="shared" si="5"/>
        <v>0.95096618969726854</v>
      </c>
      <c r="I38" s="239">
        <f t="shared" si="5"/>
        <v>0.95706591960641008</v>
      </c>
      <c r="J38" s="239">
        <f t="shared" si="5"/>
        <v>0.96527127198453777</v>
      </c>
      <c r="K38" s="239">
        <f t="shared" si="5"/>
        <v>0.97494965901854203</v>
      </c>
      <c r="L38" s="239">
        <f t="shared" si="5"/>
        <v>0.98596281858684398</v>
      </c>
      <c r="M38" s="239">
        <f t="shared" si="5"/>
        <v>0.9972873569673999</v>
      </c>
      <c r="N38" s="251"/>
    </row>
    <row r="39" spans="1:14" x14ac:dyDescent="0.2">
      <c r="A39" s="5"/>
      <c r="B39" s="410" t="str">
        <f>"Escalate from base year to " &amp; C8</f>
        <v>Escalate from base year to 2026-27</v>
      </c>
      <c r="C39" s="410"/>
      <c r="D39" s="240"/>
      <c r="E39" s="240"/>
      <c r="F39" s="240"/>
      <c r="G39" s="240"/>
      <c r="H39" s="240"/>
      <c r="I39" s="239">
        <f>I38/INDEX($D$36:$M$38,3,MATCH($C$9,$D$36:$M$36,0))</f>
        <v>1.0137844441178823</v>
      </c>
      <c r="J39" s="240"/>
      <c r="K39" s="240"/>
      <c r="L39" s="240"/>
      <c r="M39" s="240"/>
      <c r="N39" s="247"/>
    </row>
    <row r="40" spans="1:14" x14ac:dyDescent="0.2">
      <c r="A40" s="5"/>
      <c r="B40" s="416"/>
      <c r="C40" s="410"/>
      <c r="D40" s="410"/>
      <c r="E40" s="410"/>
      <c r="F40" s="410"/>
      <c r="G40" s="410"/>
      <c r="H40" s="410"/>
      <c r="I40" s="410"/>
      <c r="J40" s="410"/>
      <c r="K40" s="410"/>
      <c r="L40" s="417"/>
      <c r="M40" s="418"/>
      <c r="N40" s="247"/>
    </row>
    <row r="41" spans="1:14" x14ac:dyDescent="0.2">
      <c r="A41" s="5"/>
      <c r="B41" s="34" t="s">
        <v>283</v>
      </c>
      <c r="C41" s="33"/>
      <c r="D41" s="34" t="str">
        <f>IFERROR((LEFT(E41,4)-1&amp;IF(MID(E41,5,1)="","","-"&amp;TEXT(MOD(MID(E41,6,2)-1,100),"00"))),"")</f>
        <v>2021-22</v>
      </c>
      <c r="E41" s="34" t="str">
        <f>IFERROR((LEFT(F41,4)-1&amp;IF(MID(F41,5,1)="","","-"&amp;TEXT(MOD(MID(F41,6,2)-1,100),"00"))),"")</f>
        <v>2022-23</v>
      </c>
      <c r="F41" s="34" t="str">
        <f>IFERROR((LEFT(G41,4)-1&amp;IF(MID(G41,5,1)="","","-"&amp;TEXT(MOD(MID(G41,6,2)-1,100),"00"))),"")</f>
        <v>2023-24</v>
      </c>
      <c r="G41" s="34" t="str">
        <f>IFERROR((LEFT(H41,4)-1&amp;IF(MID(H41,5,1)="","","-"&amp;TEXT(MOD(MID(H41,6,2)-1,100),"00"))),"")</f>
        <v>2024-25</v>
      </c>
      <c r="H41" s="34" t="str">
        <f>IFERROR((LEFT(I41,4)-1&amp;IF(MID(I41,5,1)="","","-"&amp;TEXT(MOD(MID(I41,6,2)-1,100),"00"))),"")</f>
        <v>2025-26</v>
      </c>
      <c r="I41" s="48" t="str">
        <f>$C$8</f>
        <v>2026-27</v>
      </c>
      <c r="J41" s="34" t="str">
        <f>IFERROR((LEFT(I41,4)+1&amp;IF(MID(I41,5,1)="","","-"&amp;TEXT(MOD(MID(I41,6,2)+1,100),"00"))),"")</f>
        <v>2027-28</v>
      </c>
      <c r="K41" s="34" t="str">
        <f>IFERROR((LEFT(J41,4)+1&amp;IF(MID(J41,5,1)="","","-"&amp;TEXT(MOD(MID(J41,6,2)+1,100),"00"))),"")</f>
        <v>2028-29</v>
      </c>
      <c r="L41" s="34" t="str">
        <f>IFERROR((LEFT(K41,4)+1&amp;IF(MID(K41,5,1)="","","-"&amp;TEXT(MOD(MID(K41,6,2)+1,100),"00"))),"")</f>
        <v>2029-30</v>
      </c>
      <c r="M41" s="34" t="str">
        <f>IFERROR((LEFT(L41,4)+1&amp;IF(MID(L41,5,1)="","","-"&amp;TEXT(MOD(MID(L41,6,2)+1,100),"00"))),"")</f>
        <v>2030-31</v>
      </c>
      <c r="N41" s="101">
        <f>IF(COUNTA(B42:M45)=0,1,0)</f>
        <v>0</v>
      </c>
    </row>
    <row r="42" spans="1:14" x14ac:dyDescent="0.2">
      <c r="A42" s="5"/>
      <c r="B42" s="497" t="s">
        <v>284</v>
      </c>
      <c r="C42" s="410"/>
      <c r="D42" s="428">
        <v>0</v>
      </c>
      <c r="E42" s="428">
        <v>0</v>
      </c>
      <c r="F42" s="428">
        <v>-1.2515048324812428E-2</v>
      </c>
      <c r="G42" s="498">
        <v>1.4000210664830037E-2</v>
      </c>
      <c r="H42" s="498">
        <v>-4.3535472381712736E-3</v>
      </c>
      <c r="I42" s="498">
        <v>3.2611068341632521E-3</v>
      </c>
      <c r="J42" s="498">
        <v>7.2355957756888856E-3</v>
      </c>
      <c r="K42" s="498">
        <v>8.4987632532935731E-3</v>
      </c>
      <c r="L42" s="498">
        <v>8.7211063749346174E-3</v>
      </c>
      <c r="M42" s="498">
        <v>9.1410375757572382E-3</v>
      </c>
      <c r="N42" s="101"/>
    </row>
    <row r="43" spans="1:14" x14ac:dyDescent="0.2">
      <c r="A43" s="5"/>
      <c r="B43" s="211" t="s">
        <v>717</v>
      </c>
      <c r="C43" s="410"/>
      <c r="D43" s="414">
        <v>-2.8120407869096802E-2</v>
      </c>
      <c r="E43" s="414">
        <v>-4.374835875726607E-2</v>
      </c>
      <c r="F43" s="414">
        <v>-1.5093609819145648E-2</v>
      </c>
      <c r="G43" s="498">
        <v>1.4999999999999999E-2</v>
      </c>
      <c r="H43" s="498">
        <v>8.9999999999999993E-3</v>
      </c>
      <c r="I43" s="498">
        <v>9.5673827067392376E-3</v>
      </c>
      <c r="J43" s="498">
        <v>9.9112949661780761E-3</v>
      </c>
      <c r="K43" s="498">
        <v>1.1554432806516867E-2</v>
      </c>
      <c r="L43" s="498">
        <v>1.3871156654089422E-2</v>
      </c>
      <c r="M43" s="498">
        <v>1.3830494751977387E-2</v>
      </c>
      <c r="N43" s="247"/>
    </row>
    <row r="44" spans="1:14" x14ac:dyDescent="0.2">
      <c r="A44" s="5"/>
      <c r="B44" s="432" t="s">
        <v>285</v>
      </c>
      <c r="C44" s="410"/>
      <c r="D44" s="414"/>
      <c r="E44" s="428">
        <v>5.0000000000000001E-3</v>
      </c>
      <c r="F44" s="428">
        <v>5.0000000000000001E-3</v>
      </c>
      <c r="G44" s="428">
        <v>5.0000000000000001E-3</v>
      </c>
      <c r="H44" s="428">
        <v>5.0000000000000001E-3</v>
      </c>
      <c r="I44" s="414"/>
      <c r="J44" s="414"/>
      <c r="K44" s="414"/>
      <c r="L44" s="414"/>
      <c r="M44" s="414"/>
      <c r="N44" s="247"/>
    </row>
    <row r="45" spans="1:14" x14ac:dyDescent="0.2">
      <c r="A45" s="5"/>
      <c r="B45" s="211"/>
      <c r="C45" s="410"/>
      <c r="D45" s="414"/>
      <c r="E45" s="414"/>
      <c r="F45" s="414"/>
      <c r="G45" s="414"/>
      <c r="H45" s="414"/>
      <c r="I45" s="414"/>
      <c r="J45" s="414"/>
      <c r="K45" s="414"/>
      <c r="L45" s="414"/>
      <c r="M45" s="414"/>
      <c r="N45" s="247"/>
    </row>
    <row r="46" spans="1:14" x14ac:dyDescent="0.2">
      <c r="A46" s="5"/>
      <c r="B46" s="416"/>
      <c r="C46" s="410"/>
      <c r="D46" s="410"/>
      <c r="E46" s="410"/>
      <c r="F46" s="410"/>
      <c r="G46" s="410"/>
      <c r="H46" s="410"/>
      <c r="I46" s="410"/>
      <c r="J46" s="410"/>
      <c r="K46" s="410"/>
      <c r="L46" s="417"/>
      <c r="M46" s="417"/>
      <c r="N46" s="101"/>
    </row>
    <row r="47" spans="1:14" ht="12.95" customHeight="1" x14ac:dyDescent="0.2">
      <c r="A47" s="5"/>
      <c r="B47" s="34" t="s">
        <v>286</v>
      </c>
      <c r="C47" s="33"/>
      <c r="D47" s="34" t="str">
        <f>IFERROR((LEFT(E47,4)-1&amp;IF(MID(E47,5,1)="","","-"&amp;TEXT(MOD(MID(E47,6,2)-1,100),"00"))),"")</f>
        <v>2021-22</v>
      </c>
      <c r="E47" s="34" t="str">
        <f>IFERROR((LEFT(F47,4)-1&amp;IF(MID(F47,5,1)="","","-"&amp;TEXT(MOD(MID(F47,6,2)-1,100),"00"))),"")</f>
        <v>2022-23</v>
      </c>
      <c r="F47" s="34" t="str">
        <f>IFERROR((LEFT(G47,4)-1&amp;IF(MID(G47,5,1)="","","-"&amp;TEXT(MOD(MID(G47,6,2)-1,100),"00"))),"")</f>
        <v>2023-24</v>
      </c>
      <c r="G47" s="34" t="str">
        <f>IFERROR((LEFT(H47,4)-1&amp;IF(MID(H47,5,1)="","","-"&amp;TEXT(MOD(MID(H47,6,2)-1,100),"00"))),"")</f>
        <v>2024-25</v>
      </c>
      <c r="H47" s="34" t="str">
        <f>IFERROR((LEFT(I47,4)-1&amp;IF(MID(I47,5,1)="","","-"&amp;TEXT(MOD(MID(I47,6,2)-1,100),"00"))),"")</f>
        <v>2025-26</v>
      </c>
      <c r="I47" s="48" t="str">
        <f>$C$8</f>
        <v>2026-27</v>
      </c>
      <c r="J47" s="34" t="str">
        <f>IFERROR((LEFT(I47,4)+1&amp;IF(MID(I47,5,1)="","","-"&amp;TEXT(MOD(MID(I47,6,2)+1,100),"00"))),"")</f>
        <v>2027-28</v>
      </c>
      <c r="K47" s="34" t="str">
        <f>IFERROR((LEFT(J47,4)+1&amp;IF(MID(J47,5,1)="","","-"&amp;TEXT(MOD(MID(J47,6,2)+1,100),"00"))),"")</f>
        <v>2028-29</v>
      </c>
      <c r="L47" s="34" t="str">
        <f>IFERROR((LEFT(K47,4)+1&amp;IF(MID(K47,5,1)="","","-"&amp;TEXT(MOD(MID(K47,6,2)+1,100),"00"))),"")</f>
        <v>2029-30</v>
      </c>
      <c r="M47" s="34" t="str">
        <f>IFERROR((LEFT(L47,4)+1&amp;IF(MID(L47,5,1)="","","-"&amp;TEXT(MOD(MID(L47,6,2)+1,100),"00"))),"")</f>
        <v>2030-31</v>
      </c>
      <c r="N47" s="101">
        <f>IF(COUNTA(D48:M51)=0,1,0)</f>
        <v>0</v>
      </c>
    </row>
    <row r="48" spans="1:14" x14ac:dyDescent="0.2">
      <c r="A48" s="5"/>
      <c r="B48" s="252" t="str">
        <f>B42</f>
        <v>WPI - Real labour price growth - Deloitte WPI</v>
      </c>
      <c r="C48" s="410"/>
      <c r="D48" s="431"/>
      <c r="E48" s="431"/>
      <c r="F48" s="431">
        <v>0.5</v>
      </c>
      <c r="G48" s="431">
        <v>0.5</v>
      </c>
      <c r="H48" s="431">
        <v>0.5</v>
      </c>
      <c r="I48" s="431">
        <v>0.5</v>
      </c>
      <c r="J48" s="431">
        <v>0.5</v>
      </c>
      <c r="K48" s="431">
        <v>0.5</v>
      </c>
      <c r="L48" s="431">
        <v>0.5</v>
      </c>
      <c r="M48" s="431">
        <v>0.5</v>
      </c>
      <c r="N48" s="101"/>
    </row>
    <row r="49" spans="1:14" x14ac:dyDescent="0.2">
      <c r="A49" s="5"/>
      <c r="B49" s="252" t="str">
        <f>B43</f>
        <v>WPI - Oxford Economics actual and forecast</v>
      </c>
      <c r="C49" s="410"/>
      <c r="D49" s="419">
        <v>1</v>
      </c>
      <c r="E49" s="419">
        <v>1</v>
      </c>
      <c r="F49" s="431">
        <v>0.5</v>
      </c>
      <c r="G49" s="431">
        <v>0.5</v>
      </c>
      <c r="H49" s="431">
        <v>0.5</v>
      </c>
      <c r="I49" s="419">
        <v>0.5</v>
      </c>
      <c r="J49" s="419">
        <v>0.5</v>
      </c>
      <c r="K49" s="419">
        <v>0.5</v>
      </c>
      <c r="L49" s="419">
        <v>0.5</v>
      </c>
      <c r="M49" s="419">
        <v>0.5</v>
      </c>
      <c r="N49" s="101"/>
    </row>
    <row r="50" spans="1:14" x14ac:dyDescent="0.2">
      <c r="A50" s="5"/>
      <c r="B50" s="252" t="str">
        <f>B44</f>
        <v>Real Labour Price Growth - Super Guarantee</v>
      </c>
      <c r="C50" s="410"/>
      <c r="D50" s="419"/>
      <c r="E50" s="419"/>
      <c r="F50" s="419"/>
      <c r="G50" s="419"/>
      <c r="H50" s="419"/>
      <c r="I50" s="419"/>
      <c r="J50" s="419"/>
      <c r="K50" s="419"/>
      <c r="L50" s="419"/>
      <c r="M50" s="419"/>
      <c r="N50" s="101"/>
    </row>
    <row r="51" spans="1:14" x14ac:dyDescent="0.2">
      <c r="A51" s="5"/>
      <c r="B51" s="252">
        <f>B45</f>
        <v>0</v>
      </c>
      <c r="C51" s="410"/>
      <c r="D51" s="419"/>
      <c r="E51" s="419"/>
      <c r="F51" s="419"/>
      <c r="G51" s="419"/>
      <c r="H51" s="419"/>
      <c r="I51" s="419"/>
      <c r="J51" s="419"/>
      <c r="K51" s="419"/>
      <c r="L51" s="419"/>
      <c r="M51" s="419"/>
      <c r="N51" s="101"/>
    </row>
    <row r="52" spans="1:14" x14ac:dyDescent="0.2">
      <c r="A52" s="5"/>
      <c r="B52" s="5"/>
      <c r="C52" s="5"/>
      <c r="D52" s="101">
        <f t="shared" ref="D52:M52" si="6">IF(OR(SUM(D48:D51)=0,SUM(D48:D51)=1),0,1)</f>
        <v>0</v>
      </c>
      <c r="E52" s="101">
        <f t="shared" si="6"/>
        <v>0</v>
      </c>
      <c r="F52" s="101">
        <f t="shared" si="6"/>
        <v>0</v>
      </c>
      <c r="G52" s="101">
        <f t="shared" si="6"/>
        <v>0</v>
      </c>
      <c r="H52" s="101">
        <f t="shared" si="6"/>
        <v>0</v>
      </c>
      <c r="I52" s="101">
        <f>IF(OR(SUM(I48:I51)=0,SUM(I48:I51)=1),0,1)</f>
        <v>0</v>
      </c>
      <c r="J52" s="101">
        <f t="shared" si="6"/>
        <v>0</v>
      </c>
      <c r="K52" s="101">
        <f t="shared" si="6"/>
        <v>0</v>
      </c>
      <c r="L52" s="101">
        <f t="shared" si="6"/>
        <v>0</v>
      </c>
      <c r="M52" s="101">
        <f t="shared" si="6"/>
        <v>0</v>
      </c>
      <c r="N52" s="101">
        <f>IF(SUM(D52:M52)=0,0,1)</f>
        <v>0</v>
      </c>
    </row>
    <row r="53" spans="1:14" x14ac:dyDescent="0.2">
      <c r="N53" s="247"/>
    </row>
    <row r="54" spans="1:14" ht="15" x14ac:dyDescent="0.25">
      <c r="A54" s="134" t="s">
        <v>287</v>
      </c>
      <c r="B54" s="22" t="s">
        <v>288</v>
      </c>
      <c r="C54" s="21"/>
      <c r="D54" s="22" t="s">
        <v>222</v>
      </c>
      <c r="E54" s="21"/>
      <c r="F54" s="21"/>
      <c r="G54" s="21"/>
      <c r="H54" s="21"/>
      <c r="I54" s="22" t="s">
        <v>223</v>
      </c>
      <c r="J54" s="21"/>
      <c r="K54" s="21"/>
      <c r="L54" s="21"/>
      <c r="M54" s="21"/>
      <c r="N54" s="247"/>
    </row>
    <row r="55" spans="1:14" x14ac:dyDescent="0.2">
      <c r="N55" s="247"/>
    </row>
    <row r="56" spans="1:14" x14ac:dyDescent="0.2">
      <c r="B56" s="33"/>
      <c r="C56" s="33"/>
      <c r="D56" s="34" t="str">
        <f>IFERROR((LEFT(E56,4)-1&amp;IF(MID(E56,5,1)="","","-"&amp;TEXT(MOD(MID(E56,6,2)-1,100),"00"))),"")</f>
        <v>2021-22</v>
      </c>
      <c r="E56" s="34" t="str">
        <f>IFERROR((LEFT(F56,4)-1&amp;IF(MID(F56,5,1)="","","-"&amp;TEXT(MOD(MID(F56,6,2)-1,100),"00"))),"")</f>
        <v>2022-23</v>
      </c>
      <c r="F56" s="34" t="str">
        <f>IFERROR((LEFT(G56,4)-1&amp;IF(MID(G56,5,1)="","","-"&amp;TEXT(MOD(MID(G56,6,2)-1,100),"00"))),"")</f>
        <v>2023-24</v>
      </c>
      <c r="G56" s="34" t="str">
        <f>IFERROR((LEFT(H56,4)-1&amp;IF(MID(H56,5,1)="","","-"&amp;TEXT(MOD(MID(H56,6,2)-1,100),"00"))),"")</f>
        <v>2024-25</v>
      </c>
      <c r="H56" s="34" t="str">
        <f>IFERROR((LEFT(I56,4)-1&amp;IF(MID(I56,5,1)="","","-"&amp;TEXT(MOD(MID(I56,6,2)-1,100),"00"))),"")</f>
        <v>2025-26</v>
      </c>
      <c r="I56" s="48" t="str">
        <f>$C$8</f>
        <v>2026-27</v>
      </c>
      <c r="J56" s="34" t="str">
        <f>IFERROR((LEFT(I56,4)+1&amp;IF(MID(I56,5,1)="","","-"&amp;TEXT(MOD(MID(I56,6,2)+1,100),"00"))),"")</f>
        <v>2027-28</v>
      </c>
      <c r="K56" s="34" t="str">
        <f>IFERROR((LEFT(J56,4)+1&amp;IF(MID(J56,5,1)="","","-"&amp;TEXT(MOD(MID(J56,6,2)+1,100),"00"))),"")</f>
        <v>2028-29</v>
      </c>
      <c r="L56" s="34" t="str">
        <f>IFERROR((LEFT(K56,4)+1&amp;IF(MID(K56,5,1)="","","-"&amp;TEXT(MOD(MID(K56,6,2)+1,100),"00"))),"")</f>
        <v>2029-30</v>
      </c>
      <c r="M56" s="34" t="str">
        <f>IFERROR((LEFT(L56,4)+1&amp;IF(MID(L56,5,1)="","","-"&amp;TEXT(MOD(MID(L56,6,2)+1,100),"00"))),"")</f>
        <v>2030-31</v>
      </c>
      <c r="N56" s="247"/>
    </row>
    <row r="57" spans="1:14" x14ac:dyDescent="0.2">
      <c r="B57" s="410" t="s">
        <v>289</v>
      </c>
      <c r="C57" s="410"/>
      <c r="D57" s="415">
        <f t="shared" ref="D57:M57" si="7">-D$28</f>
        <v>0</v>
      </c>
      <c r="E57" s="415">
        <f t="shared" si="7"/>
        <v>0</v>
      </c>
      <c r="F57" s="415">
        <f t="shared" si="7"/>
        <v>0</v>
      </c>
      <c r="G57" s="415">
        <f t="shared" si="7"/>
        <v>0</v>
      </c>
      <c r="H57" s="415">
        <f t="shared" si="7"/>
        <v>0</v>
      </c>
      <c r="I57" s="415">
        <f t="shared" si="7"/>
        <v>0</v>
      </c>
      <c r="J57" s="415">
        <f t="shared" si="7"/>
        <v>0</v>
      </c>
      <c r="K57" s="415">
        <f t="shared" si="7"/>
        <v>0</v>
      </c>
      <c r="L57" s="415">
        <f t="shared" si="7"/>
        <v>0</v>
      </c>
      <c r="M57" s="415">
        <f t="shared" si="7"/>
        <v>0</v>
      </c>
      <c r="N57" s="247"/>
    </row>
    <row r="58" spans="1:14" x14ac:dyDescent="0.2">
      <c r="B58" s="410" t="s">
        <v>282</v>
      </c>
      <c r="C58" s="410"/>
      <c r="D58" s="239">
        <f>1+D57</f>
        <v>1</v>
      </c>
      <c r="E58" s="239">
        <f t="shared" ref="E58:M58" si="8">IFERROR(D58*(1+E57),"")</f>
        <v>1</v>
      </c>
      <c r="F58" s="239">
        <f t="shared" si="8"/>
        <v>1</v>
      </c>
      <c r="G58" s="239">
        <f t="shared" si="8"/>
        <v>1</v>
      </c>
      <c r="H58" s="239">
        <f t="shared" si="8"/>
        <v>1</v>
      </c>
      <c r="I58" s="239">
        <f t="shared" si="8"/>
        <v>1</v>
      </c>
      <c r="J58" s="239">
        <f t="shared" si="8"/>
        <v>1</v>
      </c>
      <c r="K58" s="239">
        <f t="shared" si="8"/>
        <v>1</v>
      </c>
      <c r="L58" s="239">
        <f t="shared" si="8"/>
        <v>1</v>
      </c>
      <c r="M58" s="239">
        <f t="shared" si="8"/>
        <v>1</v>
      </c>
      <c r="N58" s="247"/>
    </row>
    <row r="59" spans="1:14" x14ac:dyDescent="0.2">
      <c r="B59" s="410" t="str">
        <f>"Escalate from base year to " &amp; C28</f>
        <v xml:space="preserve">Escalate from base year to </v>
      </c>
      <c r="C59" s="410"/>
      <c r="D59" s="240"/>
      <c r="E59" s="240"/>
      <c r="F59" s="240"/>
      <c r="G59" s="240"/>
      <c r="H59" s="240"/>
      <c r="I59" s="239">
        <f>I58/INDEX($D$56:$M$58,3,MATCH($C$9,$D$56:$M$56,0))</f>
        <v>1</v>
      </c>
      <c r="J59" s="240"/>
      <c r="K59" s="240"/>
      <c r="L59" s="240"/>
      <c r="M59" s="240"/>
      <c r="N59" s="247"/>
    </row>
    <row r="60" spans="1:14" x14ac:dyDescent="0.2">
      <c r="B60" s="416"/>
      <c r="C60" s="416"/>
      <c r="D60" s="416"/>
      <c r="E60" s="416"/>
      <c r="F60" s="416"/>
      <c r="G60" s="416"/>
      <c r="H60" s="416"/>
      <c r="I60" s="416"/>
      <c r="J60" s="416"/>
      <c r="K60" s="416"/>
      <c r="L60" s="416"/>
      <c r="M60" s="416"/>
      <c r="N60" s="247"/>
    </row>
    <row r="61" spans="1:14" x14ac:dyDescent="0.2">
      <c r="B61" s="33"/>
      <c r="C61" s="33"/>
      <c r="D61" s="34" t="str">
        <f>IFERROR((LEFT(E61,4)-1&amp;IF(MID(E61,5,1)="","","-"&amp;TEXT(MOD(MID(E61,6,2)-1,100),"00"))),"")</f>
        <v>2021-22</v>
      </c>
      <c r="E61" s="34" t="str">
        <f>IFERROR((LEFT(F61,4)-1&amp;IF(MID(F61,5,1)="","","-"&amp;TEXT(MOD(MID(F61,6,2)-1,100),"00"))),"")</f>
        <v>2022-23</v>
      </c>
      <c r="F61" s="34" t="str">
        <f>IFERROR((LEFT(G61,4)-1&amp;IF(MID(G61,5,1)="","","-"&amp;TEXT(MOD(MID(G61,6,2)-1,100),"00"))),"")</f>
        <v>2023-24</v>
      </c>
      <c r="G61" s="34" t="str">
        <f>IFERROR((LEFT(H61,4)-1&amp;IF(MID(H61,5,1)="","","-"&amp;TEXT(MOD(MID(H61,6,2)-1,100),"00"))),"")</f>
        <v>2024-25</v>
      </c>
      <c r="H61" s="34" t="str">
        <f>IFERROR((LEFT(I61,4)-1&amp;IF(MID(I61,5,1)="","","-"&amp;TEXT(MOD(MID(I61,6,2)-1,100),"00"))),"")</f>
        <v>2025-26</v>
      </c>
      <c r="I61" s="48" t="str">
        <f>$C$8</f>
        <v>2026-27</v>
      </c>
      <c r="J61" s="34" t="str">
        <f>IFERROR((LEFT(I61,4)+1&amp;IF(MID(I61,5,1)="","","-"&amp;TEXT(MOD(MID(I61,6,2)+1,100),"00"))),"")</f>
        <v>2027-28</v>
      </c>
      <c r="K61" s="34" t="str">
        <f>IFERROR((LEFT(J61,4)+1&amp;IF(MID(J61,5,1)="","","-"&amp;TEXT(MOD(MID(J61,6,2)+1,100),"00"))),"")</f>
        <v>2028-29</v>
      </c>
      <c r="L61" s="34" t="str">
        <f>IFERROR((LEFT(K61,4)+1&amp;IF(MID(K61,5,1)="","","-"&amp;TEXT(MOD(MID(K61,6,2)+1,100),"00"))),"")</f>
        <v>2029-30</v>
      </c>
      <c r="M61" s="34" t="str">
        <f>IFERROR((LEFT(L61,4)+1&amp;IF(MID(L61,5,1)="","","-"&amp;TEXT(MOD(MID(L61,6,2)+1,100),"00"))),"")</f>
        <v>2030-31</v>
      </c>
      <c r="N61" s="247"/>
    </row>
    <row r="62" spans="1:14" x14ac:dyDescent="0.2">
      <c r="B62" s="410" t="s">
        <v>290</v>
      </c>
      <c r="C62" s="410"/>
      <c r="D62" s="415">
        <f t="shared" ref="D62:M62" si="9">-D$29</f>
        <v>0</v>
      </c>
      <c r="E62" s="415">
        <f t="shared" si="9"/>
        <v>0</v>
      </c>
      <c r="F62" s="415">
        <f t="shared" si="9"/>
        <v>0</v>
      </c>
      <c r="G62" s="415">
        <f t="shared" si="9"/>
        <v>0</v>
      </c>
      <c r="H62" s="415">
        <f t="shared" si="9"/>
        <v>0</v>
      </c>
      <c r="I62" s="415">
        <f t="shared" si="9"/>
        <v>0</v>
      </c>
      <c r="J62" s="415">
        <f t="shared" si="9"/>
        <v>0</v>
      </c>
      <c r="K62" s="415">
        <f t="shared" si="9"/>
        <v>0</v>
      </c>
      <c r="L62" s="415">
        <f t="shared" si="9"/>
        <v>0</v>
      </c>
      <c r="M62" s="415">
        <f t="shared" si="9"/>
        <v>0</v>
      </c>
      <c r="N62" s="247"/>
    </row>
    <row r="63" spans="1:14" x14ac:dyDescent="0.2">
      <c r="B63" s="410" t="s">
        <v>282</v>
      </c>
      <c r="C63" s="410"/>
      <c r="D63" s="239">
        <f>1+D62</f>
        <v>1</v>
      </c>
      <c r="E63" s="239">
        <f t="shared" ref="E63:M63" si="10">IFERROR(D63*(1+E62),"")</f>
        <v>1</v>
      </c>
      <c r="F63" s="239">
        <f t="shared" si="10"/>
        <v>1</v>
      </c>
      <c r="G63" s="239">
        <f t="shared" si="10"/>
        <v>1</v>
      </c>
      <c r="H63" s="239">
        <f t="shared" si="10"/>
        <v>1</v>
      </c>
      <c r="I63" s="239">
        <f t="shared" si="10"/>
        <v>1</v>
      </c>
      <c r="J63" s="239">
        <f t="shared" si="10"/>
        <v>1</v>
      </c>
      <c r="K63" s="239">
        <f t="shared" si="10"/>
        <v>1</v>
      </c>
      <c r="L63" s="239">
        <f t="shared" si="10"/>
        <v>1</v>
      </c>
      <c r="M63" s="239">
        <f t="shared" si="10"/>
        <v>1</v>
      </c>
      <c r="N63" s="247"/>
    </row>
    <row r="64" spans="1:14" x14ac:dyDescent="0.2">
      <c r="B64" s="410" t="str">
        <f>"Escalate from base year to " &amp; C33</f>
        <v xml:space="preserve">Escalate from base year to </v>
      </c>
      <c r="C64" s="410"/>
      <c r="D64" s="240"/>
      <c r="E64" s="240"/>
      <c r="F64" s="240"/>
      <c r="G64" s="240"/>
      <c r="H64" s="240"/>
      <c r="I64" s="239">
        <f>I63/INDEX($D$61:$M$63,3,MATCH($C$9,$D$61:$M$61,0))</f>
        <v>1</v>
      </c>
      <c r="J64" s="240"/>
      <c r="K64" s="240"/>
      <c r="L64" s="240"/>
      <c r="M64" s="240"/>
      <c r="N64" s="247"/>
    </row>
    <row r="65" spans="2:14" x14ac:dyDescent="0.2">
      <c r="B65" s="416"/>
      <c r="C65" s="416"/>
      <c r="D65" s="416"/>
      <c r="E65" s="416"/>
      <c r="F65" s="416"/>
      <c r="G65" s="416"/>
      <c r="H65" s="416"/>
      <c r="I65" s="416"/>
      <c r="J65" s="416"/>
      <c r="K65" s="416"/>
      <c r="L65" s="416"/>
      <c r="M65" s="416"/>
      <c r="N65" s="247"/>
    </row>
    <row r="66" spans="2:14" x14ac:dyDescent="0.2">
      <c r="B66" s="33"/>
      <c r="C66" s="33"/>
      <c r="D66" s="34" t="str">
        <f>IFERROR((LEFT(E66,4)-1&amp;IF(MID(E66,5,1)="","","-"&amp;TEXT(MOD(MID(E66,6,2)-1,100),"00"))),"")</f>
        <v>2021-22</v>
      </c>
      <c r="E66" s="34" t="str">
        <f>IFERROR((LEFT(F66,4)-1&amp;IF(MID(F66,5,1)="","","-"&amp;TEXT(MOD(MID(F66,6,2)-1,100),"00"))),"")</f>
        <v>2022-23</v>
      </c>
      <c r="F66" s="34" t="str">
        <f>IFERROR((LEFT(G66,4)-1&amp;IF(MID(G66,5,1)="","","-"&amp;TEXT(MOD(MID(G66,6,2)-1,100),"00"))),"")</f>
        <v>2023-24</v>
      </c>
      <c r="G66" s="34" t="str">
        <f>IFERROR((LEFT(H66,4)-1&amp;IF(MID(H66,5,1)="","","-"&amp;TEXT(MOD(MID(H66,6,2)-1,100),"00"))),"")</f>
        <v>2024-25</v>
      </c>
      <c r="H66" s="34" t="str">
        <f>IFERROR((LEFT(I66,4)-1&amp;IF(MID(I66,5,1)="","","-"&amp;TEXT(MOD(MID(I66,6,2)-1,100),"00"))),"")</f>
        <v>2025-26</v>
      </c>
      <c r="I66" s="48" t="str">
        <f>$C$8</f>
        <v>2026-27</v>
      </c>
      <c r="J66" s="34" t="str">
        <f>IFERROR((LEFT(I66,4)+1&amp;IF(MID(I66,5,1)="","","-"&amp;TEXT(MOD(MID(I66,6,2)+1,100),"00"))),"")</f>
        <v>2027-28</v>
      </c>
      <c r="K66" s="34" t="str">
        <f>IFERROR((LEFT(J66,4)+1&amp;IF(MID(J66,5,1)="","","-"&amp;TEXT(MOD(MID(J66,6,2)+1,100),"00"))),"")</f>
        <v>2028-29</v>
      </c>
      <c r="L66" s="34" t="str">
        <f>IFERROR((LEFT(K66,4)+1&amp;IF(MID(K66,5,1)="","","-"&amp;TEXT(MOD(MID(K66,6,2)+1,100),"00"))),"")</f>
        <v>2029-30</v>
      </c>
      <c r="M66" s="34" t="str">
        <f>IFERROR((LEFT(L66,4)+1&amp;IF(MID(L66,5,1)="","","-"&amp;TEXT(MOD(MID(L66,6,2)+1,100),"00"))),"")</f>
        <v>2030-31</v>
      </c>
      <c r="N66" s="247"/>
    </row>
    <row r="67" spans="2:14" x14ac:dyDescent="0.2">
      <c r="B67" s="410" t="s">
        <v>291</v>
      </c>
      <c r="C67" s="410"/>
      <c r="D67" s="415">
        <f t="shared" ref="D67:M67" si="11">-D$30</f>
        <v>0</v>
      </c>
      <c r="E67" s="415">
        <f t="shared" si="11"/>
        <v>0</v>
      </c>
      <c r="F67" s="415">
        <f t="shared" si="11"/>
        <v>0</v>
      </c>
      <c r="G67" s="415">
        <f t="shared" si="11"/>
        <v>0</v>
      </c>
      <c r="H67" s="415">
        <f t="shared" si="11"/>
        <v>0</v>
      </c>
      <c r="I67" s="415">
        <f t="shared" si="11"/>
        <v>0</v>
      </c>
      <c r="J67" s="415">
        <f t="shared" si="11"/>
        <v>0</v>
      </c>
      <c r="K67" s="415">
        <f t="shared" si="11"/>
        <v>0</v>
      </c>
      <c r="L67" s="415">
        <f t="shared" si="11"/>
        <v>0</v>
      </c>
      <c r="M67" s="415">
        <f t="shared" si="11"/>
        <v>0</v>
      </c>
      <c r="N67" s="247"/>
    </row>
    <row r="68" spans="2:14" x14ac:dyDescent="0.2">
      <c r="B68" s="410" t="s">
        <v>282</v>
      </c>
      <c r="C68" s="410"/>
      <c r="D68" s="239">
        <f>1+D67</f>
        <v>1</v>
      </c>
      <c r="E68" s="239">
        <f t="shared" ref="E68:M68" si="12">IFERROR(D68*(1+E67),"")</f>
        <v>1</v>
      </c>
      <c r="F68" s="239">
        <f t="shared" si="12"/>
        <v>1</v>
      </c>
      <c r="G68" s="239">
        <f t="shared" si="12"/>
        <v>1</v>
      </c>
      <c r="H68" s="239">
        <f t="shared" si="12"/>
        <v>1</v>
      </c>
      <c r="I68" s="239">
        <f t="shared" si="12"/>
        <v>1</v>
      </c>
      <c r="J68" s="239">
        <f t="shared" si="12"/>
        <v>1</v>
      </c>
      <c r="K68" s="239">
        <f t="shared" si="12"/>
        <v>1</v>
      </c>
      <c r="L68" s="239">
        <f t="shared" si="12"/>
        <v>1</v>
      </c>
      <c r="M68" s="239">
        <f t="shared" si="12"/>
        <v>1</v>
      </c>
      <c r="N68" s="247"/>
    </row>
    <row r="69" spans="2:14" x14ac:dyDescent="0.2">
      <c r="B69" s="410" t="str">
        <f>"Escalate from base year to " &amp; C38</f>
        <v xml:space="preserve">Escalate from base year to </v>
      </c>
      <c r="C69" s="410"/>
      <c r="D69" s="240"/>
      <c r="E69" s="240"/>
      <c r="F69" s="240"/>
      <c r="G69" s="240"/>
      <c r="H69" s="240"/>
      <c r="I69" s="239">
        <f>I68/INDEX($D$66:$M$68,3,MATCH($C$9,$D$66:$M$66,0))</f>
        <v>1</v>
      </c>
      <c r="J69" s="240"/>
      <c r="K69" s="240"/>
      <c r="L69" s="240"/>
      <c r="M69" s="240"/>
      <c r="N69" s="247"/>
    </row>
    <row r="70" spans="2:14" x14ac:dyDescent="0.2">
      <c r="B70" s="416"/>
      <c r="C70" s="416"/>
      <c r="D70" s="416"/>
      <c r="E70" s="416"/>
      <c r="F70" s="416"/>
      <c r="G70" s="416"/>
      <c r="H70" s="416"/>
      <c r="I70" s="416"/>
      <c r="J70" s="416"/>
      <c r="K70" s="416"/>
      <c r="L70" s="416"/>
      <c r="M70" s="416"/>
      <c r="N70" s="247"/>
    </row>
    <row r="71" spans="2:14" x14ac:dyDescent="0.2">
      <c r="B71" s="33"/>
      <c r="C71" s="33"/>
      <c r="D71" s="34" t="str">
        <f>IFERROR((LEFT(E71,4)-1&amp;IF(MID(E71,5,1)="","","-"&amp;TEXT(MOD(MID(E71,6,2)-1,100),"00"))),"")</f>
        <v>2021-22</v>
      </c>
      <c r="E71" s="34" t="str">
        <f>IFERROR((LEFT(F71,4)-1&amp;IF(MID(F71,5,1)="","","-"&amp;TEXT(MOD(MID(F71,6,2)-1,100),"00"))),"")</f>
        <v>2022-23</v>
      </c>
      <c r="F71" s="34" t="str">
        <f>IFERROR((LEFT(G71,4)-1&amp;IF(MID(G71,5,1)="","","-"&amp;TEXT(MOD(MID(G71,6,2)-1,100),"00"))),"")</f>
        <v>2023-24</v>
      </c>
      <c r="G71" s="34" t="str">
        <f>IFERROR((LEFT(H71,4)-1&amp;IF(MID(H71,5,1)="","","-"&amp;TEXT(MOD(MID(H71,6,2)-1,100),"00"))),"")</f>
        <v>2024-25</v>
      </c>
      <c r="H71" s="34" t="str">
        <f>IFERROR((LEFT(I71,4)-1&amp;IF(MID(I71,5,1)="","","-"&amp;TEXT(MOD(MID(I71,6,2)-1,100),"00"))),"")</f>
        <v>2025-26</v>
      </c>
      <c r="I71" s="48" t="str">
        <f>$C$8</f>
        <v>2026-27</v>
      </c>
      <c r="J71" s="34" t="str">
        <f>IFERROR((LEFT(I71,4)+1&amp;IF(MID(I71,5,1)="","","-"&amp;TEXT(MOD(MID(I71,6,2)+1,100),"00"))),"")</f>
        <v>2027-28</v>
      </c>
      <c r="K71" s="34" t="str">
        <f>IFERROR((LEFT(J71,4)+1&amp;IF(MID(J71,5,1)="","","-"&amp;TEXT(MOD(MID(J71,6,2)+1,100),"00"))),"")</f>
        <v>2028-29</v>
      </c>
      <c r="L71" s="34" t="str">
        <f>IFERROR((LEFT(K71,4)+1&amp;IF(MID(K71,5,1)="","","-"&amp;TEXT(MOD(MID(K71,6,2)+1,100),"00"))),"")</f>
        <v>2029-30</v>
      </c>
      <c r="M71" s="34" t="str">
        <f>IFERROR((LEFT(L71,4)+1&amp;IF(MID(L71,5,1)="","","-"&amp;TEXT(MOD(MID(L71,6,2)+1,100),"00"))),"")</f>
        <v>2030-31</v>
      </c>
      <c r="N71" s="247"/>
    </row>
    <row r="72" spans="2:14" x14ac:dyDescent="0.2">
      <c r="B72" s="410" t="s">
        <v>292</v>
      </c>
      <c r="C72" s="410"/>
      <c r="D72" s="415">
        <f t="shared" ref="D72:M72" si="13">-D$31</f>
        <v>0</v>
      </c>
      <c r="E72" s="415">
        <f t="shared" si="13"/>
        <v>0</v>
      </c>
      <c r="F72" s="415">
        <f t="shared" si="13"/>
        <v>0</v>
      </c>
      <c r="G72" s="415">
        <f t="shared" si="13"/>
        <v>0</v>
      </c>
      <c r="H72" s="415">
        <f t="shared" si="13"/>
        <v>0</v>
      </c>
      <c r="I72" s="415">
        <f t="shared" si="13"/>
        <v>0</v>
      </c>
      <c r="J72" s="415">
        <f t="shared" si="13"/>
        <v>0</v>
      </c>
      <c r="K72" s="415">
        <f t="shared" si="13"/>
        <v>0</v>
      </c>
      <c r="L72" s="415">
        <f t="shared" si="13"/>
        <v>0</v>
      </c>
      <c r="M72" s="415">
        <f t="shared" si="13"/>
        <v>0</v>
      </c>
      <c r="N72" s="247"/>
    </row>
    <row r="73" spans="2:14" x14ac:dyDescent="0.2">
      <c r="B73" s="410" t="s">
        <v>282</v>
      </c>
      <c r="C73" s="410"/>
      <c r="D73" s="239">
        <f>1+D72</f>
        <v>1</v>
      </c>
      <c r="E73" s="239">
        <f t="shared" ref="E73:M73" si="14">IFERROR(D73*(1+E72),"")</f>
        <v>1</v>
      </c>
      <c r="F73" s="239">
        <f t="shared" si="14"/>
        <v>1</v>
      </c>
      <c r="G73" s="239">
        <f t="shared" si="14"/>
        <v>1</v>
      </c>
      <c r="H73" s="239">
        <f t="shared" si="14"/>
        <v>1</v>
      </c>
      <c r="I73" s="239">
        <f t="shared" si="14"/>
        <v>1</v>
      </c>
      <c r="J73" s="239">
        <f t="shared" si="14"/>
        <v>1</v>
      </c>
      <c r="K73" s="239">
        <f t="shared" si="14"/>
        <v>1</v>
      </c>
      <c r="L73" s="239">
        <f t="shared" si="14"/>
        <v>1</v>
      </c>
      <c r="M73" s="239">
        <f t="shared" si="14"/>
        <v>1</v>
      </c>
      <c r="N73" s="247"/>
    </row>
    <row r="74" spans="2:14" x14ac:dyDescent="0.2">
      <c r="B74" s="410" t="str">
        <f>"Escalate from base year to " &amp; C43</f>
        <v xml:space="preserve">Escalate from base year to </v>
      </c>
      <c r="C74" s="410"/>
      <c r="D74" s="240"/>
      <c r="E74" s="240"/>
      <c r="F74" s="240"/>
      <c r="G74" s="240"/>
      <c r="H74" s="240"/>
      <c r="I74" s="239">
        <f>I73/INDEX($D$71:$M$73,3,MATCH($C$9,$D$71:$M$71,0))</f>
        <v>1</v>
      </c>
      <c r="J74" s="240"/>
      <c r="K74" s="240"/>
      <c r="L74" s="240"/>
      <c r="M74" s="240"/>
      <c r="N74" s="247"/>
    </row>
    <row r="75" spans="2:14" x14ac:dyDescent="0.2">
      <c r="N75" s="247"/>
    </row>
    <row r="76" spans="2:14" x14ac:dyDescent="0.2">
      <c r="N76" s="247"/>
    </row>
    <row r="77" spans="2:14" x14ac:dyDescent="0.2">
      <c r="N77" s="247"/>
    </row>
    <row r="78" spans="2:14" x14ac:dyDescent="0.2">
      <c r="N78" s="247"/>
    </row>
  </sheetData>
  <conditionalFormatting sqref="G1">
    <cfRule type="cellIs" dxfId="99" priority="5" operator="equal">
      <formula>"Check"</formula>
    </cfRule>
    <cfRule type="cellIs" dxfId="98" priority="6" operator="equal">
      <formula>"Ok"</formula>
    </cfRule>
  </conditionalFormatting>
  <pageMargins left="0.7" right="0.7" top="0.75" bottom="0.75" header="0.3" footer="0.3"/>
  <pageSetup paperSize="9" orientation="portrait" horizontalDpi="300" verticalDpi="300" r:id="rId1"/>
  <drawing r:id="rId2"/>
  <extLst>
    <ext xmlns:x14="http://schemas.microsoft.com/office/spreadsheetml/2009/9/main" uri="{78C0D931-6437-407d-A8EE-F0AAD7539E65}">
      <x14:conditionalFormattings>
        <x14:conditionalFormatting xmlns:xm="http://schemas.microsoft.com/office/excel/2006/main">
          <x14:cfRule type="iconSet" priority="3" id="{E4E37A59-FF09-4DF6-84F4-F572611C4D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D52:M52</xm:sqref>
        </x14:conditionalFormatting>
        <x14:conditionalFormatting xmlns:xm="http://schemas.microsoft.com/office/excel/2006/main">
          <x14:cfRule type="iconSet" priority="8" id="{4FC9ACD2-22B6-449A-A636-AC94114D73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N20</xm:sqref>
        </x14:conditionalFormatting>
        <x14:conditionalFormatting xmlns:xm="http://schemas.microsoft.com/office/excel/2006/main">
          <x14:cfRule type="iconSet" priority="7" id="{9CD1AC71-F9DB-4744-B321-14327E2A8CF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N21</xm:sqref>
        </x14:conditionalFormatting>
        <x14:conditionalFormatting xmlns:xm="http://schemas.microsoft.com/office/excel/2006/main">
          <x14:cfRule type="iconSet" priority="11" id="{78146A91-3547-4929-8824-7E54DA1ADAC7}">
            <x14:iconSet showValue="0" custom="1">
              <x14:cfvo type="percent">
                <xm:f>0</xm:f>
              </x14:cfvo>
              <x14:cfvo type="num">
                <xm:f>10</xm:f>
              </x14:cfvo>
              <x14:cfvo type="num" gte="0">
                <xm:f>10</xm:f>
              </x14:cfvo>
              <x14:cfIcon iconSet="3TrafficLights1" iconId="0"/>
              <x14:cfIcon iconSet="3TrafficLights1" iconId="2"/>
              <x14:cfIcon iconSet="3TrafficLights1" iconId="0"/>
            </x14:iconSet>
          </x14:cfRule>
          <xm:sqref>N26</xm:sqref>
        </x14:conditionalFormatting>
        <x14:conditionalFormatting xmlns:xm="http://schemas.microsoft.com/office/excel/2006/main">
          <x14:cfRule type="iconSet" priority="12" id="{F76E90AA-C7EE-4C82-899B-432838DEAB3E}">
            <x14:iconSet showValue="0" custom="1">
              <x14:cfvo type="percent">
                <xm:f>0</xm:f>
              </x14:cfvo>
              <x14:cfvo type="num">
                <xm:f>21</xm:f>
              </x14:cfvo>
              <x14:cfvo type="num" gte="0">
                <xm:f>21</xm:f>
              </x14:cfvo>
              <x14:cfIcon iconSet="3TrafficLights1" iconId="0"/>
              <x14:cfIcon iconSet="3TrafficLights1" iconId="2"/>
              <x14:cfIcon iconSet="3TrafficLights1" iconId="0"/>
            </x14:iconSet>
          </x14:cfRule>
          <xm:sqref>N36 N15</xm:sqref>
        </x14:conditionalFormatting>
        <x14:conditionalFormatting xmlns:xm="http://schemas.microsoft.com/office/excel/2006/main">
          <x14:cfRule type="iconSet" priority="10" id="{19D0DAD1-17E6-439A-94C2-EEBBD74F8F5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N41:N42</xm:sqref>
        </x14:conditionalFormatting>
        <x14:conditionalFormatting xmlns:xm="http://schemas.microsoft.com/office/excel/2006/main">
          <x14:cfRule type="iconSet" priority="9" id="{55389973-AF46-42A6-9C83-BA74270988B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N47</xm:sqref>
        </x14:conditionalFormatting>
        <x14:conditionalFormatting xmlns:xm="http://schemas.microsoft.com/office/excel/2006/main">
          <x14:cfRule type="iconSet" priority="4" id="{28A1BCAC-D26F-4906-95C7-AD2104CB34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79998168889431442"/>
  </sheetPr>
  <dimension ref="A1:J47"/>
  <sheetViews>
    <sheetView showGridLines="0" zoomScaleNormal="100" workbookViewId="0">
      <pane ySplit="2" topLeftCell="A36" activePane="bottomLeft" state="frozen"/>
      <selection activeCell="A2" sqref="A2"/>
      <selection pane="bottomLeft" activeCell="K20" sqref="K20"/>
    </sheetView>
  </sheetViews>
  <sheetFormatPr defaultColWidth="8.7109375" defaultRowHeight="12.6" customHeight="1" x14ac:dyDescent="0.2"/>
  <cols>
    <col min="1" max="1" width="5.5703125" customWidth="1"/>
    <col min="2" max="2" width="65.85546875" customWidth="1"/>
    <col min="3" max="3" width="17.85546875" customWidth="1"/>
    <col min="4" max="4" width="25.42578125" bestFit="1" customWidth="1"/>
    <col min="5" max="5" width="17.85546875" customWidth="1"/>
    <col min="6" max="6" width="24.42578125" bestFit="1" customWidth="1"/>
    <col min="7" max="7" width="20.5703125" bestFit="1" customWidth="1"/>
    <col min="8" max="8" width="14.42578125" bestFit="1" customWidth="1"/>
    <col min="9" max="9" width="17.42578125" bestFit="1" customWidth="1"/>
    <col min="10" max="10" width="35.140625" bestFit="1" customWidth="1"/>
  </cols>
  <sheetData>
    <row r="1" spans="1:10" s="1" customFormat="1" ht="24.95" customHeight="1" x14ac:dyDescent="0.2">
      <c r="A1" s="27"/>
      <c r="B1" s="35" t="str">
        <f>IFERROR(Index!B1,"")</f>
        <v>Jemena Electricity Networks – Alternative Control Services Forecast model</v>
      </c>
      <c r="C1" s="28" t="s">
        <v>115</v>
      </c>
      <c r="D1" s="37" t="s">
        <v>116</v>
      </c>
      <c r="E1" s="27"/>
      <c r="F1" s="28" t="s">
        <v>117</v>
      </c>
      <c r="G1" s="122" t="s">
        <v>293</v>
      </c>
      <c r="H1" s="27"/>
      <c r="I1" s="27"/>
      <c r="J1" s="27"/>
    </row>
    <row r="2" spans="1:10" ht="24.95" customHeight="1" x14ac:dyDescent="0.2">
      <c r="A2" s="27"/>
      <c r="B2" s="35" t="str">
        <f ca="1">IFERROR(MID(CELL("filename",A1),FIND("]",CELL("filename",A1))+1,255),"")</f>
        <v>Input|Indirect Cost Rates</v>
      </c>
      <c r="C2" s="28"/>
      <c r="D2" s="69" t="s">
        <v>118</v>
      </c>
      <c r="E2" s="28"/>
      <c r="F2" s="27"/>
      <c r="G2" s="27"/>
      <c r="H2" s="27"/>
      <c r="I2" s="27"/>
      <c r="J2" s="27"/>
    </row>
    <row r="5" spans="1:10" ht="15" x14ac:dyDescent="0.25">
      <c r="A5" s="134">
        <v>5.0999999999999996</v>
      </c>
      <c r="B5" s="22" t="s">
        <v>294</v>
      </c>
      <c r="C5" s="21"/>
      <c r="D5" s="21"/>
      <c r="E5" s="21"/>
      <c r="F5" s="21"/>
      <c r="G5" s="21"/>
      <c r="H5" s="21"/>
      <c r="I5" s="21"/>
      <c r="J5" s="21"/>
    </row>
    <row r="7" spans="1:10" ht="12.75" x14ac:dyDescent="0.2">
      <c r="B7" s="84" t="s">
        <v>295</v>
      </c>
      <c r="C7" s="86" t="s">
        <v>296</v>
      </c>
      <c r="D7" s="147" t="s">
        <v>297</v>
      </c>
      <c r="E7" s="148" t="s">
        <v>298</v>
      </c>
      <c r="F7" s="148" t="s">
        <v>299</v>
      </c>
      <c r="G7" s="149" t="s">
        <v>300</v>
      </c>
      <c r="H7" s="149" t="s">
        <v>301</v>
      </c>
      <c r="I7" s="149" t="s">
        <v>302</v>
      </c>
      <c r="J7" s="149"/>
    </row>
    <row r="8" spans="1:10" ht="12.75" x14ac:dyDescent="0.2">
      <c r="B8" s="233" t="s">
        <v>303</v>
      </c>
      <c r="C8" s="234" t="s">
        <v>9</v>
      </c>
      <c r="D8" s="235">
        <v>0.17150000000000001</v>
      </c>
      <c r="E8" s="235">
        <v>0.18779999999999999</v>
      </c>
      <c r="F8" s="235">
        <v>0.17150000000000001</v>
      </c>
      <c r="G8" s="235">
        <v>0.17150000000000001</v>
      </c>
      <c r="H8" s="235">
        <v>0.17150000000000001</v>
      </c>
      <c r="I8" s="235">
        <v>0</v>
      </c>
      <c r="J8" s="268" t="s">
        <v>304</v>
      </c>
    </row>
    <row r="9" spans="1:10" ht="12.75" x14ac:dyDescent="0.2">
      <c r="B9" s="233" t="s">
        <v>305</v>
      </c>
      <c r="C9" s="234" t="s">
        <v>9</v>
      </c>
      <c r="D9" s="235">
        <v>0.12</v>
      </c>
      <c r="E9" s="235">
        <v>0.12</v>
      </c>
      <c r="F9" s="235">
        <v>0.12</v>
      </c>
      <c r="G9" s="235">
        <v>0.12</v>
      </c>
      <c r="H9" s="235">
        <v>0.12</v>
      </c>
      <c r="I9" s="235">
        <v>0.12</v>
      </c>
      <c r="J9" s="268" t="s">
        <v>304</v>
      </c>
    </row>
    <row r="10" spans="1:10" ht="12.75" x14ac:dyDescent="0.2">
      <c r="B10" s="233" t="s">
        <v>306</v>
      </c>
      <c r="C10" s="234" t="s">
        <v>9</v>
      </c>
      <c r="D10" s="235">
        <v>6.5100000000000002E-3</v>
      </c>
      <c r="E10" s="235">
        <v>6.5100000000000002E-3</v>
      </c>
      <c r="F10" s="235">
        <v>6.5100000000000002E-3</v>
      </c>
      <c r="G10" s="235">
        <v>6.5100000000000002E-3</v>
      </c>
      <c r="H10" s="235">
        <v>6.5100000000000002E-3</v>
      </c>
      <c r="I10" s="235">
        <v>6.5100000000000002E-3</v>
      </c>
      <c r="J10" s="268" t="s">
        <v>304</v>
      </c>
    </row>
    <row r="11" spans="1:10" ht="12.75" x14ac:dyDescent="0.2">
      <c r="B11" s="233" t="s">
        <v>307</v>
      </c>
      <c r="C11" s="234" t="s">
        <v>9</v>
      </c>
      <c r="D11" s="235">
        <v>5.8500000000000003E-2</v>
      </c>
      <c r="E11" s="235">
        <v>5.8500000000000003E-2</v>
      </c>
      <c r="F11" s="235">
        <v>5.8500000000000003E-2</v>
      </c>
      <c r="G11" s="235">
        <v>5.8500000000000003E-2</v>
      </c>
      <c r="H11" s="235">
        <v>5.8500000000000003E-2</v>
      </c>
      <c r="I11" s="235">
        <v>5.8500000000000003E-2</v>
      </c>
      <c r="J11" s="268" t="s">
        <v>304</v>
      </c>
    </row>
    <row r="12" spans="1:10" ht="12.75" x14ac:dyDescent="0.2">
      <c r="B12" s="233" t="s">
        <v>308</v>
      </c>
      <c r="C12" s="234" t="s">
        <v>9</v>
      </c>
      <c r="D12" s="235">
        <v>0.02</v>
      </c>
      <c r="E12" s="235">
        <v>0.02</v>
      </c>
      <c r="F12" s="235">
        <v>0.02</v>
      </c>
      <c r="G12" s="235">
        <v>0.02</v>
      </c>
      <c r="H12" s="235">
        <v>0.02</v>
      </c>
      <c r="I12" s="235">
        <v>0</v>
      </c>
      <c r="J12" s="268" t="s">
        <v>304</v>
      </c>
    </row>
    <row r="13" spans="1:10" ht="12.75" x14ac:dyDescent="0.2">
      <c r="B13" s="233" t="s">
        <v>309</v>
      </c>
      <c r="C13" s="234" t="s">
        <v>9</v>
      </c>
      <c r="D13" s="235">
        <v>2.5000000000000001E-2</v>
      </c>
      <c r="E13" s="235">
        <v>2.5000000000000001E-2</v>
      </c>
      <c r="F13" s="235">
        <v>2.5000000000000001E-2</v>
      </c>
      <c r="G13" s="235">
        <v>2.5000000000000001E-2</v>
      </c>
      <c r="H13" s="235">
        <v>2.5000000000000001E-2</v>
      </c>
      <c r="I13" s="235">
        <v>0</v>
      </c>
      <c r="J13" s="268" t="s">
        <v>304</v>
      </c>
    </row>
    <row r="14" spans="1:10" ht="12.75" x14ac:dyDescent="0.2">
      <c r="B14" s="233" t="s">
        <v>310</v>
      </c>
      <c r="C14" s="234" t="s">
        <v>9</v>
      </c>
      <c r="D14" s="235">
        <v>0</v>
      </c>
      <c r="E14" s="235">
        <v>0</v>
      </c>
      <c r="F14" s="235">
        <v>0</v>
      </c>
      <c r="G14" s="235">
        <v>0</v>
      </c>
      <c r="H14" s="235">
        <v>0</v>
      </c>
      <c r="I14" s="235">
        <v>0</v>
      </c>
      <c r="J14" s="268" t="s">
        <v>304</v>
      </c>
    </row>
    <row r="15" spans="1:10" ht="12.75" x14ac:dyDescent="0.2">
      <c r="B15" s="233" t="s">
        <v>212</v>
      </c>
      <c r="C15" s="234" t="s">
        <v>9</v>
      </c>
      <c r="D15" s="235">
        <v>0</v>
      </c>
      <c r="E15" s="235">
        <v>0</v>
      </c>
      <c r="F15" s="235">
        <v>0</v>
      </c>
      <c r="G15" s="235">
        <v>0</v>
      </c>
      <c r="H15" s="235">
        <v>0</v>
      </c>
      <c r="I15" s="235">
        <v>0</v>
      </c>
      <c r="J15" s="268" t="s">
        <v>304</v>
      </c>
    </row>
    <row r="16" spans="1:10" ht="12.75" x14ac:dyDescent="0.2">
      <c r="B16" s="233" t="s">
        <v>311</v>
      </c>
      <c r="C16" s="234" t="s">
        <v>9</v>
      </c>
      <c r="D16" s="235">
        <v>0</v>
      </c>
      <c r="E16" s="235">
        <v>7.0000000000000001E-3</v>
      </c>
      <c r="F16" s="235">
        <v>0</v>
      </c>
      <c r="G16" s="235">
        <v>0</v>
      </c>
      <c r="H16" s="235">
        <v>0</v>
      </c>
      <c r="I16" s="235">
        <v>0</v>
      </c>
      <c r="J16" s="268" t="s">
        <v>304</v>
      </c>
    </row>
    <row r="17" spans="1:10" ht="12.75" x14ac:dyDescent="0.2">
      <c r="B17" s="233" t="s">
        <v>312</v>
      </c>
      <c r="C17" s="234" t="s">
        <v>9</v>
      </c>
      <c r="D17" s="235">
        <v>0</v>
      </c>
      <c r="E17" s="235">
        <v>0</v>
      </c>
      <c r="F17" s="235">
        <v>7.571406071948044E-3</v>
      </c>
      <c r="G17" s="235">
        <v>7.571406071948044E-3</v>
      </c>
      <c r="H17" s="235">
        <v>7.571406071948044E-3</v>
      </c>
      <c r="I17" s="235">
        <v>0</v>
      </c>
      <c r="J17" s="268" t="s">
        <v>304</v>
      </c>
    </row>
    <row r="18" spans="1:10" ht="12.75" x14ac:dyDescent="0.2">
      <c r="B18" s="233" t="s">
        <v>313</v>
      </c>
      <c r="C18" s="234" t="s">
        <v>9</v>
      </c>
      <c r="D18" s="235">
        <v>0</v>
      </c>
      <c r="E18" s="235">
        <v>0</v>
      </c>
      <c r="F18" s="235">
        <v>0</v>
      </c>
      <c r="G18" s="235">
        <v>0</v>
      </c>
      <c r="H18" s="235">
        <v>0</v>
      </c>
      <c r="I18" s="235">
        <v>0</v>
      </c>
      <c r="J18" s="232"/>
    </row>
    <row r="19" spans="1:10" ht="12.75" x14ac:dyDescent="0.2">
      <c r="B19" s="90" t="s">
        <v>314</v>
      </c>
      <c r="C19" s="91" t="s">
        <v>9</v>
      </c>
      <c r="D19" s="92" cm="1">
        <f t="array" ref="D19">PRODUCT(1+D8:D17)-1</f>
        <v>0.46148145609559954</v>
      </c>
      <c r="E19" s="92" cm="1">
        <f t="array" ref="E19">PRODUCT(1+E8:E17)-1</f>
        <v>0.4921889093172902</v>
      </c>
      <c r="F19" s="92" cm="1">
        <f t="array" ref="F19">PRODUCT(1+F8:F17)-1</f>
        <v>0.47254692566632128</v>
      </c>
      <c r="G19" s="92" cm="1">
        <f t="array" ref="G19">PRODUCT(1+G8:G17)-1</f>
        <v>0.47254692566632128</v>
      </c>
      <c r="H19" s="92" cm="1">
        <f t="array" ref="H19">PRODUCT(1+H8:H17)-1</f>
        <v>0.47254692566632128</v>
      </c>
      <c r="I19" s="92" cm="1">
        <f t="array" ref="I19">PRODUCT(1+I8:I17)-1</f>
        <v>0.19323773520000009</v>
      </c>
      <c r="J19" s="92"/>
    </row>
    <row r="22" spans="1:10" ht="15" x14ac:dyDescent="0.25">
      <c r="A22" s="134">
        <v>5.2</v>
      </c>
      <c r="B22" s="22" t="s">
        <v>315</v>
      </c>
      <c r="C22" s="21"/>
      <c r="D22" s="21"/>
      <c r="E22" s="21"/>
      <c r="F22" s="21"/>
      <c r="G22" s="21"/>
      <c r="H22" s="21"/>
      <c r="I22" s="21"/>
      <c r="J22" s="21"/>
    </row>
    <row r="24" spans="1:10" ht="12.75" x14ac:dyDescent="0.2">
      <c r="B24" s="84" t="s">
        <v>316</v>
      </c>
      <c r="C24" s="86" t="s">
        <v>296</v>
      </c>
      <c r="D24" s="87" t="s">
        <v>116</v>
      </c>
      <c r="E24" s="87" t="s">
        <v>317</v>
      </c>
      <c r="F24" s="237" t="s">
        <v>318</v>
      </c>
    </row>
    <row r="25" spans="1:10" ht="12.75" x14ac:dyDescent="0.2">
      <c r="B25" s="110" t="s">
        <v>319</v>
      </c>
      <c r="C25" s="89" t="s">
        <v>9</v>
      </c>
      <c r="D25" s="235">
        <v>0.20932904037438799</v>
      </c>
      <c r="E25" s="236" t="s">
        <v>237</v>
      </c>
      <c r="F25" s="268" t="s">
        <v>304</v>
      </c>
      <c r="G25" s="269"/>
      <c r="H25" s="269"/>
      <c r="I25" s="269"/>
      <c r="J25" s="270"/>
    </row>
    <row r="26" spans="1:10" ht="12.75" x14ac:dyDescent="0.2">
      <c r="B26" s="110" t="s">
        <v>319</v>
      </c>
      <c r="C26" s="89" t="s">
        <v>9</v>
      </c>
      <c r="D26" s="235">
        <v>0.2093290403743884</v>
      </c>
      <c r="E26" s="236" t="s">
        <v>240</v>
      </c>
      <c r="F26" s="268" t="s">
        <v>304</v>
      </c>
      <c r="G26" s="269"/>
      <c r="H26" s="269"/>
      <c r="I26" s="269"/>
      <c r="J26" s="270"/>
    </row>
    <row r="27" spans="1:10" ht="12.75" x14ac:dyDescent="0.2">
      <c r="B27" s="110" t="s">
        <v>320</v>
      </c>
      <c r="C27" s="89" t="s">
        <v>9</v>
      </c>
      <c r="D27" s="235">
        <v>0.40097153765012611</v>
      </c>
      <c r="E27" s="236" t="s">
        <v>237</v>
      </c>
      <c r="F27" s="268" t="s">
        <v>304</v>
      </c>
      <c r="G27" s="269"/>
      <c r="H27" s="269"/>
      <c r="I27" s="269"/>
      <c r="J27" s="270"/>
    </row>
    <row r="28" spans="1:10" ht="12.75" x14ac:dyDescent="0.2">
      <c r="B28" s="110" t="s">
        <v>320</v>
      </c>
      <c r="C28" s="89" t="s">
        <v>9</v>
      </c>
      <c r="D28" s="235">
        <v>0.40097153765012611</v>
      </c>
      <c r="E28" s="236" t="s">
        <v>240</v>
      </c>
      <c r="F28" s="268" t="s">
        <v>304</v>
      </c>
      <c r="G28" s="269"/>
      <c r="H28" s="269"/>
      <c r="I28" s="269"/>
      <c r="J28" s="270"/>
    </row>
    <row r="29" spans="1:10" ht="12.75" x14ac:dyDescent="0.2">
      <c r="B29" s="110"/>
      <c r="C29" s="89" t="s">
        <v>9</v>
      </c>
      <c r="D29" s="88"/>
      <c r="E29" s="26"/>
      <c r="F29" s="268"/>
      <c r="G29" s="269"/>
      <c r="H29" s="269"/>
      <c r="I29" s="269"/>
      <c r="J29" s="270"/>
    </row>
    <row r="32" spans="1:10" ht="15" x14ac:dyDescent="0.25">
      <c r="A32" s="134">
        <v>5.3</v>
      </c>
      <c r="B32" s="22" t="s">
        <v>321</v>
      </c>
      <c r="C32" s="21"/>
      <c r="D32" s="21"/>
      <c r="E32" s="21"/>
      <c r="F32" s="21"/>
      <c r="G32" s="21"/>
      <c r="H32" s="21"/>
      <c r="I32" s="21"/>
      <c r="J32" s="21"/>
    </row>
    <row r="34" spans="1:10" ht="12.75" x14ac:dyDescent="0.2">
      <c r="C34" s="86" t="s">
        <v>296</v>
      </c>
      <c r="D34" s="87" t="s">
        <v>116</v>
      </c>
      <c r="F34" s="84" t="s">
        <v>318</v>
      </c>
    </row>
    <row r="35" spans="1:10" ht="12.75" x14ac:dyDescent="0.2">
      <c r="B35" s="110" t="s">
        <v>322</v>
      </c>
      <c r="C35" s="89" t="s">
        <v>9</v>
      </c>
      <c r="D35" s="429"/>
      <c r="F35" s="522"/>
      <c r="G35" s="523"/>
      <c r="H35" s="523"/>
      <c r="I35" s="523"/>
      <c r="J35" s="524"/>
    </row>
    <row r="36" spans="1:10" ht="12.75" x14ac:dyDescent="0.2">
      <c r="B36" s="110"/>
      <c r="C36" s="89" t="s">
        <v>9</v>
      </c>
      <c r="D36" s="88"/>
      <c r="F36" s="522"/>
      <c r="G36" s="523"/>
      <c r="H36" s="523"/>
      <c r="I36" s="523"/>
      <c r="J36" s="524"/>
    </row>
    <row r="37" spans="1:10" ht="12.75" x14ac:dyDescent="0.2">
      <c r="B37" s="110"/>
      <c r="C37" s="89" t="s">
        <v>9</v>
      </c>
      <c r="D37" s="88"/>
      <c r="F37" s="522"/>
      <c r="G37" s="523"/>
      <c r="H37" s="523"/>
      <c r="I37" s="523"/>
      <c r="J37" s="524"/>
    </row>
    <row r="38" spans="1:10" ht="12.75" x14ac:dyDescent="0.2">
      <c r="B38" s="110"/>
      <c r="C38" s="89" t="s">
        <v>9</v>
      </c>
      <c r="D38" s="88"/>
      <c r="F38" s="522"/>
      <c r="G38" s="523"/>
      <c r="H38" s="523"/>
      <c r="I38" s="523"/>
      <c r="J38" s="524"/>
    </row>
    <row r="41" spans="1:10" ht="15" x14ac:dyDescent="0.25">
      <c r="A41" s="134">
        <v>5.4</v>
      </c>
      <c r="B41" s="22" t="s">
        <v>323</v>
      </c>
      <c r="C41" s="21"/>
      <c r="D41" s="21"/>
      <c r="E41" s="21"/>
      <c r="F41" s="21"/>
      <c r="G41" s="21"/>
      <c r="H41" s="21"/>
      <c r="I41" s="21"/>
      <c r="J41" s="21"/>
    </row>
    <row r="43" spans="1:10" ht="12.75" x14ac:dyDescent="0.2">
      <c r="C43" s="86" t="s">
        <v>296</v>
      </c>
      <c r="D43" s="87" t="s">
        <v>116</v>
      </c>
      <c r="F43" s="84" t="s">
        <v>318</v>
      </c>
    </row>
    <row r="44" spans="1:10" ht="12.75" x14ac:dyDescent="0.2">
      <c r="B44" s="110" t="s">
        <v>324</v>
      </c>
      <c r="C44" s="89" t="s">
        <v>9</v>
      </c>
      <c r="D44" s="88">
        <f>'Input|Tax Recovery'!G28</f>
        <v>4.6464187386555597E-2</v>
      </c>
      <c r="F44" s="522" t="s">
        <v>325</v>
      </c>
      <c r="G44" s="523"/>
      <c r="H44" s="523"/>
      <c r="I44" s="523"/>
      <c r="J44" s="524"/>
    </row>
    <row r="45" spans="1:10" ht="12.75" x14ac:dyDescent="0.2">
      <c r="B45" s="110" t="s">
        <v>326</v>
      </c>
      <c r="C45" s="89" t="s">
        <v>9</v>
      </c>
      <c r="D45" s="374">
        <f>'Input|Tax Recovery'!G54</f>
        <v>1.6401954701103668E-2</v>
      </c>
      <c r="F45" s="522"/>
      <c r="G45" s="523"/>
      <c r="H45" s="523"/>
      <c r="I45" s="523"/>
      <c r="J45" s="524"/>
    </row>
    <row r="46" spans="1:10" ht="12.75" x14ac:dyDescent="0.2">
      <c r="B46" s="110"/>
      <c r="C46" s="89" t="s">
        <v>9</v>
      </c>
      <c r="D46" s="88"/>
      <c r="F46" s="522"/>
      <c r="G46" s="523"/>
      <c r="H46" s="523"/>
      <c r="I46" s="523"/>
      <c r="J46" s="524"/>
    </row>
    <row r="47" spans="1:10" ht="12.75" x14ac:dyDescent="0.2">
      <c r="B47" s="110"/>
      <c r="C47" s="89" t="s">
        <v>9</v>
      </c>
      <c r="D47" s="88"/>
      <c r="F47" s="522"/>
      <c r="G47" s="523"/>
      <c r="H47" s="523"/>
      <c r="I47" s="523"/>
      <c r="J47" s="524"/>
    </row>
  </sheetData>
  <mergeCells count="8">
    <mergeCell ref="F44:J44"/>
    <mergeCell ref="F45:J45"/>
    <mergeCell ref="F46:J46"/>
    <mergeCell ref="F47:J47"/>
    <mergeCell ref="F35:J35"/>
    <mergeCell ref="F36:J36"/>
    <mergeCell ref="F37:J37"/>
    <mergeCell ref="F38:J38"/>
  </mergeCells>
  <conditionalFormatting sqref="G1">
    <cfRule type="cellIs" dxfId="97" priority="1" operator="equal">
      <formula>"Check"</formula>
    </cfRule>
    <cfRule type="cellIs" dxfId="96" priority="2" operator="equal">
      <formula>"Ok"</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BA464-45F4-40EA-9EA9-021752985221}">
  <sheetPr codeName="Sheet7">
    <tabColor theme="8" tint="0.79998168889431442"/>
  </sheetPr>
  <dimension ref="A1:L149"/>
  <sheetViews>
    <sheetView showGridLines="0" zoomScale="80" zoomScaleNormal="80" workbookViewId="0">
      <pane ySplit="2" topLeftCell="A3" activePane="bottomLeft" state="frozen"/>
      <selection activeCell="A2" sqref="A2"/>
      <selection pane="bottomLeft" activeCell="G15" sqref="G15"/>
    </sheetView>
  </sheetViews>
  <sheetFormatPr defaultRowHeight="12.75" x14ac:dyDescent="0.2"/>
  <cols>
    <col min="1" max="1" width="5.5703125" customWidth="1"/>
    <col min="2" max="2" width="67.140625" customWidth="1"/>
    <col min="3" max="3" width="18.85546875" customWidth="1"/>
    <col min="4" max="4" width="15.5703125" customWidth="1"/>
    <col min="5" max="5" width="15.7109375" bestFit="1" customWidth="1"/>
    <col min="6" max="9" width="15.5703125" customWidth="1"/>
    <col min="10" max="10" width="3.5703125" customWidth="1"/>
    <col min="11" max="11" width="89" bestFit="1" customWidth="1"/>
    <col min="12" max="12" width="3.5703125" customWidth="1"/>
    <col min="14" max="14" width="16.42578125" bestFit="1" customWidth="1"/>
  </cols>
  <sheetData>
    <row r="1" spans="1:12" s="1" customFormat="1" ht="24.95" customHeight="1" x14ac:dyDescent="0.2">
      <c r="A1" s="27"/>
      <c r="B1" s="35" t="str">
        <f>IFERROR(Index!B1,"")</f>
        <v>Jemena Electricity Networks – Alternative Control Services Forecast model</v>
      </c>
      <c r="C1" s="35"/>
      <c r="D1" s="28" t="s">
        <v>115</v>
      </c>
      <c r="E1" s="37" t="s">
        <v>116</v>
      </c>
      <c r="F1" s="27"/>
      <c r="G1" s="28" t="s">
        <v>117</v>
      </c>
      <c r="H1" s="122">
        <f>'Model Validation'!C13</f>
        <v>0</v>
      </c>
      <c r="I1" s="27"/>
      <c r="J1" s="27"/>
      <c r="K1" s="27"/>
      <c r="L1" s="27"/>
    </row>
    <row r="2" spans="1:12" ht="24.95" customHeight="1" x14ac:dyDescent="0.2">
      <c r="A2" s="27"/>
      <c r="B2" s="35" t="str">
        <f ca="1">IFERROR(MID(CELL("filename",A1),FIND("]",CELL("filename",A1))+1,255),"")</f>
        <v>Input|Labour Rates</v>
      </c>
      <c r="C2" s="35"/>
      <c r="D2" s="28"/>
      <c r="E2" s="69" t="s">
        <v>118</v>
      </c>
      <c r="F2" s="27"/>
      <c r="G2" s="27"/>
      <c r="H2" s="27"/>
      <c r="I2" s="27"/>
      <c r="J2" s="27"/>
      <c r="K2" s="27"/>
      <c r="L2" s="27"/>
    </row>
    <row r="3" spans="1:12" x14ac:dyDescent="0.2">
      <c r="A3" s="3"/>
      <c r="B3" s="3"/>
      <c r="C3" s="3"/>
      <c r="D3" s="4"/>
      <c r="E3" s="3"/>
      <c r="F3" s="3"/>
      <c r="G3" s="1"/>
      <c r="H3" s="3"/>
      <c r="I3" s="1"/>
      <c r="J3" s="1"/>
      <c r="K3" s="1"/>
      <c r="L3" s="1"/>
    </row>
    <row r="4" spans="1:12" x14ac:dyDescent="0.2">
      <c r="A4" s="3"/>
      <c r="B4" s="3"/>
      <c r="C4" s="3"/>
      <c r="D4" s="4"/>
      <c r="E4" s="3"/>
      <c r="F4" s="3"/>
      <c r="G4" s="1"/>
      <c r="H4" s="3"/>
      <c r="I4" s="1"/>
      <c r="J4" s="1"/>
      <c r="K4" s="1"/>
      <c r="L4" s="1"/>
    </row>
    <row r="5" spans="1:12" x14ac:dyDescent="0.2">
      <c r="A5" s="3"/>
      <c r="B5" s="3"/>
      <c r="C5" s="3"/>
      <c r="D5" s="4"/>
      <c r="E5" s="3"/>
      <c r="F5" s="3"/>
      <c r="G5" s="1"/>
      <c r="H5" s="3"/>
      <c r="I5" s="1"/>
      <c r="J5" s="1"/>
      <c r="K5" s="1"/>
      <c r="L5" s="1"/>
    </row>
    <row r="6" spans="1:12" x14ac:dyDescent="0.2">
      <c r="A6" s="3"/>
      <c r="B6" s="3"/>
      <c r="C6" s="3"/>
      <c r="D6" s="4"/>
      <c r="E6" s="3"/>
      <c r="F6" s="3"/>
      <c r="G6" s="1"/>
      <c r="H6" s="3"/>
      <c r="I6" s="1"/>
      <c r="J6" s="1"/>
      <c r="K6" s="1"/>
      <c r="L6" s="1"/>
    </row>
    <row r="7" spans="1:12" ht="15" x14ac:dyDescent="0.25">
      <c r="A7" s="25"/>
      <c r="B7" s="47" t="s">
        <v>327</v>
      </c>
      <c r="C7" s="47"/>
      <c r="D7" s="54"/>
      <c r="E7" s="22" t="str">
        <f>IFERROR("Inputs, $'s ($"&amp;Input_base_year&amp;")","")</f>
        <v/>
      </c>
      <c r="F7" s="22" t="str">
        <f>IFERROR("Inputs, $'s ($"&amp;Input_base_year&amp;")","")</f>
        <v/>
      </c>
      <c r="G7" s="22" t="str">
        <f>IFERROR("Inputs, $'s ($"&amp;Input_base_year&amp;")","")</f>
        <v/>
      </c>
      <c r="H7" s="22" t="str">
        <f>IFERROR("Inputs, $'s ($"&amp;Input_base_year&amp;")","")</f>
        <v/>
      </c>
      <c r="I7" s="47"/>
      <c r="J7" s="101"/>
      <c r="K7" s="47" t="s">
        <v>328</v>
      </c>
      <c r="L7" s="101"/>
    </row>
    <row r="8" spans="1:12" x14ac:dyDescent="0.2">
      <c r="A8" s="1"/>
      <c r="B8" s="1"/>
      <c r="C8" s="1"/>
      <c r="D8" s="1"/>
      <c r="E8" s="420"/>
      <c r="F8" s="476" t="s">
        <v>702</v>
      </c>
      <c r="G8" s="489" t="s">
        <v>703</v>
      </c>
      <c r="H8" s="1"/>
      <c r="I8" s="1"/>
      <c r="J8" s="1"/>
      <c r="K8" s="1"/>
      <c r="L8" s="1"/>
    </row>
    <row r="9" spans="1:12" ht="36" customHeight="1" x14ac:dyDescent="0.25">
      <c r="A9" s="45"/>
      <c r="B9" s="40" t="s">
        <v>233</v>
      </c>
      <c r="C9" s="40" t="s">
        <v>16</v>
      </c>
      <c r="D9" s="40" t="s">
        <v>224</v>
      </c>
      <c r="E9" s="182" t="s">
        <v>329</v>
      </c>
      <c r="F9" s="40" t="s">
        <v>330</v>
      </c>
      <c r="G9" s="40" t="s">
        <v>331</v>
      </c>
      <c r="H9" s="40" t="s">
        <v>332</v>
      </c>
      <c r="I9" s="40" t="s">
        <v>333</v>
      </c>
      <c r="J9" s="1"/>
      <c r="K9" s="83"/>
      <c r="L9" s="1"/>
    </row>
    <row r="10" spans="1:12" x14ac:dyDescent="0.2">
      <c r="A10" s="4">
        <v>1</v>
      </c>
      <c r="B10" s="26" t="s">
        <v>235</v>
      </c>
      <c r="C10" s="26" t="s">
        <v>334</v>
      </c>
      <c r="D10" s="26" t="s">
        <v>226</v>
      </c>
      <c r="E10" s="475">
        <v>45.424262612803581</v>
      </c>
      <c r="F10" s="206">
        <f>'Input|Indirect Cost Rates'!D19</f>
        <v>0.46148145609559954</v>
      </c>
      <c r="G10" s="206">
        <f>SUM('Input|Indirect Cost Rates'!$D$25,'Input|Indirect Cost Rates'!$D$27)</f>
        <v>0.6103005780245141</v>
      </c>
      <c r="H10" s="187">
        <v>0</v>
      </c>
      <c r="I10" s="187">
        <v>2.672564237693265</v>
      </c>
      <c r="J10" s="101">
        <f t="shared" ref="J10:J29" si="0">IF(AND(ISTEXT(B10),OR(ISBLANK(C10),ISBLANK(D10),COUNTA(E10:I10)=0)),1,0)</f>
        <v>0</v>
      </c>
      <c r="K10" s="268" t="s">
        <v>304</v>
      </c>
      <c r="L10" s="101">
        <f t="shared" ref="L10:L29" si="1">IF(AND(ISNUMBER(I10),ISBLANK(K10)),1,0)</f>
        <v>0</v>
      </c>
    </row>
    <row r="11" spans="1:12" x14ac:dyDescent="0.2">
      <c r="A11" s="4">
        <f t="shared" ref="A11:A29" si="2">A10+1</f>
        <v>2</v>
      </c>
      <c r="B11" s="26" t="s">
        <v>238</v>
      </c>
      <c r="C11" s="26" t="s">
        <v>334</v>
      </c>
      <c r="D11" s="26" t="s">
        <v>226</v>
      </c>
      <c r="E11" s="490">
        <v>74.889497497561763</v>
      </c>
      <c r="F11" s="206">
        <f>'Input|Indirect Cost Rates'!E19</f>
        <v>0.4921889093172902</v>
      </c>
      <c r="G11" s="206">
        <f>SUM('Input|Indirect Cost Rates'!$D$25,'Input|Indirect Cost Rates'!$D$27)</f>
        <v>0.6103005780245141</v>
      </c>
      <c r="H11" s="187">
        <v>22.440230832646332</v>
      </c>
      <c r="I11" s="187">
        <v>4.1143165211268968</v>
      </c>
      <c r="J11" s="101">
        <f t="shared" si="0"/>
        <v>0</v>
      </c>
      <c r="K11" s="268" t="s">
        <v>304</v>
      </c>
      <c r="L11" s="101">
        <f t="shared" si="1"/>
        <v>0</v>
      </c>
    </row>
    <row r="12" spans="1:12" x14ac:dyDescent="0.2">
      <c r="A12" s="4">
        <f t="shared" si="2"/>
        <v>3</v>
      </c>
      <c r="B12" s="26" t="s">
        <v>241</v>
      </c>
      <c r="C12" s="26" t="s">
        <v>334</v>
      </c>
      <c r="D12" s="26" t="s">
        <v>226</v>
      </c>
      <c r="E12" s="475">
        <v>76.016674870542317</v>
      </c>
      <c r="F12" s="206">
        <f>'Input|Indirect Cost Rates'!F19</f>
        <v>0.47254692566632128</v>
      </c>
      <c r="G12" s="206">
        <f>SUM('Input|Indirect Cost Rates'!$D$25,'Input|Indirect Cost Rates'!$D$27)</f>
        <v>0.6103005780245141</v>
      </c>
      <c r="H12" s="187">
        <v>22.440230832646332</v>
      </c>
      <c r="I12" s="187">
        <v>4.4262388473997802</v>
      </c>
      <c r="J12" s="101">
        <f t="shared" si="0"/>
        <v>0</v>
      </c>
      <c r="K12" s="268" t="s">
        <v>304</v>
      </c>
      <c r="L12" s="101">
        <f t="shared" si="1"/>
        <v>0</v>
      </c>
    </row>
    <row r="13" spans="1:12" x14ac:dyDescent="0.2">
      <c r="A13" s="4">
        <f t="shared" si="2"/>
        <v>4</v>
      </c>
      <c r="B13" s="26" t="s">
        <v>243</v>
      </c>
      <c r="C13" s="26" t="s">
        <v>334</v>
      </c>
      <c r="D13" s="26" t="s">
        <v>226</v>
      </c>
      <c r="E13" s="492">
        <v>97.056712654735449</v>
      </c>
      <c r="F13" s="206">
        <f>'Input|Indirect Cost Rates'!H19</f>
        <v>0.47254692566632128</v>
      </c>
      <c r="G13" s="206">
        <f>SUM('Input|Indirect Cost Rates'!$D$25,'Input|Indirect Cost Rates'!$D$27)</f>
        <v>0.6103005780245141</v>
      </c>
      <c r="H13" s="187">
        <v>0</v>
      </c>
      <c r="I13" s="187">
        <v>5.9839984595337938</v>
      </c>
      <c r="J13" s="101">
        <f t="shared" si="0"/>
        <v>0</v>
      </c>
      <c r="K13" s="268" t="s">
        <v>304</v>
      </c>
      <c r="L13" s="101">
        <f t="shared" si="1"/>
        <v>0</v>
      </c>
    </row>
    <row r="14" spans="1:12" x14ac:dyDescent="0.2">
      <c r="A14" s="4">
        <f t="shared" si="2"/>
        <v>5</v>
      </c>
      <c r="B14" s="26" t="s">
        <v>245</v>
      </c>
      <c r="C14" s="26" t="s">
        <v>334</v>
      </c>
      <c r="D14" s="26" t="s">
        <v>226</v>
      </c>
      <c r="E14" s="492">
        <v>116.46805518568259</v>
      </c>
      <c r="F14" s="206">
        <f>'Input|Indirect Cost Rates'!G19</f>
        <v>0.47254692566632128</v>
      </c>
      <c r="G14" s="206">
        <f>SUM('Input|Indirect Cost Rates'!$D$25,'Input|Indirect Cost Rates'!$D$27)</f>
        <v>0.6103005780245141</v>
      </c>
      <c r="H14" s="187">
        <v>0</v>
      </c>
      <c r="I14" s="187">
        <v>7.1807981514405528</v>
      </c>
      <c r="J14" s="101">
        <f t="shared" si="0"/>
        <v>0</v>
      </c>
      <c r="K14" s="268" t="s">
        <v>304</v>
      </c>
      <c r="L14" s="101">
        <f t="shared" si="1"/>
        <v>0</v>
      </c>
    </row>
    <row r="15" spans="1:12" x14ac:dyDescent="0.2">
      <c r="A15" s="4">
        <f t="shared" si="2"/>
        <v>6</v>
      </c>
      <c r="B15" s="26" t="s">
        <v>235</v>
      </c>
      <c r="C15" s="26" t="s">
        <v>231</v>
      </c>
      <c r="D15" s="375" t="s">
        <v>228</v>
      </c>
      <c r="E15" s="187">
        <v>0</v>
      </c>
      <c r="F15" s="300">
        <v>0</v>
      </c>
      <c r="G15" s="206">
        <f>SUM('Input|Indirect Cost Rates'!$D$25,'Input|Indirect Cost Rates'!$D$27)</f>
        <v>0.6103005780245141</v>
      </c>
      <c r="H15" s="187">
        <v>0</v>
      </c>
      <c r="I15" s="187">
        <v>0</v>
      </c>
      <c r="J15" s="101">
        <f t="shared" si="0"/>
        <v>0</v>
      </c>
      <c r="K15" s="268" t="s">
        <v>304</v>
      </c>
      <c r="L15" s="101">
        <f t="shared" si="1"/>
        <v>0</v>
      </c>
    </row>
    <row r="16" spans="1:12" x14ac:dyDescent="0.2">
      <c r="A16" s="4">
        <f t="shared" si="2"/>
        <v>7</v>
      </c>
      <c r="B16" s="26" t="s">
        <v>238</v>
      </c>
      <c r="C16" s="26" t="s">
        <v>231</v>
      </c>
      <c r="D16" s="26" t="s">
        <v>226</v>
      </c>
      <c r="E16" s="490">
        <v>172.11894755407917</v>
      </c>
      <c r="F16" s="206">
        <f>'Input|Indirect Cost Rates'!I19</f>
        <v>0.19323773520000009</v>
      </c>
      <c r="G16" s="206">
        <f>SUM('Input|Indirect Cost Rates'!$D$25,'Input|Indirect Cost Rates'!$D$27)</f>
        <v>0.6103005780245141</v>
      </c>
      <c r="H16" s="187">
        <v>22.440230832646332</v>
      </c>
      <c r="I16" s="187">
        <v>7.6285623708948664</v>
      </c>
      <c r="J16" s="101">
        <f t="shared" si="0"/>
        <v>0</v>
      </c>
      <c r="K16" s="268" t="s">
        <v>304</v>
      </c>
      <c r="L16" s="101">
        <f t="shared" si="1"/>
        <v>0</v>
      </c>
    </row>
    <row r="17" spans="1:12" x14ac:dyDescent="0.2">
      <c r="A17" s="4">
        <f t="shared" si="2"/>
        <v>8</v>
      </c>
      <c r="B17" s="26" t="s">
        <v>241</v>
      </c>
      <c r="C17" s="26" t="s">
        <v>231</v>
      </c>
      <c r="D17" s="375" t="s">
        <v>228</v>
      </c>
      <c r="E17" s="187">
        <v>0</v>
      </c>
      <c r="F17" s="300">
        <v>0</v>
      </c>
      <c r="G17" s="206">
        <f>SUM('Input|Indirect Cost Rates'!$D$25,'Input|Indirect Cost Rates'!$D$27)</f>
        <v>0.6103005780245141</v>
      </c>
      <c r="H17" s="187">
        <v>0</v>
      </c>
      <c r="I17" s="187">
        <v>0</v>
      </c>
      <c r="J17" s="101">
        <f t="shared" si="0"/>
        <v>0</v>
      </c>
      <c r="K17" s="268" t="s">
        <v>304</v>
      </c>
      <c r="L17" s="101">
        <f t="shared" si="1"/>
        <v>0</v>
      </c>
    </row>
    <row r="18" spans="1:12" x14ac:dyDescent="0.2">
      <c r="A18" s="4">
        <f t="shared" si="2"/>
        <v>9</v>
      </c>
      <c r="B18" s="26" t="s">
        <v>243</v>
      </c>
      <c r="C18" s="26" t="s">
        <v>231</v>
      </c>
      <c r="D18" s="375" t="s">
        <v>228</v>
      </c>
      <c r="E18" s="187">
        <v>0</v>
      </c>
      <c r="F18" s="300">
        <v>0</v>
      </c>
      <c r="G18" s="206">
        <f>SUM('Input|Indirect Cost Rates'!$D$25,'Input|Indirect Cost Rates'!$D$27)</f>
        <v>0.6103005780245141</v>
      </c>
      <c r="H18" s="187">
        <v>0</v>
      </c>
      <c r="I18" s="187">
        <v>0</v>
      </c>
      <c r="J18" s="101">
        <f t="shared" si="0"/>
        <v>0</v>
      </c>
      <c r="K18" s="268" t="s">
        <v>304</v>
      </c>
      <c r="L18" s="101">
        <f t="shared" si="1"/>
        <v>0</v>
      </c>
    </row>
    <row r="19" spans="1:12" x14ac:dyDescent="0.2">
      <c r="A19" s="4">
        <f t="shared" si="2"/>
        <v>10</v>
      </c>
      <c r="B19" s="26" t="s">
        <v>245</v>
      </c>
      <c r="C19" s="26" t="s">
        <v>231</v>
      </c>
      <c r="D19" s="375" t="s">
        <v>228</v>
      </c>
      <c r="E19" s="187">
        <v>0</v>
      </c>
      <c r="F19" s="300">
        <v>0</v>
      </c>
      <c r="G19" s="206">
        <f>SUM('Input|Indirect Cost Rates'!$D$25,'Input|Indirect Cost Rates'!$D$27)</f>
        <v>0.6103005780245141</v>
      </c>
      <c r="H19" s="187">
        <v>0</v>
      </c>
      <c r="I19" s="187">
        <v>0</v>
      </c>
      <c r="J19" s="101">
        <f t="shared" si="0"/>
        <v>0</v>
      </c>
      <c r="K19" s="268" t="s">
        <v>304</v>
      </c>
      <c r="L19" s="101">
        <f t="shared" si="1"/>
        <v>0</v>
      </c>
    </row>
    <row r="20" spans="1:12" x14ac:dyDescent="0.2">
      <c r="A20" s="4">
        <f t="shared" si="2"/>
        <v>11</v>
      </c>
      <c r="B20" s="253"/>
      <c r="C20" s="26"/>
      <c r="D20" s="26"/>
      <c r="E20" s="187"/>
      <c r="F20" s="206"/>
      <c r="G20" s="206"/>
      <c r="H20" s="187"/>
      <c r="I20" s="187"/>
      <c r="J20" s="101">
        <f t="shared" si="0"/>
        <v>0</v>
      </c>
      <c r="K20" s="207"/>
      <c r="L20" s="101">
        <f t="shared" si="1"/>
        <v>0</v>
      </c>
    </row>
    <row r="21" spans="1:12" x14ac:dyDescent="0.2">
      <c r="A21" s="4">
        <f t="shared" si="2"/>
        <v>12</v>
      </c>
      <c r="B21" s="26"/>
      <c r="C21" s="26"/>
      <c r="D21" s="26"/>
      <c r="E21" s="187"/>
      <c r="F21" s="206"/>
      <c r="G21" s="206"/>
      <c r="H21" s="187"/>
      <c r="I21" s="187"/>
      <c r="J21" s="101">
        <f t="shared" si="0"/>
        <v>0</v>
      </c>
      <c r="K21" s="187"/>
      <c r="L21" s="101">
        <f t="shared" si="1"/>
        <v>0</v>
      </c>
    </row>
    <row r="22" spans="1:12" x14ac:dyDescent="0.2">
      <c r="A22" s="4">
        <f t="shared" si="2"/>
        <v>13</v>
      </c>
      <c r="B22" s="26"/>
      <c r="C22" s="26"/>
      <c r="D22" s="26"/>
      <c r="E22" s="187"/>
      <c r="F22" s="206"/>
      <c r="G22" s="206"/>
      <c r="H22" s="187"/>
      <c r="I22" s="187"/>
      <c r="J22" s="101">
        <f t="shared" si="0"/>
        <v>0</v>
      </c>
      <c r="K22" s="55"/>
      <c r="L22" s="101">
        <f t="shared" si="1"/>
        <v>0</v>
      </c>
    </row>
    <row r="23" spans="1:12" x14ac:dyDescent="0.2">
      <c r="A23" s="4">
        <f t="shared" si="2"/>
        <v>14</v>
      </c>
      <c r="B23" s="26"/>
      <c r="C23" s="26"/>
      <c r="D23" s="26"/>
      <c r="E23" s="187"/>
      <c r="F23" s="206"/>
      <c r="G23" s="206"/>
      <c r="H23" s="187"/>
      <c r="I23" s="187"/>
      <c r="J23" s="101">
        <f t="shared" si="0"/>
        <v>0</v>
      </c>
      <c r="K23" s="55"/>
      <c r="L23" s="101">
        <f t="shared" si="1"/>
        <v>0</v>
      </c>
    </row>
    <row r="24" spans="1:12" x14ac:dyDescent="0.2">
      <c r="A24" s="4">
        <f t="shared" si="2"/>
        <v>15</v>
      </c>
      <c r="B24" s="26"/>
      <c r="C24" s="26"/>
      <c r="D24" s="26"/>
      <c r="E24" s="187"/>
      <c r="F24" s="206"/>
      <c r="G24" s="206"/>
      <c r="H24" s="187"/>
      <c r="I24" s="187"/>
      <c r="J24" s="101">
        <f t="shared" si="0"/>
        <v>0</v>
      </c>
      <c r="K24" s="55"/>
      <c r="L24" s="101">
        <f t="shared" si="1"/>
        <v>0</v>
      </c>
    </row>
    <row r="25" spans="1:12" x14ac:dyDescent="0.2">
      <c r="A25" s="4">
        <f t="shared" si="2"/>
        <v>16</v>
      </c>
      <c r="B25" s="26"/>
      <c r="C25" s="26"/>
      <c r="D25" s="26"/>
      <c r="E25" s="187"/>
      <c r="F25" s="206"/>
      <c r="G25" s="206"/>
      <c r="H25" s="187"/>
      <c r="I25" s="187"/>
      <c r="J25" s="101">
        <f t="shared" si="0"/>
        <v>0</v>
      </c>
      <c r="K25" s="55"/>
      <c r="L25" s="101">
        <f t="shared" si="1"/>
        <v>0</v>
      </c>
    </row>
    <row r="26" spans="1:12" x14ac:dyDescent="0.2">
      <c r="A26" s="4">
        <f t="shared" si="2"/>
        <v>17</v>
      </c>
      <c r="B26" s="26"/>
      <c r="C26" s="26"/>
      <c r="D26" s="26"/>
      <c r="E26" s="187"/>
      <c r="F26" s="206"/>
      <c r="G26" s="206"/>
      <c r="H26" s="187"/>
      <c r="I26" s="187"/>
      <c r="J26" s="101">
        <f t="shared" si="0"/>
        <v>0</v>
      </c>
      <c r="K26" s="55"/>
      <c r="L26" s="101">
        <f t="shared" si="1"/>
        <v>0</v>
      </c>
    </row>
    <row r="27" spans="1:12" x14ac:dyDescent="0.2">
      <c r="A27" s="4">
        <f t="shared" si="2"/>
        <v>18</v>
      </c>
      <c r="B27" s="26"/>
      <c r="C27" s="26"/>
      <c r="D27" s="26"/>
      <c r="E27" s="187"/>
      <c r="F27" s="206"/>
      <c r="G27" s="206"/>
      <c r="H27" s="187"/>
      <c r="I27" s="187"/>
      <c r="J27" s="101">
        <f t="shared" si="0"/>
        <v>0</v>
      </c>
      <c r="K27" s="55"/>
      <c r="L27" s="101">
        <f t="shared" si="1"/>
        <v>0</v>
      </c>
    </row>
    <row r="28" spans="1:12" x14ac:dyDescent="0.2">
      <c r="A28" s="4">
        <f t="shared" si="2"/>
        <v>19</v>
      </c>
      <c r="B28" s="26"/>
      <c r="C28" s="26"/>
      <c r="D28" s="26"/>
      <c r="E28" s="187"/>
      <c r="F28" s="206"/>
      <c r="G28" s="206"/>
      <c r="H28" s="187"/>
      <c r="I28" s="187"/>
      <c r="J28" s="101">
        <f t="shared" si="0"/>
        <v>0</v>
      </c>
      <c r="K28" s="55"/>
      <c r="L28" s="101">
        <f t="shared" si="1"/>
        <v>0</v>
      </c>
    </row>
    <row r="29" spans="1:12" x14ac:dyDescent="0.2">
      <c r="A29" s="4">
        <f t="shared" si="2"/>
        <v>20</v>
      </c>
      <c r="B29" s="26"/>
      <c r="C29" s="26"/>
      <c r="D29" s="26"/>
      <c r="E29" s="187"/>
      <c r="F29" s="206"/>
      <c r="G29" s="206"/>
      <c r="H29" s="187"/>
      <c r="I29" s="187"/>
      <c r="J29" s="101">
        <f t="shared" si="0"/>
        <v>0</v>
      </c>
      <c r="K29" s="55"/>
      <c r="L29" s="101">
        <f t="shared" si="1"/>
        <v>0</v>
      </c>
    </row>
    <row r="30" spans="1:12" x14ac:dyDescent="0.2">
      <c r="A30" s="3"/>
      <c r="B30" s="3"/>
      <c r="C30" s="3"/>
      <c r="D30" s="3"/>
      <c r="E30" s="3"/>
      <c r="F30" s="3"/>
      <c r="G30" s="1"/>
      <c r="H30" s="3"/>
      <c r="I30" s="1"/>
      <c r="J30" s="1"/>
      <c r="K30" s="420"/>
      <c r="L30" s="1"/>
    </row>
    <row r="31" spans="1:12" x14ac:dyDescent="0.2">
      <c r="A31" s="3"/>
      <c r="B31" s="3"/>
      <c r="C31" s="3"/>
      <c r="D31" s="3"/>
      <c r="E31" s="3"/>
      <c r="F31" s="3"/>
      <c r="G31" s="1"/>
      <c r="H31" s="3"/>
      <c r="I31" s="1"/>
      <c r="J31" s="1"/>
      <c r="K31" s="1"/>
      <c r="L31" s="1"/>
    </row>
    <row r="32" spans="1:12" ht="15" x14ac:dyDescent="0.25">
      <c r="A32" s="478"/>
      <c r="B32" s="47" t="s">
        <v>694</v>
      </c>
      <c r="C32" s="47"/>
      <c r="D32" s="479"/>
      <c r="E32" s="479"/>
      <c r="F32" s="22"/>
      <c r="G32" s="22"/>
      <c r="H32" s="22"/>
      <c r="I32" s="101"/>
      <c r="K32" s="47" t="s">
        <v>693</v>
      </c>
    </row>
    <row r="33" spans="1:12" x14ac:dyDescent="0.2">
      <c r="A33" s="20"/>
      <c r="B33" s="20"/>
      <c r="C33" s="20"/>
      <c r="D33" s="20"/>
      <c r="E33" s="20"/>
      <c r="F33" s="20"/>
      <c r="G33" s="20"/>
      <c r="H33" s="20"/>
      <c r="I33" s="20"/>
      <c r="K33" s="480"/>
    </row>
    <row r="34" spans="1:12" ht="45" x14ac:dyDescent="0.2">
      <c r="A34" s="20"/>
      <c r="B34" s="40"/>
      <c r="C34" s="40" t="s">
        <v>685</v>
      </c>
      <c r="D34" s="40" t="s">
        <v>298</v>
      </c>
      <c r="E34" s="40" t="s">
        <v>302</v>
      </c>
      <c r="F34" s="20"/>
      <c r="G34" s="20"/>
      <c r="H34" s="20"/>
      <c r="I34" s="20"/>
      <c r="K34" s="480"/>
    </row>
    <row r="35" spans="1:12" x14ac:dyDescent="0.2">
      <c r="A35" s="20"/>
      <c r="B35" s="26" t="s">
        <v>686</v>
      </c>
      <c r="C35" s="481">
        <v>0.61030057802451454</v>
      </c>
      <c r="D35" s="481">
        <v>0.61030057802451454</v>
      </c>
      <c r="E35" s="481">
        <v>0.61030057802451454</v>
      </c>
      <c r="F35" s="20"/>
      <c r="G35" s="20"/>
      <c r="H35" s="20"/>
      <c r="I35" s="20"/>
      <c r="K35" s="207" t="s">
        <v>687</v>
      </c>
    </row>
    <row r="36" spans="1:12" x14ac:dyDescent="0.2">
      <c r="A36" s="20"/>
      <c r="B36" s="26" t="s">
        <v>688</v>
      </c>
      <c r="C36" s="481">
        <v>0.46148145609559954</v>
      </c>
      <c r="D36" s="481">
        <v>0.4921889093172902</v>
      </c>
      <c r="E36" s="481">
        <v>0.19323773520000009</v>
      </c>
      <c r="F36" s="20"/>
      <c r="G36" s="20"/>
      <c r="H36" s="20"/>
      <c r="I36" s="20"/>
      <c r="K36" s="207" t="s">
        <v>689</v>
      </c>
    </row>
    <row r="37" spans="1:12" x14ac:dyDescent="0.2">
      <c r="C37" s="482"/>
      <c r="D37" s="482"/>
      <c r="E37" s="482"/>
      <c r="K37" s="416"/>
    </row>
    <row r="38" spans="1:12" x14ac:dyDescent="0.2">
      <c r="B38" s="40"/>
      <c r="C38" s="40"/>
      <c r="D38" s="482"/>
      <c r="E38" s="482"/>
      <c r="K38" s="416"/>
    </row>
    <row r="39" spans="1:12" x14ac:dyDescent="0.2">
      <c r="B39" s="26" t="s">
        <v>690</v>
      </c>
      <c r="C39" s="483">
        <v>52.14</v>
      </c>
      <c r="D39" s="482"/>
      <c r="E39" s="482"/>
      <c r="K39" s="484" t="s">
        <v>691</v>
      </c>
    </row>
    <row r="40" spans="1:12" x14ac:dyDescent="0.2">
      <c r="B40" s="26" t="s">
        <v>692</v>
      </c>
      <c r="C40" s="483">
        <v>38</v>
      </c>
      <c r="D40" s="482"/>
      <c r="E40" s="482"/>
      <c r="K40" s="484" t="s">
        <v>691</v>
      </c>
    </row>
    <row r="41" spans="1:12" x14ac:dyDescent="0.2">
      <c r="B41" s="26" t="s">
        <v>586</v>
      </c>
      <c r="C41" s="485">
        <v>2.5000000000000001E-2</v>
      </c>
      <c r="D41" s="482"/>
      <c r="E41" s="482"/>
      <c r="K41" s="484" t="s">
        <v>691</v>
      </c>
    </row>
    <row r="42" spans="1:12" x14ac:dyDescent="0.2">
      <c r="A42" s="482"/>
      <c r="B42" s="482"/>
      <c r="C42" s="482"/>
      <c r="D42" s="482"/>
      <c r="E42" s="482"/>
      <c r="K42" s="1"/>
    </row>
    <row r="43" spans="1:12" x14ac:dyDescent="0.2">
      <c r="A43" s="482"/>
      <c r="B43" s="482"/>
      <c r="C43" s="482"/>
      <c r="D43" s="482"/>
      <c r="E43" s="482"/>
      <c r="K43" s="1"/>
    </row>
    <row r="44" spans="1:12" ht="15" x14ac:dyDescent="0.25">
      <c r="A44" s="478"/>
      <c r="B44" s="47" t="str">
        <f>IFERROR("6.5 List of quoted services for "&amp;'Input|Setup'!$E$11&amp;" to "&amp;'Input|Setup'!$E$15&amp;" regulatory period","")</f>
        <v>6.5 List of quoted services for 2026-27 to 2030-31 regulatory period</v>
      </c>
      <c r="C44" s="47"/>
      <c r="D44" s="47"/>
      <c r="G44" s="1"/>
      <c r="H44" s="3"/>
      <c r="I44" s="1"/>
      <c r="J44" s="1"/>
      <c r="K44" s="1"/>
      <c r="L44" s="1"/>
    </row>
    <row r="45" spans="1:12" x14ac:dyDescent="0.2">
      <c r="A45" s="20"/>
      <c r="B45" s="20"/>
      <c r="C45" s="20"/>
      <c r="D45" s="20"/>
      <c r="E45" s="20"/>
      <c r="F45" s="20"/>
      <c r="G45" s="20"/>
      <c r="H45" s="20"/>
      <c r="I45" s="20"/>
      <c r="K45" s="480"/>
    </row>
    <row r="46" spans="1:12" x14ac:dyDescent="0.2">
      <c r="A46" s="1"/>
      <c r="B46" s="33"/>
      <c r="C46" s="33"/>
      <c r="D46" s="33"/>
      <c r="F46" s="1"/>
      <c r="G46" s="3"/>
      <c r="H46" s="1"/>
      <c r="I46" s="1"/>
      <c r="K46" s="1"/>
      <c r="L46" s="1"/>
    </row>
    <row r="47" spans="1:12" x14ac:dyDescent="0.2">
      <c r="A47" s="15">
        <v>1</v>
      </c>
      <c r="B47" s="421" t="s">
        <v>335</v>
      </c>
      <c r="C47" s="107"/>
      <c r="D47" s="107"/>
      <c r="K47" s="1"/>
      <c r="L47" s="1"/>
    </row>
    <row r="48" spans="1:12" x14ac:dyDescent="0.2">
      <c r="A48" s="15">
        <f>IFERROR(A47+1,"")</f>
        <v>2</v>
      </c>
      <c r="B48" s="421" t="s">
        <v>336</v>
      </c>
      <c r="C48" s="107"/>
      <c r="D48" s="107"/>
      <c r="F48" s="1"/>
      <c r="G48" s="3"/>
      <c r="H48" s="1"/>
      <c r="I48" s="1"/>
      <c r="K48" s="1"/>
      <c r="L48" s="1"/>
    </row>
    <row r="49" spans="1:12" x14ac:dyDescent="0.2">
      <c r="A49" s="15">
        <f t="shared" ref="A49:A77" si="3">IFERROR(A48+1,"")</f>
        <v>3</v>
      </c>
      <c r="B49" s="421" t="s">
        <v>337</v>
      </c>
      <c r="C49" s="107"/>
      <c r="D49" s="107"/>
      <c r="F49" s="1"/>
      <c r="G49" s="3"/>
      <c r="H49" s="1"/>
      <c r="I49" s="1"/>
      <c r="K49" s="1"/>
      <c r="L49" s="1"/>
    </row>
    <row r="50" spans="1:12" x14ac:dyDescent="0.2">
      <c r="A50" s="15">
        <f t="shared" si="3"/>
        <v>4</v>
      </c>
      <c r="B50" s="421" t="s">
        <v>338</v>
      </c>
      <c r="C50" s="107"/>
      <c r="D50" s="107"/>
      <c r="F50" s="1"/>
      <c r="G50" s="3"/>
      <c r="H50" s="1"/>
      <c r="I50" s="1"/>
      <c r="K50" s="1"/>
      <c r="L50" s="1"/>
    </row>
    <row r="51" spans="1:12" x14ac:dyDescent="0.2">
      <c r="A51" s="15">
        <f t="shared" si="3"/>
        <v>5</v>
      </c>
      <c r="B51" s="421" t="s">
        <v>339</v>
      </c>
      <c r="C51" s="107"/>
      <c r="D51" s="107"/>
      <c r="F51" s="1"/>
      <c r="G51" s="3"/>
      <c r="H51" s="1"/>
      <c r="I51" s="1"/>
      <c r="K51" s="1"/>
      <c r="L51" s="1"/>
    </row>
    <row r="52" spans="1:12" x14ac:dyDescent="0.2">
      <c r="A52" s="15">
        <f t="shared" si="3"/>
        <v>6</v>
      </c>
      <c r="B52" s="421" t="s">
        <v>340</v>
      </c>
      <c r="C52" s="107"/>
      <c r="D52" s="107"/>
      <c r="F52" s="1"/>
      <c r="G52" s="3"/>
      <c r="H52" s="1"/>
      <c r="I52" s="1"/>
      <c r="K52" s="1"/>
      <c r="L52" s="1"/>
    </row>
    <row r="53" spans="1:12" x14ac:dyDescent="0.2">
      <c r="A53" s="15">
        <f t="shared" si="3"/>
        <v>7</v>
      </c>
      <c r="B53" s="421" t="s">
        <v>341</v>
      </c>
      <c r="C53" s="107"/>
      <c r="D53" s="107"/>
      <c r="F53" s="1"/>
      <c r="G53" s="3"/>
      <c r="H53" s="1"/>
      <c r="I53" s="1"/>
      <c r="K53" s="1"/>
      <c r="L53" s="1"/>
    </row>
    <row r="54" spans="1:12" x14ac:dyDescent="0.2">
      <c r="A54" s="15">
        <f t="shared" si="3"/>
        <v>8</v>
      </c>
      <c r="B54" s="421" t="s">
        <v>342</v>
      </c>
      <c r="C54" s="107"/>
      <c r="D54" s="107"/>
      <c r="F54" s="1"/>
      <c r="G54" s="3"/>
      <c r="H54" s="1"/>
      <c r="I54" s="1"/>
      <c r="K54" s="1"/>
      <c r="L54" s="1"/>
    </row>
    <row r="55" spans="1:12" x14ac:dyDescent="0.2">
      <c r="A55" s="15">
        <f t="shared" si="3"/>
        <v>9</v>
      </c>
      <c r="B55" s="421" t="s">
        <v>343</v>
      </c>
      <c r="C55" s="107"/>
      <c r="D55" s="107"/>
      <c r="F55" s="1"/>
      <c r="G55" s="3"/>
      <c r="H55" s="1"/>
      <c r="I55" s="1"/>
      <c r="K55" s="1"/>
      <c r="L55" s="1"/>
    </row>
    <row r="56" spans="1:12" x14ac:dyDescent="0.2">
      <c r="A56" s="15">
        <f t="shared" si="3"/>
        <v>10</v>
      </c>
      <c r="B56" s="421" t="s">
        <v>344</v>
      </c>
      <c r="C56" s="107"/>
      <c r="D56" s="107"/>
      <c r="F56" s="1"/>
      <c r="G56" s="3"/>
      <c r="H56" s="1"/>
      <c r="I56" s="1"/>
      <c r="K56" s="1"/>
      <c r="L56" s="1"/>
    </row>
    <row r="57" spans="1:12" x14ac:dyDescent="0.2">
      <c r="A57" s="15">
        <f t="shared" si="3"/>
        <v>11</v>
      </c>
      <c r="B57" s="421" t="s">
        <v>345</v>
      </c>
      <c r="C57" s="107"/>
      <c r="D57" s="107"/>
      <c r="F57" s="1"/>
      <c r="G57" s="3"/>
      <c r="H57" s="1"/>
      <c r="I57" s="1"/>
      <c r="K57" s="1"/>
      <c r="L57" s="1"/>
    </row>
    <row r="58" spans="1:12" x14ac:dyDescent="0.2">
      <c r="A58" s="15">
        <f t="shared" si="3"/>
        <v>12</v>
      </c>
      <c r="B58" s="421" t="s">
        <v>346</v>
      </c>
      <c r="C58" s="107"/>
      <c r="D58" s="107"/>
      <c r="F58" s="1"/>
      <c r="G58" s="3"/>
      <c r="H58" s="1"/>
      <c r="I58" s="1"/>
      <c r="K58" s="1"/>
      <c r="L58" s="1"/>
    </row>
    <row r="59" spans="1:12" x14ac:dyDescent="0.2">
      <c r="A59" s="15">
        <f t="shared" si="3"/>
        <v>13</v>
      </c>
      <c r="B59" s="421" t="s">
        <v>347</v>
      </c>
      <c r="C59" s="107"/>
      <c r="D59" s="107"/>
      <c r="F59" s="1"/>
      <c r="G59" s="3"/>
      <c r="H59" s="1"/>
      <c r="I59" s="1"/>
      <c r="K59" s="1"/>
      <c r="L59" s="1"/>
    </row>
    <row r="60" spans="1:12" x14ac:dyDescent="0.2">
      <c r="A60" s="15">
        <f t="shared" si="3"/>
        <v>14</v>
      </c>
      <c r="B60" s="421" t="s">
        <v>348</v>
      </c>
      <c r="C60" s="107"/>
      <c r="D60" s="107"/>
      <c r="F60" s="1"/>
      <c r="G60" s="3"/>
      <c r="H60" s="1"/>
      <c r="I60" s="1"/>
      <c r="K60" s="1"/>
      <c r="L60" s="1"/>
    </row>
    <row r="61" spans="1:12" x14ac:dyDescent="0.2">
      <c r="A61" s="15">
        <f t="shared" si="3"/>
        <v>15</v>
      </c>
      <c r="B61" s="421" t="s">
        <v>349</v>
      </c>
      <c r="C61" s="107"/>
      <c r="D61" s="107"/>
      <c r="F61" s="1"/>
      <c r="G61" s="3"/>
      <c r="H61" s="1"/>
      <c r="I61" s="1"/>
      <c r="K61" s="1"/>
      <c r="L61" s="1"/>
    </row>
    <row r="62" spans="1:12" x14ac:dyDescent="0.2">
      <c r="A62" s="15">
        <f t="shared" si="3"/>
        <v>16</v>
      </c>
      <c r="B62" s="421" t="s">
        <v>350</v>
      </c>
      <c r="C62" s="107"/>
      <c r="D62" s="107"/>
      <c r="F62" s="1"/>
      <c r="G62" s="3"/>
      <c r="H62" s="1"/>
      <c r="I62" s="1"/>
      <c r="K62" s="1"/>
      <c r="L62" s="1"/>
    </row>
    <row r="63" spans="1:12" x14ac:dyDescent="0.2">
      <c r="A63" s="15">
        <f t="shared" si="3"/>
        <v>17</v>
      </c>
      <c r="B63" s="421" t="s">
        <v>351</v>
      </c>
      <c r="C63" s="107"/>
      <c r="D63" s="107"/>
      <c r="F63" s="1"/>
      <c r="G63" s="3"/>
      <c r="H63" s="1"/>
      <c r="I63" s="1"/>
      <c r="K63" s="1"/>
      <c r="L63" s="1"/>
    </row>
    <row r="64" spans="1:12" x14ac:dyDescent="0.2">
      <c r="A64" s="15">
        <f t="shared" si="3"/>
        <v>18</v>
      </c>
      <c r="B64" s="421" t="s">
        <v>352</v>
      </c>
      <c r="C64" s="107"/>
      <c r="D64" s="107"/>
      <c r="F64" s="1"/>
      <c r="G64" s="3"/>
      <c r="H64" s="1"/>
      <c r="I64" s="1"/>
      <c r="K64" s="1"/>
      <c r="L64" s="1"/>
    </row>
    <row r="65" spans="1:12" x14ac:dyDescent="0.2">
      <c r="A65" s="15">
        <f t="shared" si="3"/>
        <v>19</v>
      </c>
      <c r="B65" s="421" t="s">
        <v>353</v>
      </c>
      <c r="C65" s="107"/>
      <c r="D65" s="107"/>
      <c r="F65" s="1"/>
      <c r="G65" s="3"/>
      <c r="H65" s="1"/>
      <c r="I65" s="1"/>
      <c r="K65" s="1"/>
      <c r="L65" s="1"/>
    </row>
    <row r="66" spans="1:12" x14ac:dyDescent="0.2">
      <c r="A66" s="15">
        <f t="shared" si="3"/>
        <v>20</v>
      </c>
      <c r="B66" s="421" t="s">
        <v>354</v>
      </c>
      <c r="C66" s="107"/>
      <c r="D66" s="107"/>
      <c r="F66" s="1"/>
      <c r="G66" s="3"/>
      <c r="H66" s="1"/>
      <c r="I66" s="1"/>
      <c r="K66" s="1"/>
      <c r="L66" s="1"/>
    </row>
    <row r="67" spans="1:12" x14ac:dyDescent="0.2">
      <c r="A67" s="15">
        <f t="shared" si="3"/>
        <v>21</v>
      </c>
      <c r="B67" s="421" t="s">
        <v>355</v>
      </c>
      <c r="C67" s="107"/>
      <c r="D67" s="107"/>
      <c r="F67" s="1"/>
      <c r="G67" s="3"/>
      <c r="H67" s="1"/>
      <c r="I67" s="1"/>
      <c r="K67" s="1"/>
      <c r="L67" s="1"/>
    </row>
    <row r="68" spans="1:12" x14ac:dyDescent="0.2">
      <c r="A68" s="15">
        <f t="shared" si="3"/>
        <v>22</v>
      </c>
      <c r="B68" s="421" t="s">
        <v>356</v>
      </c>
      <c r="C68" s="107"/>
      <c r="D68" s="107"/>
      <c r="F68" s="1"/>
      <c r="G68" s="3"/>
      <c r="H68" s="1"/>
      <c r="I68" s="1"/>
      <c r="K68" s="1"/>
      <c r="L68" s="1"/>
    </row>
    <row r="69" spans="1:12" x14ac:dyDescent="0.2">
      <c r="A69" s="15">
        <f t="shared" si="3"/>
        <v>23</v>
      </c>
      <c r="B69" s="421" t="s">
        <v>357</v>
      </c>
      <c r="C69" s="107"/>
      <c r="D69" s="107"/>
      <c r="F69" s="1"/>
      <c r="G69" s="3"/>
      <c r="H69" s="1"/>
      <c r="I69" s="1"/>
      <c r="K69" s="1"/>
      <c r="L69" s="1"/>
    </row>
    <row r="70" spans="1:12" x14ac:dyDescent="0.2">
      <c r="A70" s="15">
        <f t="shared" si="3"/>
        <v>24</v>
      </c>
      <c r="B70" s="421" t="s">
        <v>358</v>
      </c>
      <c r="C70" s="107"/>
      <c r="D70" s="107"/>
      <c r="F70" s="1"/>
      <c r="G70" s="3"/>
      <c r="H70" s="1"/>
      <c r="I70" s="1"/>
      <c r="K70" s="1"/>
      <c r="L70" s="1"/>
    </row>
    <row r="71" spans="1:12" x14ac:dyDescent="0.2">
      <c r="A71" s="15">
        <f t="shared" si="3"/>
        <v>25</v>
      </c>
      <c r="B71" s="421" t="s">
        <v>359</v>
      </c>
      <c r="C71" s="107"/>
      <c r="D71" s="107"/>
      <c r="F71" s="1"/>
      <c r="G71" s="3"/>
      <c r="H71" s="1"/>
      <c r="I71" s="1"/>
      <c r="K71" s="1"/>
      <c r="L71" s="1"/>
    </row>
    <row r="72" spans="1:12" x14ac:dyDescent="0.2">
      <c r="A72" s="15">
        <f t="shared" si="3"/>
        <v>26</v>
      </c>
      <c r="B72" s="421" t="s">
        <v>360</v>
      </c>
      <c r="C72" s="107"/>
      <c r="D72" s="107"/>
      <c r="F72" s="1"/>
      <c r="G72" s="3"/>
      <c r="H72" s="1"/>
      <c r="I72" s="1"/>
      <c r="K72" s="1"/>
      <c r="L72" s="1"/>
    </row>
    <row r="73" spans="1:12" x14ac:dyDescent="0.2">
      <c r="A73" s="15">
        <f t="shared" si="3"/>
        <v>27</v>
      </c>
      <c r="B73" s="421" t="s">
        <v>361</v>
      </c>
      <c r="C73" s="107"/>
      <c r="D73" s="107"/>
      <c r="F73" s="1"/>
      <c r="G73" s="3"/>
      <c r="H73" s="1"/>
      <c r="I73" s="1"/>
      <c r="K73" s="1"/>
      <c r="L73" s="1"/>
    </row>
    <row r="74" spans="1:12" x14ac:dyDescent="0.2">
      <c r="A74" s="15">
        <f t="shared" si="3"/>
        <v>28</v>
      </c>
      <c r="B74" s="421" t="s">
        <v>362</v>
      </c>
      <c r="C74" s="107"/>
      <c r="D74" s="107"/>
      <c r="F74" s="1"/>
      <c r="G74" s="3"/>
      <c r="H74" s="1"/>
      <c r="I74" s="1"/>
      <c r="K74" s="1"/>
      <c r="L74" s="1"/>
    </row>
    <row r="75" spans="1:12" x14ac:dyDescent="0.2">
      <c r="A75" s="15">
        <f t="shared" si="3"/>
        <v>29</v>
      </c>
      <c r="B75" s="421" t="s">
        <v>363</v>
      </c>
      <c r="C75" s="107"/>
      <c r="D75" s="107"/>
      <c r="F75" s="1"/>
      <c r="G75" s="3"/>
      <c r="H75" s="1"/>
      <c r="I75" s="1"/>
      <c r="K75" s="1"/>
      <c r="L75" s="1"/>
    </row>
    <row r="76" spans="1:12" x14ac:dyDescent="0.2">
      <c r="A76" s="15">
        <f t="shared" si="3"/>
        <v>30</v>
      </c>
      <c r="B76" s="421" t="s">
        <v>364</v>
      </c>
      <c r="C76" s="107"/>
      <c r="D76" s="107"/>
      <c r="F76" s="1"/>
      <c r="G76" s="3"/>
      <c r="H76" s="1"/>
      <c r="I76" s="1"/>
      <c r="K76" s="1"/>
      <c r="L76" s="1"/>
    </row>
    <row r="77" spans="1:12" x14ac:dyDescent="0.2">
      <c r="A77" s="15">
        <f t="shared" si="3"/>
        <v>31</v>
      </c>
      <c r="B77" s="421" t="s">
        <v>365</v>
      </c>
      <c r="C77" s="107"/>
      <c r="D77" s="107"/>
      <c r="F77" s="1"/>
      <c r="G77" s="3"/>
      <c r="H77" s="1"/>
      <c r="I77" s="1"/>
      <c r="K77" s="1"/>
      <c r="L77" s="1"/>
    </row>
    <row r="78" spans="1:12" x14ac:dyDescent="0.2">
      <c r="A78" s="15">
        <v>32</v>
      </c>
      <c r="B78" s="421" t="s">
        <v>366</v>
      </c>
      <c r="C78" s="107"/>
      <c r="D78" s="107"/>
      <c r="F78" s="1"/>
      <c r="G78" s="3"/>
      <c r="H78" s="1"/>
      <c r="I78" s="1"/>
      <c r="K78" s="1"/>
      <c r="L78" s="1"/>
    </row>
    <row r="79" spans="1:12" x14ac:dyDescent="0.2">
      <c r="A79" s="15">
        <v>33</v>
      </c>
      <c r="B79" s="421" t="s">
        <v>367</v>
      </c>
      <c r="C79" s="107"/>
      <c r="D79" s="107"/>
      <c r="F79" s="1"/>
      <c r="G79" s="3"/>
      <c r="H79" s="1"/>
      <c r="I79" s="1"/>
      <c r="K79" s="1"/>
      <c r="L79" s="1"/>
    </row>
    <row r="80" spans="1:12" x14ac:dyDescent="0.2">
      <c r="A80" s="15">
        <v>34</v>
      </c>
      <c r="B80" s="421" t="s">
        <v>368</v>
      </c>
      <c r="C80" s="107"/>
      <c r="D80" s="107"/>
      <c r="F80" s="1"/>
      <c r="G80" s="3"/>
      <c r="H80" s="1"/>
      <c r="I80" s="1"/>
      <c r="K80" s="1"/>
      <c r="L80" s="1"/>
    </row>
    <row r="81" spans="1:12" x14ac:dyDescent="0.2">
      <c r="A81" s="15">
        <v>35</v>
      </c>
      <c r="B81" s="421" t="s">
        <v>369</v>
      </c>
      <c r="C81" s="107"/>
      <c r="D81" s="107"/>
      <c r="F81" s="1"/>
      <c r="G81" s="3"/>
      <c r="H81" s="1"/>
      <c r="I81" s="1"/>
      <c r="K81" s="1"/>
      <c r="L81" s="1"/>
    </row>
    <row r="82" spans="1:12" x14ac:dyDescent="0.2">
      <c r="A82" s="15">
        <v>36</v>
      </c>
      <c r="B82" s="421" t="s">
        <v>370</v>
      </c>
      <c r="C82" s="107"/>
      <c r="D82" s="107"/>
      <c r="F82" s="1"/>
      <c r="G82" s="3"/>
      <c r="H82" s="1"/>
      <c r="I82" s="1"/>
      <c r="K82" s="1"/>
      <c r="L82" s="1"/>
    </row>
    <row r="83" spans="1:12" x14ac:dyDescent="0.2">
      <c r="A83" s="15">
        <v>37</v>
      </c>
      <c r="B83" s="421" t="s">
        <v>371</v>
      </c>
      <c r="C83" s="107"/>
      <c r="D83" s="107"/>
      <c r="F83" s="20"/>
      <c r="G83" s="46"/>
      <c r="H83" s="20"/>
      <c r="I83" s="20"/>
      <c r="K83" s="20"/>
      <c r="L83" s="20"/>
    </row>
    <row r="84" spans="1:12" x14ac:dyDescent="0.2">
      <c r="A84" s="15">
        <v>38</v>
      </c>
      <c r="B84" s="421"/>
      <c r="C84" s="107"/>
      <c r="D84" s="107"/>
      <c r="F84" s="20"/>
      <c r="G84" s="46"/>
      <c r="H84" s="20"/>
      <c r="I84" s="20"/>
      <c r="K84" s="20"/>
      <c r="L84" s="20"/>
    </row>
    <row r="85" spans="1:12" x14ac:dyDescent="0.2">
      <c r="A85" s="15">
        <v>39</v>
      </c>
      <c r="B85" s="421"/>
      <c r="C85" s="107"/>
      <c r="D85" s="107"/>
      <c r="F85" s="20"/>
      <c r="G85" s="46"/>
      <c r="H85" s="20"/>
      <c r="I85" s="20"/>
      <c r="K85" s="20"/>
      <c r="L85" s="20"/>
    </row>
    <row r="86" spans="1:12" x14ac:dyDescent="0.2">
      <c r="A86" s="15">
        <v>40</v>
      </c>
      <c r="B86" s="421"/>
      <c r="C86" s="107"/>
      <c r="D86" s="107"/>
      <c r="F86" s="20"/>
      <c r="G86" s="46"/>
      <c r="H86" s="20"/>
      <c r="I86" s="20"/>
      <c r="K86" s="20"/>
      <c r="L86" s="20"/>
    </row>
    <row r="87" spans="1:12" x14ac:dyDescent="0.2">
      <c r="A87" s="15">
        <v>41</v>
      </c>
      <c r="B87" s="421"/>
      <c r="C87" s="107"/>
      <c r="D87" s="107"/>
      <c r="F87" s="20"/>
      <c r="G87" s="46"/>
      <c r="H87" s="20"/>
      <c r="I87" s="20"/>
      <c r="K87" s="20"/>
      <c r="L87" s="20"/>
    </row>
    <row r="88" spans="1:12" x14ac:dyDescent="0.2">
      <c r="A88" s="15">
        <v>42</v>
      </c>
      <c r="B88" s="421"/>
      <c r="C88" s="107"/>
      <c r="D88" s="107"/>
      <c r="F88" s="20"/>
      <c r="G88" s="46"/>
      <c r="H88" s="20"/>
      <c r="I88" s="20"/>
      <c r="K88" s="20"/>
      <c r="L88" s="20"/>
    </row>
    <row r="89" spans="1:12" x14ac:dyDescent="0.2">
      <c r="A89" s="15">
        <v>43</v>
      </c>
      <c r="B89" s="421"/>
      <c r="C89" s="107"/>
      <c r="D89" s="107"/>
      <c r="F89" s="20"/>
      <c r="G89" s="46"/>
      <c r="H89" s="20"/>
      <c r="I89" s="20"/>
      <c r="K89" s="20"/>
      <c r="L89" s="20"/>
    </row>
    <row r="90" spans="1:12" x14ac:dyDescent="0.2">
      <c r="A90" s="15">
        <v>44</v>
      </c>
      <c r="B90" s="421"/>
      <c r="C90" s="107"/>
      <c r="D90" s="107"/>
      <c r="F90" s="20"/>
      <c r="G90" s="46"/>
      <c r="H90" s="20"/>
      <c r="I90" s="20"/>
      <c r="K90" s="20"/>
      <c r="L90" s="20"/>
    </row>
    <row r="91" spans="1:12" x14ac:dyDescent="0.2">
      <c r="A91" s="15">
        <v>45</v>
      </c>
      <c r="B91" s="421"/>
      <c r="C91" s="107"/>
      <c r="D91" s="107"/>
      <c r="F91" s="20"/>
      <c r="G91" s="46"/>
      <c r="H91" s="20"/>
      <c r="I91" s="20"/>
      <c r="K91" s="20"/>
      <c r="L91" s="20"/>
    </row>
    <row r="92" spans="1:12" x14ac:dyDescent="0.2">
      <c r="A92" s="15">
        <v>46</v>
      </c>
      <c r="B92" s="421"/>
      <c r="C92" s="107"/>
      <c r="D92" s="107"/>
      <c r="F92" s="20"/>
      <c r="G92" s="46"/>
      <c r="H92" s="20"/>
      <c r="I92" s="20"/>
      <c r="K92" s="20"/>
      <c r="L92" s="20"/>
    </row>
    <row r="93" spans="1:12" x14ac:dyDescent="0.2">
      <c r="A93" s="15">
        <v>47</v>
      </c>
      <c r="B93" s="421"/>
      <c r="C93" s="107"/>
      <c r="D93" s="107"/>
      <c r="F93" s="20"/>
      <c r="G93" s="46"/>
      <c r="H93" s="20"/>
      <c r="I93" s="20"/>
      <c r="K93" s="20"/>
      <c r="L93" s="20"/>
    </row>
    <row r="94" spans="1:12" x14ac:dyDescent="0.2">
      <c r="A94" s="15">
        <v>48</v>
      </c>
      <c r="B94" s="421"/>
      <c r="C94" s="107"/>
      <c r="D94" s="107"/>
      <c r="F94" s="20"/>
      <c r="G94" s="46"/>
      <c r="H94" s="20"/>
      <c r="I94" s="20"/>
      <c r="K94" s="20"/>
      <c r="L94" s="20"/>
    </row>
    <row r="95" spans="1:12" x14ac:dyDescent="0.2">
      <c r="A95" s="15">
        <v>49</v>
      </c>
      <c r="B95" s="421"/>
      <c r="C95" s="107"/>
      <c r="D95" s="107"/>
      <c r="F95" s="20"/>
      <c r="G95" s="46"/>
      <c r="H95" s="20"/>
      <c r="I95" s="20"/>
      <c r="K95" s="20"/>
      <c r="L95" s="20"/>
    </row>
    <row r="96" spans="1:12" x14ac:dyDescent="0.2">
      <c r="A96" s="15">
        <v>50</v>
      </c>
      <c r="B96" s="421"/>
      <c r="C96" s="107"/>
      <c r="D96" s="107"/>
      <c r="F96" s="20"/>
      <c r="G96" s="46"/>
      <c r="H96" s="20"/>
      <c r="I96" s="20"/>
      <c r="K96" s="20"/>
      <c r="L96" s="20"/>
    </row>
    <row r="97" spans="1:12" x14ac:dyDescent="0.2">
      <c r="A97" s="20"/>
      <c r="B97" s="20"/>
      <c r="C97" s="20"/>
      <c r="D97" s="2"/>
      <c r="E97" s="20"/>
      <c r="F97" s="20"/>
      <c r="G97" s="20"/>
      <c r="H97" s="20"/>
      <c r="I97" s="20"/>
      <c r="J97" s="20"/>
      <c r="K97" s="20"/>
      <c r="L97" s="20"/>
    </row>
    <row r="98" spans="1:12" ht="15" x14ac:dyDescent="0.25">
      <c r="A98" s="80"/>
      <c r="B98" s="47" t="str">
        <f>IFERROR("6.4 List of Service Codes for "&amp;'Input|Setup'!$E$11&amp;" to "&amp;'Input|Setup'!$E$15&amp;" regulatory period","")</f>
        <v>6.4 List of Service Codes for 2026-27 to 2030-31 regulatory period</v>
      </c>
      <c r="C98" s="20"/>
      <c r="D98" s="2"/>
      <c r="E98" s="20"/>
      <c r="F98" s="20"/>
      <c r="G98" s="20"/>
      <c r="H98" s="20"/>
      <c r="I98" s="20"/>
      <c r="J98" s="20"/>
      <c r="K98" s="20"/>
      <c r="L98" s="20"/>
    </row>
    <row r="99" spans="1:12" x14ac:dyDescent="0.2">
      <c r="A99" s="1"/>
      <c r="B99" s="33"/>
      <c r="C99" s="20"/>
      <c r="D99" s="2"/>
      <c r="E99" s="20"/>
      <c r="F99" s="20"/>
      <c r="G99" s="20"/>
      <c r="H99" s="20"/>
      <c r="I99" s="20"/>
      <c r="J99" s="20"/>
      <c r="K99" s="20"/>
      <c r="L99" s="20"/>
    </row>
    <row r="100" spans="1:12" x14ac:dyDescent="0.2">
      <c r="A100" s="15">
        <v>1</v>
      </c>
      <c r="B100" s="85" t="s">
        <v>372</v>
      </c>
      <c r="C100" s="20"/>
      <c r="D100" s="2"/>
      <c r="E100" s="20"/>
      <c r="F100" s="20"/>
      <c r="G100" s="20"/>
      <c r="H100" s="20"/>
      <c r="I100" s="20"/>
      <c r="J100" s="20"/>
      <c r="K100" s="20"/>
      <c r="L100" s="20"/>
    </row>
    <row r="101" spans="1:12" x14ac:dyDescent="0.2">
      <c r="A101" s="15">
        <f>IFERROR(A100+1,"")</f>
        <v>2</v>
      </c>
      <c r="B101" s="85" t="s">
        <v>373</v>
      </c>
      <c r="C101" s="20"/>
      <c r="D101" s="2"/>
      <c r="E101" s="20"/>
      <c r="F101" s="20"/>
      <c r="G101" s="20"/>
      <c r="H101" s="20"/>
      <c r="I101" s="20"/>
      <c r="J101" s="20"/>
      <c r="K101" s="20"/>
      <c r="L101" s="20"/>
    </row>
    <row r="102" spans="1:12" x14ac:dyDescent="0.2">
      <c r="A102" s="15">
        <f t="shared" ref="A102:A130" si="4">IFERROR(A101+1,"")</f>
        <v>3</v>
      </c>
      <c r="B102" s="85" t="s">
        <v>374</v>
      </c>
      <c r="C102" s="20"/>
      <c r="D102" s="2"/>
      <c r="E102" s="20"/>
      <c r="F102" s="20"/>
      <c r="G102" s="20"/>
      <c r="H102" s="20"/>
      <c r="I102" s="20"/>
      <c r="J102" s="20"/>
      <c r="K102" s="20"/>
      <c r="L102" s="20"/>
    </row>
    <row r="103" spans="1:12" x14ac:dyDescent="0.2">
      <c r="A103" s="15">
        <f t="shared" si="4"/>
        <v>4</v>
      </c>
      <c r="B103" s="85" t="s">
        <v>375</v>
      </c>
      <c r="C103" s="20"/>
      <c r="D103" s="2"/>
      <c r="E103" s="20"/>
      <c r="F103" s="20"/>
      <c r="G103" s="20"/>
      <c r="H103" s="20"/>
      <c r="I103" s="20"/>
      <c r="J103" s="20"/>
      <c r="K103" s="20"/>
      <c r="L103" s="20"/>
    </row>
    <row r="104" spans="1:12" x14ac:dyDescent="0.2">
      <c r="A104" s="15">
        <f t="shared" si="4"/>
        <v>5</v>
      </c>
      <c r="B104" s="85" t="s">
        <v>376</v>
      </c>
      <c r="C104" s="20"/>
      <c r="D104" s="2"/>
      <c r="E104" s="20"/>
      <c r="F104" s="20"/>
    </row>
    <row r="105" spans="1:12" x14ac:dyDescent="0.2">
      <c r="A105" s="15">
        <f t="shared" si="4"/>
        <v>6</v>
      </c>
      <c r="B105" s="85" t="s">
        <v>377</v>
      </c>
      <c r="C105" s="20"/>
      <c r="D105" s="2"/>
      <c r="E105" s="20"/>
      <c r="F105" s="20"/>
    </row>
    <row r="106" spans="1:12" x14ac:dyDescent="0.2">
      <c r="A106" s="15">
        <f t="shared" si="4"/>
        <v>7</v>
      </c>
      <c r="B106" s="85" t="s">
        <v>378</v>
      </c>
      <c r="C106" s="20"/>
      <c r="D106" s="2"/>
      <c r="E106" s="20"/>
      <c r="F106" s="20"/>
    </row>
    <row r="107" spans="1:12" x14ac:dyDescent="0.2">
      <c r="A107" s="15">
        <f t="shared" si="4"/>
        <v>8</v>
      </c>
      <c r="B107" s="85" t="s">
        <v>379</v>
      </c>
      <c r="C107" s="20"/>
      <c r="D107" s="2"/>
      <c r="E107" s="20"/>
      <c r="F107" s="20"/>
    </row>
    <row r="108" spans="1:12" x14ac:dyDescent="0.2">
      <c r="A108" s="15">
        <f t="shared" si="4"/>
        <v>9</v>
      </c>
      <c r="B108" s="85" t="s">
        <v>380</v>
      </c>
      <c r="C108" s="20"/>
      <c r="D108" s="2"/>
      <c r="E108" s="20"/>
    </row>
    <row r="109" spans="1:12" x14ac:dyDescent="0.2">
      <c r="A109" s="15">
        <f t="shared" si="4"/>
        <v>10</v>
      </c>
      <c r="B109" s="85" t="s">
        <v>381</v>
      </c>
      <c r="C109" s="20"/>
      <c r="D109" s="2"/>
      <c r="E109" s="20"/>
    </row>
    <row r="110" spans="1:12" x14ac:dyDescent="0.2">
      <c r="A110" s="15">
        <f t="shared" si="4"/>
        <v>11</v>
      </c>
      <c r="B110" s="85" t="s">
        <v>382</v>
      </c>
      <c r="C110" s="20"/>
      <c r="D110" s="2"/>
      <c r="E110" s="20"/>
    </row>
    <row r="111" spans="1:12" x14ac:dyDescent="0.2">
      <c r="A111" s="15">
        <f t="shared" si="4"/>
        <v>12</v>
      </c>
      <c r="B111" s="85" t="s">
        <v>383</v>
      </c>
      <c r="C111" s="20"/>
      <c r="D111" s="2"/>
      <c r="E111" s="20"/>
    </row>
    <row r="112" spans="1:12" x14ac:dyDescent="0.2">
      <c r="A112" s="15">
        <f t="shared" si="4"/>
        <v>13</v>
      </c>
      <c r="B112" s="85" t="s">
        <v>384</v>
      </c>
      <c r="C112" s="20"/>
      <c r="D112" s="2"/>
      <c r="E112" s="20"/>
    </row>
    <row r="113" spans="1:5" x14ac:dyDescent="0.2">
      <c r="A113" s="15">
        <f t="shared" si="4"/>
        <v>14</v>
      </c>
      <c r="B113" s="85" t="s">
        <v>385</v>
      </c>
      <c r="C113" s="20"/>
      <c r="D113" s="2"/>
      <c r="E113" s="20"/>
    </row>
    <row r="114" spans="1:5" x14ac:dyDescent="0.2">
      <c r="A114" s="15">
        <f t="shared" si="4"/>
        <v>15</v>
      </c>
      <c r="B114" s="85" t="s">
        <v>386</v>
      </c>
      <c r="C114" s="20"/>
      <c r="D114" s="2"/>
      <c r="E114" s="20"/>
    </row>
    <row r="115" spans="1:5" x14ac:dyDescent="0.2">
      <c r="A115" s="15">
        <f t="shared" si="4"/>
        <v>16</v>
      </c>
      <c r="B115" s="85" t="s">
        <v>387</v>
      </c>
      <c r="C115" s="20"/>
      <c r="D115" s="2"/>
      <c r="E115" s="20"/>
    </row>
    <row r="116" spans="1:5" x14ac:dyDescent="0.2">
      <c r="A116" s="15">
        <f t="shared" si="4"/>
        <v>17</v>
      </c>
      <c r="B116" s="85" t="s">
        <v>388</v>
      </c>
      <c r="C116" s="20"/>
      <c r="D116" s="2"/>
      <c r="E116" s="20"/>
    </row>
    <row r="117" spans="1:5" x14ac:dyDescent="0.2">
      <c r="A117" s="15">
        <f t="shared" si="4"/>
        <v>18</v>
      </c>
      <c r="B117" s="85" t="s">
        <v>389</v>
      </c>
      <c r="C117" s="20"/>
      <c r="D117" s="2"/>
      <c r="E117" s="20"/>
    </row>
    <row r="118" spans="1:5" x14ac:dyDescent="0.2">
      <c r="A118" s="15">
        <f t="shared" si="4"/>
        <v>19</v>
      </c>
      <c r="B118" s="85" t="s">
        <v>390</v>
      </c>
      <c r="C118" s="20"/>
      <c r="D118" s="2"/>
      <c r="E118" s="20"/>
    </row>
    <row r="119" spans="1:5" x14ac:dyDescent="0.2">
      <c r="A119" s="15">
        <f t="shared" si="4"/>
        <v>20</v>
      </c>
      <c r="B119" s="85" t="s">
        <v>391</v>
      </c>
      <c r="C119" s="20"/>
      <c r="D119" s="2"/>
      <c r="E119" s="20"/>
    </row>
    <row r="120" spans="1:5" x14ac:dyDescent="0.2">
      <c r="A120" s="15">
        <f t="shared" si="4"/>
        <v>21</v>
      </c>
      <c r="B120" s="85" t="s">
        <v>392</v>
      </c>
      <c r="C120" s="20"/>
      <c r="D120" s="2"/>
      <c r="E120" s="20"/>
    </row>
    <row r="121" spans="1:5" x14ac:dyDescent="0.2">
      <c r="A121" s="15">
        <f t="shared" si="4"/>
        <v>22</v>
      </c>
      <c r="B121" s="85" t="s">
        <v>393</v>
      </c>
      <c r="C121" s="20"/>
      <c r="D121" s="2"/>
      <c r="E121" s="20"/>
    </row>
    <row r="122" spans="1:5" x14ac:dyDescent="0.2">
      <c r="A122" s="15">
        <f t="shared" si="4"/>
        <v>23</v>
      </c>
      <c r="B122" s="85" t="s">
        <v>394</v>
      </c>
      <c r="C122" s="20"/>
      <c r="D122" s="2"/>
      <c r="E122" s="20"/>
    </row>
    <row r="123" spans="1:5" x14ac:dyDescent="0.2">
      <c r="A123" s="15">
        <f t="shared" si="4"/>
        <v>24</v>
      </c>
      <c r="B123" s="85" t="s">
        <v>395</v>
      </c>
      <c r="C123" s="20"/>
      <c r="D123" s="2"/>
      <c r="E123" s="20"/>
    </row>
    <row r="124" spans="1:5" x14ac:dyDescent="0.2">
      <c r="A124" s="15">
        <f t="shared" si="4"/>
        <v>25</v>
      </c>
      <c r="B124" s="85" t="s">
        <v>396</v>
      </c>
      <c r="C124" s="20"/>
      <c r="D124" s="2"/>
      <c r="E124" s="20"/>
    </row>
    <row r="125" spans="1:5" x14ac:dyDescent="0.2">
      <c r="A125" s="15">
        <f t="shared" si="4"/>
        <v>26</v>
      </c>
      <c r="B125" s="85" t="s">
        <v>397</v>
      </c>
      <c r="C125" s="20"/>
      <c r="D125" s="2"/>
      <c r="E125" s="20"/>
    </row>
    <row r="126" spans="1:5" x14ac:dyDescent="0.2">
      <c r="A126" s="15">
        <f t="shared" si="4"/>
        <v>27</v>
      </c>
      <c r="B126" s="85" t="s">
        <v>398</v>
      </c>
      <c r="E126" s="20"/>
    </row>
    <row r="127" spans="1:5" x14ac:dyDescent="0.2">
      <c r="A127" s="15">
        <f t="shared" si="4"/>
        <v>28</v>
      </c>
      <c r="B127" s="85" t="s">
        <v>399</v>
      </c>
      <c r="E127" s="20"/>
    </row>
    <row r="128" spans="1:5" x14ac:dyDescent="0.2">
      <c r="A128" s="15">
        <f t="shared" si="4"/>
        <v>29</v>
      </c>
      <c r="B128" s="85" t="s">
        <v>400</v>
      </c>
      <c r="E128" s="20"/>
    </row>
    <row r="129" spans="1:5" x14ac:dyDescent="0.2">
      <c r="A129" s="15">
        <f t="shared" si="4"/>
        <v>30</v>
      </c>
      <c r="B129" s="85" t="s">
        <v>401</v>
      </c>
      <c r="E129" s="20"/>
    </row>
    <row r="130" spans="1:5" x14ac:dyDescent="0.2">
      <c r="A130" s="15">
        <f t="shared" si="4"/>
        <v>31</v>
      </c>
      <c r="B130" s="85" t="s">
        <v>402</v>
      </c>
      <c r="E130" s="20"/>
    </row>
    <row r="131" spans="1:5" x14ac:dyDescent="0.2">
      <c r="A131" s="15">
        <v>32</v>
      </c>
      <c r="B131" s="85" t="s">
        <v>403</v>
      </c>
      <c r="E131" s="20"/>
    </row>
    <row r="132" spans="1:5" x14ac:dyDescent="0.2">
      <c r="A132" s="15">
        <v>33</v>
      </c>
      <c r="B132" s="85" t="s">
        <v>404</v>
      </c>
      <c r="E132" s="20"/>
    </row>
    <row r="133" spans="1:5" x14ac:dyDescent="0.2">
      <c r="A133" s="15">
        <v>34</v>
      </c>
      <c r="B133" s="85" t="s">
        <v>405</v>
      </c>
      <c r="E133" s="20"/>
    </row>
    <row r="134" spans="1:5" x14ac:dyDescent="0.2">
      <c r="A134" s="15">
        <v>35</v>
      </c>
      <c r="B134" s="85"/>
      <c r="E134" s="20"/>
    </row>
    <row r="135" spans="1:5" x14ac:dyDescent="0.2">
      <c r="A135" s="15">
        <v>36</v>
      </c>
      <c r="B135" s="85"/>
      <c r="E135" s="20"/>
    </row>
    <row r="136" spans="1:5" x14ac:dyDescent="0.2">
      <c r="A136" s="15">
        <v>37</v>
      </c>
      <c r="B136" s="85"/>
      <c r="E136" s="20"/>
    </row>
    <row r="137" spans="1:5" x14ac:dyDescent="0.2">
      <c r="A137" s="15">
        <v>38</v>
      </c>
      <c r="B137" s="85"/>
      <c r="E137" s="20"/>
    </row>
    <row r="138" spans="1:5" x14ac:dyDescent="0.2">
      <c r="A138" s="15">
        <v>39</v>
      </c>
      <c r="B138" s="85"/>
      <c r="E138" s="20"/>
    </row>
    <row r="139" spans="1:5" x14ac:dyDescent="0.2">
      <c r="A139" s="15">
        <v>40</v>
      </c>
      <c r="B139" s="85"/>
      <c r="E139" s="20"/>
    </row>
    <row r="140" spans="1:5" x14ac:dyDescent="0.2">
      <c r="A140" s="15">
        <v>41</v>
      </c>
      <c r="B140" s="107"/>
      <c r="E140" s="20"/>
    </row>
    <row r="141" spans="1:5" x14ac:dyDescent="0.2">
      <c r="A141" s="15">
        <v>42</v>
      </c>
      <c r="B141" s="107"/>
      <c r="E141" s="20"/>
    </row>
    <row r="142" spans="1:5" x14ac:dyDescent="0.2">
      <c r="A142" s="15">
        <v>43</v>
      </c>
      <c r="B142" s="107"/>
      <c r="E142" s="20"/>
    </row>
    <row r="143" spans="1:5" x14ac:dyDescent="0.2">
      <c r="A143" s="15">
        <v>44</v>
      </c>
      <c r="B143" s="107"/>
      <c r="E143" s="20"/>
    </row>
    <row r="144" spans="1:5" x14ac:dyDescent="0.2">
      <c r="A144" s="15">
        <v>45</v>
      </c>
      <c r="B144" s="107"/>
      <c r="E144" s="20"/>
    </row>
    <row r="145" spans="1:5" x14ac:dyDescent="0.2">
      <c r="A145" s="15">
        <v>46</v>
      </c>
      <c r="B145" s="107"/>
      <c r="E145" s="20"/>
    </row>
    <row r="146" spans="1:5" x14ac:dyDescent="0.2">
      <c r="A146" s="15">
        <v>47</v>
      </c>
      <c r="B146" s="107"/>
      <c r="E146" s="20"/>
    </row>
    <row r="147" spans="1:5" x14ac:dyDescent="0.2">
      <c r="A147" s="15">
        <v>48</v>
      </c>
      <c r="B147" s="107"/>
      <c r="E147" s="20"/>
    </row>
    <row r="148" spans="1:5" x14ac:dyDescent="0.2">
      <c r="A148" s="15">
        <v>49</v>
      </c>
      <c r="B148" s="107"/>
      <c r="E148" s="20"/>
    </row>
    <row r="149" spans="1:5" x14ac:dyDescent="0.2">
      <c r="A149" s="15">
        <v>50</v>
      </c>
      <c r="B149" s="107"/>
      <c r="E149" s="20"/>
    </row>
  </sheetData>
  <sortState xmlns:xlrd2="http://schemas.microsoft.com/office/spreadsheetml/2017/richdata2" ref="E100:F149">
    <sortCondition ref="E100:E149"/>
  </sortState>
  <phoneticPr fontId="24" type="noConversion"/>
  <conditionalFormatting sqref="H1">
    <cfRule type="cellIs" dxfId="95" priority="9" operator="equal">
      <formula>"Check"</formula>
    </cfRule>
    <cfRule type="cellIs" dxfId="94" priority="10" operator="equal">
      <formula>"Ok"</formula>
    </cfRule>
  </conditionalFormatting>
  <hyperlinks>
    <hyperlink ref="K39" r:id="rId1" display="Source: Marsden and Jacobs" xr:uid="{969BCF6E-5F3A-43A6-B7B7-54B461A2BA00}"/>
    <hyperlink ref="K40:K41" r:id="rId2" display="Source: Marsden and Jacobs" xr:uid="{EE3CAAF1-EC19-46A2-A999-5DBF6CC2AD53}"/>
  </hyperlinks>
  <pageMargins left="0.7" right="0.7" top="0.75" bottom="0.75" header="0.3" footer="0.3"/>
  <pageSetup paperSize="9" orientation="portrait" r:id="rId3"/>
  <drawing r:id="rId4"/>
  <extLst>
    <ext xmlns:x14="http://schemas.microsoft.com/office/spreadsheetml/2009/9/main" uri="{78C0D931-6437-407d-A8EE-F0AAD7539E65}">
      <x14:conditionalFormattings>
        <x14:conditionalFormatting xmlns:xm="http://schemas.microsoft.com/office/excel/2006/main">
          <x14:cfRule type="iconSet" priority="7" id="{580E529B-9A5D-437D-846F-0FB10B20617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I32</xm:sqref>
        </x14:conditionalFormatting>
        <x14:conditionalFormatting xmlns:xm="http://schemas.microsoft.com/office/excel/2006/main">
          <x14:cfRule type="iconSet" priority="14" id="{A5F11D37-F4EB-43B3-8D3F-9651F51DCD4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J7</xm:sqref>
        </x14:conditionalFormatting>
        <x14:conditionalFormatting xmlns:xm="http://schemas.microsoft.com/office/excel/2006/main">
          <x14:cfRule type="iconSet" priority="211" id="{91279B60-E540-48B8-AFB0-72D1EE189F3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J10:J29</xm:sqref>
        </x14:conditionalFormatting>
        <x14:conditionalFormatting xmlns:xm="http://schemas.microsoft.com/office/excel/2006/main">
          <x14:cfRule type="iconSet" priority="12" id="{E010A9DB-5C7A-4BCC-8702-897E68851C0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L7</xm:sqref>
        </x14:conditionalFormatting>
        <x14:conditionalFormatting xmlns:xm="http://schemas.microsoft.com/office/excel/2006/main">
          <x14:cfRule type="iconSet" priority="212" id="{DF4109C0-9323-470A-AC62-4BF075E072E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L10:L29</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r:uid="{81F4892D-0933-4CC7-8D1C-ABD84600BA3F}">
          <x14:formula1>
            <xm:f>'Input|Setup'!$B$31:$B$49</xm:f>
          </x14:formula1>
          <xm:sqref>B22:B29</xm:sqref>
        </x14:dataValidation>
        <x14:dataValidation type="list" allowBlank="1" showInputMessage="1" showErrorMessage="1" xr:uid="{B957D312-A7C1-4C00-8975-BAD3B85FDCDD}">
          <x14:formula1>
            <xm:f>'Input|Setup'!$B$19:$B$20</xm:f>
          </x14:formula1>
          <xm:sqref>D10:D29</xm:sqref>
        </x14:dataValidation>
        <x14:dataValidation type="list" allowBlank="1" showInputMessage="1" showErrorMessage="1" xr:uid="{549D3180-3CF3-433B-8C63-5C133AE449A2}">
          <x14:formula1>
            <xm:f>'Input|Setup'!$B$25:$B$27</xm:f>
          </x14:formula1>
          <xm:sqref>C21:C29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tint="0.79998168889431442"/>
  </sheetPr>
  <dimension ref="A1:AJ71"/>
  <sheetViews>
    <sheetView showGridLines="0" topLeftCell="H16" zoomScaleNormal="100" workbookViewId="0">
      <selection activeCell="T18" sqref="T18"/>
    </sheetView>
  </sheetViews>
  <sheetFormatPr defaultColWidth="8.7109375" defaultRowHeight="12.75" outlineLevelCol="1" x14ac:dyDescent="0.2"/>
  <cols>
    <col min="1" max="1" width="5.5703125" style="16" customWidth="1"/>
    <col min="2" max="2" width="17.28515625" style="8" customWidth="1"/>
    <col min="3" max="3" width="45.42578125" style="17" bestFit="1" customWidth="1"/>
    <col min="4" max="4" width="15.5703125" style="17" customWidth="1"/>
    <col min="5" max="5" width="13.85546875" style="17" bestFit="1" customWidth="1"/>
    <col min="6" max="6" width="25.42578125" style="17" bestFit="1" customWidth="1"/>
    <col min="7" max="7" width="11.5703125" customWidth="1"/>
    <col min="8" max="8" width="2.5703125" style="2" customWidth="1"/>
    <col min="9" max="9" width="19.42578125" style="2" customWidth="1"/>
    <col min="10" max="10" width="14.140625" style="2" customWidth="1"/>
    <col min="11" max="11" width="5.85546875" style="2" customWidth="1"/>
    <col min="12" max="12" width="11.5703125" style="2" customWidth="1"/>
    <col min="13" max="13" width="2.5703125" style="2" customWidth="1"/>
    <col min="14" max="14" width="13.85546875" style="2" customWidth="1"/>
    <col min="15" max="15" width="12.5703125" style="2" customWidth="1"/>
    <col min="16" max="16" width="5.85546875" style="2" customWidth="1"/>
    <col min="17" max="18" width="10.7109375" style="2" customWidth="1"/>
    <col min="19" max="19" width="2.5703125" style="2" customWidth="1"/>
    <col min="20" max="22" width="10.42578125" style="2" customWidth="1"/>
    <col min="23" max="23" width="2.5703125" style="2" customWidth="1"/>
    <col min="24" max="24" width="15" style="2" customWidth="1"/>
    <col min="25" max="25" width="15.85546875" style="2" customWidth="1"/>
    <col min="26" max="26" width="8.140625" style="2" customWidth="1"/>
    <col min="27" max="27" width="11.42578125" style="19" customWidth="1"/>
    <col min="28" max="28" width="2.5703125" style="19" customWidth="1"/>
    <col min="29" max="31" width="2.5703125" style="19" customWidth="1" outlineLevel="1"/>
    <col min="32" max="32" width="36.140625" style="19" bestFit="1" customWidth="1"/>
    <col min="33" max="33" width="2.5703125" style="19" customWidth="1"/>
    <col min="34" max="34" width="7.140625" style="19" customWidth="1"/>
    <col min="35" max="201" width="8.7109375" customWidth="1"/>
  </cols>
  <sheetData>
    <row r="1" spans="1:36" s="27" customFormat="1" ht="24.95" customHeight="1" x14ac:dyDescent="0.2">
      <c r="B1" s="35" t="s">
        <v>51</v>
      </c>
      <c r="C1" s="28"/>
      <c r="D1" s="28" t="s">
        <v>115</v>
      </c>
      <c r="E1" s="37" t="s">
        <v>116</v>
      </c>
      <c r="G1" s="28"/>
      <c r="H1" s="28"/>
      <c r="I1" s="28" t="s">
        <v>117</v>
      </c>
      <c r="J1" s="122">
        <v>1</v>
      </c>
      <c r="L1" s="28"/>
      <c r="M1" s="28"/>
      <c r="N1" s="28"/>
      <c r="O1" s="28"/>
      <c r="P1" s="28"/>
      <c r="Q1" s="28"/>
      <c r="R1" s="28"/>
      <c r="S1" s="28"/>
      <c r="T1" s="28"/>
      <c r="U1" s="28"/>
      <c r="V1" s="28"/>
      <c r="W1" s="28"/>
      <c r="X1" s="28"/>
      <c r="Y1" s="28"/>
      <c r="Z1" s="28"/>
      <c r="AA1" s="28"/>
      <c r="AB1" s="28"/>
      <c r="AC1" s="28"/>
      <c r="AD1" s="28"/>
      <c r="AE1" s="28"/>
    </row>
    <row r="2" spans="1:36" s="38" customFormat="1" ht="24.95" customHeight="1" x14ac:dyDescent="0.2">
      <c r="B2" s="35" t="s">
        <v>48</v>
      </c>
      <c r="C2" s="28"/>
      <c r="D2" s="28"/>
      <c r="E2" s="69" t="s">
        <v>118</v>
      </c>
      <c r="H2" s="28"/>
      <c r="I2" s="28"/>
      <c r="J2" s="28"/>
      <c r="K2" s="28"/>
      <c r="L2" s="28"/>
      <c r="M2" s="28"/>
      <c r="N2" s="28"/>
      <c r="O2" s="28"/>
      <c r="P2" s="28"/>
      <c r="Q2" s="28"/>
      <c r="R2" s="28"/>
      <c r="S2" s="28"/>
      <c r="T2" s="28"/>
      <c r="U2" s="28"/>
      <c r="V2" s="28"/>
      <c r="W2" s="28"/>
      <c r="X2" s="28"/>
      <c r="Y2" s="28"/>
      <c r="Z2" s="28"/>
      <c r="AA2" s="28"/>
      <c r="AB2" s="28"/>
      <c r="AC2" s="28"/>
      <c r="AD2" s="28"/>
      <c r="AE2" s="28"/>
    </row>
    <row r="3" spans="1:36" s="10" customFormat="1" ht="7.5" customHeight="1" x14ac:dyDescent="0.2">
      <c r="A3" s="9"/>
      <c r="B3" s="6"/>
    </row>
    <row r="4" spans="1:36" ht="12.75" hidden="1" customHeight="1" x14ac:dyDescent="0.2">
      <c r="A4" s="9"/>
      <c r="B4" s="6"/>
      <c r="C4" s="10"/>
      <c r="D4" s="10"/>
      <c r="E4" s="10"/>
      <c r="F4" s="10"/>
      <c r="G4" s="5"/>
      <c r="H4" s="5"/>
      <c r="I4" s="5"/>
      <c r="J4" s="5"/>
      <c r="K4" s="5"/>
      <c r="L4" s="5"/>
      <c r="M4" s="5"/>
      <c r="N4" s="5"/>
      <c r="O4" s="5"/>
      <c r="P4" s="5"/>
      <c r="Q4" s="5"/>
      <c r="R4" s="5"/>
      <c r="S4" s="5"/>
      <c r="T4" s="5"/>
      <c r="U4" s="5"/>
      <c r="V4" s="5"/>
      <c r="W4" s="5"/>
      <c r="X4" s="10"/>
      <c r="Y4" s="10"/>
      <c r="Z4" s="10"/>
      <c r="AA4" s="10"/>
      <c r="AB4" s="10"/>
      <c r="AC4" s="10"/>
      <c r="AD4" s="10"/>
      <c r="AE4" s="10"/>
      <c r="AF4"/>
      <c r="AG4"/>
      <c r="AH4"/>
    </row>
    <row r="5" spans="1:36" ht="12.75" hidden="1" customHeight="1" x14ac:dyDescent="0.2">
      <c r="A5" s="9"/>
      <c r="B5" s="6"/>
      <c r="C5" s="10"/>
      <c r="D5" s="10"/>
      <c r="E5" s="10"/>
      <c r="F5" s="10"/>
      <c r="G5" s="5"/>
      <c r="H5" s="5"/>
      <c r="I5" s="5"/>
      <c r="J5" s="5"/>
      <c r="K5" s="5"/>
      <c r="L5" s="5"/>
      <c r="M5" s="5"/>
      <c r="N5" s="5"/>
      <c r="O5" s="5"/>
      <c r="P5" s="5"/>
      <c r="Q5" s="5"/>
      <c r="R5" s="5"/>
      <c r="S5" s="5"/>
      <c r="T5" s="5"/>
      <c r="U5" s="5"/>
      <c r="V5" s="5"/>
      <c r="W5" s="5"/>
      <c r="X5" s="19"/>
      <c r="Y5" s="19"/>
      <c r="Z5" s="19"/>
      <c r="AF5"/>
      <c r="AG5"/>
      <c r="AH5"/>
    </row>
    <row r="6" spans="1:36" s="5" customFormat="1" ht="15" customHeight="1" x14ac:dyDescent="0.25">
      <c r="A6" s="22"/>
      <c r="B6" s="22" t="s">
        <v>406</v>
      </c>
      <c r="C6" s="22"/>
      <c r="D6" s="22"/>
      <c r="E6" s="42"/>
      <c r="F6" s="42" t="s">
        <v>407</v>
      </c>
      <c r="G6" s="42"/>
      <c r="H6" s="101"/>
      <c r="I6" s="526" t="s">
        <v>777</v>
      </c>
      <c r="J6" s="526"/>
      <c r="K6" s="526"/>
      <c r="L6" s="526"/>
      <c r="M6" s="526"/>
      <c r="N6" s="526"/>
      <c r="O6" s="526"/>
      <c r="P6" s="526"/>
      <c r="Q6" s="526"/>
      <c r="R6" s="526"/>
      <c r="S6" s="526"/>
      <c r="T6" s="526"/>
      <c r="U6" s="526"/>
      <c r="V6" s="526"/>
      <c r="W6" s="101"/>
      <c r="X6" s="527" t="s">
        <v>408</v>
      </c>
      <c r="Y6" s="527"/>
      <c r="Z6" s="527"/>
      <c r="AA6" s="527"/>
      <c r="AC6" s="101"/>
      <c r="AD6" s="19"/>
      <c r="AE6" s="19"/>
      <c r="AF6" s="105" t="s">
        <v>409</v>
      </c>
      <c r="AH6" s="101"/>
      <c r="AI6" s="71"/>
      <c r="AJ6" s="71"/>
    </row>
    <row r="7" spans="1:36" s="50" customFormat="1" ht="15" hidden="1" customHeight="1" x14ac:dyDescent="0.25"/>
    <row r="8" spans="1:36" s="5" customFormat="1" ht="8.25" hidden="1" customHeight="1" x14ac:dyDescent="0.25">
      <c r="A8" s="50"/>
      <c r="B8" s="50"/>
      <c r="C8" s="50"/>
      <c r="D8" s="50"/>
      <c r="E8" s="51"/>
      <c r="F8" s="50"/>
      <c r="G8" s="51"/>
      <c r="H8" s="11"/>
      <c r="I8" s="52"/>
      <c r="J8" s="52"/>
      <c r="K8" s="52"/>
      <c r="L8" s="52"/>
      <c r="M8" s="52"/>
      <c r="N8" s="52"/>
      <c r="O8" s="52"/>
      <c r="P8" s="52"/>
      <c r="Q8" s="52"/>
      <c r="R8" s="52"/>
      <c r="S8" s="52"/>
      <c r="T8" s="52"/>
      <c r="U8" s="52"/>
      <c r="V8" s="52"/>
      <c r="W8" s="52"/>
      <c r="X8" s="52"/>
      <c r="Y8" s="52"/>
      <c r="Z8" s="52"/>
      <c r="AA8" s="52"/>
      <c r="AB8" s="52"/>
      <c r="AC8" s="19"/>
      <c r="AD8" s="19"/>
      <c r="AE8" s="19"/>
      <c r="AF8" s="19"/>
    </row>
    <row r="9" spans="1:36" s="5" customFormat="1" ht="8.25" customHeight="1" x14ac:dyDescent="0.25">
      <c r="A9" s="50"/>
      <c r="B9" s="50"/>
      <c r="C9" s="50"/>
      <c r="D9" s="50"/>
      <c r="E9" s="51"/>
      <c r="F9" s="50"/>
      <c r="G9" s="51"/>
      <c r="H9" s="11"/>
      <c r="I9" s="52"/>
      <c r="J9" s="52"/>
      <c r="K9" s="52"/>
      <c r="L9" s="52"/>
      <c r="M9" s="52"/>
      <c r="N9" s="52"/>
      <c r="O9" s="52"/>
      <c r="P9" s="52"/>
      <c r="Q9" s="52"/>
      <c r="R9" s="52"/>
      <c r="S9" s="52"/>
      <c r="T9" s="52"/>
      <c r="U9" s="52"/>
      <c r="V9" s="52"/>
      <c r="W9" s="52"/>
      <c r="X9" s="52"/>
      <c r="Y9" s="52"/>
      <c r="Z9" s="52"/>
      <c r="AA9" s="52"/>
      <c r="AB9" s="52"/>
      <c r="AC9" s="19"/>
      <c r="AD9" s="19"/>
      <c r="AE9" s="19"/>
      <c r="AF9" s="19"/>
    </row>
    <row r="10" spans="1:36" ht="15" customHeight="1" x14ac:dyDescent="0.2">
      <c r="A10" s="9"/>
      <c r="B10" s="9"/>
      <c r="C10" s="6"/>
      <c r="D10" s="10"/>
      <c r="E10" s="10"/>
      <c r="F10" s="10"/>
      <c r="G10" s="10"/>
      <c r="H10" s="101"/>
      <c r="I10" s="127" t="s">
        <v>410</v>
      </c>
      <c r="J10" s="127"/>
      <c r="K10" s="127"/>
      <c r="L10" s="127"/>
      <c r="M10" s="101">
        <v>0</v>
      </c>
      <c r="N10" s="127" t="s">
        <v>411</v>
      </c>
      <c r="O10" s="127"/>
      <c r="P10" s="128"/>
      <c r="Q10" s="128"/>
      <c r="R10" s="128"/>
      <c r="S10" s="101">
        <v>0</v>
      </c>
      <c r="T10" s="129" t="s">
        <v>412</v>
      </c>
      <c r="U10" s="53"/>
      <c r="V10" s="53"/>
      <c r="W10" s="59"/>
      <c r="X10" s="541" t="s">
        <v>413</v>
      </c>
      <c r="Y10" s="525"/>
      <c r="Z10" s="525"/>
      <c r="AA10" s="525"/>
      <c r="AF10"/>
      <c r="AG10"/>
      <c r="AH10"/>
    </row>
    <row r="11" spans="1:36" s="12" customFormat="1" ht="34.5" customHeight="1" x14ac:dyDescent="0.2">
      <c r="A11" s="40"/>
      <c r="B11" s="40" t="s">
        <v>14</v>
      </c>
      <c r="C11" s="153" t="s">
        <v>15</v>
      </c>
      <c r="D11" s="40" t="s">
        <v>16</v>
      </c>
      <c r="E11" s="40" t="s">
        <v>234</v>
      </c>
      <c r="F11" s="40" t="s">
        <v>17</v>
      </c>
      <c r="G11" s="40" t="s">
        <v>252</v>
      </c>
      <c r="H11" s="5"/>
      <c r="I11" s="40" t="s">
        <v>414</v>
      </c>
      <c r="J11" s="40" t="s">
        <v>16</v>
      </c>
      <c r="K11" s="40" t="s">
        <v>415</v>
      </c>
      <c r="L11" s="40" t="s">
        <v>416</v>
      </c>
      <c r="M11" s="101"/>
      <c r="N11" s="40" t="s">
        <v>414</v>
      </c>
      <c r="O11" s="40" t="s">
        <v>16</v>
      </c>
      <c r="P11" s="40" t="s">
        <v>415</v>
      </c>
      <c r="Q11" s="40" t="s">
        <v>417</v>
      </c>
      <c r="R11" s="40" t="s">
        <v>416</v>
      </c>
      <c r="S11" s="101"/>
      <c r="T11" s="40" t="s">
        <v>778</v>
      </c>
      <c r="U11" s="40" t="s">
        <v>779</v>
      </c>
      <c r="V11" s="40" t="s">
        <v>780</v>
      </c>
      <c r="W11" s="59"/>
      <c r="X11" s="49" t="s">
        <v>418</v>
      </c>
      <c r="Y11" s="49" t="s">
        <v>419</v>
      </c>
      <c r="Z11" s="49" t="s">
        <v>420</v>
      </c>
      <c r="AA11" s="49" t="s">
        <v>421</v>
      </c>
      <c r="AB11" s="102"/>
      <c r="AC11" s="102"/>
      <c r="AD11" s="102"/>
      <c r="AE11" s="102"/>
      <c r="AF11" s="83" t="s">
        <v>422</v>
      </c>
    </row>
    <row r="12" spans="1:36" x14ac:dyDescent="0.2">
      <c r="A12" s="15">
        <v>1</v>
      </c>
      <c r="B12" s="188" t="s">
        <v>372</v>
      </c>
      <c r="C12" s="189" t="s">
        <v>423</v>
      </c>
      <c r="D12" s="190" t="s">
        <v>230</v>
      </c>
      <c r="E12" s="190" t="s">
        <v>237</v>
      </c>
      <c r="F12" s="191" t="s">
        <v>248</v>
      </c>
      <c r="G12" s="192" t="s">
        <v>254</v>
      </c>
      <c r="H12" s="101">
        <v>0</v>
      </c>
      <c r="I12" s="194" t="s">
        <v>235</v>
      </c>
      <c r="J12" s="195" t="s">
        <v>230</v>
      </c>
      <c r="K12" s="196">
        <v>1</v>
      </c>
      <c r="L12" s="197">
        <v>60</v>
      </c>
      <c r="M12" s="101">
        <v>0</v>
      </c>
      <c r="N12" s="200" t="s">
        <v>238</v>
      </c>
      <c r="O12" s="195" t="s">
        <v>230</v>
      </c>
      <c r="P12" s="196">
        <v>2</v>
      </c>
      <c r="Q12" s="194">
        <v>30</v>
      </c>
      <c r="R12" s="201">
        <v>35</v>
      </c>
      <c r="S12" s="101">
        <v>0</v>
      </c>
      <c r="T12" s="202">
        <v>73.884835960000004</v>
      </c>
      <c r="U12" s="203">
        <v>58.261666666666663</v>
      </c>
      <c r="V12" s="203">
        <v>0</v>
      </c>
      <c r="W12" s="59"/>
      <c r="X12" s="206">
        <v>0.20932904037438799</v>
      </c>
      <c r="Y12" s="206">
        <v>0.40097153765012611</v>
      </c>
      <c r="Z12" s="206">
        <v>0</v>
      </c>
      <c r="AA12" s="206">
        <v>4.6464187386555597E-2</v>
      </c>
      <c r="AB12" s="101">
        <v>0</v>
      </c>
      <c r="AC12" s="101">
        <v>0</v>
      </c>
      <c r="AD12" s="101">
        <v>0</v>
      </c>
      <c r="AE12" s="101">
        <v>0</v>
      </c>
      <c r="AF12" s="187"/>
      <c r="AG12" s="101">
        <v>0</v>
      </c>
      <c r="AH12"/>
    </row>
    <row r="13" spans="1:36" x14ac:dyDescent="0.2">
      <c r="A13" s="15">
        <v>2</v>
      </c>
      <c r="B13" s="188" t="s">
        <v>372</v>
      </c>
      <c r="C13" s="189" t="s">
        <v>424</v>
      </c>
      <c r="D13" s="190" t="s">
        <v>231</v>
      </c>
      <c r="E13" s="190" t="s">
        <v>237</v>
      </c>
      <c r="F13" s="191" t="s">
        <v>248</v>
      </c>
      <c r="G13" s="193" t="s">
        <v>254</v>
      </c>
      <c r="H13" s="101">
        <v>0</v>
      </c>
      <c r="I13" s="194" t="s">
        <v>235</v>
      </c>
      <c r="J13" s="195" t="s">
        <v>230</v>
      </c>
      <c r="K13" s="196">
        <v>1</v>
      </c>
      <c r="L13" s="197">
        <v>60</v>
      </c>
      <c r="M13" s="101">
        <v>0</v>
      </c>
      <c r="N13" s="200" t="s">
        <v>238</v>
      </c>
      <c r="O13" s="195" t="s">
        <v>231</v>
      </c>
      <c r="P13" s="196">
        <v>2</v>
      </c>
      <c r="Q13" s="194">
        <v>30</v>
      </c>
      <c r="R13" s="201">
        <v>35</v>
      </c>
      <c r="S13" s="101">
        <v>0</v>
      </c>
      <c r="T13" s="202">
        <v>73.884835960000004</v>
      </c>
      <c r="U13" s="203">
        <v>58.261666666666663</v>
      </c>
      <c r="V13" s="203">
        <v>0</v>
      </c>
      <c r="W13" s="59"/>
      <c r="X13" s="206">
        <v>0.20932904037438799</v>
      </c>
      <c r="Y13" s="206">
        <v>0.40097153765012611</v>
      </c>
      <c r="Z13" s="206">
        <v>0</v>
      </c>
      <c r="AA13" s="206">
        <v>4.6464187386555597E-2</v>
      </c>
      <c r="AB13" s="101">
        <v>0</v>
      </c>
      <c r="AC13" s="101">
        <v>0</v>
      </c>
      <c r="AD13" s="101">
        <v>0</v>
      </c>
      <c r="AE13" s="101">
        <v>0</v>
      </c>
      <c r="AF13" s="187"/>
      <c r="AG13" s="101">
        <v>0</v>
      </c>
      <c r="AH13"/>
    </row>
    <row r="14" spans="1:36" x14ac:dyDescent="0.2">
      <c r="A14" s="15">
        <v>3</v>
      </c>
      <c r="B14" s="188" t="s">
        <v>373</v>
      </c>
      <c r="C14" s="189" t="s">
        <v>425</v>
      </c>
      <c r="D14" s="190" t="s">
        <v>230</v>
      </c>
      <c r="E14" s="190" t="s">
        <v>237</v>
      </c>
      <c r="F14" s="191" t="s">
        <v>248</v>
      </c>
      <c r="G14" s="193" t="s">
        <v>254</v>
      </c>
      <c r="H14" s="101">
        <v>0</v>
      </c>
      <c r="I14" s="194" t="s">
        <v>235</v>
      </c>
      <c r="J14" s="195" t="s">
        <v>230</v>
      </c>
      <c r="K14" s="196">
        <v>1</v>
      </c>
      <c r="L14" s="197">
        <v>60</v>
      </c>
      <c r="M14" s="101">
        <v>0</v>
      </c>
      <c r="N14" s="200" t="s">
        <v>238</v>
      </c>
      <c r="O14" s="195" t="s">
        <v>230</v>
      </c>
      <c r="P14" s="196">
        <v>2</v>
      </c>
      <c r="Q14" s="194">
        <v>30</v>
      </c>
      <c r="R14" s="201">
        <v>35</v>
      </c>
      <c r="S14" s="101">
        <v>0</v>
      </c>
      <c r="T14" s="202">
        <v>220.93940309760001</v>
      </c>
      <c r="U14" s="203">
        <v>58.261666666666663</v>
      </c>
      <c r="V14" s="203">
        <v>0</v>
      </c>
      <c r="W14" s="59"/>
      <c r="X14" s="206">
        <v>0.20932904037438799</v>
      </c>
      <c r="Y14" s="206">
        <v>0.40097153765012611</v>
      </c>
      <c r="Z14" s="206">
        <v>0</v>
      </c>
      <c r="AA14" s="206">
        <v>4.6464187386555597E-2</v>
      </c>
      <c r="AB14" s="101">
        <v>0</v>
      </c>
      <c r="AC14" s="101">
        <v>0</v>
      </c>
      <c r="AD14" s="101">
        <v>0</v>
      </c>
      <c r="AE14" s="101">
        <v>0</v>
      </c>
      <c r="AF14" s="187"/>
      <c r="AG14" s="101">
        <v>0</v>
      </c>
      <c r="AH14"/>
    </row>
    <row r="15" spans="1:36" x14ac:dyDescent="0.2">
      <c r="A15" s="15">
        <v>4</v>
      </c>
      <c r="B15" s="188" t="s">
        <v>373</v>
      </c>
      <c r="C15" s="189" t="s">
        <v>426</v>
      </c>
      <c r="D15" s="190" t="s">
        <v>231</v>
      </c>
      <c r="E15" s="190" t="s">
        <v>237</v>
      </c>
      <c r="F15" s="191" t="s">
        <v>248</v>
      </c>
      <c r="G15" s="193" t="s">
        <v>254</v>
      </c>
      <c r="H15" s="101">
        <v>0</v>
      </c>
      <c r="I15" s="194" t="s">
        <v>235</v>
      </c>
      <c r="J15" s="195" t="s">
        <v>230</v>
      </c>
      <c r="K15" s="196">
        <v>1</v>
      </c>
      <c r="L15" s="197">
        <v>60</v>
      </c>
      <c r="M15" s="101">
        <v>0</v>
      </c>
      <c r="N15" s="200" t="s">
        <v>238</v>
      </c>
      <c r="O15" s="195" t="s">
        <v>231</v>
      </c>
      <c r="P15" s="196">
        <v>2</v>
      </c>
      <c r="Q15" s="194">
        <v>30</v>
      </c>
      <c r="R15" s="201">
        <v>35</v>
      </c>
      <c r="S15" s="101">
        <v>0</v>
      </c>
      <c r="T15" s="202">
        <v>220.93940309760001</v>
      </c>
      <c r="U15" s="203">
        <v>58.261666666666663</v>
      </c>
      <c r="V15" s="203">
        <v>0</v>
      </c>
      <c r="W15" s="59"/>
      <c r="X15" s="206">
        <v>0.20932904037438799</v>
      </c>
      <c r="Y15" s="206">
        <v>0.40097153765012611</v>
      </c>
      <c r="Z15" s="206">
        <v>0</v>
      </c>
      <c r="AA15" s="206">
        <v>4.6464187386555597E-2</v>
      </c>
      <c r="AB15" s="101">
        <v>0</v>
      </c>
      <c r="AC15" s="101">
        <v>0</v>
      </c>
      <c r="AD15" s="101">
        <v>0</v>
      </c>
      <c r="AE15" s="101">
        <v>0</v>
      </c>
      <c r="AF15" s="187"/>
      <c r="AG15" s="101">
        <v>0</v>
      </c>
      <c r="AH15"/>
    </row>
    <row r="16" spans="1:36" x14ac:dyDescent="0.2">
      <c r="A16" s="15">
        <v>5</v>
      </c>
      <c r="B16" s="188" t="s">
        <v>374</v>
      </c>
      <c r="C16" s="189" t="s">
        <v>427</v>
      </c>
      <c r="D16" s="190" t="s">
        <v>230</v>
      </c>
      <c r="E16" s="190" t="s">
        <v>237</v>
      </c>
      <c r="F16" s="191" t="s">
        <v>250</v>
      </c>
      <c r="G16" s="193" t="s">
        <v>254</v>
      </c>
      <c r="H16" s="101">
        <v>0</v>
      </c>
      <c r="I16" s="194" t="s">
        <v>235</v>
      </c>
      <c r="J16" s="195" t="s">
        <v>230</v>
      </c>
      <c r="K16" s="196">
        <v>1</v>
      </c>
      <c r="L16" s="197">
        <v>60</v>
      </c>
      <c r="M16" s="101">
        <v>0</v>
      </c>
      <c r="N16" s="200" t="s">
        <v>238</v>
      </c>
      <c r="O16" s="195" t="s">
        <v>230</v>
      </c>
      <c r="P16" s="196">
        <v>2</v>
      </c>
      <c r="Q16" s="194">
        <v>30</v>
      </c>
      <c r="R16" s="201">
        <v>35</v>
      </c>
      <c r="S16" s="101">
        <v>0</v>
      </c>
      <c r="T16" s="202">
        <v>51.012439559999997</v>
      </c>
      <c r="U16" s="203">
        <v>58.261666666666663</v>
      </c>
      <c r="V16" s="203">
        <v>0</v>
      </c>
      <c r="W16" s="59"/>
      <c r="X16" s="206">
        <v>0.20932904037438799</v>
      </c>
      <c r="Y16" s="206">
        <v>0.40097153765012611</v>
      </c>
      <c r="Z16" s="206">
        <v>0</v>
      </c>
      <c r="AA16" s="206">
        <v>4.6464187386555597E-2</v>
      </c>
      <c r="AB16" s="101">
        <v>0</v>
      </c>
      <c r="AC16" s="101">
        <v>0</v>
      </c>
      <c r="AD16" s="101">
        <v>0</v>
      </c>
      <c r="AE16" s="101">
        <v>0</v>
      </c>
      <c r="AF16" s="187"/>
      <c r="AG16" s="101">
        <v>0</v>
      </c>
      <c r="AH16"/>
    </row>
    <row r="17" spans="1:34" x14ac:dyDescent="0.2">
      <c r="A17" s="15">
        <v>6</v>
      </c>
      <c r="B17" s="188" t="s">
        <v>374</v>
      </c>
      <c r="C17" s="189" t="s">
        <v>428</v>
      </c>
      <c r="D17" s="190" t="s">
        <v>231</v>
      </c>
      <c r="E17" s="190" t="s">
        <v>237</v>
      </c>
      <c r="F17" s="191" t="s">
        <v>250</v>
      </c>
      <c r="G17" s="193" t="s">
        <v>254</v>
      </c>
      <c r="H17" s="101">
        <v>0</v>
      </c>
      <c r="I17" s="194" t="s">
        <v>235</v>
      </c>
      <c r="J17" s="195" t="s">
        <v>230</v>
      </c>
      <c r="K17" s="196">
        <v>1</v>
      </c>
      <c r="L17" s="197">
        <v>60</v>
      </c>
      <c r="M17" s="101">
        <v>0</v>
      </c>
      <c r="N17" s="200" t="s">
        <v>238</v>
      </c>
      <c r="O17" s="195" t="s">
        <v>231</v>
      </c>
      <c r="P17" s="196">
        <v>2</v>
      </c>
      <c r="Q17" s="194">
        <v>30</v>
      </c>
      <c r="R17" s="201">
        <v>35</v>
      </c>
      <c r="S17" s="101">
        <v>0</v>
      </c>
      <c r="T17" s="202">
        <v>51.012439559999997</v>
      </c>
      <c r="U17" s="203">
        <v>58.261666666666663</v>
      </c>
      <c r="V17" s="203">
        <v>0</v>
      </c>
      <c r="W17" s="59"/>
      <c r="X17" s="206">
        <v>0.20932904037438799</v>
      </c>
      <c r="Y17" s="206">
        <v>0.40097153765012611</v>
      </c>
      <c r="Z17" s="206">
        <v>0</v>
      </c>
      <c r="AA17" s="206">
        <v>4.6464187386555597E-2</v>
      </c>
      <c r="AB17" s="101">
        <v>0</v>
      </c>
      <c r="AC17" s="101">
        <v>0</v>
      </c>
      <c r="AD17" s="101">
        <v>0</v>
      </c>
      <c r="AE17" s="101">
        <v>0</v>
      </c>
      <c r="AF17" s="187"/>
      <c r="AG17" s="101">
        <v>0</v>
      </c>
      <c r="AH17"/>
    </row>
    <row r="18" spans="1:34" x14ac:dyDescent="0.2">
      <c r="A18" s="15">
        <v>7</v>
      </c>
      <c r="B18" s="188" t="s">
        <v>375</v>
      </c>
      <c r="C18" s="189" t="s">
        <v>429</v>
      </c>
      <c r="D18" s="190" t="s">
        <v>230</v>
      </c>
      <c r="E18" s="190" t="s">
        <v>237</v>
      </c>
      <c r="F18" s="191" t="s">
        <v>250</v>
      </c>
      <c r="G18" s="193" t="s">
        <v>254</v>
      </c>
      <c r="H18" s="101">
        <v>0</v>
      </c>
      <c r="I18" s="194" t="s">
        <v>235</v>
      </c>
      <c r="J18" s="195" t="s">
        <v>230</v>
      </c>
      <c r="K18" s="196">
        <v>1</v>
      </c>
      <c r="L18" s="197">
        <v>60</v>
      </c>
      <c r="M18" s="101">
        <v>0</v>
      </c>
      <c r="N18" s="200" t="s">
        <v>238</v>
      </c>
      <c r="O18" s="195" t="s">
        <v>230</v>
      </c>
      <c r="P18" s="196">
        <v>2</v>
      </c>
      <c r="Q18" s="194">
        <v>30</v>
      </c>
      <c r="R18" s="201">
        <v>35</v>
      </c>
      <c r="S18" s="101">
        <v>0</v>
      </c>
      <c r="T18" s="202">
        <v>79.02</v>
      </c>
      <c r="U18" s="203">
        <v>58.261666666666663</v>
      </c>
      <c r="V18" s="203">
        <v>0</v>
      </c>
      <c r="W18" s="59"/>
      <c r="X18" s="206">
        <v>0.20932904037438799</v>
      </c>
      <c r="Y18" s="206">
        <v>0.40097153765012611</v>
      </c>
      <c r="Z18" s="206">
        <v>0</v>
      </c>
      <c r="AA18" s="206">
        <v>4.6464187386555597E-2</v>
      </c>
      <c r="AB18" s="101">
        <v>0</v>
      </c>
      <c r="AC18" s="101">
        <v>0</v>
      </c>
      <c r="AD18" s="101">
        <v>0</v>
      </c>
      <c r="AE18" s="101">
        <v>0</v>
      </c>
      <c r="AF18" s="187"/>
      <c r="AG18" s="101">
        <v>0</v>
      </c>
      <c r="AH18"/>
    </row>
    <row r="19" spans="1:34" x14ac:dyDescent="0.2">
      <c r="A19" s="15">
        <v>8</v>
      </c>
      <c r="B19" s="188" t="s">
        <v>375</v>
      </c>
      <c r="C19" s="189" t="s">
        <v>430</v>
      </c>
      <c r="D19" s="190" t="s">
        <v>231</v>
      </c>
      <c r="E19" s="190" t="s">
        <v>237</v>
      </c>
      <c r="F19" s="191" t="s">
        <v>250</v>
      </c>
      <c r="G19" s="193" t="s">
        <v>254</v>
      </c>
      <c r="H19" s="101">
        <v>0</v>
      </c>
      <c r="I19" s="194" t="s">
        <v>235</v>
      </c>
      <c r="J19" s="195" t="s">
        <v>230</v>
      </c>
      <c r="K19" s="196">
        <v>1</v>
      </c>
      <c r="L19" s="197">
        <v>60</v>
      </c>
      <c r="M19" s="101">
        <v>0</v>
      </c>
      <c r="N19" s="200" t="s">
        <v>238</v>
      </c>
      <c r="O19" s="195" t="s">
        <v>231</v>
      </c>
      <c r="P19" s="196">
        <v>2</v>
      </c>
      <c r="Q19" s="194">
        <v>30</v>
      </c>
      <c r="R19" s="201">
        <v>35</v>
      </c>
      <c r="S19" s="101">
        <v>0</v>
      </c>
      <c r="T19" s="202">
        <v>79.02</v>
      </c>
      <c r="U19" s="203">
        <v>58.261666666666663</v>
      </c>
      <c r="V19" s="203">
        <v>0</v>
      </c>
      <c r="W19" s="59"/>
      <c r="X19" s="206">
        <v>0.20932904037438799</v>
      </c>
      <c r="Y19" s="206">
        <v>0.40097153765012611</v>
      </c>
      <c r="Z19" s="206">
        <v>0</v>
      </c>
      <c r="AA19" s="206">
        <v>4.6464187386555597E-2</v>
      </c>
      <c r="AB19" s="101">
        <v>0</v>
      </c>
      <c r="AC19" s="101">
        <v>0</v>
      </c>
      <c r="AD19" s="101">
        <v>0</v>
      </c>
      <c r="AE19" s="101">
        <v>0</v>
      </c>
      <c r="AF19" s="187"/>
      <c r="AG19" s="101">
        <v>0</v>
      </c>
      <c r="AH19"/>
    </row>
    <row r="20" spans="1:34" x14ac:dyDescent="0.2">
      <c r="A20" s="15">
        <v>9</v>
      </c>
      <c r="B20" s="188" t="s">
        <v>376</v>
      </c>
      <c r="C20" s="189" t="s">
        <v>431</v>
      </c>
      <c r="D20" s="190" t="s">
        <v>230</v>
      </c>
      <c r="E20" s="190" t="s">
        <v>237</v>
      </c>
      <c r="F20" s="191" t="s">
        <v>250</v>
      </c>
      <c r="G20" s="193" t="s">
        <v>254</v>
      </c>
      <c r="H20" s="101">
        <v>0</v>
      </c>
      <c r="I20" s="194" t="s">
        <v>235</v>
      </c>
      <c r="J20" s="195" t="s">
        <v>230</v>
      </c>
      <c r="K20" s="196">
        <v>1</v>
      </c>
      <c r="L20" s="197">
        <v>60</v>
      </c>
      <c r="M20" s="101">
        <v>0</v>
      </c>
      <c r="N20" s="200" t="s">
        <v>238</v>
      </c>
      <c r="O20" s="195" t="s">
        <v>230</v>
      </c>
      <c r="P20" s="196">
        <v>2</v>
      </c>
      <c r="Q20" s="194">
        <v>30</v>
      </c>
      <c r="R20" s="201">
        <v>35</v>
      </c>
      <c r="S20" s="101">
        <v>0</v>
      </c>
      <c r="T20" s="202">
        <v>204.67780482600003</v>
      </c>
      <c r="U20" s="203">
        <v>58.261666666666663</v>
      </c>
      <c r="V20" s="203">
        <v>0</v>
      </c>
      <c r="W20" s="59"/>
      <c r="X20" s="206">
        <v>0.20932904037438799</v>
      </c>
      <c r="Y20" s="206">
        <v>0.40097153765012611</v>
      </c>
      <c r="Z20" s="206">
        <v>0</v>
      </c>
      <c r="AA20" s="206">
        <v>4.6464187386555597E-2</v>
      </c>
      <c r="AB20" s="101">
        <v>0</v>
      </c>
      <c r="AC20" s="101">
        <v>0</v>
      </c>
      <c r="AD20" s="101">
        <v>0</v>
      </c>
      <c r="AE20" s="101">
        <v>0</v>
      </c>
      <c r="AF20" s="187"/>
      <c r="AG20" s="101">
        <v>0</v>
      </c>
      <c r="AH20"/>
    </row>
    <row r="21" spans="1:34" x14ac:dyDescent="0.2">
      <c r="A21" s="15">
        <v>10</v>
      </c>
      <c r="B21" s="188" t="s">
        <v>376</v>
      </c>
      <c r="C21" s="189" t="s">
        <v>432</v>
      </c>
      <c r="D21" s="190" t="s">
        <v>231</v>
      </c>
      <c r="E21" s="190" t="s">
        <v>237</v>
      </c>
      <c r="F21" s="191" t="s">
        <v>250</v>
      </c>
      <c r="G21" s="193" t="s">
        <v>254</v>
      </c>
      <c r="H21" s="101">
        <v>0</v>
      </c>
      <c r="I21" s="194" t="s">
        <v>235</v>
      </c>
      <c r="J21" s="195" t="s">
        <v>230</v>
      </c>
      <c r="K21" s="196">
        <v>1</v>
      </c>
      <c r="L21" s="197">
        <v>60</v>
      </c>
      <c r="M21" s="101">
        <v>0</v>
      </c>
      <c r="N21" s="200" t="s">
        <v>238</v>
      </c>
      <c r="O21" s="195" t="s">
        <v>231</v>
      </c>
      <c r="P21" s="196">
        <v>2</v>
      </c>
      <c r="Q21" s="194">
        <v>30</v>
      </c>
      <c r="R21" s="201">
        <v>35</v>
      </c>
      <c r="S21" s="101">
        <v>0</v>
      </c>
      <c r="T21" s="202">
        <v>204.67780482600003</v>
      </c>
      <c r="U21" s="203">
        <v>58.261666666666663</v>
      </c>
      <c r="V21" s="203">
        <v>0</v>
      </c>
      <c r="W21" s="59"/>
      <c r="X21" s="206">
        <v>0.20932904037438799</v>
      </c>
      <c r="Y21" s="206">
        <v>0.40097153765012611</v>
      </c>
      <c r="Z21" s="206">
        <v>0</v>
      </c>
      <c r="AA21" s="206">
        <v>4.6464187386555597E-2</v>
      </c>
      <c r="AB21" s="101">
        <v>0</v>
      </c>
      <c r="AC21" s="101">
        <v>0</v>
      </c>
      <c r="AD21" s="101">
        <v>0</v>
      </c>
      <c r="AE21" s="101">
        <v>0</v>
      </c>
      <c r="AF21" s="187"/>
      <c r="AG21" s="101">
        <v>0</v>
      </c>
      <c r="AH21"/>
    </row>
    <row r="22" spans="1:34" x14ac:dyDescent="0.2">
      <c r="A22" s="15">
        <v>11</v>
      </c>
      <c r="B22" s="188" t="s">
        <v>377</v>
      </c>
      <c r="C22" s="189" t="s">
        <v>433</v>
      </c>
      <c r="D22" s="190" t="s">
        <v>230</v>
      </c>
      <c r="E22" s="190" t="s">
        <v>237</v>
      </c>
      <c r="F22" s="191" t="s">
        <v>250</v>
      </c>
      <c r="G22" s="193" t="s">
        <v>254</v>
      </c>
      <c r="H22" s="101">
        <v>0</v>
      </c>
      <c r="I22" s="194" t="s">
        <v>235</v>
      </c>
      <c r="J22" s="195" t="s">
        <v>230</v>
      </c>
      <c r="K22" s="196">
        <v>1</v>
      </c>
      <c r="L22" s="197">
        <v>60</v>
      </c>
      <c r="M22" s="101">
        <v>0</v>
      </c>
      <c r="N22" s="200" t="s">
        <v>238</v>
      </c>
      <c r="O22" s="195" t="s">
        <v>230</v>
      </c>
      <c r="P22" s="196">
        <v>2</v>
      </c>
      <c r="Q22" s="194">
        <v>30</v>
      </c>
      <c r="R22" s="201">
        <v>35</v>
      </c>
      <c r="S22" s="101">
        <v>0</v>
      </c>
      <c r="T22" s="202">
        <v>51.012439559999997</v>
      </c>
      <c r="U22" s="203">
        <v>58.261666666666663</v>
      </c>
      <c r="V22" s="203">
        <v>0</v>
      </c>
      <c r="W22" s="59"/>
      <c r="X22" s="206">
        <v>0.20932904037438799</v>
      </c>
      <c r="Y22" s="206">
        <v>0.40097153765012611</v>
      </c>
      <c r="Z22" s="206">
        <v>0</v>
      </c>
      <c r="AA22" s="206">
        <v>4.6464187386555597E-2</v>
      </c>
      <c r="AB22" s="101">
        <v>0</v>
      </c>
      <c r="AC22" s="101">
        <v>0</v>
      </c>
      <c r="AD22" s="101">
        <v>0</v>
      </c>
      <c r="AE22" s="101">
        <v>0</v>
      </c>
      <c r="AF22" s="187"/>
      <c r="AG22" s="101">
        <v>0</v>
      </c>
      <c r="AH22"/>
    </row>
    <row r="23" spans="1:34" x14ac:dyDescent="0.2">
      <c r="A23" s="15">
        <v>12</v>
      </c>
      <c r="B23" s="188" t="s">
        <v>377</v>
      </c>
      <c r="C23" s="189" t="s">
        <v>434</v>
      </c>
      <c r="D23" s="190" t="s">
        <v>231</v>
      </c>
      <c r="E23" s="190" t="s">
        <v>237</v>
      </c>
      <c r="F23" s="191" t="s">
        <v>250</v>
      </c>
      <c r="G23" s="193" t="s">
        <v>254</v>
      </c>
      <c r="H23" s="101">
        <v>0</v>
      </c>
      <c r="I23" s="194" t="s">
        <v>235</v>
      </c>
      <c r="J23" s="195" t="s">
        <v>230</v>
      </c>
      <c r="K23" s="196">
        <v>1</v>
      </c>
      <c r="L23" s="197">
        <v>60</v>
      </c>
      <c r="M23" s="101">
        <v>0</v>
      </c>
      <c r="N23" s="200" t="s">
        <v>238</v>
      </c>
      <c r="O23" s="195" t="s">
        <v>231</v>
      </c>
      <c r="P23" s="196">
        <v>2</v>
      </c>
      <c r="Q23" s="194">
        <v>30</v>
      </c>
      <c r="R23" s="201">
        <v>35</v>
      </c>
      <c r="S23" s="101">
        <v>0</v>
      </c>
      <c r="T23" s="202">
        <v>51.012439559999997</v>
      </c>
      <c r="U23" s="203">
        <v>58.261666666666663</v>
      </c>
      <c r="V23" s="203">
        <v>0</v>
      </c>
      <c r="W23" s="59"/>
      <c r="X23" s="206">
        <v>0.20932904037438799</v>
      </c>
      <c r="Y23" s="206">
        <v>0.40097153765012611</v>
      </c>
      <c r="Z23" s="206">
        <v>0</v>
      </c>
      <c r="AA23" s="206">
        <v>4.6464187386555597E-2</v>
      </c>
      <c r="AB23" s="101">
        <v>0</v>
      </c>
      <c r="AC23" s="101">
        <v>0</v>
      </c>
      <c r="AD23" s="101">
        <v>0</v>
      </c>
      <c r="AE23" s="101">
        <v>0</v>
      </c>
      <c r="AF23" s="187"/>
      <c r="AG23" s="101">
        <v>0</v>
      </c>
      <c r="AH23"/>
    </row>
    <row r="24" spans="1:34" x14ac:dyDescent="0.2">
      <c r="A24" s="15">
        <v>13</v>
      </c>
      <c r="B24" s="188" t="s">
        <v>378</v>
      </c>
      <c r="C24" s="462" t="s">
        <v>435</v>
      </c>
      <c r="D24" s="190" t="s">
        <v>230</v>
      </c>
      <c r="E24" s="190" t="s">
        <v>240</v>
      </c>
      <c r="F24" s="191" t="s">
        <v>250</v>
      </c>
      <c r="G24" s="193" t="s">
        <v>254</v>
      </c>
      <c r="H24" s="101">
        <v>0</v>
      </c>
      <c r="I24" s="463"/>
      <c r="J24" s="464"/>
      <c r="K24" s="465"/>
      <c r="L24" s="466"/>
      <c r="M24" s="101">
        <v>0</v>
      </c>
      <c r="N24" s="467"/>
      <c r="O24" s="464"/>
      <c r="P24" s="465"/>
      <c r="Q24" s="463"/>
      <c r="R24" s="468"/>
      <c r="S24" s="101">
        <v>0</v>
      </c>
      <c r="T24" s="469"/>
      <c r="U24" s="470"/>
      <c r="V24" s="471">
        <v>60.63</v>
      </c>
      <c r="W24" s="59"/>
      <c r="X24" s="206">
        <v>0.2093290403743884</v>
      </c>
      <c r="Y24" s="206">
        <v>0.40097153765012611</v>
      </c>
      <c r="Z24" s="206">
        <v>0</v>
      </c>
      <c r="AA24" s="206">
        <v>0</v>
      </c>
      <c r="AB24" s="101">
        <v>0</v>
      </c>
      <c r="AC24" s="101">
        <v>0</v>
      </c>
      <c r="AD24" s="101">
        <v>0</v>
      </c>
      <c r="AE24" s="101">
        <v>0</v>
      </c>
      <c r="AF24" s="207">
        <v>0</v>
      </c>
      <c r="AG24" s="101">
        <v>0</v>
      </c>
      <c r="AH24"/>
    </row>
    <row r="25" spans="1:34" x14ac:dyDescent="0.2">
      <c r="A25" s="15">
        <v>14</v>
      </c>
      <c r="B25" s="188" t="s">
        <v>378</v>
      </c>
      <c r="C25" s="462" t="s">
        <v>436</v>
      </c>
      <c r="D25" s="190" t="s">
        <v>231</v>
      </c>
      <c r="E25" s="190" t="s">
        <v>240</v>
      </c>
      <c r="F25" s="191" t="s">
        <v>250</v>
      </c>
      <c r="G25" s="193" t="s">
        <v>254</v>
      </c>
      <c r="H25" s="101">
        <v>0</v>
      </c>
      <c r="I25" s="463"/>
      <c r="J25" s="464"/>
      <c r="K25" s="465"/>
      <c r="L25" s="466"/>
      <c r="M25" s="101">
        <v>0</v>
      </c>
      <c r="N25" s="467"/>
      <c r="O25" s="464"/>
      <c r="P25" s="465"/>
      <c r="Q25" s="463"/>
      <c r="R25" s="468"/>
      <c r="S25" s="101">
        <v>0</v>
      </c>
      <c r="T25" s="469"/>
      <c r="U25" s="470"/>
      <c r="V25" s="471">
        <v>105.84</v>
      </c>
      <c r="W25" s="59"/>
      <c r="X25" s="206">
        <v>0.2093290403743884</v>
      </c>
      <c r="Y25" s="206">
        <v>0.40097153765012611</v>
      </c>
      <c r="Z25" s="206">
        <v>0</v>
      </c>
      <c r="AA25" s="206">
        <v>0</v>
      </c>
      <c r="AB25" s="101">
        <v>0</v>
      </c>
      <c r="AC25" s="101">
        <v>0</v>
      </c>
      <c r="AD25" s="101">
        <v>0</v>
      </c>
      <c r="AE25" s="101">
        <v>0</v>
      </c>
      <c r="AF25" s="207">
        <v>0</v>
      </c>
      <c r="AG25" s="101">
        <v>0</v>
      </c>
      <c r="AH25"/>
    </row>
    <row r="26" spans="1:34" x14ac:dyDescent="0.2">
      <c r="A26" s="15">
        <v>15</v>
      </c>
      <c r="B26" s="188" t="s">
        <v>379</v>
      </c>
      <c r="C26" s="462" t="s">
        <v>437</v>
      </c>
      <c r="D26" s="190" t="s">
        <v>230</v>
      </c>
      <c r="E26" s="190" t="s">
        <v>240</v>
      </c>
      <c r="F26" s="191" t="s">
        <v>250</v>
      </c>
      <c r="G26" s="193" t="s">
        <v>254</v>
      </c>
      <c r="H26" s="101">
        <v>0</v>
      </c>
      <c r="I26" s="463"/>
      <c r="J26" s="464"/>
      <c r="K26" s="465"/>
      <c r="L26" s="466"/>
      <c r="M26" s="101">
        <v>0</v>
      </c>
      <c r="N26" s="467"/>
      <c r="O26" s="464"/>
      <c r="P26" s="465"/>
      <c r="Q26" s="463"/>
      <c r="R26" s="468"/>
      <c r="S26" s="101">
        <v>0</v>
      </c>
      <c r="T26" s="469"/>
      <c r="U26" s="470"/>
      <c r="V26" s="471">
        <v>86.95</v>
      </c>
      <c r="W26" s="59"/>
      <c r="X26" s="206">
        <v>0.2093290403743884</v>
      </c>
      <c r="Y26" s="206">
        <v>0.40097153765012611</v>
      </c>
      <c r="Z26" s="206">
        <v>0</v>
      </c>
      <c r="AA26" s="206">
        <v>0</v>
      </c>
      <c r="AB26" s="101">
        <v>0</v>
      </c>
      <c r="AC26" s="101">
        <v>0</v>
      </c>
      <c r="AD26" s="101">
        <v>0</v>
      </c>
      <c r="AE26" s="101">
        <v>0</v>
      </c>
      <c r="AF26" s="207">
        <v>0</v>
      </c>
      <c r="AG26" s="101">
        <v>0</v>
      </c>
      <c r="AH26"/>
    </row>
    <row r="27" spans="1:34" x14ac:dyDescent="0.2">
      <c r="A27" s="15">
        <v>16</v>
      </c>
      <c r="B27" s="188" t="s">
        <v>380</v>
      </c>
      <c r="C27" s="189" t="s">
        <v>438</v>
      </c>
      <c r="D27" s="190" t="s">
        <v>230</v>
      </c>
      <c r="E27" s="190" t="s">
        <v>240</v>
      </c>
      <c r="F27" s="191" t="s">
        <v>239</v>
      </c>
      <c r="G27" s="193" t="s">
        <v>254</v>
      </c>
      <c r="H27" s="101">
        <v>0</v>
      </c>
      <c r="I27" s="194" t="s">
        <v>235</v>
      </c>
      <c r="J27" s="195" t="s">
        <v>230</v>
      </c>
      <c r="K27" s="196">
        <v>1</v>
      </c>
      <c r="L27" s="197">
        <v>30</v>
      </c>
      <c r="M27" s="101">
        <v>0</v>
      </c>
      <c r="N27" s="200" t="s">
        <v>238</v>
      </c>
      <c r="O27" s="195" t="s">
        <v>230</v>
      </c>
      <c r="P27" s="196">
        <v>2</v>
      </c>
      <c r="Q27" s="194">
        <v>30</v>
      </c>
      <c r="R27" s="201">
        <v>25</v>
      </c>
      <c r="S27" s="101">
        <v>0</v>
      </c>
      <c r="T27" s="202">
        <v>0</v>
      </c>
      <c r="U27" s="203">
        <v>49.298333333333332</v>
      </c>
      <c r="V27" s="203">
        <v>0</v>
      </c>
      <c r="W27" s="59"/>
      <c r="X27" s="206">
        <v>0.2093290403743884</v>
      </c>
      <c r="Y27" s="206">
        <v>0.40097153765012611</v>
      </c>
      <c r="Z27" s="206">
        <v>0</v>
      </c>
      <c r="AA27" s="206">
        <v>0</v>
      </c>
      <c r="AB27" s="101">
        <v>0</v>
      </c>
      <c r="AC27" s="101">
        <v>0</v>
      </c>
      <c r="AD27" s="101">
        <v>0</v>
      </c>
      <c r="AE27" s="101">
        <v>0</v>
      </c>
      <c r="AF27" s="187"/>
      <c r="AG27" s="101">
        <v>0</v>
      </c>
      <c r="AH27"/>
    </row>
    <row r="28" spans="1:34" ht="9.75" customHeight="1" x14ac:dyDescent="0.2">
      <c r="A28" s="15">
        <v>17</v>
      </c>
      <c r="B28" s="188" t="s">
        <v>380</v>
      </c>
      <c r="C28" s="189" t="s">
        <v>439</v>
      </c>
      <c r="D28" s="190" t="s">
        <v>231</v>
      </c>
      <c r="E28" s="190" t="s">
        <v>240</v>
      </c>
      <c r="F28" s="191" t="s">
        <v>239</v>
      </c>
      <c r="G28" s="193" t="s">
        <v>254</v>
      </c>
      <c r="H28" s="101">
        <v>0</v>
      </c>
      <c r="I28" s="194" t="s">
        <v>235</v>
      </c>
      <c r="J28" s="195" t="s">
        <v>230</v>
      </c>
      <c r="K28" s="196">
        <v>1</v>
      </c>
      <c r="L28" s="197">
        <v>30</v>
      </c>
      <c r="M28" s="101">
        <v>0</v>
      </c>
      <c r="N28" s="200" t="s">
        <v>238</v>
      </c>
      <c r="O28" s="195" t="s">
        <v>231</v>
      </c>
      <c r="P28" s="196">
        <v>2</v>
      </c>
      <c r="Q28" s="194">
        <v>30</v>
      </c>
      <c r="R28" s="201">
        <v>25</v>
      </c>
      <c r="S28" s="101">
        <v>0</v>
      </c>
      <c r="T28" s="202">
        <v>0</v>
      </c>
      <c r="U28" s="203">
        <v>49.298333333333332</v>
      </c>
      <c r="V28" s="203">
        <v>0</v>
      </c>
      <c r="W28" s="59"/>
      <c r="X28" s="206">
        <v>0.2093290403743884</v>
      </c>
      <c r="Y28" s="206">
        <v>0.40097153765012611</v>
      </c>
      <c r="Z28" s="206">
        <v>0</v>
      </c>
      <c r="AA28" s="206">
        <v>0</v>
      </c>
      <c r="AB28" s="101">
        <v>0</v>
      </c>
      <c r="AC28" s="101">
        <v>0</v>
      </c>
      <c r="AD28" s="101">
        <v>0</v>
      </c>
      <c r="AE28" s="101">
        <v>0</v>
      </c>
      <c r="AF28" s="187"/>
      <c r="AG28" s="101">
        <v>0</v>
      </c>
      <c r="AH28"/>
    </row>
    <row r="29" spans="1:34" x14ac:dyDescent="0.2">
      <c r="A29" s="15">
        <v>18</v>
      </c>
      <c r="B29" s="188" t="s">
        <v>381</v>
      </c>
      <c r="C29" s="189" t="s">
        <v>440</v>
      </c>
      <c r="D29" s="190" t="s">
        <v>230</v>
      </c>
      <c r="E29" s="190" t="s">
        <v>240</v>
      </c>
      <c r="F29" s="191" t="s">
        <v>239</v>
      </c>
      <c r="G29" s="193" t="s">
        <v>254</v>
      </c>
      <c r="H29" s="101">
        <v>0</v>
      </c>
      <c r="I29" s="194" t="s">
        <v>235</v>
      </c>
      <c r="J29" s="195" t="s">
        <v>230</v>
      </c>
      <c r="K29" s="196">
        <v>1</v>
      </c>
      <c r="L29" s="197">
        <v>30</v>
      </c>
      <c r="M29" s="101">
        <v>0</v>
      </c>
      <c r="N29" s="200" t="s">
        <v>238</v>
      </c>
      <c r="O29" s="195" t="s">
        <v>230</v>
      </c>
      <c r="P29" s="196">
        <v>2</v>
      </c>
      <c r="Q29" s="194">
        <v>30</v>
      </c>
      <c r="R29" s="201">
        <v>35</v>
      </c>
      <c r="S29" s="101">
        <v>0</v>
      </c>
      <c r="T29" s="202">
        <v>0</v>
      </c>
      <c r="U29" s="203">
        <v>58.261666666666663</v>
      </c>
      <c r="V29" s="203">
        <v>0</v>
      </c>
      <c r="W29" s="59"/>
      <c r="X29" s="206">
        <v>0.2093290403743884</v>
      </c>
      <c r="Y29" s="206">
        <v>0.40097153765012611</v>
      </c>
      <c r="Z29" s="206">
        <v>0</v>
      </c>
      <c r="AA29" s="206">
        <v>0</v>
      </c>
      <c r="AB29" s="101">
        <v>0</v>
      </c>
      <c r="AC29" s="101">
        <v>0</v>
      </c>
      <c r="AD29" s="101">
        <v>0</v>
      </c>
      <c r="AE29" s="101">
        <v>0</v>
      </c>
      <c r="AF29" s="187"/>
      <c r="AG29" s="101">
        <v>0</v>
      </c>
      <c r="AH29"/>
    </row>
    <row r="30" spans="1:34" x14ac:dyDescent="0.2">
      <c r="A30" s="15">
        <v>19</v>
      </c>
      <c r="B30" s="188" t="s">
        <v>381</v>
      </c>
      <c r="C30" s="189" t="s">
        <v>441</v>
      </c>
      <c r="D30" s="190" t="s">
        <v>231</v>
      </c>
      <c r="E30" s="190" t="s">
        <v>240</v>
      </c>
      <c r="F30" s="191" t="s">
        <v>239</v>
      </c>
      <c r="G30" s="193" t="s">
        <v>254</v>
      </c>
      <c r="H30" s="101">
        <v>0</v>
      </c>
      <c r="I30" s="194" t="s">
        <v>235</v>
      </c>
      <c r="J30" s="195" t="s">
        <v>230</v>
      </c>
      <c r="K30" s="196">
        <v>1</v>
      </c>
      <c r="L30" s="197">
        <v>30</v>
      </c>
      <c r="M30" s="101">
        <v>0</v>
      </c>
      <c r="N30" s="200" t="s">
        <v>238</v>
      </c>
      <c r="O30" s="195" t="s">
        <v>231</v>
      </c>
      <c r="P30" s="196">
        <v>2</v>
      </c>
      <c r="Q30" s="194">
        <v>30</v>
      </c>
      <c r="R30" s="201">
        <v>35</v>
      </c>
      <c r="S30" s="101">
        <v>0</v>
      </c>
      <c r="T30" s="202">
        <v>0</v>
      </c>
      <c r="U30" s="203">
        <v>58.261666666666663</v>
      </c>
      <c r="V30" s="203">
        <v>0</v>
      </c>
      <c r="W30" s="59"/>
      <c r="X30" s="206">
        <v>0.2093290403743884</v>
      </c>
      <c r="Y30" s="206">
        <v>0.40097153765012611</v>
      </c>
      <c r="Z30" s="206">
        <v>0</v>
      </c>
      <c r="AA30" s="206">
        <v>0</v>
      </c>
      <c r="AB30" s="101">
        <v>0</v>
      </c>
      <c r="AC30" s="101">
        <v>0</v>
      </c>
      <c r="AD30" s="101">
        <v>0</v>
      </c>
      <c r="AE30" s="101">
        <v>0</v>
      </c>
      <c r="AF30" s="187"/>
      <c r="AG30" s="101">
        <v>0</v>
      </c>
      <c r="AH30"/>
    </row>
    <row r="31" spans="1:34" x14ac:dyDescent="0.2">
      <c r="A31" s="15">
        <v>20</v>
      </c>
      <c r="B31" s="188" t="s">
        <v>382</v>
      </c>
      <c r="C31" s="189" t="s">
        <v>442</v>
      </c>
      <c r="D31" s="190" t="s">
        <v>230</v>
      </c>
      <c r="E31" s="190" t="s">
        <v>237</v>
      </c>
      <c r="F31" s="191" t="s">
        <v>242</v>
      </c>
      <c r="G31" s="193" t="s">
        <v>254</v>
      </c>
      <c r="H31" s="101">
        <v>0</v>
      </c>
      <c r="I31" s="194" t="s">
        <v>781</v>
      </c>
      <c r="J31" s="195" t="s">
        <v>781</v>
      </c>
      <c r="K31" s="196" t="s">
        <v>781</v>
      </c>
      <c r="L31" s="197" t="s">
        <v>781</v>
      </c>
      <c r="M31" s="101">
        <v>0</v>
      </c>
      <c r="N31" s="200" t="s">
        <v>781</v>
      </c>
      <c r="O31" s="195" t="s">
        <v>781</v>
      </c>
      <c r="P31" s="196" t="s">
        <v>781</v>
      </c>
      <c r="Q31" s="194" t="s">
        <v>781</v>
      </c>
      <c r="R31" s="201" t="s">
        <v>781</v>
      </c>
      <c r="S31" s="101">
        <v>0</v>
      </c>
      <c r="T31" s="202">
        <v>0</v>
      </c>
      <c r="U31" s="203">
        <v>0</v>
      </c>
      <c r="V31" s="203">
        <v>100.27941503821636</v>
      </c>
      <c r="W31" s="59"/>
      <c r="X31" s="206">
        <v>0.20932904037438799</v>
      </c>
      <c r="Y31" s="206">
        <v>0.40097153765012611</v>
      </c>
      <c r="Z31" s="206">
        <v>0</v>
      </c>
      <c r="AA31" s="206">
        <v>4.6464187386555597E-2</v>
      </c>
      <c r="AB31" s="101">
        <v>0</v>
      </c>
      <c r="AC31" s="101">
        <v>0</v>
      </c>
      <c r="AD31" s="101">
        <v>0</v>
      </c>
      <c r="AE31" s="101">
        <v>0</v>
      </c>
      <c r="AF31" s="207" t="s">
        <v>443</v>
      </c>
      <c r="AG31" s="101">
        <v>0</v>
      </c>
      <c r="AH31"/>
    </row>
    <row r="32" spans="1:34" x14ac:dyDescent="0.2">
      <c r="A32" s="15">
        <v>21</v>
      </c>
      <c r="B32" s="188" t="s">
        <v>384</v>
      </c>
      <c r="C32" s="189" t="s">
        <v>444</v>
      </c>
      <c r="D32" s="190" t="s">
        <v>230</v>
      </c>
      <c r="E32" s="190" t="s">
        <v>240</v>
      </c>
      <c r="F32" s="191" t="s">
        <v>249</v>
      </c>
      <c r="G32" s="193" t="s">
        <v>254</v>
      </c>
      <c r="H32" s="101">
        <v>0</v>
      </c>
      <c r="I32" s="194" t="s">
        <v>781</v>
      </c>
      <c r="J32" s="195" t="s">
        <v>781</v>
      </c>
      <c r="K32" s="196" t="s">
        <v>781</v>
      </c>
      <c r="L32" s="197" t="s">
        <v>781</v>
      </c>
      <c r="M32" s="101">
        <v>0</v>
      </c>
      <c r="N32" s="200" t="s">
        <v>781</v>
      </c>
      <c r="O32" s="195" t="s">
        <v>781</v>
      </c>
      <c r="P32" s="196" t="s">
        <v>781</v>
      </c>
      <c r="Q32" s="194" t="s">
        <v>781</v>
      </c>
      <c r="R32" s="201" t="s">
        <v>781</v>
      </c>
      <c r="S32" s="101">
        <v>0</v>
      </c>
      <c r="T32" s="202">
        <v>0</v>
      </c>
      <c r="U32" s="203">
        <v>0</v>
      </c>
      <c r="V32" s="203">
        <v>9.5510119103775555</v>
      </c>
      <c r="W32" s="59"/>
      <c r="X32" s="206">
        <v>0.2093290403743884</v>
      </c>
      <c r="Y32" s="206">
        <v>0.40097153765012611</v>
      </c>
      <c r="Z32" s="206">
        <v>0</v>
      </c>
      <c r="AA32" s="206">
        <v>0</v>
      </c>
      <c r="AB32" s="101">
        <v>0</v>
      </c>
      <c r="AC32" s="101">
        <v>0</v>
      </c>
      <c r="AD32" s="101">
        <v>0</v>
      </c>
      <c r="AE32" s="101">
        <v>0</v>
      </c>
      <c r="AF32" s="207" t="s">
        <v>445</v>
      </c>
      <c r="AG32" s="101">
        <v>0</v>
      </c>
      <c r="AH32"/>
    </row>
    <row r="33" spans="1:34" x14ac:dyDescent="0.2">
      <c r="A33" s="15">
        <v>22</v>
      </c>
      <c r="B33" s="188" t="s">
        <v>385</v>
      </c>
      <c r="C33" s="189" t="s">
        <v>446</v>
      </c>
      <c r="D33" s="190" t="s">
        <v>230</v>
      </c>
      <c r="E33" s="190" t="s">
        <v>240</v>
      </c>
      <c r="F33" s="191" t="s">
        <v>246</v>
      </c>
      <c r="G33" s="193" t="s">
        <v>254</v>
      </c>
      <c r="H33" s="101">
        <v>0</v>
      </c>
      <c r="I33" s="194" t="s">
        <v>781</v>
      </c>
      <c r="J33" s="195" t="s">
        <v>781</v>
      </c>
      <c r="K33" s="196" t="s">
        <v>781</v>
      </c>
      <c r="L33" s="197" t="s">
        <v>781</v>
      </c>
      <c r="M33" s="101">
        <v>0</v>
      </c>
      <c r="N33" s="200" t="s">
        <v>781</v>
      </c>
      <c r="O33" s="195" t="s">
        <v>781</v>
      </c>
      <c r="P33" s="196" t="s">
        <v>781</v>
      </c>
      <c r="Q33" s="194" t="s">
        <v>781</v>
      </c>
      <c r="R33" s="201" t="s">
        <v>781</v>
      </c>
      <c r="S33" s="101">
        <v>0</v>
      </c>
      <c r="T33" s="202">
        <v>0</v>
      </c>
      <c r="U33" s="203">
        <v>0</v>
      </c>
      <c r="V33" s="203">
        <v>0</v>
      </c>
      <c r="W33" s="59"/>
      <c r="X33" s="206">
        <v>0.2093290403743884</v>
      </c>
      <c r="Y33" s="206">
        <v>0.40097153765012611</v>
      </c>
      <c r="Z33" s="206">
        <v>0</v>
      </c>
      <c r="AA33" s="206">
        <v>0</v>
      </c>
      <c r="AB33" s="101">
        <v>0</v>
      </c>
      <c r="AC33" s="101">
        <v>0</v>
      </c>
      <c r="AD33" s="101">
        <v>0</v>
      </c>
      <c r="AE33" s="101">
        <v>0</v>
      </c>
      <c r="AF33" s="207"/>
      <c r="AG33" s="101">
        <v>0</v>
      </c>
      <c r="AH33"/>
    </row>
    <row r="34" spans="1:34" x14ac:dyDescent="0.2">
      <c r="A34" s="15">
        <v>23</v>
      </c>
      <c r="B34" s="188" t="s">
        <v>386</v>
      </c>
      <c r="C34" s="189" t="s">
        <v>447</v>
      </c>
      <c r="D34" s="190" t="s">
        <v>230</v>
      </c>
      <c r="E34" s="190" t="s">
        <v>240</v>
      </c>
      <c r="F34" s="191" t="s">
        <v>246</v>
      </c>
      <c r="G34" s="193" t="s">
        <v>254</v>
      </c>
      <c r="H34" s="101">
        <v>0</v>
      </c>
      <c r="I34" s="194" t="s">
        <v>781</v>
      </c>
      <c r="J34" s="195" t="s">
        <v>781</v>
      </c>
      <c r="K34" s="196" t="s">
        <v>781</v>
      </c>
      <c r="L34" s="197" t="s">
        <v>781</v>
      </c>
      <c r="M34" s="101">
        <v>0</v>
      </c>
      <c r="N34" s="200" t="s">
        <v>781</v>
      </c>
      <c r="O34" s="195" t="s">
        <v>781</v>
      </c>
      <c r="P34" s="196" t="s">
        <v>781</v>
      </c>
      <c r="Q34" s="194" t="s">
        <v>781</v>
      </c>
      <c r="R34" s="201" t="s">
        <v>781</v>
      </c>
      <c r="S34" s="101">
        <v>0</v>
      </c>
      <c r="T34" s="202">
        <v>0</v>
      </c>
      <c r="U34" s="203">
        <v>0</v>
      </c>
      <c r="V34" s="203">
        <v>0</v>
      </c>
      <c r="W34" s="59"/>
      <c r="X34" s="206">
        <v>0.2093290403743884</v>
      </c>
      <c r="Y34" s="206">
        <v>0.40097153765012611</v>
      </c>
      <c r="Z34" s="206">
        <v>0</v>
      </c>
      <c r="AA34" s="206">
        <v>0</v>
      </c>
      <c r="AB34" s="101">
        <v>0</v>
      </c>
      <c r="AC34" s="101">
        <v>0</v>
      </c>
      <c r="AD34" s="101">
        <v>0</v>
      </c>
      <c r="AE34" s="101">
        <v>0</v>
      </c>
      <c r="AF34" s="207"/>
      <c r="AG34" s="101">
        <v>0</v>
      </c>
      <c r="AH34"/>
    </row>
    <row r="35" spans="1:34" x14ac:dyDescent="0.2">
      <c r="A35" s="15">
        <v>24</v>
      </c>
      <c r="B35" s="188" t="s">
        <v>387</v>
      </c>
      <c r="C35" s="189" t="s">
        <v>448</v>
      </c>
      <c r="D35" s="190" t="s">
        <v>230</v>
      </c>
      <c r="E35" s="190" t="s">
        <v>240</v>
      </c>
      <c r="F35" s="191" t="s">
        <v>246</v>
      </c>
      <c r="G35" s="193" t="s">
        <v>254</v>
      </c>
      <c r="H35" s="101">
        <v>0</v>
      </c>
      <c r="I35" s="194" t="s">
        <v>235</v>
      </c>
      <c r="J35" s="195" t="s">
        <v>230</v>
      </c>
      <c r="K35" s="196">
        <v>1</v>
      </c>
      <c r="L35" s="197">
        <v>60</v>
      </c>
      <c r="M35" s="101">
        <v>0</v>
      </c>
      <c r="N35" s="200" t="s">
        <v>238</v>
      </c>
      <c r="O35" s="195" t="s">
        <v>230</v>
      </c>
      <c r="P35" s="196">
        <v>2</v>
      </c>
      <c r="Q35" s="194">
        <v>30</v>
      </c>
      <c r="R35" s="201">
        <v>35</v>
      </c>
      <c r="S35" s="101">
        <v>0</v>
      </c>
      <c r="T35" s="202">
        <v>0</v>
      </c>
      <c r="U35" s="203">
        <v>58.261666666666663</v>
      </c>
      <c r="V35" s="203">
        <v>0</v>
      </c>
      <c r="W35" s="59"/>
      <c r="X35" s="206">
        <v>0.2093290403743884</v>
      </c>
      <c r="Y35" s="206">
        <v>0.40097153765012611</v>
      </c>
      <c r="Z35" s="206">
        <v>0</v>
      </c>
      <c r="AA35" s="206">
        <v>0</v>
      </c>
      <c r="AB35" s="101">
        <v>0</v>
      </c>
      <c r="AC35" s="101">
        <v>0</v>
      </c>
      <c r="AD35" s="101">
        <v>0</v>
      </c>
      <c r="AE35" s="101">
        <v>0</v>
      </c>
      <c r="AF35" s="187"/>
      <c r="AG35" s="101">
        <v>0</v>
      </c>
      <c r="AH35"/>
    </row>
    <row r="36" spans="1:34" x14ac:dyDescent="0.2">
      <c r="A36" s="15">
        <v>25</v>
      </c>
      <c r="B36" s="188" t="s">
        <v>387</v>
      </c>
      <c r="C36" s="189" t="s">
        <v>449</v>
      </c>
      <c r="D36" s="190" t="s">
        <v>231</v>
      </c>
      <c r="E36" s="190" t="s">
        <v>240</v>
      </c>
      <c r="F36" s="191" t="s">
        <v>246</v>
      </c>
      <c r="G36" s="193" t="s">
        <v>254</v>
      </c>
      <c r="H36" s="101">
        <v>0</v>
      </c>
      <c r="I36" s="194" t="s">
        <v>235</v>
      </c>
      <c r="J36" s="195" t="s">
        <v>230</v>
      </c>
      <c r="K36" s="196">
        <v>1</v>
      </c>
      <c r="L36" s="197">
        <v>60</v>
      </c>
      <c r="M36" s="101">
        <v>0</v>
      </c>
      <c r="N36" s="200" t="s">
        <v>238</v>
      </c>
      <c r="O36" s="195" t="s">
        <v>231</v>
      </c>
      <c r="P36" s="196">
        <v>2</v>
      </c>
      <c r="Q36" s="194">
        <v>30</v>
      </c>
      <c r="R36" s="201">
        <v>35</v>
      </c>
      <c r="S36" s="101">
        <v>0</v>
      </c>
      <c r="T36" s="202">
        <v>0</v>
      </c>
      <c r="U36" s="203">
        <v>58.261666666666663</v>
      </c>
      <c r="V36" s="203">
        <v>0</v>
      </c>
      <c r="W36" s="59"/>
      <c r="X36" s="206">
        <v>0.2093290403743884</v>
      </c>
      <c r="Y36" s="206">
        <v>0.40097153765012611</v>
      </c>
      <c r="Z36" s="206">
        <v>0</v>
      </c>
      <c r="AA36" s="206">
        <v>0</v>
      </c>
      <c r="AB36" s="101">
        <v>0</v>
      </c>
      <c r="AC36" s="101">
        <v>0</v>
      </c>
      <c r="AD36" s="101">
        <v>0</v>
      </c>
      <c r="AE36" s="101">
        <v>0</v>
      </c>
      <c r="AF36" s="187"/>
      <c r="AG36" s="101">
        <v>0</v>
      </c>
      <c r="AH36"/>
    </row>
    <row r="37" spans="1:34" x14ac:dyDescent="0.2">
      <c r="A37" s="15">
        <v>26</v>
      </c>
      <c r="B37" s="188" t="s">
        <v>388</v>
      </c>
      <c r="C37" s="189" t="s">
        <v>450</v>
      </c>
      <c r="D37" s="190" t="s">
        <v>230</v>
      </c>
      <c r="E37" s="190" t="s">
        <v>240</v>
      </c>
      <c r="F37" s="191" t="s">
        <v>246</v>
      </c>
      <c r="G37" s="193" t="s">
        <v>254</v>
      </c>
      <c r="H37" s="101">
        <v>0</v>
      </c>
      <c r="I37" s="194" t="s">
        <v>781</v>
      </c>
      <c r="J37" s="195" t="s">
        <v>781</v>
      </c>
      <c r="K37" s="196" t="s">
        <v>781</v>
      </c>
      <c r="L37" s="197" t="s">
        <v>781</v>
      </c>
      <c r="M37" s="101">
        <v>0</v>
      </c>
      <c r="N37" s="200" t="s">
        <v>781</v>
      </c>
      <c r="O37" s="195" t="s">
        <v>781</v>
      </c>
      <c r="P37" s="196" t="s">
        <v>781</v>
      </c>
      <c r="Q37" s="194" t="s">
        <v>781</v>
      </c>
      <c r="R37" s="201" t="s">
        <v>781</v>
      </c>
      <c r="S37" s="101">
        <v>0</v>
      </c>
      <c r="T37" s="202">
        <v>0</v>
      </c>
      <c r="U37" s="203">
        <v>0</v>
      </c>
      <c r="V37" s="203">
        <v>0</v>
      </c>
      <c r="W37" s="59"/>
      <c r="X37" s="206">
        <v>0.2093290403743884</v>
      </c>
      <c r="Y37" s="206">
        <v>0.40097153765012611</v>
      </c>
      <c r="Z37" s="206">
        <v>0</v>
      </c>
      <c r="AA37" s="206">
        <v>0</v>
      </c>
      <c r="AB37" s="101">
        <v>0</v>
      </c>
      <c r="AC37" s="101">
        <v>0</v>
      </c>
      <c r="AD37" s="101">
        <v>0</v>
      </c>
      <c r="AE37" s="101">
        <v>0</v>
      </c>
      <c r="AF37" s="207"/>
      <c r="AG37" s="101">
        <v>0</v>
      </c>
      <c r="AH37"/>
    </row>
    <row r="38" spans="1:34" x14ac:dyDescent="0.2">
      <c r="A38" s="15">
        <v>27</v>
      </c>
      <c r="B38" s="188" t="s">
        <v>389</v>
      </c>
      <c r="C38" s="189" t="s">
        <v>451</v>
      </c>
      <c r="D38" s="190" t="s">
        <v>230</v>
      </c>
      <c r="E38" s="190" t="s">
        <v>240</v>
      </c>
      <c r="F38" s="191" t="s">
        <v>246</v>
      </c>
      <c r="G38" s="193" t="s">
        <v>254</v>
      </c>
      <c r="H38" s="101">
        <v>0</v>
      </c>
      <c r="I38" s="194" t="s">
        <v>235</v>
      </c>
      <c r="J38" s="195" t="s">
        <v>230</v>
      </c>
      <c r="K38" s="196">
        <v>1</v>
      </c>
      <c r="L38" s="197">
        <v>32</v>
      </c>
      <c r="M38" s="101">
        <v>0</v>
      </c>
      <c r="N38" s="200" t="s">
        <v>781</v>
      </c>
      <c r="O38" s="195" t="s">
        <v>781</v>
      </c>
      <c r="P38" s="196" t="s">
        <v>781</v>
      </c>
      <c r="Q38" s="194" t="s">
        <v>781</v>
      </c>
      <c r="R38" s="201" t="s">
        <v>781</v>
      </c>
      <c r="S38" s="101">
        <v>0</v>
      </c>
      <c r="T38" s="202">
        <v>0</v>
      </c>
      <c r="U38" s="203">
        <v>0</v>
      </c>
      <c r="V38" s="203">
        <v>0</v>
      </c>
      <c r="W38" s="59"/>
      <c r="X38" s="206">
        <v>0.2093290403743884</v>
      </c>
      <c r="Y38" s="206">
        <v>0.40097153765012611</v>
      </c>
      <c r="Z38" s="206">
        <v>0</v>
      </c>
      <c r="AA38" s="206">
        <v>0</v>
      </c>
      <c r="AB38" s="101">
        <v>0</v>
      </c>
      <c r="AC38" s="101">
        <v>0</v>
      </c>
      <c r="AD38" s="101">
        <v>0</v>
      </c>
      <c r="AE38" s="101">
        <v>0</v>
      </c>
      <c r="AF38" s="187"/>
      <c r="AG38" s="101">
        <v>0</v>
      </c>
      <c r="AH38"/>
    </row>
    <row r="39" spans="1:34" x14ac:dyDescent="0.2">
      <c r="A39" s="15">
        <v>28</v>
      </c>
      <c r="B39" s="188" t="s">
        <v>390</v>
      </c>
      <c r="C39" s="462" t="s">
        <v>452</v>
      </c>
      <c r="D39" s="190" t="s">
        <v>230</v>
      </c>
      <c r="E39" s="190" t="s">
        <v>240</v>
      </c>
      <c r="F39" s="191" t="s">
        <v>246</v>
      </c>
      <c r="G39" s="193" t="s">
        <v>254</v>
      </c>
      <c r="H39" s="101">
        <v>0</v>
      </c>
      <c r="I39" s="463"/>
      <c r="J39" s="464"/>
      <c r="K39" s="465"/>
      <c r="L39" s="466"/>
      <c r="M39" s="101">
        <v>0</v>
      </c>
      <c r="N39" s="467"/>
      <c r="O39" s="464"/>
      <c r="P39" s="465"/>
      <c r="Q39" s="463"/>
      <c r="R39" s="468"/>
      <c r="S39" s="101">
        <v>0</v>
      </c>
      <c r="T39" s="469"/>
      <c r="U39" s="470"/>
      <c r="V39" s="471">
        <v>58.43</v>
      </c>
      <c r="W39" s="59"/>
      <c r="X39" s="206">
        <v>0.2093290403743884</v>
      </c>
      <c r="Y39" s="206">
        <v>0.40097153765012611</v>
      </c>
      <c r="Z39" s="206">
        <v>0</v>
      </c>
      <c r="AA39" s="206">
        <v>0</v>
      </c>
      <c r="AB39" s="101">
        <v>0</v>
      </c>
      <c r="AC39" s="101">
        <v>0</v>
      </c>
      <c r="AD39" s="101">
        <v>0</v>
      </c>
      <c r="AE39" s="101">
        <v>0</v>
      </c>
      <c r="AF39" s="187"/>
      <c r="AG39" s="101">
        <v>1</v>
      </c>
      <c r="AH39"/>
    </row>
    <row r="40" spans="1:34" x14ac:dyDescent="0.2">
      <c r="A40" s="15">
        <v>29</v>
      </c>
      <c r="B40" s="188" t="s">
        <v>391</v>
      </c>
      <c r="C40" s="462" t="s">
        <v>453</v>
      </c>
      <c r="D40" s="190" t="s">
        <v>230</v>
      </c>
      <c r="E40" s="190" t="s">
        <v>240</v>
      </c>
      <c r="F40" s="191" t="s">
        <v>246</v>
      </c>
      <c r="G40" s="193" t="s">
        <v>254</v>
      </c>
      <c r="H40" s="101">
        <v>0</v>
      </c>
      <c r="I40" s="463"/>
      <c r="J40" s="464"/>
      <c r="K40" s="465"/>
      <c r="L40" s="466"/>
      <c r="M40" s="101">
        <v>0</v>
      </c>
      <c r="N40" s="467"/>
      <c r="O40" s="464"/>
      <c r="P40" s="465"/>
      <c r="Q40" s="463"/>
      <c r="R40" s="468"/>
      <c r="S40" s="101">
        <v>0</v>
      </c>
      <c r="T40" s="469"/>
      <c r="U40" s="470"/>
      <c r="V40" s="471">
        <v>629.83000000000004</v>
      </c>
      <c r="W40" s="59"/>
      <c r="X40" s="206">
        <v>0.2093290403743884</v>
      </c>
      <c r="Y40" s="206">
        <v>0.40097153765012611</v>
      </c>
      <c r="Z40" s="206">
        <v>0</v>
      </c>
      <c r="AA40" s="206">
        <v>0</v>
      </c>
      <c r="AB40" s="101">
        <v>0</v>
      </c>
      <c r="AC40" s="101">
        <v>0</v>
      </c>
      <c r="AD40" s="101">
        <v>0</v>
      </c>
      <c r="AE40" s="101">
        <v>0</v>
      </c>
      <c r="AF40" s="207"/>
      <c r="AG40" s="101">
        <v>1</v>
      </c>
      <c r="AH40"/>
    </row>
    <row r="41" spans="1:34" x14ac:dyDescent="0.2">
      <c r="A41" s="15">
        <v>30</v>
      </c>
      <c r="B41" s="188" t="s">
        <v>391</v>
      </c>
      <c r="C41" s="462" t="s">
        <v>454</v>
      </c>
      <c r="D41" s="190" t="s">
        <v>231</v>
      </c>
      <c r="E41" s="190" t="s">
        <v>240</v>
      </c>
      <c r="F41" s="191" t="s">
        <v>246</v>
      </c>
      <c r="G41" s="193" t="s">
        <v>254</v>
      </c>
      <c r="H41" s="101">
        <v>0</v>
      </c>
      <c r="I41" s="463"/>
      <c r="J41" s="464"/>
      <c r="K41" s="465"/>
      <c r="L41" s="466"/>
      <c r="M41" s="101">
        <v>0</v>
      </c>
      <c r="N41" s="467"/>
      <c r="O41" s="464"/>
      <c r="P41" s="465"/>
      <c r="Q41" s="463"/>
      <c r="R41" s="468"/>
      <c r="S41" s="101">
        <v>0</v>
      </c>
      <c r="T41" s="469"/>
      <c r="U41" s="470"/>
      <c r="V41" s="471">
        <v>855.08</v>
      </c>
      <c r="W41" s="59"/>
      <c r="X41" s="206">
        <v>0.2093290403743884</v>
      </c>
      <c r="Y41" s="206">
        <v>0.40097153765012611</v>
      </c>
      <c r="Z41" s="206">
        <v>0</v>
      </c>
      <c r="AA41" s="206">
        <v>0</v>
      </c>
      <c r="AB41" s="101">
        <v>0</v>
      </c>
      <c r="AC41" s="101">
        <v>0</v>
      </c>
      <c r="AD41" s="101">
        <v>0</v>
      </c>
      <c r="AE41" s="101">
        <v>0</v>
      </c>
      <c r="AF41" s="207"/>
      <c r="AG41" s="101">
        <v>1</v>
      </c>
      <c r="AH41"/>
    </row>
    <row r="42" spans="1:34" x14ac:dyDescent="0.2">
      <c r="A42" s="15">
        <v>31</v>
      </c>
      <c r="B42" s="188" t="s">
        <v>392</v>
      </c>
      <c r="C42" s="189" t="s">
        <v>455</v>
      </c>
      <c r="D42" s="190" t="s">
        <v>230</v>
      </c>
      <c r="E42" s="190" t="s">
        <v>240</v>
      </c>
      <c r="F42" s="191" t="s">
        <v>247</v>
      </c>
      <c r="G42" s="193" t="s">
        <v>254</v>
      </c>
      <c r="H42" s="101">
        <v>0</v>
      </c>
      <c r="I42" s="194" t="s">
        <v>781</v>
      </c>
      <c r="J42" s="195" t="s">
        <v>781</v>
      </c>
      <c r="K42" s="196" t="s">
        <v>781</v>
      </c>
      <c r="L42" s="197" t="s">
        <v>781</v>
      </c>
      <c r="M42" s="101">
        <v>0</v>
      </c>
      <c r="N42" s="200" t="s">
        <v>781</v>
      </c>
      <c r="O42" s="195" t="s">
        <v>781</v>
      </c>
      <c r="P42" s="196" t="s">
        <v>781</v>
      </c>
      <c r="Q42" s="194" t="s">
        <v>781</v>
      </c>
      <c r="R42" s="201" t="s">
        <v>781</v>
      </c>
      <c r="S42" s="101">
        <v>0</v>
      </c>
      <c r="T42" s="202">
        <v>0</v>
      </c>
      <c r="U42" s="203">
        <v>0</v>
      </c>
      <c r="V42" s="203">
        <v>0</v>
      </c>
      <c r="W42" s="59"/>
      <c r="X42" s="206">
        <v>0.2093290403743884</v>
      </c>
      <c r="Y42" s="206">
        <v>0.40097153765012611</v>
      </c>
      <c r="Z42" s="206">
        <v>0</v>
      </c>
      <c r="AA42" s="206">
        <v>0</v>
      </c>
      <c r="AB42" s="101">
        <v>0</v>
      </c>
      <c r="AC42" s="101">
        <v>0</v>
      </c>
      <c r="AD42" s="101">
        <v>0</v>
      </c>
      <c r="AE42" s="101">
        <v>0</v>
      </c>
      <c r="AF42" s="207"/>
      <c r="AG42" s="101">
        <v>0</v>
      </c>
      <c r="AH42"/>
    </row>
    <row r="43" spans="1:34" x14ac:dyDescent="0.2">
      <c r="A43" s="15">
        <v>32</v>
      </c>
      <c r="B43" s="188" t="s">
        <v>393</v>
      </c>
      <c r="C43" s="189" t="s">
        <v>456</v>
      </c>
      <c r="D43" s="190" t="s">
        <v>230</v>
      </c>
      <c r="E43" s="190" t="s">
        <v>237</v>
      </c>
      <c r="F43" s="191" t="s">
        <v>246</v>
      </c>
      <c r="G43" s="193" t="s">
        <v>254</v>
      </c>
      <c r="H43" s="101">
        <v>0</v>
      </c>
      <c r="I43" s="194" t="s">
        <v>781</v>
      </c>
      <c r="J43" s="195" t="s">
        <v>781</v>
      </c>
      <c r="K43" s="196" t="s">
        <v>781</v>
      </c>
      <c r="L43" s="197" t="s">
        <v>781</v>
      </c>
      <c r="M43" s="101">
        <v>0</v>
      </c>
      <c r="N43" s="200" t="s">
        <v>781</v>
      </c>
      <c r="O43" s="195" t="s">
        <v>781</v>
      </c>
      <c r="P43" s="196" t="s">
        <v>781</v>
      </c>
      <c r="Q43" s="194" t="s">
        <v>781</v>
      </c>
      <c r="R43" s="201" t="s">
        <v>781</v>
      </c>
      <c r="S43" s="101">
        <v>0</v>
      </c>
      <c r="T43" s="202">
        <v>0</v>
      </c>
      <c r="U43" s="203">
        <v>0</v>
      </c>
      <c r="V43" s="203">
        <v>0</v>
      </c>
      <c r="W43" s="59"/>
      <c r="X43" s="206">
        <v>0.20932904037438799</v>
      </c>
      <c r="Y43" s="206">
        <v>0.40097153765012611</v>
      </c>
      <c r="Z43" s="206">
        <v>0</v>
      </c>
      <c r="AA43" s="206">
        <v>4.6464187386555597E-2</v>
      </c>
      <c r="AB43" s="101">
        <v>0</v>
      </c>
      <c r="AC43" s="101">
        <v>0</v>
      </c>
      <c r="AD43" s="101">
        <v>0</v>
      </c>
      <c r="AE43" s="101">
        <v>0</v>
      </c>
      <c r="AF43" s="207"/>
      <c r="AG43" s="101">
        <v>0</v>
      </c>
      <c r="AH43"/>
    </row>
    <row r="44" spans="1:34" x14ac:dyDescent="0.2">
      <c r="A44" s="15">
        <v>33</v>
      </c>
      <c r="B44" s="188" t="s">
        <v>394</v>
      </c>
      <c r="C44" s="189" t="s">
        <v>457</v>
      </c>
      <c r="D44" s="190" t="s">
        <v>230</v>
      </c>
      <c r="E44" s="190" t="s">
        <v>240</v>
      </c>
      <c r="F44" s="191" t="s">
        <v>250</v>
      </c>
      <c r="G44" s="193" t="s">
        <v>254</v>
      </c>
      <c r="H44" s="101">
        <v>0</v>
      </c>
      <c r="I44" s="194" t="s">
        <v>235</v>
      </c>
      <c r="J44" s="195" t="s">
        <v>230</v>
      </c>
      <c r="K44" s="196">
        <v>1</v>
      </c>
      <c r="L44" s="197">
        <v>60</v>
      </c>
      <c r="M44" s="101">
        <v>0</v>
      </c>
      <c r="N44" s="200" t="s">
        <v>238</v>
      </c>
      <c r="O44" s="195" t="s">
        <v>230</v>
      </c>
      <c r="P44" s="196">
        <v>2</v>
      </c>
      <c r="Q44" s="194">
        <v>30</v>
      </c>
      <c r="R44" s="201">
        <v>35</v>
      </c>
      <c r="S44" s="101">
        <v>0</v>
      </c>
      <c r="T44" s="202">
        <v>0</v>
      </c>
      <c r="U44" s="203">
        <v>58.261666666666663</v>
      </c>
      <c r="V44" s="203">
        <v>0</v>
      </c>
      <c r="W44" s="59"/>
      <c r="X44" s="206">
        <v>0.2093290403743884</v>
      </c>
      <c r="Y44" s="206">
        <v>0.40097153765012611</v>
      </c>
      <c r="Z44" s="206">
        <v>0</v>
      </c>
      <c r="AA44" s="206">
        <v>0</v>
      </c>
      <c r="AB44" s="101">
        <v>0</v>
      </c>
      <c r="AC44" s="101">
        <v>0</v>
      </c>
      <c r="AD44" s="101">
        <v>0</v>
      </c>
      <c r="AE44" s="101">
        <v>0</v>
      </c>
      <c r="AF44" s="187"/>
      <c r="AG44" s="101">
        <v>0</v>
      </c>
      <c r="AH44"/>
    </row>
    <row r="45" spans="1:34" x14ac:dyDescent="0.2">
      <c r="A45" s="15">
        <v>34</v>
      </c>
      <c r="B45" s="188" t="s">
        <v>394</v>
      </c>
      <c r="C45" s="189" t="s">
        <v>458</v>
      </c>
      <c r="D45" s="190" t="s">
        <v>231</v>
      </c>
      <c r="E45" s="190" t="s">
        <v>240</v>
      </c>
      <c r="F45" s="191" t="s">
        <v>250</v>
      </c>
      <c r="G45" s="193" t="s">
        <v>254</v>
      </c>
      <c r="H45" s="101">
        <v>0</v>
      </c>
      <c r="I45" s="194" t="s">
        <v>235</v>
      </c>
      <c r="J45" s="195" t="s">
        <v>230</v>
      </c>
      <c r="K45" s="196">
        <v>1</v>
      </c>
      <c r="L45" s="197">
        <v>60</v>
      </c>
      <c r="M45" s="101">
        <v>0</v>
      </c>
      <c r="N45" s="200" t="s">
        <v>238</v>
      </c>
      <c r="O45" s="195" t="s">
        <v>231</v>
      </c>
      <c r="P45" s="196">
        <v>2</v>
      </c>
      <c r="Q45" s="194">
        <v>30</v>
      </c>
      <c r="R45" s="201">
        <v>35</v>
      </c>
      <c r="S45" s="101">
        <v>0</v>
      </c>
      <c r="T45" s="202">
        <v>0</v>
      </c>
      <c r="U45" s="203">
        <v>58.261666666666663</v>
      </c>
      <c r="V45" s="203">
        <v>0</v>
      </c>
      <c r="W45" s="59"/>
      <c r="X45" s="206">
        <v>0.2093290403743884</v>
      </c>
      <c r="Y45" s="206">
        <v>0.40097153765012611</v>
      </c>
      <c r="Z45" s="206">
        <v>0</v>
      </c>
      <c r="AA45" s="206">
        <v>0</v>
      </c>
      <c r="AB45" s="101">
        <v>0</v>
      </c>
      <c r="AC45" s="101">
        <v>0</v>
      </c>
      <c r="AD45" s="101">
        <v>0</v>
      </c>
      <c r="AE45" s="101">
        <v>0</v>
      </c>
      <c r="AF45" s="187"/>
      <c r="AG45" s="101">
        <v>0</v>
      </c>
      <c r="AH45"/>
    </row>
    <row r="46" spans="1:34" x14ac:dyDescent="0.2">
      <c r="A46" s="15">
        <v>35</v>
      </c>
      <c r="B46" s="188" t="s">
        <v>395</v>
      </c>
      <c r="C46" s="189" t="s">
        <v>459</v>
      </c>
      <c r="D46" s="190" t="s">
        <v>230</v>
      </c>
      <c r="E46" s="190" t="s">
        <v>237</v>
      </c>
      <c r="F46" s="191" t="s">
        <v>250</v>
      </c>
      <c r="G46" s="193" t="s">
        <v>254</v>
      </c>
      <c r="H46" s="101">
        <v>0</v>
      </c>
      <c r="I46" s="194" t="s">
        <v>235</v>
      </c>
      <c r="J46" s="195" t="s">
        <v>230</v>
      </c>
      <c r="K46" s="196">
        <v>1</v>
      </c>
      <c r="L46" s="197">
        <v>60</v>
      </c>
      <c r="M46" s="101">
        <v>0</v>
      </c>
      <c r="N46" s="200" t="s">
        <v>238</v>
      </c>
      <c r="O46" s="195" t="s">
        <v>230</v>
      </c>
      <c r="P46" s="196">
        <v>2</v>
      </c>
      <c r="Q46" s="194">
        <v>30</v>
      </c>
      <c r="R46" s="201">
        <v>35</v>
      </c>
      <c r="S46" s="101">
        <v>0</v>
      </c>
      <c r="T46" s="202">
        <v>81.442711559999992</v>
      </c>
      <c r="U46" s="203">
        <v>58.261666666666663</v>
      </c>
      <c r="V46" s="203">
        <v>0</v>
      </c>
      <c r="W46" s="59"/>
      <c r="X46" s="206">
        <v>0.20932904037438799</v>
      </c>
      <c r="Y46" s="206">
        <v>0.40097153765012611</v>
      </c>
      <c r="Z46" s="206">
        <v>0</v>
      </c>
      <c r="AA46" s="206">
        <v>4.6464187386555597E-2</v>
      </c>
      <c r="AB46" s="101">
        <v>0</v>
      </c>
      <c r="AC46" s="101">
        <v>0</v>
      </c>
      <c r="AD46" s="101">
        <v>0</v>
      </c>
      <c r="AE46" s="101">
        <v>0</v>
      </c>
      <c r="AF46" s="187"/>
      <c r="AG46" s="101">
        <v>0</v>
      </c>
      <c r="AH46"/>
    </row>
    <row r="47" spans="1:34" x14ac:dyDescent="0.2">
      <c r="A47" s="15">
        <v>36</v>
      </c>
      <c r="B47" s="188" t="s">
        <v>395</v>
      </c>
      <c r="C47" s="189" t="s">
        <v>460</v>
      </c>
      <c r="D47" s="190" t="s">
        <v>231</v>
      </c>
      <c r="E47" s="190" t="s">
        <v>237</v>
      </c>
      <c r="F47" s="191" t="s">
        <v>250</v>
      </c>
      <c r="G47" s="193" t="s">
        <v>254</v>
      </c>
      <c r="H47" s="101">
        <v>0</v>
      </c>
      <c r="I47" s="194" t="s">
        <v>235</v>
      </c>
      <c r="J47" s="195" t="s">
        <v>230</v>
      </c>
      <c r="K47" s="196">
        <v>1</v>
      </c>
      <c r="L47" s="197">
        <v>60</v>
      </c>
      <c r="M47" s="101">
        <v>0</v>
      </c>
      <c r="N47" s="200" t="s">
        <v>238</v>
      </c>
      <c r="O47" s="195" t="s">
        <v>231</v>
      </c>
      <c r="P47" s="196">
        <v>2</v>
      </c>
      <c r="Q47" s="194">
        <v>30</v>
      </c>
      <c r="R47" s="201">
        <v>35</v>
      </c>
      <c r="S47" s="101">
        <v>0</v>
      </c>
      <c r="T47" s="202">
        <v>81.442711559999992</v>
      </c>
      <c r="U47" s="203">
        <v>58.261666666666663</v>
      </c>
      <c r="V47" s="203">
        <v>0</v>
      </c>
      <c r="W47" s="59"/>
      <c r="X47" s="206">
        <v>0.20932904037438799</v>
      </c>
      <c r="Y47" s="206">
        <v>0.40097153765012611</v>
      </c>
      <c r="Z47" s="206">
        <v>0</v>
      </c>
      <c r="AA47" s="206">
        <v>4.6464187386555597E-2</v>
      </c>
      <c r="AB47" s="101">
        <v>0</v>
      </c>
      <c r="AC47" s="101">
        <v>0</v>
      </c>
      <c r="AD47" s="101">
        <v>0</v>
      </c>
      <c r="AE47" s="101">
        <v>0</v>
      </c>
      <c r="AF47" s="187"/>
      <c r="AG47" s="101">
        <v>0</v>
      </c>
      <c r="AH47"/>
    </row>
    <row r="48" spans="1:34" x14ac:dyDescent="0.2">
      <c r="A48" s="15">
        <v>37</v>
      </c>
      <c r="B48" s="188"/>
      <c r="C48" s="189"/>
      <c r="D48" s="190"/>
      <c r="E48" s="190"/>
      <c r="F48" s="191"/>
      <c r="G48" s="193"/>
      <c r="H48" s="101">
        <v>0</v>
      </c>
      <c r="I48" s="194"/>
      <c r="J48" s="195"/>
      <c r="K48" s="196"/>
      <c r="L48" s="197"/>
      <c r="M48" s="101">
        <v>0</v>
      </c>
      <c r="N48" s="200"/>
      <c r="O48" s="195"/>
      <c r="P48" s="196"/>
      <c r="Q48" s="194"/>
      <c r="R48" s="201"/>
      <c r="S48" s="101">
        <v>0</v>
      </c>
      <c r="T48" s="202"/>
      <c r="U48" s="203"/>
      <c r="V48" s="203"/>
      <c r="W48" s="59"/>
      <c r="X48" s="206"/>
      <c r="Y48" s="206"/>
      <c r="Z48" s="206"/>
      <c r="AA48" s="206"/>
      <c r="AB48" s="101">
        <v>0</v>
      </c>
      <c r="AC48" s="101">
        <v>0</v>
      </c>
      <c r="AD48" s="101">
        <v>0</v>
      </c>
      <c r="AE48" s="101">
        <v>0</v>
      </c>
      <c r="AF48" s="187"/>
      <c r="AG48" s="101">
        <v>0</v>
      </c>
      <c r="AH48"/>
    </row>
    <row r="49" spans="1:34" x14ac:dyDescent="0.2">
      <c r="A49" s="15">
        <v>38</v>
      </c>
      <c r="B49" s="188"/>
      <c r="C49" s="189"/>
      <c r="D49" s="190"/>
      <c r="E49" s="190"/>
      <c r="F49" s="191"/>
      <c r="G49" s="193"/>
      <c r="H49" s="101">
        <v>0</v>
      </c>
      <c r="I49" s="194"/>
      <c r="J49" s="195"/>
      <c r="K49" s="196"/>
      <c r="L49" s="197"/>
      <c r="M49" s="101">
        <v>0</v>
      </c>
      <c r="N49" s="200"/>
      <c r="O49" s="195"/>
      <c r="P49" s="196"/>
      <c r="Q49" s="194"/>
      <c r="R49" s="201"/>
      <c r="S49" s="101">
        <v>0</v>
      </c>
      <c r="T49" s="202"/>
      <c r="U49" s="203"/>
      <c r="V49" s="203"/>
      <c r="W49" s="59"/>
      <c r="X49" s="206"/>
      <c r="Y49" s="206"/>
      <c r="Z49" s="206"/>
      <c r="AA49" s="206"/>
      <c r="AB49" s="101">
        <v>0</v>
      </c>
      <c r="AC49" s="101">
        <v>0</v>
      </c>
      <c r="AD49" s="101">
        <v>0</v>
      </c>
      <c r="AE49" s="101">
        <v>0</v>
      </c>
      <c r="AF49" s="187"/>
      <c r="AG49" s="101">
        <v>0</v>
      </c>
      <c r="AH49"/>
    </row>
    <row r="50" spans="1:34" x14ac:dyDescent="0.2">
      <c r="A50" s="15">
        <v>39</v>
      </c>
      <c r="B50" s="188"/>
      <c r="C50" s="189"/>
      <c r="D50" s="190"/>
      <c r="E50" s="190"/>
      <c r="F50" s="191"/>
      <c r="G50" s="193"/>
      <c r="H50" s="101">
        <v>0</v>
      </c>
      <c r="I50" s="194"/>
      <c r="J50" s="195"/>
      <c r="K50" s="196"/>
      <c r="L50" s="197"/>
      <c r="M50" s="101">
        <v>0</v>
      </c>
      <c r="N50" s="200"/>
      <c r="O50" s="195"/>
      <c r="P50" s="196"/>
      <c r="Q50" s="194"/>
      <c r="R50" s="201"/>
      <c r="S50" s="101">
        <v>0</v>
      </c>
      <c r="T50" s="202"/>
      <c r="U50" s="203"/>
      <c r="V50" s="203"/>
      <c r="W50" s="59"/>
      <c r="X50" s="206"/>
      <c r="Y50" s="206"/>
      <c r="Z50" s="206"/>
      <c r="AA50" s="206"/>
      <c r="AB50" s="101">
        <v>0</v>
      </c>
      <c r="AC50" s="101">
        <v>0</v>
      </c>
      <c r="AD50" s="101">
        <v>0</v>
      </c>
      <c r="AE50" s="101">
        <v>0</v>
      </c>
      <c r="AF50" s="187"/>
      <c r="AG50" s="101">
        <v>0</v>
      </c>
      <c r="AH50"/>
    </row>
    <row r="51" spans="1:34" x14ac:dyDescent="0.2">
      <c r="A51" s="15">
        <v>40</v>
      </c>
      <c r="B51" s="188"/>
      <c r="C51" s="188"/>
      <c r="D51" s="190"/>
      <c r="E51" s="190"/>
      <c r="F51" s="191"/>
      <c r="G51" s="193"/>
      <c r="H51" s="101">
        <v>0</v>
      </c>
      <c r="I51" s="194"/>
      <c r="J51" s="195"/>
      <c r="K51" s="196"/>
      <c r="L51" s="197"/>
      <c r="M51" s="101">
        <v>0</v>
      </c>
      <c r="N51" s="200"/>
      <c r="O51" s="195"/>
      <c r="P51" s="196"/>
      <c r="Q51" s="194"/>
      <c r="R51" s="201"/>
      <c r="S51" s="101">
        <v>0</v>
      </c>
      <c r="T51" s="202"/>
      <c r="U51" s="203"/>
      <c r="V51" s="203"/>
      <c r="W51" s="59"/>
      <c r="X51" s="206"/>
      <c r="Y51" s="206"/>
      <c r="Z51" s="206"/>
      <c r="AA51" s="206"/>
      <c r="AB51" s="101">
        <v>0</v>
      </c>
      <c r="AC51" s="101">
        <v>0</v>
      </c>
      <c r="AD51" s="101">
        <v>0</v>
      </c>
      <c r="AE51" s="101">
        <v>0</v>
      </c>
      <c r="AF51" s="187"/>
      <c r="AG51" s="101">
        <v>0</v>
      </c>
      <c r="AH51"/>
    </row>
    <row r="52" spans="1:34" x14ac:dyDescent="0.2">
      <c r="A52" s="15">
        <v>41</v>
      </c>
      <c r="B52" s="188"/>
      <c r="C52" s="188"/>
      <c r="D52" s="190"/>
      <c r="E52" s="190"/>
      <c r="F52" s="191"/>
      <c r="G52" s="193"/>
      <c r="H52" s="101">
        <v>0</v>
      </c>
      <c r="I52" s="194"/>
      <c r="J52" s="195"/>
      <c r="K52" s="196"/>
      <c r="L52" s="197"/>
      <c r="M52" s="101">
        <v>0</v>
      </c>
      <c r="N52" s="200"/>
      <c r="O52" s="195"/>
      <c r="P52" s="196"/>
      <c r="Q52" s="194"/>
      <c r="R52" s="201"/>
      <c r="S52" s="101">
        <v>0</v>
      </c>
      <c r="T52" s="202"/>
      <c r="U52" s="203"/>
      <c r="V52" s="203"/>
      <c r="W52" s="59"/>
      <c r="X52" s="206"/>
      <c r="Y52" s="206"/>
      <c r="Z52" s="206"/>
      <c r="AA52" s="206"/>
      <c r="AB52" s="101">
        <v>0</v>
      </c>
      <c r="AC52" s="101">
        <v>0</v>
      </c>
      <c r="AD52" s="101">
        <v>0</v>
      </c>
      <c r="AE52" s="101">
        <v>0</v>
      </c>
      <c r="AF52" s="187"/>
      <c r="AG52" s="101">
        <v>0</v>
      </c>
      <c r="AH52"/>
    </row>
    <row r="53" spans="1:34" x14ac:dyDescent="0.2">
      <c r="A53" s="15">
        <v>42</v>
      </c>
      <c r="B53" s="188"/>
      <c r="C53" s="188"/>
      <c r="D53" s="190"/>
      <c r="E53" s="190"/>
      <c r="F53" s="191"/>
      <c r="G53" s="193"/>
      <c r="H53" s="101">
        <v>0</v>
      </c>
      <c r="I53" s="194"/>
      <c r="J53" s="195"/>
      <c r="K53" s="196"/>
      <c r="L53" s="197"/>
      <c r="M53" s="101">
        <v>0</v>
      </c>
      <c r="N53" s="200"/>
      <c r="O53" s="195"/>
      <c r="P53" s="196"/>
      <c r="Q53" s="194"/>
      <c r="R53" s="201"/>
      <c r="S53" s="101">
        <v>0</v>
      </c>
      <c r="T53" s="202"/>
      <c r="U53" s="203"/>
      <c r="V53" s="203"/>
      <c r="W53" s="59"/>
      <c r="X53" s="206"/>
      <c r="Y53" s="206"/>
      <c r="Z53" s="206"/>
      <c r="AA53" s="206"/>
      <c r="AB53" s="101">
        <v>0</v>
      </c>
      <c r="AC53" s="101">
        <v>0</v>
      </c>
      <c r="AD53" s="101">
        <v>0</v>
      </c>
      <c r="AE53" s="101">
        <v>0</v>
      </c>
      <c r="AF53" s="187"/>
      <c r="AG53" s="101">
        <v>0</v>
      </c>
      <c r="AH53"/>
    </row>
    <row r="54" spans="1:34" x14ac:dyDescent="0.2">
      <c r="A54" s="15">
        <v>43</v>
      </c>
      <c r="B54" s="188"/>
      <c r="C54" s="188"/>
      <c r="D54" s="190"/>
      <c r="E54" s="190"/>
      <c r="F54" s="191"/>
      <c r="G54" s="193"/>
      <c r="H54" s="101">
        <v>0</v>
      </c>
      <c r="I54" s="194"/>
      <c r="J54" s="195"/>
      <c r="K54" s="196"/>
      <c r="L54" s="197"/>
      <c r="M54" s="101">
        <v>0</v>
      </c>
      <c r="N54" s="200"/>
      <c r="O54" s="195"/>
      <c r="P54" s="196"/>
      <c r="Q54" s="194"/>
      <c r="R54" s="201"/>
      <c r="S54" s="101">
        <v>0</v>
      </c>
      <c r="T54" s="202"/>
      <c r="U54" s="203"/>
      <c r="V54" s="203"/>
      <c r="W54" s="59"/>
      <c r="X54" s="206"/>
      <c r="Y54" s="206"/>
      <c r="Z54" s="206"/>
      <c r="AA54" s="206"/>
      <c r="AB54" s="101">
        <v>0</v>
      </c>
      <c r="AC54" s="101">
        <v>0</v>
      </c>
      <c r="AD54" s="101">
        <v>0</v>
      </c>
      <c r="AE54" s="101">
        <v>0</v>
      </c>
      <c r="AF54" s="187"/>
      <c r="AG54" s="101">
        <v>0</v>
      </c>
      <c r="AH54"/>
    </row>
    <row r="55" spans="1:34" x14ac:dyDescent="0.2">
      <c r="A55" s="15">
        <v>44</v>
      </c>
      <c r="B55" s="188"/>
      <c r="C55" s="188"/>
      <c r="D55" s="190"/>
      <c r="E55" s="190"/>
      <c r="F55" s="191"/>
      <c r="G55" s="193"/>
      <c r="H55" s="101">
        <v>0</v>
      </c>
      <c r="I55" s="194"/>
      <c r="J55" s="195"/>
      <c r="K55" s="196"/>
      <c r="L55" s="197"/>
      <c r="M55" s="101">
        <v>0</v>
      </c>
      <c r="N55" s="200"/>
      <c r="O55" s="195"/>
      <c r="P55" s="196"/>
      <c r="Q55" s="194"/>
      <c r="R55" s="201"/>
      <c r="S55" s="101">
        <v>0</v>
      </c>
      <c r="T55" s="202"/>
      <c r="U55" s="203"/>
      <c r="V55" s="203"/>
      <c r="W55" s="59"/>
      <c r="X55" s="206"/>
      <c r="Y55" s="206"/>
      <c r="Z55" s="206"/>
      <c r="AA55" s="206"/>
      <c r="AB55" s="101">
        <v>0</v>
      </c>
      <c r="AC55" s="101">
        <v>0</v>
      </c>
      <c r="AD55" s="101">
        <v>0</v>
      </c>
      <c r="AE55" s="101">
        <v>0</v>
      </c>
      <c r="AF55" s="187"/>
      <c r="AG55" s="101">
        <v>0</v>
      </c>
      <c r="AH55"/>
    </row>
    <row r="56" spans="1:34" x14ac:dyDescent="0.2">
      <c r="A56" s="15">
        <v>45</v>
      </c>
      <c r="B56" s="188"/>
      <c r="C56" s="188"/>
      <c r="D56" s="190"/>
      <c r="E56" s="190"/>
      <c r="F56" s="191"/>
      <c r="G56" s="193"/>
      <c r="H56" s="101">
        <v>0</v>
      </c>
      <c r="I56" s="194"/>
      <c r="J56" s="195"/>
      <c r="K56" s="196"/>
      <c r="L56" s="197"/>
      <c r="M56" s="101">
        <v>0</v>
      </c>
      <c r="N56" s="200"/>
      <c r="O56" s="195"/>
      <c r="P56" s="196"/>
      <c r="Q56" s="194"/>
      <c r="R56" s="201"/>
      <c r="S56" s="101">
        <v>0</v>
      </c>
      <c r="T56" s="202"/>
      <c r="U56" s="203"/>
      <c r="V56" s="203"/>
      <c r="W56" s="59"/>
      <c r="X56" s="206"/>
      <c r="Y56" s="206"/>
      <c r="Z56" s="206"/>
      <c r="AA56" s="206"/>
      <c r="AB56" s="101">
        <v>0</v>
      </c>
      <c r="AC56" s="101">
        <v>0</v>
      </c>
      <c r="AD56" s="101">
        <v>0</v>
      </c>
      <c r="AE56" s="101">
        <v>0</v>
      </c>
      <c r="AF56" s="187"/>
      <c r="AG56" s="101">
        <v>0</v>
      </c>
      <c r="AH56"/>
    </row>
    <row r="57" spans="1:34" x14ac:dyDescent="0.2">
      <c r="A57" s="15">
        <v>46</v>
      </c>
      <c r="B57" s="189"/>
      <c r="C57" s="189"/>
      <c r="D57" s="190"/>
      <c r="E57" s="190"/>
      <c r="F57" s="191"/>
      <c r="G57" s="192"/>
      <c r="H57" s="101">
        <v>0</v>
      </c>
      <c r="I57" s="194"/>
      <c r="J57" s="195"/>
      <c r="K57" s="196"/>
      <c r="L57" s="197"/>
      <c r="M57" s="101">
        <v>0</v>
      </c>
      <c r="N57" s="200"/>
      <c r="O57" s="195"/>
      <c r="P57" s="196"/>
      <c r="Q57" s="194"/>
      <c r="R57" s="201"/>
      <c r="S57" s="101">
        <v>0</v>
      </c>
      <c r="T57" s="202"/>
      <c r="U57" s="203"/>
      <c r="V57" s="203"/>
      <c r="W57" s="59"/>
      <c r="X57" s="206"/>
      <c r="Y57" s="206"/>
      <c r="Z57" s="206"/>
      <c r="AA57" s="206"/>
      <c r="AB57" s="101">
        <v>0</v>
      </c>
      <c r="AC57" s="101">
        <v>0</v>
      </c>
      <c r="AD57" s="101">
        <v>0</v>
      </c>
      <c r="AE57" s="101">
        <v>0</v>
      </c>
      <c r="AF57" s="187"/>
      <c r="AG57" s="101">
        <v>0</v>
      </c>
      <c r="AH57"/>
    </row>
    <row r="58" spans="1:34" x14ac:dyDescent="0.2">
      <c r="A58" s="15">
        <v>47</v>
      </c>
      <c r="B58" s="189"/>
      <c r="C58" s="189"/>
      <c r="D58" s="190"/>
      <c r="E58" s="190"/>
      <c r="F58" s="191"/>
      <c r="G58" s="193"/>
      <c r="H58" s="101">
        <v>0</v>
      </c>
      <c r="I58" s="194"/>
      <c r="J58" s="195"/>
      <c r="K58" s="196"/>
      <c r="L58" s="197"/>
      <c r="M58" s="101">
        <v>0</v>
      </c>
      <c r="N58" s="200"/>
      <c r="O58" s="195"/>
      <c r="P58" s="196"/>
      <c r="Q58" s="194"/>
      <c r="R58" s="201"/>
      <c r="S58" s="101">
        <v>0</v>
      </c>
      <c r="T58" s="202"/>
      <c r="U58" s="203"/>
      <c r="V58" s="203"/>
      <c r="W58" s="59"/>
      <c r="X58" s="206"/>
      <c r="Y58" s="206"/>
      <c r="Z58" s="206"/>
      <c r="AA58" s="206"/>
      <c r="AB58" s="101">
        <v>0</v>
      </c>
      <c r="AC58" s="101">
        <v>0</v>
      </c>
      <c r="AD58" s="101">
        <v>0</v>
      </c>
      <c r="AE58" s="101">
        <v>0</v>
      </c>
      <c r="AF58" s="187"/>
      <c r="AG58" s="101">
        <v>0</v>
      </c>
      <c r="AH58"/>
    </row>
    <row r="59" spans="1:34" x14ac:dyDescent="0.2">
      <c r="A59" s="15">
        <v>48</v>
      </c>
      <c r="B59" s="189"/>
      <c r="C59" s="189"/>
      <c r="D59" s="190"/>
      <c r="E59" s="190"/>
      <c r="F59" s="191"/>
      <c r="G59" s="193"/>
      <c r="H59" s="101">
        <v>0</v>
      </c>
      <c r="I59" s="194"/>
      <c r="J59" s="195"/>
      <c r="K59" s="196"/>
      <c r="L59" s="197"/>
      <c r="M59" s="101">
        <v>0</v>
      </c>
      <c r="N59" s="200"/>
      <c r="O59" s="195"/>
      <c r="P59" s="196"/>
      <c r="Q59" s="194"/>
      <c r="R59" s="201"/>
      <c r="S59" s="101">
        <v>0</v>
      </c>
      <c r="T59" s="202"/>
      <c r="U59" s="203"/>
      <c r="V59" s="203"/>
      <c r="W59" s="59"/>
      <c r="X59" s="206"/>
      <c r="Y59" s="206"/>
      <c r="Z59" s="206"/>
      <c r="AA59" s="206"/>
      <c r="AB59" s="101">
        <v>0</v>
      </c>
      <c r="AC59" s="101">
        <v>0</v>
      </c>
      <c r="AD59" s="101">
        <v>0</v>
      </c>
      <c r="AE59" s="101">
        <v>0</v>
      </c>
      <c r="AF59" s="187"/>
      <c r="AG59" s="101">
        <v>0</v>
      </c>
      <c r="AH59"/>
    </row>
    <row r="60" spans="1:34" x14ac:dyDescent="0.2">
      <c r="A60" s="15">
        <v>49</v>
      </c>
      <c r="B60" s="189"/>
      <c r="C60" s="189"/>
      <c r="D60" s="190"/>
      <c r="E60" s="190"/>
      <c r="F60" s="191"/>
      <c r="G60" s="193"/>
      <c r="H60" s="101">
        <v>0</v>
      </c>
      <c r="I60" s="194"/>
      <c r="J60" s="195"/>
      <c r="K60" s="196"/>
      <c r="L60" s="197"/>
      <c r="M60" s="101">
        <v>0</v>
      </c>
      <c r="N60" s="200"/>
      <c r="O60" s="195"/>
      <c r="P60" s="196"/>
      <c r="Q60" s="194"/>
      <c r="R60" s="201"/>
      <c r="S60" s="101">
        <v>0</v>
      </c>
      <c r="T60" s="202"/>
      <c r="U60" s="203"/>
      <c r="V60" s="203"/>
      <c r="W60" s="59"/>
      <c r="X60" s="206"/>
      <c r="Y60" s="206"/>
      <c r="Z60" s="206"/>
      <c r="AA60" s="206"/>
      <c r="AB60" s="101">
        <v>0</v>
      </c>
      <c r="AC60" s="101">
        <v>0</v>
      </c>
      <c r="AD60" s="101">
        <v>0</v>
      </c>
      <c r="AE60" s="101">
        <v>0</v>
      </c>
      <c r="AF60" s="187"/>
      <c r="AG60" s="101">
        <v>0</v>
      </c>
      <c r="AH60"/>
    </row>
    <row r="61" spans="1:34" x14ac:dyDescent="0.2">
      <c r="A61" s="15">
        <v>50</v>
      </c>
      <c r="B61" s="189"/>
      <c r="C61" s="189"/>
      <c r="D61" s="190"/>
      <c r="E61" s="190"/>
      <c r="F61" s="191"/>
      <c r="G61" s="193"/>
      <c r="H61" s="101">
        <v>0</v>
      </c>
      <c r="I61" s="194"/>
      <c r="J61" s="195"/>
      <c r="K61" s="196"/>
      <c r="L61" s="197"/>
      <c r="M61" s="101">
        <v>0</v>
      </c>
      <c r="N61" s="200"/>
      <c r="O61" s="195"/>
      <c r="P61" s="196"/>
      <c r="Q61" s="194"/>
      <c r="R61" s="201"/>
      <c r="S61" s="101">
        <v>0</v>
      </c>
      <c r="T61" s="202"/>
      <c r="U61" s="203"/>
      <c r="V61" s="203"/>
      <c r="W61" s="59"/>
      <c r="X61" s="206"/>
      <c r="Y61" s="206"/>
      <c r="Z61" s="206"/>
      <c r="AA61" s="206"/>
      <c r="AB61" s="101">
        <v>0</v>
      </c>
      <c r="AC61" s="101">
        <v>0</v>
      </c>
      <c r="AD61" s="101">
        <v>0</v>
      </c>
      <c r="AE61" s="101">
        <v>0</v>
      </c>
      <c r="AF61" s="187"/>
      <c r="AG61" s="101">
        <v>0</v>
      </c>
      <c r="AH61"/>
    </row>
    <row r="62" spans="1:34" x14ac:dyDescent="0.2">
      <c r="A62" s="15">
        <v>51</v>
      </c>
      <c r="B62" s="189"/>
      <c r="C62" s="189"/>
      <c r="D62" s="190"/>
      <c r="E62" s="190"/>
      <c r="F62" s="191"/>
      <c r="G62" s="193"/>
      <c r="H62" s="101">
        <v>0</v>
      </c>
      <c r="I62" s="194"/>
      <c r="J62" s="195"/>
      <c r="K62" s="196"/>
      <c r="L62" s="197"/>
      <c r="M62" s="101">
        <v>0</v>
      </c>
      <c r="N62" s="200"/>
      <c r="O62" s="195"/>
      <c r="P62" s="196"/>
      <c r="Q62" s="194"/>
      <c r="R62" s="201"/>
      <c r="S62" s="101">
        <v>0</v>
      </c>
      <c r="T62" s="202"/>
      <c r="U62" s="203"/>
      <c r="V62" s="203"/>
      <c r="W62" s="59"/>
      <c r="X62" s="206"/>
      <c r="Y62" s="206"/>
      <c r="Z62" s="206"/>
      <c r="AA62" s="206"/>
      <c r="AB62" s="101">
        <v>0</v>
      </c>
      <c r="AC62" s="101">
        <v>0</v>
      </c>
      <c r="AD62" s="101">
        <v>0</v>
      </c>
      <c r="AE62" s="101">
        <v>0</v>
      </c>
      <c r="AF62" s="187"/>
      <c r="AG62" s="101">
        <v>0</v>
      </c>
      <c r="AH62"/>
    </row>
    <row r="63" spans="1:34" x14ac:dyDescent="0.2">
      <c r="A63" s="15">
        <v>52</v>
      </c>
      <c r="B63" s="189"/>
      <c r="C63" s="189"/>
      <c r="D63" s="190"/>
      <c r="E63" s="190"/>
      <c r="F63" s="191"/>
      <c r="G63" s="193"/>
      <c r="H63" s="101">
        <v>0</v>
      </c>
      <c r="I63" s="194"/>
      <c r="J63" s="195"/>
      <c r="K63" s="196"/>
      <c r="L63" s="197"/>
      <c r="M63" s="101">
        <v>0</v>
      </c>
      <c r="N63" s="200"/>
      <c r="O63" s="195"/>
      <c r="P63" s="196"/>
      <c r="Q63" s="194"/>
      <c r="R63" s="201"/>
      <c r="S63" s="101">
        <v>0</v>
      </c>
      <c r="T63" s="202"/>
      <c r="U63" s="203"/>
      <c r="V63" s="203"/>
      <c r="W63" s="59"/>
      <c r="X63" s="206"/>
      <c r="Y63" s="206"/>
      <c r="Z63" s="206"/>
      <c r="AA63" s="206"/>
      <c r="AB63" s="101">
        <v>0</v>
      </c>
      <c r="AC63" s="101">
        <v>0</v>
      </c>
      <c r="AD63" s="101">
        <v>0</v>
      </c>
      <c r="AE63" s="101">
        <v>0</v>
      </c>
      <c r="AF63" s="187"/>
      <c r="AG63" s="101">
        <v>0</v>
      </c>
      <c r="AH63"/>
    </row>
    <row r="64" spans="1:34" x14ac:dyDescent="0.2">
      <c r="A64" s="15">
        <v>53</v>
      </c>
      <c r="B64" s="189"/>
      <c r="C64" s="189"/>
      <c r="D64" s="190"/>
      <c r="E64" s="190"/>
      <c r="F64" s="191"/>
      <c r="G64" s="193"/>
      <c r="H64" s="101">
        <v>0</v>
      </c>
      <c r="I64" s="194"/>
      <c r="J64" s="195"/>
      <c r="K64" s="196"/>
      <c r="L64" s="197"/>
      <c r="M64" s="101">
        <v>0</v>
      </c>
      <c r="N64" s="200"/>
      <c r="O64" s="195"/>
      <c r="P64" s="196"/>
      <c r="Q64" s="194"/>
      <c r="R64" s="201"/>
      <c r="S64" s="101">
        <v>0</v>
      </c>
      <c r="T64" s="202"/>
      <c r="U64" s="203"/>
      <c r="V64" s="203"/>
      <c r="W64" s="59"/>
      <c r="X64" s="206"/>
      <c r="Y64" s="206"/>
      <c r="Z64" s="206"/>
      <c r="AA64" s="206"/>
      <c r="AB64" s="101">
        <v>0</v>
      </c>
      <c r="AC64" s="101">
        <v>0</v>
      </c>
      <c r="AD64" s="101">
        <v>0</v>
      </c>
      <c r="AE64" s="101">
        <v>0</v>
      </c>
      <c r="AF64" s="187"/>
      <c r="AG64" s="101">
        <v>0</v>
      </c>
      <c r="AH64"/>
    </row>
    <row r="65" spans="1:34" x14ac:dyDescent="0.2">
      <c r="A65" s="15">
        <v>54</v>
      </c>
      <c r="B65" s="189"/>
      <c r="C65" s="189"/>
      <c r="D65" s="190"/>
      <c r="E65" s="190"/>
      <c r="F65" s="191"/>
      <c r="G65" s="193"/>
      <c r="H65" s="101">
        <v>0</v>
      </c>
      <c r="I65" s="194"/>
      <c r="J65" s="195"/>
      <c r="K65" s="196"/>
      <c r="L65" s="197"/>
      <c r="M65" s="101">
        <v>0</v>
      </c>
      <c r="N65" s="200"/>
      <c r="O65" s="195"/>
      <c r="P65" s="196"/>
      <c r="Q65" s="194"/>
      <c r="R65" s="201"/>
      <c r="S65" s="101">
        <v>0</v>
      </c>
      <c r="T65" s="202"/>
      <c r="U65" s="203"/>
      <c r="V65" s="203"/>
      <c r="W65" s="59"/>
      <c r="X65" s="206"/>
      <c r="Y65" s="206"/>
      <c r="Z65" s="206"/>
      <c r="AA65" s="206"/>
      <c r="AB65" s="101">
        <v>0</v>
      </c>
      <c r="AC65" s="101">
        <v>0</v>
      </c>
      <c r="AD65" s="101">
        <v>0</v>
      </c>
      <c r="AE65" s="101">
        <v>0</v>
      </c>
      <c r="AF65" s="187"/>
      <c r="AG65" s="101">
        <v>0</v>
      </c>
      <c r="AH65"/>
    </row>
    <row r="66" spans="1:34" x14ac:dyDescent="0.2">
      <c r="A66" s="15">
        <v>55</v>
      </c>
      <c r="B66" s="189"/>
      <c r="C66" s="189"/>
      <c r="D66" s="190"/>
      <c r="E66" s="190"/>
      <c r="F66" s="191"/>
      <c r="G66" s="193"/>
      <c r="H66" s="101">
        <v>0</v>
      </c>
      <c r="I66" s="194"/>
      <c r="J66" s="195"/>
      <c r="K66" s="196"/>
      <c r="L66" s="197"/>
      <c r="M66" s="101">
        <v>0</v>
      </c>
      <c r="N66" s="200"/>
      <c r="O66" s="195"/>
      <c r="P66" s="196"/>
      <c r="Q66" s="194"/>
      <c r="R66" s="201"/>
      <c r="S66" s="101">
        <v>0</v>
      </c>
      <c r="T66" s="202"/>
      <c r="U66" s="203"/>
      <c r="V66" s="203"/>
      <c r="W66" s="59"/>
      <c r="X66" s="206"/>
      <c r="Y66" s="206"/>
      <c r="Z66" s="206"/>
      <c r="AA66" s="206"/>
      <c r="AB66" s="101">
        <v>0</v>
      </c>
      <c r="AC66" s="101">
        <v>0</v>
      </c>
      <c r="AD66" s="101">
        <v>0</v>
      </c>
      <c r="AE66" s="101">
        <v>0</v>
      </c>
      <c r="AF66" s="187"/>
      <c r="AG66" s="101">
        <v>0</v>
      </c>
      <c r="AH66"/>
    </row>
    <row r="67" spans="1:34" x14ac:dyDescent="0.2">
      <c r="A67" s="15">
        <v>56</v>
      </c>
      <c r="B67" s="189"/>
      <c r="C67" s="189"/>
      <c r="D67" s="190"/>
      <c r="E67" s="190"/>
      <c r="F67" s="191"/>
      <c r="G67" s="193"/>
      <c r="H67" s="101">
        <v>0</v>
      </c>
      <c r="I67" s="194"/>
      <c r="J67" s="195"/>
      <c r="K67" s="196"/>
      <c r="L67" s="197"/>
      <c r="M67" s="101">
        <v>0</v>
      </c>
      <c r="N67" s="200"/>
      <c r="O67" s="195"/>
      <c r="P67" s="196"/>
      <c r="Q67" s="194"/>
      <c r="R67" s="201"/>
      <c r="S67" s="101">
        <v>0</v>
      </c>
      <c r="T67" s="202"/>
      <c r="U67" s="203"/>
      <c r="V67" s="203"/>
      <c r="W67" s="59"/>
      <c r="X67" s="206"/>
      <c r="Y67" s="206"/>
      <c r="Z67" s="206"/>
      <c r="AA67" s="206"/>
      <c r="AB67" s="101">
        <v>0</v>
      </c>
      <c r="AC67" s="101">
        <v>0</v>
      </c>
      <c r="AD67" s="101">
        <v>0</v>
      </c>
      <c r="AE67" s="101">
        <v>0</v>
      </c>
      <c r="AF67" s="187"/>
      <c r="AG67" s="101">
        <v>0</v>
      </c>
      <c r="AH67"/>
    </row>
    <row r="68" spans="1:34" x14ac:dyDescent="0.2">
      <c r="A68" s="15">
        <v>57</v>
      </c>
      <c r="B68" s="189"/>
      <c r="C68" s="189"/>
      <c r="D68" s="190"/>
      <c r="E68" s="190"/>
      <c r="F68" s="191"/>
      <c r="G68" s="193"/>
      <c r="H68" s="101">
        <v>0</v>
      </c>
      <c r="I68" s="194"/>
      <c r="J68" s="195"/>
      <c r="K68" s="196"/>
      <c r="L68" s="197"/>
      <c r="M68" s="101">
        <v>0</v>
      </c>
      <c r="N68" s="200"/>
      <c r="O68" s="195"/>
      <c r="P68" s="196"/>
      <c r="Q68" s="194"/>
      <c r="R68" s="201"/>
      <c r="S68" s="101">
        <v>0</v>
      </c>
      <c r="T68" s="202"/>
      <c r="U68" s="203"/>
      <c r="V68" s="203"/>
      <c r="W68" s="59"/>
      <c r="X68" s="206"/>
      <c r="Y68" s="206"/>
      <c r="Z68" s="206"/>
      <c r="AA68" s="206"/>
      <c r="AB68" s="101">
        <v>0</v>
      </c>
      <c r="AC68" s="101">
        <v>0</v>
      </c>
      <c r="AD68" s="101">
        <v>0</v>
      </c>
      <c r="AE68" s="101">
        <v>0</v>
      </c>
      <c r="AF68" s="187"/>
      <c r="AG68" s="101">
        <v>0</v>
      </c>
      <c r="AH68"/>
    </row>
    <row r="69" spans="1:34" x14ac:dyDescent="0.2">
      <c r="A69" s="15">
        <v>58</v>
      </c>
      <c r="B69" s="189"/>
      <c r="C69" s="189"/>
      <c r="D69" s="190"/>
      <c r="E69" s="190"/>
      <c r="F69" s="191"/>
      <c r="G69" s="193"/>
      <c r="H69" s="101">
        <v>0</v>
      </c>
      <c r="I69" s="194"/>
      <c r="J69" s="195"/>
      <c r="K69" s="198"/>
      <c r="L69" s="199"/>
      <c r="M69" s="101">
        <v>0</v>
      </c>
      <c r="N69" s="200"/>
      <c r="O69" s="195"/>
      <c r="P69" s="198"/>
      <c r="Q69" s="194"/>
      <c r="R69" s="197"/>
      <c r="S69" s="101">
        <v>0</v>
      </c>
      <c r="T69" s="204"/>
      <c r="U69" s="205"/>
      <c r="V69" s="205"/>
      <c r="W69" s="59"/>
      <c r="X69" s="206"/>
      <c r="Y69" s="206"/>
      <c r="Z69" s="206"/>
      <c r="AA69" s="206"/>
      <c r="AB69" s="101">
        <v>0</v>
      </c>
      <c r="AC69" s="101">
        <v>0</v>
      </c>
      <c r="AD69" s="101">
        <v>0</v>
      </c>
      <c r="AE69" s="101">
        <v>0</v>
      </c>
      <c r="AF69" s="187"/>
      <c r="AG69" s="101">
        <v>0</v>
      </c>
      <c r="AH69"/>
    </row>
    <row r="70" spans="1:34" x14ac:dyDescent="0.2">
      <c r="A70" s="15">
        <v>59</v>
      </c>
      <c r="B70" s="189"/>
      <c r="C70" s="189"/>
      <c r="D70" s="190"/>
      <c r="E70" s="190"/>
      <c r="F70" s="191"/>
      <c r="G70" s="193"/>
      <c r="H70" s="101">
        <v>0</v>
      </c>
      <c r="I70" s="194"/>
      <c r="J70" s="195"/>
      <c r="K70" s="198"/>
      <c r="L70" s="199"/>
      <c r="M70" s="101">
        <v>0</v>
      </c>
      <c r="N70" s="200"/>
      <c r="O70" s="195"/>
      <c r="P70" s="198"/>
      <c r="Q70" s="194"/>
      <c r="R70" s="197"/>
      <c r="S70" s="101">
        <v>0</v>
      </c>
      <c r="T70" s="204"/>
      <c r="U70" s="205"/>
      <c r="V70" s="205"/>
      <c r="W70" s="59"/>
      <c r="X70" s="206"/>
      <c r="Y70" s="206"/>
      <c r="Z70" s="206"/>
      <c r="AA70" s="206"/>
      <c r="AB70" s="101">
        <v>0</v>
      </c>
      <c r="AC70" s="101">
        <v>0</v>
      </c>
      <c r="AD70" s="101">
        <v>0</v>
      </c>
      <c r="AE70" s="101">
        <v>0</v>
      </c>
      <c r="AF70" s="187"/>
      <c r="AG70" s="101">
        <v>0</v>
      </c>
      <c r="AH70"/>
    </row>
    <row r="71" spans="1:34" x14ac:dyDescent="0.2">
      <c r="A71" s="15">
        <v>60</v>
      </c>
      <c r="B71" s="189"/>
      <c r="C71" s="189"/>
      <c r="D71" s="190"/>
      <c r="E71" s="190"/>
      <c r="F71" s="191"/>
      <c r="G71" s="193"/>
      <c r="H71" s="101">
        <v>0</v>
      </c>
      <c r="I71" s="194"/>
      <c r="J71" s="195"/>
      <c r="K71" s="198"/>
      <c r="L71" s="199"/>
      <c r="M71" s="101">
        <v>0</v>
      </c>
      <c r="N71" s="200"/>
      <c r="O71" s="195"/>
      <c r="P71" s="198"/>
      <c r="Q71" s="194"/>
      <c r="R71" s="197"/>
      <c r="S71" s="101">
        <v>0</v>
      </c>
      <c r="T71" s="204"/>
      <c r="U71" s="205"/>
      <c r="V71" s="205"/>
      <c r="W71" s="59"/>
      <c r="X71" s="206"/>
      <c r="Y71" s="206"/>
      <c r="Z71" s="206"/>
      <c r="AA71" s="206"/>
      <c r="AB71" s="101">
        <v>0</v>
      </c>
      <c r="AC71" s="101">
        <v>0</v>
      </c>
      <c r="AD71" s="101">
        <v>0</v>
      </c>
      <c r="AE71" s="101">
        <v>0</v>
      </c>
      <c r="AF71" s="187"/>
      <c r="AG71" s="101">
        <v>0</v>
      </c>
      <c r="AH71"/>
    </row>
  </sheetData>
  <mergeCells count="3">
    <mergeCell ref="X10:AA10"/>
    <mergeCell ref="I6:V6"/>
    <mergeCell ref="X6:AA6"/>
  </mergeCells>
  <conditionalFormatting sqref="J1">
    <cfRule type="cellIs" dxfId="93" priority="6" operator="equal">
      <formula>"Check"</formula>
    </cfRule>
    <cfRule type="cellIs" dxfId="92" priority="7"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7" id="{984E973A-C7C1-4DEA-8FC8-AD3E9DA5F8D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H6</xm:sqref>
        </x14:conditionalFormatting>
        <x14:conditionalFormatting xmlns:xm="http://schemas.microsoft.com/office/excel/2006/main">
          <x14:cfRule type="iconSet" priority="3" id="{3BAF09F4-64B2-4AC9-8689-1154BD23887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H10</xm:sqref>
        </x14:conditionalFormatting>
        <x14:conditionalFormatting xmlns:xm="http://schemas.microsoft.com/office/excel/2006/main">
          <x14:cfRule type="iconSet" priority="198" id="{ECB2A6EA-1F00-4A23-A235-738C9240FB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H12:H71</xm:sqref>
        </x14:conditionalFormatting>
        <x14:conditionalFormatting xmlns:xm="http://schemas.microsoft.com/office/excel/2006/main">
          <x14:cfRule type="iconSet" priority="15" id="{47DBB70E-4E88-48EA-982D-6D2B1A4864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xm:sqref>
        </x14:conditionalFormatting>
        <x14:conditionalFormatting xmlns:xm="http://schemas.microsoft.com/office/excel/2006/main">
          <x14:cfRule type="iconSet" priority="202" id="{5B19BE1E-5028-42C1-8BE5-E0BEB5594F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M11:M71</xm:sqref>
        </x14:conditionalFormatting>
        <x14:conditionalFormatting xmlns:xm="http://schemas.microsoft.com/office/excel/2006/main">
          <x14:cfRule type="iconSet" priority="13" id="{C2D1E540-1D0C-4490-89EA-A03E381CC75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S10</xm:sqref>
        </x14:conditionalFormatting>
        <x14:conditionalFormatting xmlns:xm="http://schemas.microsoft.com/office/excel/2006/main">
          <x14:cfRule type="iconSet" priority="199" id="{4FB54FC6-3278-413D-833E-31887F2C89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S11:S71</xm:sqref>
        </x14:conditionalFormatting>
        <x14:conditionalFormatting xmlns:xm="http://schemas.microsoft.com/office/excel/2006/main">
          <x14:cfRule type="iconSet" priority="5" id="{53C26D9A-BA7E-4706-AE4A-2AF5A2E5B6B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W6</xm:sqref>
        </x14:conditionalFormatting>
        <x14:conditionalFormatting xmlns:xm="http://schemas.microsoft.com/office/excel/2006/main">
          <x14:cfRule type="iconSet" priority="19" id="{2B7651FF-BC98-48DC-B85D-87FA17EC2612}">
            <x14:iconSet showValue="0" custom="1">
              <x14:cfvo type="percent">
                <xm:f>0</xm:f>
              </x14:cfvo>
              <x14:cfvo type="num">
                <xm:f>0</xm:f>
              </x14:cfvo>
              <x14:cfvo type="num">
                <xm:f>0</xm:f>
              </x14:cfvo>
              <x14:cfIcon iconSet="3TrafficLights1" iconId="0"/>
              <x14:cfIcon iconSet="3TrafficLights1" iconId="0"/>
              <x14:cfIcon iconSet="3TrafficLights1" iconId="2"/>
            </x14:iconSet>
          </x14:cfRule>
          <xm:sqref>AB11:AE11</xm:sqref>
        </x14:conditionalFormatting>
        <x14:conditionalFormatting xmlns:xm="http://schemas.microsoft.com/office/excel/2006/main">
          <x14:cfRule type="iconSet" priority="200" id="{F0ABE0A5-518A-482E-90A1-22842B8C9F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AB12:AE70</xm:sqref>
        </x14:conditionalFormatting>
        <x14:conditionalFormatting xmlns:xm="http://schemas.microsoft.com/office/excel/2006/main">
          <x14:cfRule type="iconSet" priority="1" id="{4918FE48-6824-4EE8-BD46-983782D5D99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AB71:AE71</xm:sqref>
        </x14:conditionalFormatting>
        <x14:conditionalFormatting xmlns:xm="http://schemas.microsoft.com/office/excel/2006/main">
          <x14:cfRule type="iconSet" priority="10" id="{01EB0920-06E3-4352-875B-16A49AD3664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AC6</xm:sqref>
        </x14:conditionalFormatting>
        <x14:conditionalFormatting xmlns:xm="http://schemas.microsoft.com/office/excel/2006/main">
          <x14:cfRule type="iconSet" priority="201" id="{BB237841-6DD4-41FB-85F4-354BE4FDC8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AG12:AG71</xm:sqref>
        </x14:conditionalFormatting>
        <x14:conditionalFormatting xmlns:xm="http://schemas.microsoft.com/office/excel/2006/main">
          <x14:cfRule type="iconSet" priority="8" id="{2BDC8815-BBE7-40CA-8659-94DAAB20EF4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AH6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34C02A9-9C7B-490B-84BA-522B375C35EF}">
          <x14:formula1>
            <xm:f>'Input|Setup'!$H$31:$H$38</xm:f>
          </x14:formula1>
          <xm:sqref>E12:E71</xm:sqref>
        </x14:dataValidation>
        <x14:dataValidation type="list" allowBlank="1" showInputMessage="1" showErrorMessage="1" xr:uid="{1E1D2E9B-EA1E-4A9C-AF9C-050FEA29BFED}">
          <x14:formula1>
            <xm:f>'Input|Setup'!$E$31:$E$49</xm:f>
          </x14:formula1>
          <xm:sqref>F12:F71</xm:sqref>
        </x14:dataValidation>
        <x14:dataValidation type="list" allowBlank="1" showInputMessage="1" showErrorMessage="1" xr:uid="{A3967919-472F-4BDC-B273-B8D59642372C}">
          <x14:formula1>
            <xm:f>'Input|Setup'!$B$25:$B$27</xm:f>
          </x14:formula1>
          <xm:sqref>D12:D71 O12:O71 J12:J71</xm:sqref>
        </x14:dataValidation>
        <x14:dataValidation type="list" allowBlank="1" showInputMessage="1" showErrorMessage="1" xr:uid="{F6CBA93C-5F1B-46F8-92B0-DC3BC7719FEC}">
          <x14:formula1>
            <xm:f>'Input|Setup'!$B$31:$B$49</xm:f>
          </x14:formula1>
          <xm:sqref>N12:N71 I12:I71</xm:sqref>
        </x14:dataValidation>
        <x14:dataValidation type="list" allowBlank="1" showInputMessage="1" showErrorMessage="1" xr:uid="{21992E3B-DF54-45A4-9E58-D90570A43FD9}">
          <x14:formula1>
            <xm:f>'Input|Labour Rates'!$B$100:$B$149</xm:f>
          </x14:formula1>
          <xm:sqref>B12:B71</xm:sqref>
        </x14:dataValidation>
        <x14:dataValidation type="list" allowBlank="1" showInputMessage="1" showErrorMessage="1" xr:uid="{BF2C0689-62F0-4998-96D1-44BA3A20118B}">
          <x14:formula1>
            <xm:f>'Input|Setup'!$H$41:$H$49</xm:f>
          </x14:formula1>
          <xm:sqref>G12:G71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8" tint="0.79998168889431442"/>
  </sheetPr>
  <dimension ref="A1:AH1016"/>
  <sheetViews>
    <sheetView showGridLines="0" topLeftCell="I8" zoomScale="80" zoomScaleNormal="80" workbookViewId="0">
      <selection activeCell="Y16" sqref="Y16"/>
    </sheetView>
  </sheetViews>
  <sheetFormatPr defaultColWidth="0" defaultRowHeight="12.75" zeroHeight="1" outlineLevelCol="1" x14ac:dyDescent="0.2"/>
  <cols>
    <col min="1" max="1" width="7.140625" style="16" customWidth="1"/>
    <col min="2" max="2" width="13.7109375" style="8" customWidth="1"/>
    <col min="3" max="3" width="45.42578125" style="17" bestFit="1" customWidth="1"/>
    <col min="4" max="4" width="18.28515625" style="17" bestFit="1" customWidth="1"/>
    <col min="5" max="5" width="13.140625" style="17" customWidth="1"/>
    <col min="6" max="6" width="18.42578125" style="17" bestFit="1" customWidth="1"/>
    <col min="7" max="7" width="14.140625" style="19" customWidth="1"/>
    <col min="8" max="11" width="14.140625" style="2" customWidth="1"/>
    <col min="12" max="12" width="2.5703125" style="2" customWidth="1"/>
    <col min="13" max="13" width="16.85546875" style="2" customWidth="1"/>
    <col min="14" max="18" width="15.5703125" style="2" customWidth="1" outlineLevel="1"/>
    <col min="19" max="19" width="3" style="2" customWidth="1"/>
    <col min="20" max="20" width="3.42578125" style="2" bestFit="1" customWidth="1"/>
    <col min="21" max="21" width="9.85546875" style="2" customWidth="1"/>
    <col min="22" max="22" width="45.42578125" style="8" bestFit="1" customWidth="1"/>
    <col min="23" max="23" width="15.140625" style="17" bestFit="1" customWidth="1"/>
    <col min="24" max="24" width="11.140625" style="17" customWidth="1"/>
    <col min="25" max="26" width="11.85546875" style="19" customWidth="1"/>
    <col min="27" max="29" width="11.85546875" style="2" customWidth="1"/>
    <col min="30" max="30" width="8.7109375" style="5" customWidth="1"/>
    <col min="31" max="16384" width="8.7109375" hidden="1"/>
  </cols>
  <sheetData>
    <row r="1" spans="1:34" s="27" customFormat="1" ht="24.95" customHeight="1" x14ac:dyDescent="0.2">
      <c r="B1" s="35" t="str">
        <f>IFERROR(Index!B1,"")</f>
        <v>Jemena Electricity Networks – Alternative Control Services Forecast model</v>
      </c>
      <c r="D1" s="28" t="s">
        <v>115</v>
      </c>
      <c r="E1" s="37" t="s">
        <v>116</v>
      </c>
      <c r="F1" s="28"/>
      <c r="G1" s="28" t="s">
        <v>117</v>
      </c>
      <c r="H1" s="122">
        <f>'Model Validation'!C15</f>
        <v>0</v>
      </c>
      <c r="J1" s="28"/>
      <c r="L1" s="28"/>
      <c r="M1" s="28"/>
      <c r="N1" s="28"/>
      <c r="O1" s="28"/>
      <c r="P1" s="28"/>
      <c r="Q1" s="28"/>
      <c r="R1" s="28"/>
      <c r="S1" s="28"/>
      <c r="T1" s="28"/>
      <c r="U1" s="28"/>
      <c r="V1" s="28"/>
      <c r="W1" s="28"/>
      <c r="X1" s="28"/>
      <c r="Y1" s="28"/>
      <c r="Z1" s="28"/>
      <c r="AA1" s="28"/>
      <c r="AB1" s="28"/>
      <c r="AC1" s="28"/>
    </row>
    <row r="2" spans="1:34" s="38" customFormat="1" ht="24.95" customHeight="1" x14ac:dyDescent="0.2">
      <c r="B2" s="35" t="str">
        <f ca="1">IFERROR(MID(CELL("filename",A1),FIND("]",CELL("filename",A1))+1,255),"")</f>
        <v>Input|Fee Based Mapping</v>
      </c>
      <c r="C2" s="28"/>
      <c r="D2" s="28"/>
      <c r="E2" s="69" t="s">
        <v>118</v>
      </c>
      <c r="F2" s="28"/>
      <c r="G2" s="28"/>
      <c r="H2" s="28"/>
      <c r="I2" s="28"/>
      <c r="J2" s="28"/>
      <c r="L2" s="28"/>
      <c r="M2" s="28"/>
      <c r="N2" s="28"/>
      <c r="O2" s="28"/>
      <c r="P2" s="28"/>
      <c r="Q2" s="28"/>
      <c r="R2" s="28"/>
      <c r="S2" s="28"/>
      <c r="T2" s="28"/>
      <c r="U2" s="28"/>
      <c r="V2" s="28"/>
      <c r="W2" s="28"/>
      <c r="X2" s="28"/>
      <c r="Y2" s="28"/>
      <c r="Z2" s="28"/>
      <c r="AA2" s="28"/>
      <c r="AB2" s="28"/>
      <c r="AC2" s="28"/>
    </row>
    <row r="3" spans="1:34" x14ac:dyDescent="0.2">
      <c r="A3" s="9"/>
      <c r="B3" s="6"/>
      <c r="C3" s="10"/>
      <c r="D3" s="10"/>
      <c r="E3" s="10"/>
      <c r="F3" s="10"/>
      <c r="G3" s="10"/>
      <c r="H3" s="10"/>
      <c r="I3" s="10"/>
      <c r="J3" s="10"/>
      <c r="K3" s="10"/>
      <c r="L3" s="10"/>
      <c r="M3" s="10"/>
      <c r="N3" s="210"/>
      <c r="O3" s="529" t="s">
        <v>461</v>
      </c>
      <c r="P3" s="529"/>
      <c r="Q3" s="529"/>
      <c r="R3" s="529"/>
      <c r="S3" s="210"/>
      <c r="T3" s="10"/>
      <c r="U3" s="10"/>
      <c r="V3" s="6"/>
      <c r="W3" s="10"/>
      <c r="X3" s="10"/>
      <c r="Y3" s="10"/>
      <c r="Z3" s="10"/>
      <c r="AA3" s="10"/>
      <c r="AB3" s="10"/>
      <c r="AC3" s="10"/>
      <c r="AD3" s="10"/>
    </row>
    <row r="4" spans="1:34" x14ac:dyDescent="0.2">
      <c r="A4" s="9"/>
      <c r="B4" s="208" t="s">
        <v>462</v>
      </c>
      <c r="C4" s="10"/>
      <c r="D4" s="10"/>
      <c r="E4" s="10"/>
      <c r="F4" s="10"/>
      <c r="G4" s="10"/>
      <c r="H4" s="10"/>
      <c r="I4" s="10"/>
      <c r="J4" s="10"/>
      <c r="K4" s="10"/>
      <c r="L4" s="5"/>
      <c r="N4" s="34" t="str">
        <f>G11</f>
        <v>2021-22</v>
      </c>
      <c r="O4" s="34" t="str">
        <f>H11</f>
        <v>2022-23</v>
      </c>
      <c r="P4" s="34" t="str">
        <f>I11</f>
        <v>2023-24</v>
      </c>
      <c r="Q4" s="34" t="str">
        <f>J11</f>
        <v>2024-25</v>
      </c>
      <c r="R4" s="34" t="str">
        <f>K11</f>
        <v>2025-26</v>
      </c>
      <c r="S4" s="5"/>
      <c r="T4" s="5"/>
      <c r="U4" s="5"/>
      <c r="V4" s="6"/>
      <c r="W4" s="10"/>
      <c r="X4" s="400" t="s">
        <v>463</v>
      </c>
      <c r="Y4" s="34" t="str">
        <f>IFERROR('Input|Setup'!$E$6,"")</f>
        <v>2026-27</v>
      </c>
      <c r="Z4" s="34" t="str">
        <f>IFERROR((LEFT(Y4,4)+1&amp;IF(MID(Y4,5,1)="","","-"&amp;TEXT(MOD(MID(Y4,6,2)+1,100),"00"))),"")</f>
        <v>2027-28</v>
      </c>
      <c r="AA4" s="34" t="str">
        <f>IFERROR((LEFT(Z4,4)+1&amp;IF(MID(Z4,5,1)="","","-"&amp;TEXT(MOD(MID(Z4,6,2)+1,100),"00"))),"")</f>
        <v>2028-29</v>
      </c>
      <c r="AB4" s="34" t="str">
        <f>IFERROR((LEFT(AA4,4)+1&amp;IF(MID(AA4,5,1)="","","-"&amp;TEXT(MOD(MID(AA4,6,2)+1,100),"00"))),"")</f>
        <v>2029-30</v>
      </c>
      <c r="AC4" s="34" t="str">
        <f>IFERROR((LEFT(AB4,4)+1&amp;IF(MID(AB4,5,1)="","","-"&amp;TEXT(MOD(MID(AB4,6,2)+1,100),"00"))),"")</f>
        <v>2030-31</v>
      </c>
      <c r="AD4"/>
    </row>
    <row r="5" spans="1:34" x14ac:dyDescent="0.2">
      <c r="B5" s="208" t="s">
        <v>464</v>
      </c>
      <c r="C5" s="10"/>
      <c r="D5" s="10"/>
      <c r="E5" s="10"/>
      <c r="F5" s="10"/>
      <c r="G5" s="10"/>
      <c r="H5" s="10"/>
      <c r="I5" s="10"/>
      <c r="J5" s="10"/>
      <c r="K5" s="10"/>
      <c r="L5" s="5"/>
      <c r="M5" s="5"/>
      <c r="N5" s="267" t="s">
        <v>465</v>
      </c>
      <c r="O5" s="422">
        <f>'Input|Escalations'!E16</f>
        <v>3.4982935153583528E-2</v>
      </c>
      <c r="P5" s="422">
        <f>'Input|Escalations'!F16</f>
        <v>7.8318219291014124E-2</v>
      </c>
      <c r="Q5" s="422">
        <f>'Input|Escalations'!G16</f>
        <v>4.0519877675840865E-2</v>
      </c>
      <c r="R5" s="422">
        <f>'Input|Escalations'!H16</f>
        <v>2.4246877296105973E-2</v>
      </c>
      <c r="S5" s="5"/>
      <c r="T5" s="5"/>
      <c r="U5" s="5"/>
      <c r="V5" s="6"/>
      <c r="W5" s="10"/>
      <c r="X5" s="10"/>
      <c r="Y5" s="267" t="s">
        <v>465</v>
      </c>
      <c r="Z5" s="423">
        <f>'Input|Escalations'!J16</f>
        <v>2.8999999999999915E-2</v>
      </c>
      <c r="AA5" s="423">
        <f>'Input|Escalations'!K16</f>
        <v>2.6000000000000023E-2</v>
      </c>
      <c r="AB5" s="423">
        <f>'Input|Escalations'!L16</f>
        <v>2.5666666666666726E-2</v>
      </c>
      <c r="AC5" s="423">
        <f>'Input|Escalations'!M16</f>
        <v>2.533333333333343E-2</v>
      </c>
      <c r="AD5"/>
    </row>
    <row r="6" spans="1:34" x14ac:dyDescent="0.2">
      <c r="A6" s="9"/>
      <c r="B6" s="209" t="s">
        <v>466</v>
      </c>
      <c r="C6" s="10"/>
      <c r="D6" s="10"/>
      <c r="E6" s="10"/>
      <c r="F6" s="10"/>
      <c r="G6" s="10"/>
      <c r="H6" s="10"/>
      <c r="I6" s="10"/>
      <c r="J6" s="10"/>
      <c r="K6" s="10"/>
      <c r="L6" s="5"/>
      <c r="M6" s="5"/>
      <c r="N6" s="267" t="s">
        <v>467</v>
      </c>
      <c r="O6" s="422">
        <f>'Input|Escalations'!E27</f>
        <v>3.8748358757266073E-2</v>
      </c>
      <c r="P6" s="422">
        <f>'Input|Escalations'!F27</f>
        <v>8.8043290719790369E-3</v>
      </c>
      <c r="Q6" s="422">
        <f>'Input|Escalations'!G27</f>
        <v>-1.9500105332415019E-2</v>
      </c>
      <c r="R6" s="422">
        <f>'Input|Escalations'!H27</f>
        <v>-7.3232263809143629E-3</v>
      </c>
      <c r="S6" s="5"/>
      <c r="T6" s="5"/>
      <c r="U6" s="5"/>
      <c r="V6" s="6"/>
      <c r="W6" s="10"/>
      <c r="X6" s="10"/>
      <c r="Y6" s="267" t="s">
        <v>467</v>
      </c>
      <c r="Z6" s="423">
        <f>'Input|Escalations'!J27</f>
        <v>-8.5734453709334808E-3</v>
      </c>
      <c r="AA6" s="423">
        <f>'Input|Escalations'!K27</f>
        <v>-1.002659802990522E-2</v>
      </c>
      <c r="AB6" s="423">
        <f>'Input|Escalations'!L27</f>
        <v>-1.1296131514512021E-2</v>
      </c>
      <c r="AC6" s="423">
        <f>'Input|Escalations'!M27</f>
        <v>-1.1485766163867313E-2</v>
      </c>
      <c r="AD6"/>
    </row>
    <row r="7" spans="1:34" x14ac:dyDescent="0.2">
      <c r="A7" s="9"/>
      <c r="B7" s="209" t="s">
        <v>468</v>
      </c>
      <c r="C7" s="10"/>
      <c r="D7" s="10"/>
      <c r="E7" s="10"/>
      <c r="F7" s="10"/>
      <c r="G7" s="44"/>
      <c r="H7" s="44"/>
      <c r="I7" s="44"/>
      <c r="J7" s="44"/>
      <c r="K7" s="44"/>
      <c r="L7" s="5"/>
      <c r="M7" s="5"/>
      <c r="N7" s="5"/>
      <c r="O7" s="5"/>
      <c r="P7" s="5"/>
      <c r="Q7" s="5"/>
      <c r="R7" s="5"/>
      <c r="S7" s="5"/>
      <c r="T7" s="5"/>
      <c r="U7" s="5"/>
      <c r="V7" s="6"/>
      <c r="W7" s="10"/>
      <c r="X7" s="10"/>
      <c r="Y7" s="44"/>
      <c r="Z7" s="5"/>
      <c r="AA7" s="5"/>
      <c r="AB7" s="19"/>
      <c r="AC7" s="19"/>
      <c r="AD7"/>
    </row>
    <row r="8" spans="1:34" ht="7.5" customHeight="1" x14ac:dyDescent="0.2">
      <c r="A8" s="9"/>
      <c r="B8" s="6"/>
      <c r="C8" s="10"/>
      <c r="D8" s="10"/>
      <c r="E8" s="10"/>
      <c r="F8" s="10"/>
      <c r="H8" s="19"/>
      <c r="I8" s="19"/>
      <c r="J8" s="19"/>
      <c r="K8" s="19"/>
      <c r="L8" s="19"/>
      <c r="M8" s="19"/>
      <c r="N8" s="19"/>
      <c r="O8" s="19"/>
      <c r="P8" s="19"/>
      <c r="Q8" s="19"/>
      <c r="R8" s="19"/>
      <c r="S8" s="19"/>
      <c r="T8" s="19"/>
      <c r="U8" s="19"/>
      <c r="V8" s="6"/>
      <c r="W8" s="10"/>
      <c r="X8" s="10"/>
      <c r="AA8" s="19"/>
      <c r="AB8" s="19"/>
      <c r="AC8" s="19"/>
      <c r="AD8"/>
    </row>
    <row r="9" spans="1:34" s="3" customFormat="1" ht="26.1" customHeight="1" x14ac:dyDescent="0.2">
      <c r="A9" s="152"/>
      <c r="B9" s="152" t="s">
        <v>469</v>
      </c>
      <c r="C9" s="152"/>
      <c r="D9" s="105" t="s">
        <v>407</v>
      </c>
      <c r="E9" s="105"/>
      <c r="F9" s="105"/>
      <c r="G9" s="526" t="str">
        <f>IFERROR("Approved price, $ ($nominal)","")</f>
        <v>Approved price, $ ($nominal)</v>
      </c>
      <c r="H9" s="526"/>
      <c r="I9" s="526"/>
      <c r="J9" s="526"/>
      <c r="K9" s="526"/>
      <c r="L9" s="19"/>
      <c r="M9" s="528" t="s">
        <v>470</v>
      </c>
      <c r="N9" s="528"/>
      <c r="O9" s="528"/>
      <c r="P9" s="528"/>
      <c r="Q9" s="528"/>
      <c r="R9" s="528"/>
      <c r="S9" s="4"/>
      <c r="T9" s="4"/>
      <c r="U9" s="152" t="s">
        <v>471</v>
      </c>
      <c r="V9" s="152"/>
      <c r="W9" s="152"/>
      <c r="X9" s="105"/>
      <c r="Y9" s="526" t="str">
        <f>IFERROR("Price of service, $ ($,nominal)","")</f>
        <v>Price of service, $ ($,nominal)</v>
      </c>
      <c r="Z9" s="526"/>
      <c r="AA9" s="526"/>
      <c r="AB9" s="526"/>
      <c r="AC9" s="526"/>
    </row>
    <row r="10" spans="1:34" ht="15.6" customHeight="1" x14ac:dyDescent="0.2">
      <c r="A10" s="9"/>
      <c r="B10" s="6"/>
      <c r="C10" s="10"/>
      <c r="D10" s="10"/>
      <c r="E10" s="10"/>
      <c r="F10" s="10"/>
      <c r="G10" s="377"/>
      <c r="H10" s="10"/>
      <c r="I10" s="10"/>
      <c r="J10" s="10"/>
      <c r="K10" s="10"/>
      <c r="L10" s="5"/>
      <c r="M10" s="5"/>
      <c r="N10" s="101">
        <f>IF(SUM(N12:N61)=0,0,1)</f>
        <v>0</v>
      </c>
      <c r="O10" s="101">
        <f>IF(SUM(O12:O61)=0,0,1)</f>
        <v>0</v>
      </c>
      <c r="P10" s="101">
        <f>IF(SUM(P12:P61)=0,0,1)</f>
        <v>0</v>
      </c>
      <c r="Q10" s="101">
        <f>IF(SUM(Q12:Q61)=0,0,1)</f>
        <v>0</v>
      </c>
      <c r="R10" s="101">
        <f>IF(SUM(R12:R61)=0,0,1)</f>
        <v>0</v>
      </c>
      <c r="S10" s="5"/>
      <c r="T10" s="5"/>
      <c r="U10" s="5"/>
      <c r="V10" s="6"/>
      <c r="W10" s="10"/>
      <c r="X10" s="10"/>
      <c r="AA10" s="19"/>
      <c r="AB10" s="19"/>
      <c r="AC10" s="19"/>
      <c r="AD10"/>
    </row>
    <row r="11" spans="1:34" s="257" customFormat="1" ht="38.25" x14ac:dyDescent="0.2">
      <c r="A11" s="40"/>
      <c r="B11" s="111" t="s">
        <v>14</v>
      </c>
      <c r="C11" s="111" t="s">
        <v>472</v>
      </c>
      <c r="D11" s="112" t="s">
        <v>473</v>
      </c>
      <c r="E11" s="112" t="s">
        <v>474</v>
      </c>
      <c r="F11" s="112" t="s">
        <v>475</v>
      </c>
      <c r="G11" s="113" t="str">
        <f>'Input|Setup'!B11</f>
        <v>2021-22</v>
      </c>
      <c r="H11" s="113" t="str">
        <f>'Input|Setup'!B12</f>
        <v>2022-23</v>
      </c>
      <c r="I11" s="113" t="str">
        <f>'Input|Setup'!B13</f>
        <v>2023-24</v>
      </c>
      <c r="J11" s="113" t="str">
        <f>'Input|Setup'!B14</f>
        <v>2024-25</v>
      </c>
      <c r="K11" s="113" t="str">
        <f>'Input|Setup'!B15</f>
        <v>2025-26</v>
      </c>
      <c r="L11" s="3"/>
      <c r="M11" s="113" t="str">
        <f>G11</f>
        <v>2021-22</v>
      </c>
      <c r="N11" s="113" t="str">
        <f>G11</f>
        <v>2021-22</v>
      </c>
      <c r="O11" s="113" t="str">
        <f>H11</f>
        <v>2022-23</v>
      </c>
      <c r="P11" s="113" t="str">
        <f>I11</f>
        <v>2023-24</v>
      </c>
      <c r="Q11" s="113" t="str">
        <f>J11</f>
        <v>2024-25</v>
      </c>
      <c r="R11" s="113" t="str">
        <f>K11</f>
        <v>2025-26</v>
      </c>
      <c r="S11" s="3"/>
      <c r="T11" s="3"/>
      <c r="U11" s="111"/>
      <c r="V11" s="111" t="s">
        <v>472</v>
      </c>
      <c r="W11" s="112" t="str">
        <f>'Input|Setup'!$B$24</f>
        <v>Hours</v>
      </c>
      <c r="X11" s="112" t="str">
        <f>'Input|Setup'!E30</f>
        <v>Service category</v>
      </c>
      <c r="Y11" s="186" t="str">
        <f>'Input|Setup'!E11</f>
        <v>2026-27</v>
      </c>
      <c r="Z11" s="186" t="str">
        <f>LEFT(Y11,4)+1&amp;"-"&amp;RIGHT(Y11,2)+1</f>
        <v>2027-28</v>
      </c>
      <c r="AA11" s="186" t="str">
        <f>LEFT(Z11,4)+1&amp;"-"&amp;RIGHT(Z11,2)+1</f>
        <v>2028-29</v>
      </c>
      <c r="AB11" s="186" t="str">
        <f>LEFT(AA11,4)+1&amp;"-"&amp;RIGHT(AA11,2)+1</f>
        <v>2029-30</v>
      </c>
      <c r="AC11" s="186" t="str">
        <f>LEFT(AB11,4)+1&amp;"-"&amp;RIGHT(AB11,2)+1</f>
        <v>2030-31</v>
      </c>
    </row>
    <row r="12" spans="1:34" s="1" customFormat="1" x14ac:dyDescent="0.2">
      <c r="A12" s="258">
        <v>1</v>
      </c>
      <c r="B12" s="259" t="s">
        <v>372</v>
      </c>
      <c r="C12" s="260" t="s">
        <v>476</v>
      </c>
      <c r="D12" s="261" t="s">
        <v>230</v>
      </c>
      <c r="E12" s="261" t="s">
        <v>477</v>
      </c>
      <c r="F12" s="261" t="s">
        <v>478</v>
      </c>
      <c r="G12" s="187">
        <v>563.99</v>
      </c>
      <c r="H12" s="187">
        <v>587.59</v>
      </c>
      <c r="I12" s="187">
        <v>637.47</v>
      </c>
      <c r="J12" s="187">
        <v>668.16</v>
      </c>
      <c r="K12" s="230">
        <f>J12*(1+$R$5)*(1-$R$6)</f>
        <v>689.37252255143903</v>
      </c>
      <c r="L12" s="262"/>
      <c r="M12" s="187">
        <f>G12</f>
        <v>563.99</v>
      </c>
      <c r="N12" s="101">
        <f>IF(G12&lt;=M12,0,1)</f>
        <v>0</v>
      </c>
      <c r="O12" s="101">
        <f>IF(M12=0,(IF(G12&lt;=M12,0,1)),IF(H12&lt;=$M12*(1+O$5)*(1-O$6),1,0))</f>
        <v>0</v>
      </c>
      <c r="P12" s="101">
        <f>IF(M12=0,(IF(G12&lt;=M12,0,1)),IF(I12&lt;=$M12*(1+P$5)*(1-P$6),1,0))</f>
        <v>0</v>
      </c>
      <c r="Q12" s="101">
        <f>IF(M12=0,(IF(G12&lt;=M12,0,1)),IF(J12&lt;=$M12*(1+Q$5)*(1-Q$6),1,0))</f>
        <v>0</v>
      </c>
      <c r="R12" s="101">
        <f>IF(M12=0,(IF(G12&lt;=M12,0,1)),IF(K12&lt;=$M12*(1+R$5)*(1-R$6),1,0))</f>
        <v>0</v>
      </c>
      <c r="S12" s="258"/>
      <c r="T12" s="258">
        <v>1</v>
      </c>
      <c r="U12" s="29" t="str">
        <f>'Calc|Fee Based'!B12</f>
        <v>ND1P</v>
      </c>
      <c r="V12" s="29" t="str">
        <f>'Calc|Fee Based'!C12</f>
        <v>Basic connection, single-phase BH</v>
      </c>
      <c r="W12" s="221" t="str">
        <f>'Calc|Fee Based'!E12</f>
        <v>Business Hours</v>
      </c>
      <c r="X12" s="221" t="str">
        <f>'Calc|Fee Based'!F12</f>
        <v>Capex</v>
      </c>
      <c r="Y12" s="198">
        <f>'Calc|Fee Based'!H12</f>
        <v>816.75607668400971</v>
      </c>
      <c r="Z12" s="198">
        <f>Y12*(1+Z$5)*(1-Z$6)</f>
        <v>847.64748650721413</v>
      </c>
      <c r="AA12" s="198">
        <f t="shared" ref="Z12:AC31" si="0">Z12*(1+AA$5)*(1-AA$6)</f>
        <v>878.40631631074405</v>
      </c>
      <c r="AB12" s="198">
        <f t="shared" si="0"/>
        <v>911.12935159559777</v>
      </c>
      <c r="AC12" s="198">
        <f t="shared" si="0"/>
        <v>944.94142765331173</v>
      </c>
      <c r="AD12" s="263"/>
      <c r="AE12" s="263"/>
      <c r="AF12" s="263"/>
      <c r="AG12" s="263"/>
      <c r="AH12" s="263"/>
    </row>
    <row r="13" spans="1:34" s="1" customFormat="1" x14ac:dyDescent="0.2">
      <c r="A13" s="258">
        <f>IFERROR(A12+1,"")</f>
        <v>2</v>
      </c>
      <c r="B13" s="259" t="s">
        <v>372</v>
      </c>
      <c r="C13" s="260" t="s">
        <v>479</v>
      </c>
      <c r="D13" s="261" t="s">
        <v>231</v>
      </c>
      <c r="E13" s="261" t="s">
        <v>480</v>
      </c>
      <c r="F13" s="261" t="s">
        <v>478</v>
      </c>
      <c r="G13" s="187">
        <v>746.97</v>
      </c>
      <c r="H13" s="187">
        <v>778.22</v>
      </c>
      <c r="I13" s="187">
        <v>844.28</v>
      </c>
      <c r="J13" s="187">
        <v>884.93</v>
      </c>
      <c r="K13" s="230">
        <f t="shared" ref="K13:K31" si="1">J13*(1+$R$5)*(1-$R$6)</f>
        <v>913.02446477108015</v>
      </c>
      <c r="L13" s="262"/>
      <c r="M13" s="187">
        <f t="shared" ref="M13:M31" si="2">G13</f>
        <v>746.97</v>
      </c>
      <c r="N13" s="101">
        <f t="shared" ref="N13:N71" si="3">IF(G13&lt;=M13,0,1)</f>
        <v>0</v>
      </c>
      <c r="O13" s="101">
        <f t="shared" ref="O13:O71" si="4">IF(M13=0,(IF(G13&lt;=M13,0,1)),IF(H13&lt;=$M13*(1+O$5)*(1-O$6),1,0))</f>
        <v>0</v>
      </c>
      <c r="P13" s="101">
        <f t="shared" ref="P13:P71" si="5">IF(M13=0,(IF(G13&lt;=M13,0,1)),IF(I13&lt;=$M13*(1+P$5)*(1-P$6),1,0))</f>
        <v>0</v>
      </c>
      <c r="Q13" s="101">
        <f t="shared" ref="Q13:Q71" si="6">IF(M13=0,(IF(G13&lt;=M13,0,1)),IF(J13&lt;=$M13*(1+Q$5)*(1-Q$6),1,0))</f>
        <v>0</v>
      </c>
      <c r="R13" s="101">
        <f t="shared" ref="R13:R71" si="7">IF(M13=0,(IF(G13&lt;=M13,0,1)),IF(K13&lt;=$M13*(1+R$5)*(1-R$6),1,0))</f>
        <v>0</v>
      </c>
      <c r="S13" s="258"/>
      <c r="T13" s="258">
        <f>IFERROR(T12+1,"")</f>
        <v>2</v>
      </c>
      <c r="U13" s="29" t="str">
        <f>'Calc|Fee Based'!B13</f>
        <v>ND1P</v>
      </c>
      <c r="V13" s="29" t="str">
        <f>'Calc|Fee Based'!C13</f>
        <v>Basic connection, single-phase AH</v>
      </c>
      <c r="W13" s="221" t="str">
        <f>'Calc|Fee Based'!E13</f>
        <v>After Hours</v>
      </c>
      <c r="X13" s="221" t="str">
        <f>'Calc|Fee Based'!F13</f>
        <v>Capex</v>
      </c>
      <c r="Y13" s="198">
        <f>'Calc|Fee Based'!H13</f>
        <v>1198.3979733013819</v>
      </c>
      <c r="Z13" s="198">
        <f t="shared" si="0"/>
        <v>1243.723871671004</v>
      </c>
      <c r="AA13" s="198">
        <f t="shared" si="0"/>
        <v>1288.8552399582502</v>
      </c>
      <c r="AB13" s="198">
        <f t="shared" si="0"/>
        <v>1336.8686190871208</v>
      </c>
      <c r="AC13" s="198">
        <f t="shared" si="0"/>
        <v>1386.4799101168576</v>
      </c>
      <c r="AD13" s="263"/>
      <c r="AE13" s="263"/>
      <c r="AF13" s="263"/>
      <c r="AG13" s="263"/>
      <c r="AH13" s="263"/>
    </row>
    <row r="14" spans="1:34" s="1" customFormat="1" x14ac:dyDescent="0.2">
      <c r="A14" s="258">
        <f t="shared" ref="A14:A71" si="8">IFERROR(A13+1,"")</f>
        <v>3</v>
      </c>
      <c r="B14" s="259" t="s">
        <v>373</v>
      </c>
      <c r="C14" s="260" t="s">
        <v>481</v>
      </c>
      <c r="D14" s="261" t="s">
        <v>230</v>
      </c>
      <c r="E14" s="261" t="s">
        <v>482</v>
      </c>
      <c r="F14" s="261" t="s">
        <v>478</v>
      </c>
      <c r="G14" s="187">
        <v>693.87</v>
      </c>
      <c r="H14" s="187">
        <v>722.9</v>
      </c>
      <c r="I14" s="187">
        <v>784.26</v>
      </c>
      <c r="J14" s="187">
        <v>822.02</v>
      </c>
      <c r="K14" s="230">
        <f t="shared" si="1"/>
        <v>848.11721891123966</v>
      </c>
      <c r="L14" s="262"/>
      <c r="M14" s="187">
        <f t="shared" si="2"/>
        <v>693.87</v>
      </c>
      <c r="N14" s="101">
        <f t="shared" si="3"/>
        <v>0</v>
      </c>
      <c r="O14" s="101">
        <f t="shared" si="4"/>
        <v>0</v>
      </c>
      <c r="P14" s="101">
        <f t="shared" si="5"/>
        <v>0</v>
      </c>
      <c r="Q14" s="101">
        <f t="shared" si="6"/>
        <v>0</v>
      </c>
      <c r="R14" s="101">
        <f t="shared" si="7"/>
        <v>0</v>
      </c>
      <c r="S14" s="258"/>
      <c r="T14" s="258">
        <f>IFERROR(T13+1,"")</f>
        <v>3</v>
      </c>
      <c r="U14" s="29" t="str">
        <f>'Calc|Fee Based'!B14</f>
        <v>ND3P</v>
      </c>
      <c r="V14" s="29" t="str">
        <f>'Calc|Fee Based'!C14</f>
        <v>Basic connection, three-phase BH</v>
      </c>
      <c r="W14" s="221" t="str">
        <f>'Calc|Fee Based'!E14</f>
        <v>Business Hours</v>
      </c>
      <c r="X14" s="221" t="str">
        <f>'Calc|Fee Based'!F14</f>
        <v>Capex</v>
      </c>
      <c r="Y14" s="198">
        <f>'Calc|Fee Based'!H14</f>
        <v>1079.7718462563191</v>
      </c>
      <c r="Z14" s="198">
        <f t="shared" si="0"/>
        <v>1120.6110583178745</v>
      </c>
      <c r="AA14" s="198">
        <f t="shared" si="0"/>
        <v>1161.2749962961295</v>
      </c>
      <c r="AB14" s="198">
        <f t="shared" si="0"/>
        <v>1204.5356627708611</v>
      </c>
      <c r="AC14" s="198">
        <f t="shared" si="0"/>
        <v>1249.2360682319666</v>
      </c>
      <c r="AD14" s="263"/>
      <c r="AE14" s="263"/>
      <c r="AF14" s="263"/>
      <c r="AG14" s="263"/>
      <c r="AH14" s="263"/>
    </row>
    <row r="15" spans="1:34" s="1" customFormat="1" x14ac:dyDescent="0.2">
      <c r="A15" s="258">
        <f t="shared" si="8"/>
        <v>4</v>
      </c>
      <c r="B15" s="259" t="s">
        <v>373</v>
      </c>
      <c r="C15" s="260" t="s">
        <v>483</v>
      </c>
      <c r="D15" s="261" t="s">
        <v>231</v>
      </c>
      <c r="E15" s="261" t="s">
        <v>484</v>
      </c>
      <c r="F15" s="261" t="s">
        <v>478</v>
      </c>
      <c r="G15" s="187">
        <v>876.85</v>
      </c>
      <c r="H15" s="187">
        <v>913.54</v>
      </c>
      <c r="I15" s="187">
        <v>991.09</v>
      </c>
      <c r="J15" s="187">
        <v>1038.81</v>
      </c>
      <c r="K15" s="230">
        <f t="shared" si="1"/>
        <v>1071.7897960842618</v>
      </c>
      <c r="L15" s="264"/>
      <c r="M15" s="187">
        <f t="shared" si="2"/>
        <v>876.85</v>
      </c>
      <c r="N15" s="101">
        <f t="shared" si="3"/>
        <v>0</v>
      </c>
      <c r="O15" s="101">
        <f t="shared" si="4"/>
        <v>0</v>
      </c>
      <c r="P15" s="101">
        <f t="shared" si="5"/>
        <v>0</v>
      </c>
      <c r="Q15" s="101">
        <f t="shared" si="6"/>
        <v>0</v>
      </c>
      <c r="R15" s="101">
        <f t="shared" si="7"/>
        <v>0</v>
      </c>
      <c r="S15" s="265"/>
      <c r="T15" s="258">
        <f t="shared" ref="T15:T71" si="9">IFERROR(T14+1,"")</f>
        <v>4</v>
      </c>
      <c r="U15" s="29" t="str">
        <f>'Calc|Fee Based'!B15</f>
        <v>ND3P</v>
      </c>
      <c r="V15" s="29" t="str">
        <f>'Calc|Fee Based'!C15</f>
        <v>Basic connection, three-phase AH</v>
      </c>
      <c r="W15" s="221" t="str">
        <f>'Calc|Fee Based'!E15</f>
        <v>After Hours</v>
      </c>
      <c r="X15" s="221" t="str">
        <f>'Calc|Fee Based'!F15</f>
        <v>Capex</v>
      </c>
      <c r="Y15" s="198">
        <f>'Calc|Fee Based'!H15</f>
        <v>1461.4137428736913</v>
      </c>
      <c r="Z15" s="198">
        <f t="shared" si="0"/>
        <v>1516.6874434816641</v>
      </c>
      <c r="AA15" s="198">
        <f t="shared" si="0"/>
        <v>1571.7239199436353</v>
      </c>
      <c r="AB15" s="198">
        <f t="shared" si="0"/>
        <v>1630.2749302623838</v>
      </c>
      <c r="AC15" s="198">
        <f t="shared" si="0"/>
        <v>1690.7745506955123</v>
      </c>
      <c r="AD15" s="263"/>
      <c r="AE15" s="263"/>
      <c r="AF15" s="263"/>
      <c r="AG15" s="263"/>
      <c r="AH15" s="263"/>
    </row>
    <row r="16" spans="1:34" s="1" customFormat="1" x14ac:dyDescent="0.2">
      <c r="A16" s="258">
        <f t="shared" si="8"/>
        <v>5</v>
      </c>
      <c r="B16" s="259" t="s">
        <v>374</v>
      </c>
      <c r="C16" s="260" t="s">
        <v>485</v>
      </c>
      <c r="D16" s="261" t="s">
        <v>230</v>
      </c>
      <c r="E16" s="261" t="s">
        <v>486</v>
      </c>
      <c r="F16" s="261" t="s">
        <v>478</v>
      </c>
      <c r="G16" s="187">
        <v>563.99</v>
      </c>
      <c r="H16" s="187">
        <v>587.59</v>
      </c>
      <c r="I16" s="187">
        <v>637.47</v>
      </c>
      <c r="J16" s="187">
        <v>668.16</v>
      </c>
      <c r="K16" s="230">
        <f t="shared" si="1"/>
        <v>689.37252255143903</v>
      </c>
      <c r="L16" s="264"/>
      <c r="M16" s="187">
        <f t="shared" si="2"/>
        <v>563.99</v>
      </c>
      <c r="N16" s="101">
        <f t="shared" si="3"/>
        <v>0</v>
      </c>
      <c r="O16" s="101">
        <f t="shared" si="4"/>
        <v>0</v>
      </c>
      <c r="P16" s="101">
        <f t="shared" si="5"/>
        <v>0</v>
      </c>
      <c r="Q16" s="101">
        <f t="shared" si="6"/>
        <v>0</v>
      </c>
      <c r="R16" s="101">
        <f t="shared" si="7"/>
        <v>0</v>
      </c>
      <c r="S16" s="265"/>
      <c r="T16" s="258">
        <f t="shared" si="9"/>
        <v>5</v>
      </c>
      <c r="U16" s="29" t="str">
        <f>'Calc|Fee Based'!B16</f>
        <v>BTSO</v>
      </c>
      <c r="V16" s="29" t="str">
        <f>'Calc|Fee Based'!C16</f>
        <v>Temporary connection, single-phase BH</v>
      </c>
      <c r="W16" s="221" t="str">
        <f>'Calc|Fee Based'!E16</f>
        <v>Business Hours</v>
      </c>
      <c r="X16" s="221" t="str">
        <f>'Calc|Fee Based'!F16</f>
        <v>Capex</v>
      </c>
      <c r="Y16" s="198">
        <f>'Calc|Fee Based'!H16</f>
        <v>775.84744624698351</v>
      </c>
      <c r="Z16" s="198">
        <f t="shared" si="0"/>
        <v>805.1916067699234</v>
      </c>
      <c r="AA16" s="198">
        <f t="shared" si="0"/>
        <v>834.40982777110855</v>
      </c>
      <c r="AB16" s="198">
        <f t="shared" si="0"/>
        <v>865.49387364962604</v>
      </c>
      <c r="AC16" s="198">
        <f t="shared" si="0"/>
        <v>897.61241382405728</v>
      </c>
      <c r="AD16" s="263"/>
      <c r="AE16" s="263"/>
      <c r="AF16" s="263"/>
      <c r="AG16" s="263"/>
      <c r="AH16" s="263"/>
    </row>
    <row r="17" spans="1:34" s="1" customFormat="1" x14ac:dyDescent="0.2">
      <c r="A17" s="258">
        <f t="shared" si="8"/>
        <v>6</v>
      </c>
      <c r="B17" s="259" t="s">
        <v>374</v>
      </c>
      <c r="C17" s="260" t="s">
        <v>487</v>
      </c>
      <c r="D17" s="261" t="s">
        <v>231</v>
      </c>
      <c r="E17" s="261" t="s">
        <v>488</v>
      </c>
      <c r="F17" s="261" t="s">
        <v>478</v>
      </c>
      <c r="G17" s="187">
        <v>746.97</v>
      </c>
      <c r="H17" s="187">
        <v>778.22</v>
      </c>
      <c r="I17" s="187">
        <v>844.28</v>
      </c>
      <c r="J17" s="187">
        <v>884.93</v>
      </c>
      <c r="K17" s="230">
        <f t="shared" si="1"/>
        <v>913.02446477108015</v>
      </c>
      <c r="L17" s="264"/>
      <c r="M17" s="187">
        <f t="shared" si="2"/>
        <v>746.97</v>
      </c>
      <c r="N17" s="101">
        <f t="shared" si="3"/>
        <v>0</v>
      </c>
      <c r="O17" s="101">
        <f t="shared" si="4"/>
        <v>0</v>
      </c>
      <c r="P17" s="101">
        <f t="shared" si="5"/>
        <v>0</v>
      </c>
      <c r="Q17" s="101">
        <f t="shared" si="6"/>
        <v>0</v>
      </c>
      <c r="R17" s="101">
        <f t="shared" si="7"/>
        <v>0</v>
      </c>
      <c r="S17" s="265"/>
      <c r="T17" s="258">
        <f t="shared" si="9"/>
        <v>6</v>
      </c>
      <c r="U17" s="29" t="str">
        <f>'Calc|Fee Based'!B17</f>
        <v>BTSO</v>
      </c>
      <c r="V17" s="29" t="str">
        <f>'Calc|Fee Based'!C17</f>
        <v>Temporary connection, single-phase AH</v>
      </c>
      <c r="W17" s="221" t="str">
        <f>'Calc|Fee Based'!E17</f>
        <v>After Hours</v>
      </c>
      <c r="X17" s="221" t="str">
        <f>'Calc|Fee Based'!F17</f>
        <v>Capex</v>
      </c>
      <c r="Y17" s="198">
        <f>'Calc|Fee Based'!H17</f>
        <v>1157.4893428643556</v>
      </c>
      <c r="Z17" s="198">
        <f t="shared" si="0"/>
        <v>1201.2679919337131</v>
      </c>
      <c r="AA17" s="198">
        <f t="shared" si="0"/>
        <v>1244.8587514186145</v>
      </c>
      <c r="AB17" s="198">
        <f t="shared" si="0"/>
        <v>1291.2331411411487</v>
      </c>
      <c r="AC17" s="198">
        <f t="shared" si="0"/>
        <v>1339.150896287603</v>
      </c>
      <c r="AD17" s="263"/>
      <c r="AE17" s="263"/>
      <c r="AF17" s="263"/>
      <c r="AG17" s="263"/>
      <c r="AH17" s="263"/>
    </row>
    <row r="18" spans="1:34" s="1" customFormat="1" x14ac:dyDescent="0.2">
      <c r="A18" s="258">
        <f t="shared" si="8"/>
        <v>7</v>
      </c>
      <c r="B18" s="259" t="s">
        <v>375</v>
      </c>
      <c r="C18" s="260" t="s">
        <v>489</v>
      </c>
      <c r="D18" s="261" t="s">
        <v>230</v>
      </c>
      <c r="E18" s="261" t="s">
        <v>490</v>
      </c>
      <c r="F18" s="261" t="s">
        <v>478</v>
      </c>
      <c r="G18" s="187">
        <v>693.87</v>
      </c>
      <c r="H18" s="187">
        <v>722.9</v>
      </c>
      <c r="I18" s="187">
        <v>784.26</v>
      </c>
      <c r="J18" s="187">
        <v>822.02</v>
      </c>
      <c r="K18" s="230">
        <f t="shared" si="1"/>
        <v>848.11721891123966</v>
      </c>
      <c r="L18" s="264"/>
      <c r="M18" s="187">
        <f t="shared" si="2"/>
        <v>693.87</v>
      </c>
      <c r="N18" s="101">
        <f t="shared" si="3"/>
        <v>0</v>
      </c>
      <c r="O18" s="101">
        <f t="shared" si="4"/>
        <v>0</v>
      </c>
      <c r="P18" s="101">
        <f t="shared" si="5"/>
        <v>0</v>
      </c>
      <c r="Q18" s="101">
        <f t="shared" si="6"/>
        <v>0</v>
      </c>
      <c r="R18" s="101">
        <f t="shared" si="7"/>
        <v>0</v>
      </c>
      <c r="S18" s="265"/>
      <c r="T18" s="258">
        <f t="shared" si="9"/>
        <v>7</v>
      </c>
      <c r="U18" s="29" t="str">
        <f>'Calc|Fee Based'!B18</f>
        <v>BTSP</v>
      </c>
      <c r="V18" s="29" t="str">
        <f>'Calc|Fee Based'!C18</f>
        <v>Temporary connection, three-phase BH</v>
      </c>
      <c r="W18" s="221" t="str">
        <f>'Calc|Fee Based'!E18</f>
        <v>Business Hours</v>
      </c>
      <c r="X18" s="221" t="str">
        <f>'Calc|Fee Based'!F18</f>
        <v>Capex</v>
      </c>
      <c r="Y18" s="198">
        <f>'Calc|Fee Based'!H18</f>
        <v>825.94062054517963</v>
      </c>
      <c r="Z18" s="198">
        <f t="shared" si="0"/>
        <v>857.17940887777524</v>
      </c>
      <c r="AA18" s="198">
        <f t="shared" si="0"/>
        <v>888.28412630860726</v>
      </c>
      <c r="AB18" s="198">
        <f t="shared" si="0"/>
        <v>921.37513700426484</v>
      </c>
      <c r="AC18" s="198">
        <f t="shared" si="0"/>
        <v>955.56743489865016</v>
      </c>
      <c r="AD18" s="263"/>
      <c r="AE18" s="263"/>
      <c r="AF18" s="263"/>
      <c r="AG18" s="263"/>
      <c r="AH18" s="263"/>
    </row>
    <row r="19" spans="1:34" s="1" customFormat="1" x14ac:dyDescent="0.2">
      <c r="A19" s="258">
        <f t="shared" si="8"/>
        <v>8</v>
      </c>
      <c r="B19" s="259" t="s">
        <v>375</v>
      </c>
      <c r="C19" s="260" t="s">
        <v>491</v>
      </c>
      <c r="D19" s="261" t="s">
        <v>231</v>
      </c>
      <c r="E19" s="261" t="s">
        <v>492</v>
      </c>
      <c r="F19" s="261" t="s">
        <v>478</v>
      </c>
      <c r="G19" s="187">
        <v>876.85</v>
      </c>
      <c r="H19" s="187">
        <v>913.54</v>
      </c>
      <c r="I19" s="187">
        <v>991.09</v>
      </c>
      <c r="J19" s="187">
        <v>1038.81</v>
      </c>
      <c r="K19" s="230">
        <f t="shared" si="1"/>
        <v>1071.7897960842618</v>
      </c>
      <c r="L19" s="264"/>
      <c r="M19" s="187">
        <f t="shared" si="2"/>
        <v>876.85</v>
      </c>
      <c r="N19" s="101">
        <f t="shared" si="3"/>
        <v>0</v>
      </c>
      <c r="O19" s="101">
        <f t="shared" si="4"/>
        <v>0</v>
      </c>
      <c r="P19" s="101">
        <f t="shared" si="5"/>
        <v>0</v>
      </c>
      <c r="Q19" s="101">
        <f t="shared" si="6"/>
        <v>0</v>
      </c>
      <c r="R19" s="101">
        <f t="shared" si="7"/>
        <v>0</v>
      </c>
      <c r="S19" s="265"/>
      <c r="T19" s="258">
        <f t="shared" si="9"/>
        <v>8</v>
      </c>
      <c r="U19" s="29" t="str">
        <f>'Calc|Fee Based'!B19</f>
        <v>BTSP</v>
      </c>
      <c r="V19" s="29" t="str">
        <f>'Calc|Fee Based'!C19</f>
        <v>Temporary connection, three-phase AH</v>
      </c>
      <c r="W19" s="221" t="str">
        <f>'Calc|Fee Based'!E19</f>
        <v>After Hours</v>
      </c>
      <c r="X19" s="221" t="str">
        <f>'Calc|Fee Based'!F19</f>
        <v>Capex</v>
      </c>
      <c r="Y19" s="198">
        <f>'Calc|Fee Based'!H19</f>
        <v>1207.5825171625515</v>
      </c>
      <c r="Z19" s="198">
        <f t="shared" si="0"/>
        <v>1253.2557940415647</v>
      </c>
      <c r="AA19" s="198">
        <f t="shared" si="0"/>
        <v>1298.7330499561131</v>
      </c>
      <c r="AB19" s="198">
        <f t="shared" si="0"/>
        <v>1347.1144044957875</v>
      </c>
      <c r="AC19" s="198">
        <f t="shared" si="0"/>
        <v>1397.1059173621959</v>
      </c>
      <c r="AD19" s="263"/>
      <c r="AE19" s="263"/>
      <c r="AF19" s="263"/>
      <c r="AG19" s="263"/>
      <c r="AH19" s="263"/>
    </row>
    <row r="20" spans="1:34" s="1" customFormat="1" x14ac:dyDescent="0.2">
      <c r="A20" s="258">
        <f t="shared" si="8"/>
        <v>9</v>
      </c>
      <c r="B20" s="259" t="s">
        <v>376</v>
      </c>
      <c r="C20" s="260" t="s">
        <v>493</v>
      </c>
      <c r="D20" s="261" t="s">
        <v>230</v>
      </c>
      <c r="E20" s="261" t="s">
        <v>494</v>
      </c>
      <c r="F20" s="261" t="s">
        <v>478</v>
      </c>
      <c r="G20" s="187">
        <v>693.87</v>
      </c>
      <c r="H20" s="187">
        <v>722.9</v>
      </c>
      <c r="I20" s="187">
        <v>784.26</v>
      </c>
      <c r="J20" s="187">
        <v>822.02</v>
      </c>
      <c r="K20" s="230">
        <f t="shared" si="1"/>
        <v>848.11721891123966</v>
      </c>
      <c r="L20" s="264"/>
      <c r="M20" s="187">
        <f t="shared" si="2"/>
        <v>693.87</v>
      </c>
      <c r="N20" s="101">
        <f t="shared" si="3"/>
        <v>0</v>
      </c>
      <c r="O20" s="101">
        <f t="shared" si="4"/>
        <v>0</v>
      </c>
      <c r="P20" s="101">
        <f t="shared" si="5"/>
        <v>0</v>
      </c>
      <c r="Q20" s="101">
        <f t="shared" si="6"/>
        <v>0</v>
      </c>
      <c r="R20" s="101">
        <f t="shared" si="7"/>
        <v>0</v>
      </c>
      <c r="S20" s="265"/>
      <c r="T20" s="258">
        <f t="shared" si="9"/>
        <v>9</v>
      </c>
      <c r="U20" s="29" t="str">
        <f>'Calc|Fee Based'!B20</f>
        <v>SUTK</v>
      </c>
      <c r="V20" s="29" t="str">
        <f>'Calc|Fee Based'!C20</f>
        <v>Supply upgrade/enhancement (1ph to 3ph) BH</v>
      </c>
      <c r="W20" s="221" t="str">
        <f>'Calc|Fee Based'!E20</f>
        <v>Business Hours</v>
      </c>
      <c r="X20" s="221" t="str">
        <f>'Calc|Fee Based'!F20</f>
        <v>Capex</v>
      </c>
      <c r="Y20" s="198">
        <f>'Calc|Fee Based'!H20</f>
        <v>1050.687018310251</v>
      </c>
      <c r="Z20" s="198">
        <f t="shared" si="0"/>
        <v>1090.4261818195296</v>
      </c>
      <c r="AA20" s="198">
        <f t="shared" si="0"/>
        <v>1129.9947924433923</v>
      </c>
      <c r="AB20" s="198">
        <f t="shared" si="0"/>
        <v>1172.0901858601048</v>
      </c>
      <c r="AC20" s="198">
        <f t="shared" si="0"/>
        <v>1215.5865373291902</v>
      </c>
      <c r="AD20" s="263"/>
      <c r="AE20" s="263"/>
      <c r="AF20" s="263"/>
      <c r="AG20" s="263"/>
      <c r="AH20" s="263"/>
    </row>
    <row r="21" spans="1:34" s="1" customFormat="1" x14ac:dyDescent="0.2">
      <c r="A21" s="258">
        <f t="shared" si="8"/>
        <v>10</v>
      </c>
      <c r="B21" s="259" t="s">
        <v>376</v>
      </c>
      <c r="C21" s="260" t="s">
        <v>495</v>
      </c>
      <c r="D21" s="261" t="s">
        <v>231</v>
      </c>
      <c r="E21" s="261" t="s">
        <v>496</v>
      </c>
      <c r="F21" s="261" t="s">
        <v>478</v>
      </c>
      <c r="G21" s="187">
        <v>876.85</v>
      </c>
      <c r="H21" s="187">
        <v>913.54</v>
      </c>
      <c r="I21" s="187">
        <v>991.09</v>
      </c>
      <c r="J21" s="187">
        <v>1038.81</v>
      </c>
      <c r="K21" s="230">
        <f t="shared" si="1"/>
        <v>1071.7897960842618</v>
      </c>
      <c r="L21" s="264"/>
      <c r="M21" s="187">
        <f t="shared" si="2"/>
        <v>876.85</v>
      </c>
      <c r="N21" s="101">
        <f t="shared" si="3"/>
        <v>0</v>
      </c>
      <c r="O21" s="101">
        <f t="shared" si="4"/>
        <v>0</v>
      </c>
      <c r="P21" s="101">
        <f t="shared" si="5"/>
        <v>0</v>
      </c>
      <c r="Q21" s="101">
        <f t="shared" si="6"/>
        <v>0</v>
      </c>
      <c r="R21" s="101">
        <f t="shared" si="7"/>
        <v>0</v>
      </c>
      <c r="S21" s="265"/>
      <c r="T21" s="258">
        <f t="shared" si="9"/>
        <v>10</v>
      </c>
      <c r="U21" s="29" t="str">
        <f>'Calc|Fee Based'!B21</f>
        <v>SUTK</v>
      </c>
      <c r="V21" s="29" t="str">
        <f>'Calc|Fee Based'!C21</f>
        <v>Supply upgrade/enhancement (1ph to 3ph) AH</v>
      </c>
      <c r="W21" s="221" t="str">
        <f>'Calc|Fee Based'!E21</f>
        <v>After Hours</v>
      </c>
      <c r="X21" s="221" t="str">
        <f>'Calc|Fee Based'!F21</f>
        <v>Capex</v>
      </c>
      <c r="Y21" s="198">
        <f>'Calc|Fee Based'!H21</f>
        <v>1432.3289149276234</v>
      </c>
      <c r="Z21" s="198">
        <f t="shared" si="0"/>
        <v>1486.5025669833194</v>
      </c>
      <c r="AA21" s="198">
        <f t="shared" si="0"/>
        <v>1540.4437160908983</v>
      </c>
      <c r="AB21" s="198">
        <f t="shared" si="0"/>
        <v>1597.8294533516278</v>
      </c>
      <c r="AC21" s="198">
        <f t="shared" si="0"/>
        <v>1657.1250197927361</v>
      </c>
      <c r="AD21" s="263"/>
      <c r="AE21" s="263"/>
      <c r="AF21" s="263"/>
      <c r="AG21" s="263"/>
      <c r="AH21" s="263"/>
    </row>
    <row r="22" spans="1:34" s="1" customFormat="1" x14ac:dyDescent="0.2">
      <c r="A22" s="258">
        <f t="shared" si="8"/>
        <v>11</v>
      </c>
      <c r="B22" s="259" t="s">
        <v>377</v>
      </c>
      <c r="C22" s="260" t="s">
        <v>497</v>
      </c>
      <c r="D22" s="261" t="s">
        <v>230</v>
      </c>
      <c r="E22" s="261" t="s">
        <v>498</v>
      </c>
      <c r="F22" s="261" t="s">
        <v>478</v>
      </c>
      <c r="G22" s="187">
        <v>676.4</v>
      </c>
      <c r="H22" s="187">
        <v>704.7</v>
      </c>
      <c r="I22" s="187">
        <v>764.52</v>
      </c>
      <c r="J22" s="187">
        <v>801.33</v>
      </c>
      <c r="K22" s="230">
        <f t="shared" si="1"/>
        <v>826.77035963862659</v>
      </c>
      <c r="L22" s="264"/>
      <c r="M22" s="187">
        <f t="shared" si="2"/>
        <v>676.4</v>
      </c>
      <c r="N22" s="101">
        <f t="shared" si="3"/>
        <v>0</v>
      </c>
      <c r="O22" s="101">
        <f t="shared" si="4"/>
        <v>0</v>
      </c>
      <c r="P22" s="101">
        <f t="shared" si="5"/>
        <v>0</v>
      </c>
      <c r="Q22" s="101">
        <f t="shared" si="6"/>
        <v>0</v>
      </c>
      <c r="R22" s="101">
        <f t="shared" si="7"/>
        <v>0</v>
      </c>
      <c r="S22" s="265"/>
      <c r="T22" s="258">
        <f t="shared" si="9"/>
        <v>11</v>
      </c>
      <c r="U22" s="29" t="str">
        <f>'Calc|Fee Based'!B22</f>
        <v>RTK1</v>
      </c>
      <c r="V22" s="29" t="str">
        <f>'Calc|Fee Based'!C22</f>
        <v>Replacement of 1-phase overhead service line BH</v>
      </c>
      <c r="W22" s="221" t="str">
        <f>'Calc|Fee Based'!E22</f>
        <v>Business Hours</v>
      </c>
      <c r="X22" s="221" t="str">
        <f>'Calc|Fee Based'!F22</f>
        <v>Capex</v>
      </c>
      <c r="Y22" s="198">
        <f>'Calc|Fee Based'!H22</f>
        <v>775.84744624698351</v>
      </c>
      <c r="Z22" s="198">
        <f t="shared" si="0"/>
        <v>805.1916067699234</v>
      </c>
      <c r="AA22" s="198">
        <f t="shared" si="0"/>
        <v>834.40982777110855</v>
      </c>
      <c r="AB22" s="198">
        <f t="shared" si="0"/>
        <v>865.49387364962604</v>
      </c>
      <c r="AC22" s="198">
        <f t="shared" si="0"/>
        <v>897.61241382405728</v>
      </c>
      <c r="AD22" s="263"/>
      <c r="AE22" s="263"/>
      <c r="AF22" s="263"/>
      <c r="AG22" s="263"/>
      <c r="AH22" s="263"/>
    </row>
    <row r="23" spans="1:34" s="1" customFormat="1" x14ac:dyDescent="0.2">
      <c r="A23" s="258">
        <f t="shared" si="8"/>
        <v>12</v>
      </c>
      <c r="B23" s="259" t="s">
        <v>377</v>
      </c>
      <c r="C23" s="260" t="s">
        <v>499</v>
      </c>
      <c r="D23" s="261" t="s">
        <v>231</v>
      </c>
      <c r="E23" s="261" t="s">
        <v>500</v>
      </c>
      <c r="F23" s="261" t="s">
        <v>478</v>
      </c>
      <c r="G23" s="187">
        <v>859.38</v>
      </c>
      <c r="H23" s="187">
        <v>895.34</v>
      </c>
      <c r="I23" s="187">
        <v>971.34</v>
      </c>
      <c r="J23" s="187">
        <v>1018.1</v>
      </c>
      <c r="K23" s="230">
        <f t="shared" si="1"/>
        <v>1050.4223018582677</v>
      </c>
      <c r="L23" s="264"/>
      <c r="M23" s="187">
        <f t="shared" si="2"/>
        <v>859.38</v>
      </c>
      <c r="N23" s="101">
        <f t="shared" si="3"/>
        <v>0</v>
      </c>
      <c r="O23" s="101">
        <f t="shared" si="4"/>
        <v>0</v>
      </c>
      <c r="P23" s="101">
        <f t="shared" si="5"/>
        <v>0</v>
      </c>
      <c r="Q23" s="101">
        <f t="shared" si="6"/>
        <v>0</v>
      </c>
      <c r="R23" s="101">
        <f t="shared" si="7"/>
        <v>0</v>
      </c>
      <c r="S23" s="265"/>
      <c r="T23" s="258">
        <f t="shared" si="9"/>
        <v>12</v>
      </c>
      <c r="U23" s="29" t="str">
        <f>'Calc|Fee Based'!B23</f>
        <v>RTK1</v>
      </c>
      <c r="V23" s="29" t="str">
        <f>'Calc|Fee Based'!C23</f>
        <v>Replacement of 1-phase overhead service line AH</v>
      </c>
      <c r="W23" s="221" t="str">
        <f>'Calc|Fee Based'!E23</f>
        <v>After Hours</v>
      </c>
      <c r="X23" s="221" t="str">
        <f>'Calc|Fee Based'!F23</f>
        <v>Capex</v>
      </c>
      <c r="Y23" s="198">
        <f>'Calc|Fee Based'!H23</f>
        <v>1157.4893428643556</v>
      </c>
      <c r="Z23" s="198">
        <f t="shared" si="0"/>
        <v>1201.2679919337131</v>
      </c>
      <c r="AA23" s="198">
        <f t="shared" si="0"/>
        <v>1244.8587514186145</v>
      </c>
      <c r="AB23" s="198">
        <f t="shared" si="0"/>
        <v>1291.2331411411487</v>
      </c>
      <c r="AC23" s="198">
        <f t="shared" si="0"/>
        <v>1339.150896287603</v>
      </c>
      <c r="AD23" s="263"/>
      <c r="AE23" s="263"/>
      <c r="AF23" s="263"/>
      <c r="AG23" s="263"/>
      <c r="AH23" s="263"/>
    </row>
    <row r="24" spans="1:34" s="1" customFormat="1" x14ac:dyDescent="0.2">
      <c r="A24" s="258">
        <f t="shared" si="8"/>
        <v>13</v>
      </c>
      <c r="B24" s="259" t="s">
        <v>378</v>
      </c>
      <c r="C24" s="260" t="s">
        <v>435</v>
      </c>
      <c r="D24" s="261" t="s">
        <v>230</v>
      </c>
      <c r="E24" s="261" t="s">
        <v>501</v>
      </c>
      <c r="F24" s="261" t="s">
        <v>478</v>
      </c>
      <c r="G24" s="187">
        <v>49.5</v>
      </c>
      <c r="H24" s="187">
        <v>51.57</v>
      </c>
      <c r="I24" s="187">
        <v>55.95</v>
      </c>
      <c r="J24" s="187">
        <v>58.64</v>
      </c>
      <c r="K24" s="230">
        <f t="shared" si="1"/>
        <v>60.501683313003454</v>
      </c>
      <c r="L24" s="264"/>
      <c r="M24" s="187">
        <f t="shared" si="2"/>
        <v>49.5</v>
      </c>
      <c r="N24" s="101">
        <f t="shared" si="3"/>
        <v>0</v>
      </c>
      <c r="O24" s="101">
        <f t="shared" si="4"/>
        <v>0</v>
      </c>
      <c r="P24" s="101">
        <f t="shared" si="5"/>
        <v>0</v>
      </c>
      <c r="Q24" s="101">
        <f t="shared" si="6"/>
        <v>0</v>
      </c>
      <c r="R24" s="101">
        <f t="shared" si="7"/>
        <v>0</v>
      </c>
      <c r="S24" s="265"/>
      <c r="T24" s="258">
        <f t="shared" si="9"/>
        <v>13</v>
      </c>
      <c r="U24" s="29" t="str">
        <f>'Calc|Fee Based'!B24</f>
        <v>REEN</v>
      </c>
      <c r="V24" s="29" t="str">
        <f>'Calc|Fee Based'!C24</f>
        <v>Field-based energisation BH</v>
      </c>
      <c r="W24" s="221" t="str">
        <f>'Calc|Fee Based'!E24</f>
        <v>Business Hours</v>
      </c>
      <c r="X24" s="221" t="str">
        <f>'Calc|Fee Based'!F24</f>
        <v>Opex</v>
      </c>
      <c r="Y24" s="198">
        <f>'Calc|Fee Based'!H24</f>
        <v>64.351625299667774</v>
      </c>
      <c r="Z24" s="198">
        <f t="shared" si="0"/>
        <v>66.7855373165727</v>
      </c>
      <c r="AA24" s="198">
        <f t="shared" si="0"/>
        <v>69.209003448847099</v>
      </c>
      <c r="AB24" s="198">
        <f t="shared" si="0"/>
        <v>71.787227921774289</v>
      </c>
      <c r="AC24" s="198">
        <f t="shared" si="0"/>
        <v>74.451257135862008</v>
      </c>
      <c r="AD24" s="263"/>
      <c r="AE24" s="263"/>
      <c r="AF24" s="263"/>
      <c r="AG24" s="263"/>
      <c r="AH24" s="263"/>
    </row>
    <row r="25" spans="1:34" s="1" customFormat="1" x14ac:dyDescent="0.2">
      <c r="A25" s="258">
        <f t="shared" si="8"/>
        <v>14</v>
      </c>
      <c r="B25" s="259" t="s">
        <v>378</v>
      </c>
      <c r="C25" s="260" t="s">
        <v>436</v>
      </c>
      <c r="D25" s="261" t="s">
        <v>231</v>
      </c>
      <c r="E25" s="261" t="s">
        <v>502</v>
      </c>
      <c r="F25" s="261" t="s">
        <v>478</v>
      </c>
      <c r="G25" s="187">
        <v>86.4</v>
      </c>
      <c r="H25" s="187">
        <v>90.02</v>
      </c>
      <c r="I25" s="187">
        <v>97.66</v>
      </c>
      <c r="J25" s="187">
        <v>102.36</v>
      </c>
      <c r="K25" s="230">
        <f t="shared" si="1"/>
        <v>105.60969140380344</v>
      </c>
      <c r="L25" s="264"/>
      <c r="M25" s="187">
        <f t="shared" si="2"/>
        <v>86.4</v>
      </c>
      <c r="N25" s="101">
        <f t="shared" si="3"/>
        <v>0</v>
      </c>
      <c r="O25" s="101">
        <f t="shared" si="4"/>
        <v>0</v>
      </c>
      <c r="P25" s="101">
        <f t="shared" si="5"/>
        <v>0</v>
      </c>
      <c r="Q25" s="101">
        <f t="shared" si="6"/>
        <v>0</v>
      </c>
      <c r="R25" s="101">
        <f t="shared" si="7"/>
        <v>0</v>
      </c>
      <c r="S25" s="265"/>
      <c r="T25" s="258">
        <f t="shared" si="9"/>
        <v>14</v>
      </c>
      <c r="U25" s="29" t="str">
        <f>'Calc|Fee Based'!B25</f>
        <v>REEN</v>
      </c>
      <c r="V25" s="29" t="str">
        <f>'Calc|Fee Based'!C25</f>
        <v>Field-based energisation AH</v>
      </c>
      <c r="W25" s="221" t="str">
        <f>'Calc|Fee Based'!E25</f>
        <v>After Hours</v>
      </c>
      <c r="X25" s="221" t="str">
        <f>'Calc|Fee Based'!F25</f>
        <v>Opex</v>
      </c>
      <c r="Y25" s="198">
        <f>'Calc|Fee Based'!H25</f>
        <v>112.33673134944479</v>
      </c>
      <c r="Z25" s="198">
        <f t="shared" si="0"/>
        <v>116.5855396600042</v>
      </c>
      <c r="AA25" s="198">
        <f t="shared" si="0"/>
        <v>120.81611289833378</v>
      </c>
      <c r="AB25" s="198">
        <f t="shared" si="0"/>
        <v>125.31684320040559</v>
      </c>
      <c r="AC25" s="198">
        <f t="shared" si="0"/>
        <v>129.96736030446374</v>
      </c>
      <c r="AD25" s="263"/>
      <c r="AE25" s="263"/>
      <c r="AF25" s="263"/>
      <c r="AG25" s="263"/>
      <c r="AH25" s="263"/>
    </row>
    <row r="26" spans="1:34" s="1" customFormat="1" x14ac:dyDescent="0.2">
      <c r="A26" s="258">
        <f t="shared" si="8"/>
        <v>15</v>
      </c>
      <c r="B26" s="259" t="s">
        <v>379</v>
      </c>
      <c r="C26" s="260" t="s">
        <v>437</v>
      </c>
      <c r="D26" s="261" t="s">
        <v>230</v>
      </c>
      <c r="E26" s="261" t="s">
        <v>503</v>
      </c>
      <c r="F26" s="261" t="s">
        <v>478</v>
      </c>
      <c r="G26" s="187">
        <v>70.98</v>
      </c>
      <c r="H26" s="187">
        <v>73.95</v>
      </c>
      <c r="I26" s="187">
        <v>80.23</v>
      </c>
      <c r="J26" s="187">
        <v>84.09</v>
      </c>
      <c r="K26" s="230">
        <f t="shared" si="1"/>
        <v>86.759661490287527</v>
      </c>
      <c r="L26" s="264"/>
      <c r="M26" s="187">
        <f t="shared" si="2"/>
        <v>70.98</v>
      </c>
      <c r="N26" s="101">
        <f t="shared" si="3"/>
        <v>0</v>
      </c>
      <c r="O26" s="101">
        <f t="shared" si="4"/>
        <v>0</v>
      </c>
      <c r="P26" s="101">
        <f t="shared" si="5"/>
        <v>0</v>
      </c>
      <c r="Q26" s="101">
        <f t="shared" si="6"/>
        <v>0</v>
      </c>
      <c r="R26" s="101">
        <f t="shared" si="7"/>
        <v>0</v>
      </c>
      <c r="S26" s="265"/>
      <c r="T26" s="258">
        <f t="shared" si="9"/>
        <v>15</v>
      </c>
      <c r="U26" s="29" t="str">
        <f>'Calc|Fee Based'!B26</f>
        <v>DEEN</v>
      </c>
      <c r="V26" s="29" t="str">
        <f>'Calc|Fee Based'!C26</f>
        <v>Field-based de-energisation BH</v>
      </c>
      <c r="W26" s="221" t="str">
        <f>'Calc|Fee Based'!E26</f>
        <v>Business Hours</v>
      </c>
      <c r="X26" s="221" t="str">
        <f>'Calc|Fee Based'!F26</f>
        <v>Opex</v>
      </c>
      <c r="Y26" s="198">
        <f>'Calc|Fee Based'!H26</f>
        <v>92.287214577042931</v>
      </c>
      <c r="Z26" s="198">
        <f t="shared" si="0"/>
        <v>95.777708554774804</v>
      </c>
      <c r="AA26" s="198">
        <f t="shared" si="0"/>
        <v>99.253222000284595</v>
      </c>
      <c r="AB26" s="198">
        <f t="shared" si="0"/>
        <v>102.95067570176933</v>
      </c>
      <c r="AC26" s="198">
        <f t="shared" si="0"/>
        <v>106.77118271422071</v>
      </c>
      <c r="AD26" s="263"/>
      <c r="AE26" s="263"/>
      <c r="AF26" s="263"/>
      <c r="AG26" s="263"/>
      <c r="AH26" s="263"/>
    </row>
    <row r="27" spans="1:34" s="1" customFormat="1" x14ac:dyDescent="0.2">
      <c r="A27" s="258">
        <f t="shared" si="8"/>
        <v>16</v>
      </c>
      <c r="B27" s="259" t="s">
        <v>380</v>
      </c>
      <c r="C27" s="260" t="s">
        <v>438</v>
      </c>
      <c r="D27" s="261" t="s">
        <v>230</v>
      </c>
      <c r="E27" s="261" t="s">
        <v>504</v>
      </c>
      <c r="F27" s="261" t="s">
        <v>478</v>
      </c>
      <c r="G27" s="187">
        <v>367.05</v>
      </c>
      <c r="H27" s="187">
        <v>382.41</v>
      </c>
      <c r="I27" s="187">
        <v>414.87</v>
      </c>
      <c r="J27" s="187">
        <v>434.84</v>
      </c>
      <c r="K27" s="230">
        <f t="shared" si="1"/>
        <v>448.6451564090454</v>
      </c>
      <c r="L27" s="264"/>
      <c r="M27" s="187">
        <f t="shared" si="2"/>
        <v>367.05</v>
      </c>
      <c r="N27" s="101">
        <f t="shared" si="3"/>
        <v>0</v>
      </c>
      <c r="O27" s="101">
        <f t="shared" si="4"/>
        <v>0</v>
      </c>
      <c r="P27" s="101">
        <f t="shared" si="5"/>
        <v>0</v>
      </c>
      <c r="Q27" s="101">
        <f t="shared" si="6"/>
        <v>0</v>
      </c>
      <c r="R27" s="101">
        <f t="shared" si="7"/>
        <v>0</v>
      </c>
      <c r="S27" s="265"/>
      <c r="T27" s="258">
        <f t="shared" si="9"/>
        <v>16</v>
      </c>
      <c r="U27" s="29" t="str">
        <f>'Calc|Fee Based'!B27</f>
        <v>DCTK</v>
      </c>
      <c r="V27" s="29" t="str">
        <f>'Calc|Fee Based'!C27</f>
        <v>Disconnection (temporary) BH</v>
      </c>
      <c r="W27" s="221" t="str">
        <f>'Calc|Fee Based'!E27</f>
        <v>Business Hours</v>
      </c>
      <c r="X27" s="221" t="str">
        <f>'Calc|Fee Based'!F27</f>
        <v>Opex</v>
      </c>
      <c r="Y27" s="198">
        <f>'Calc|Fee Based'!H27</f>
        <v>512.14286253462149</v>
      </c>
      <c r="Z27" s="198">
        <f t="shared" si="0"/>
        <v>531.5131684389471</v>
      </c>
      <c r="AA27" s="198">
        <f t="shared" si="0"/>
        <v>550.80034069697444</v>
      </c>
      <c r="AB27" s="198">
        <f t="shared" si="0"/>
        <v>571.31915829750767</v>
      </c>
      <c r="AC27" s="198">
        <f t="shared" si="0"/>
        <v>592.52085353403481</v>
      </c>
      <c r="AD27" s="263"/>
      <c r="AE27" s="263"/>
      <c r="AF27" s="263"/>
      <c r="AG27" s="263"/>
      <c r="AH27" s="263"/>
    </row>
    <row r="28" spans="1:34" s="1" customFormat="1" x14ac:dyDescent="0.2">
      <c r="A28" s="258">
        <f t="shared" si="8"/>
        <v>17</v>
      </c>
      <c r="B28" s="259" t="s">
        <v>380</v>
      </c>
      <c r="C28" s="260" t="s">
        <v>439</v>
      </c>
      <c r="D28" s="261" t="s">
        <v>231</v>
      </c>
      <c r="E28" s="261" t="s">
        <v>505</v>
      </c>
      <c r="F28" s="261" t="s">
        <v>478</v>
      </c>
      <c r="G28" s="187">
        <v>519.54999999999995</v>
      </c>
      <c r="H28" s="187">
        <v>541.29</v>
      </c>
      <c r="I28" s="187">
        <v>587.24</v>
      </c>
      <c r="J28" s="187">
        <v>615.51</v>
      </c>
      <c r="K28" s="230">
        <f t="shared" si="1"/>
        <v>635.05100777603604</v>
      </c>
      <c r="L28" s="264"/>
      <c r="M28" s="187">
        <f t="shared" si="2"/>
        <v>519.54999999999995</v>
      </c>
      <c r="N28" s="101">
        <f t="shared" si="3"/>
        <v>0</v>
      </c>
      <c r="O28" s="101">
        <f t="shared" si="4"/>
        <v>0</v>
      </c>
      <c r="P28" s="101">
        <f t="shared" si="5"/>
        <v>0</v>
      </c>
      <c r="Q28" s="101">
        <f t="shared" si="6"/>
        <v>0</v>
      </c>
      <c r="R28" s="101">
        <f t="shared" si="7"/>
        <v>0</v>
      </c>
      <c r="S28" s="265"/>
      <c r="T28" s="258">
        <f t="shared" si="9"/>
        <v>17</v>
      </c>
      <c r="U28" s="29" t="str">
        <f>'Calc|Fee Based'!B28</f>
        <v>DCTK</v>
      </c>
      <c r="V28" s="29" t="str">
        <f>'Calc|Fee Based'!C28</f>
        <v>Disconnection (temporary) AH</v>
      </c>
      <c r="W28" s="221" t="str">
        <f>'Calc|Fee Based'!E28</f>
        <v>After Hours</v>
      </c>
      <c r="X28" s="221" t="str">
        <f>'Calc|Fee Based'!F28</f>
        <v>Opex</v>
      </c>
      <c r="Y28" s="198">
        <f>'Calc|Fee Based'!H28</f>
        <v>820.73226537192193</v>
      </c>
      <c r="Z28" s="198">
        <f t="shared" si="0"/>
        <v>851.77406290303463</v>
      </c>
      <c r="AA28" s="198">
        <f t="shared" si="0"/>
        <v>882.68263497920827</v>
      </c>
      <c r="AB28" s="198">
        <f t="shared" si="0"/>
        <v>915.56497481832014</v>
      </c>
      <c r="AC28" s="198">
        <f t="shared" si="0"/>
        <v>949.54165717425883</v>
      </c>
      <c r="AD28" s="263"/>
      <c r="AE28" s="263"/>
      <c r="AF28" s="263"/>
      <c r="AG28" s="263"/>
      <c r="AH28" s="263"/>
    </row>
    <row r="29" spans="1:34" s="1" customFormat="1" x14ac:dyDescent="0.2">
      <c r="A29" s="258">
        <f t="shared" si="8"/>
        <v>18</v>
      </c>
      <c r="B29" s="259" t="s">
        <v>381</v>
      </c>
      <c r="C29" s="260" t="s">
        <v>440</v>
      </c>
      <c r="D29" s="261" t="s">
        <v>230</v>
      </c>
      <c r="E29" s="261" t="s">
        <v>506</v>
      </c>
      <c r="F29" s="261" t="s">
        <v>478</v>
      </c>
      <c r="G29" s="187">
        <v>425.28</v>
      </c>
      <c r="H29" s="187">
        <v>443.07</v>
      </c>
      <c r="I29" s="187">
        <v>480.68</v>
      </c>
      <c r="J29" s="187">
        <v>503.82</v>
      </c>
      <c r="K29" s="230">
        <f t="shared" si="1"/>
        <v>519.81511062001027</v>
      </c>
      <c r="L29" s="264"/>
      <c r="M29" s="187">
        <f t="shared" si="2"/>
        <v>425.28</v>
      </c>
      <c r="N29" s="101">
        <f t="shared" si="3"/>
        <v>0</v>
      </c>
      <c r="O29" s="101">
        <f t="shared" si="4"/>
        <v>0</v>
      </c>
      <c r="P29" s="101">
        <f t="shared" si="5"/>
        <v>0</v>
      </c>
      <c r="Q29" s="101">
        <f t="shared" si="6"/>
        <v>0</v>
      </c>
      <c r="R29" s="101">
        <f t="shared" si="7"/>
        <v>0</v>
      </c>
      <c r="S29" s="265"/>
      <c r="T29" s="258">
        <f t="shared" si="9"/>
        <v>18</v>
      </c>
      <c r="U29" s="29" t="str">
        <f>'Calc|Fee Based'!B29</f>
        <v>RCTK</v>
      </c>
      <c r="V29" s="29" t="str">
        <f>'Calc|Fee Based'!C29</f>
        <v>Reconnection after temp discon BH</v>
      </c>
      <c r="W29" s="221" t="str">
        <f>'Calc|Fee Based'!E29</f>
        <v>Business Hours</v>
      </c>
      <c r="X29" s="221" t="str">
        <f>'Calc|Fee Based'!F29</f>
        <v>Opex</v>
      </c>
      <c r="Y29" s="198">
        <f>'Calc|Fee Based'!H29</f>
        <v>594.38162537760184</v>
      </c>
      <c r="Z29" s="198">
        <f t="shared" si="0"/>
        <v>616.86237196165882</v>
      </c>
      <c r="AA29" s="198">
        <f t="shared" si="0"/>
        <v>639.24663548322462</v>
      </c>
      <c r="AB29" s="198">
        <f t="shared" si="0"/>
        <v>663.06031921958061</v>
      </c>
      <c r="AC29" s="198">
        <f t="shared" si="0"/>
        <v>687.66653556530912</v>
      </c>
      <c r="AD29" s="263"/>
      <c r="AE29" s="263"/>
      <c r="AF29" s="263"/>
      <c r="AG29" s="263"/>
      <c r="AH29" s="263"/>
    </row>
    <row r="30" spans="1:34" s="1" customFormat="1" x14ac:dyDescent="0.2">
      <c r="A30" s="258">
        <f t="shared" si="8"/>
        <v>19</v>
      </c>
      <c r="B30" s="259" t="s">
        <v>381</v>
      </c>
      <c r="C30" s="260" t="s">
        <v>441</v>
      </c>
      <c r="D30" s="261" t="s">
        <v>231</v>
      </c>
      <c r="E30" s="261" t="s">
        <v>507</v>
      </c>
      <c r="F30" s="261" t="s">
        <v>478</v>
      </c>
      <c r="G30" s="187">
        <v>605.51</v>
      </c>
      <c r="H30" s="187">
        <v>630.85</v>
      </c>
      <c r="I30" s="187">
        <v>684.4</v>
      </c>
      <c r="J30" s="187">
        <v>717.35</v>
      </c>
      <c r="K30" s="230">
        <f t="shared" si="1"/>
        <v>740.12419039193435</v>
      </c>
      <c r="L30" s="264"/>
      <c r="M30" s="187">
        <f t="shared" si="2"/>
        <v>605.51</v>
      </c>
      <c r="N30" s="101">
        <f t="shared" si="3"/>
        <v>0</v>
      </c>
      <c r="O30" s="101">
        <f t="shared" si="4"/>
        <v>0</v>
      </c>
      <c r="P30" s="101">
        <f t="shared" si="5"/>
        <v>0</v>
      </c>
      <c r="Q30" s="101">
        <f t="shared" si="6"/>
        <v>0</v>
      </c>
      <c r="R30" s="101">
        <f t="shared" si="7"/>
        <v>0</v>
      </c>
      <c r="S30" s="265"/>
      <c r="T30" s="258">
        <f t="shared" si="9"/>
        <v>19</v>
      </c>
      <c r="U30" s="29" t="str">
        <f>'Calc|Fee Based'!B30</f>
        <v>RCTK</v>
      </c>
      <c r="V30" s="29" t="str">
        <f>'Calc|Fee Based'!C30</f>
        <v>Reconnection after temp discon AH</v>
      </c>
      <c r="W30" s="221" t="str">
        <f>'Calc|Fee Based'!E30</f>
        <v>After Hours</v>
      </c>
      <c r="X30" s="221" t="str">
        <f>'Calc|Fee Based'!F30</f>
        <v>Opex</v>
      </c>
      <c r="Y30" s="198">
        <f>'Calc|Fee Based'!H30</f>
        <v>959.07819236713851</v>
      </c>
      <c r="Z30" s="198">
        <f t="shared" si="0"/>
        <v>995.35251996467127</v>
      </c>
      <c r="AA30" s="198">
        <f t="shared" si="0"/>
        <v>1031.4711650895008</v>
      </c>
      <c r="AB30" s="198">
        <f t="shared" si="0"/>
        <v>1069.8962841987225</v>
      </c>
      <c r="AC30" s="198">
        <f t="shared" si="0"/>
        <v>1109.6002125946645</v>
      </c>
      <c r="AD30" s="263"/>
      <c r="AE30" s="263"/>
      <c r="AF30" s="263"/>
      <c r="AG30" s="263"/>
      <c r="AH30" s="263"/>
    </row>
    <row r="31" spans="1:34" s="1" customFormat="1" x14ac:dyDescent="0.2">
      <c r="A31" s="258">
        <f t="shared" si="8"/>
        <v>20</v>
      </c>
      <c r="B31" s="259" t="s">
        <v>382</v>
      </c>
      <c r="C31" s="260" t="s">
        <v>442</v>
      </c>
      <c r="D31" s="261" t="s">
        <v>230</v>
      </c>
      <c r="E31" s="261" t="s">
        <v>382</v>
      </c>
      <c r="F31" s="261" t="s">
        <v>508</v>
      </c>
      <c r="G31" s="187">
        <v>136.31</v>
      </c>
      <c r="H31" s="187">
        <v>142.01</v>
      </c>
      <c r="I31" s="187">
        <v>154.06</v>
      </c>
      <c r="J31" s="187">
        <v>161.47999999999999</v>
      </c>
      <c r="K31" s="230">
        <f t="shared" si="1"/>
        <v>166.60661359795014</v>
      </c>
      <c r="L31" s="264"/>
      <c r="M31" s="187">
        <f t="shared" si="2"/>
        <v>136.31</v>
      </c>
      <c r="N31" s="101">
        <f t="shared" si="3"/>
        <v>0</v>
      </c>
      <c r="O31" s="101">
        <f t="shared" si="4"/>
        <v>0</v>
      </c>
      <c r="P31" s="101">
        <f t="shared" si="5"/>
        <v>0</v>
      </c>
      <c r="Q31" s="101">
        <f t="shared" si="6"/>
        <v>0</v>
      </c>
      <c r="R31" s="101">
        <f t="shared" si="7"/>
        <v>0</v>
      </c>
      <c r="S31" s="265"/>
      <c r="T31" s="258">
        <f t="shared" si="9"/>
        <v>20</v>
      </c>
      <c r="U31" s="29" t="str">
        <f>'Calc|Fee Based'!B31</f>
        <v>SLOM</v>
      </c>
      <c r="V31" s="29" t="str">
        <f>'Calc|Fee Based'!C31</f>
        <v>Security Lighting - O&amp;M</v>
      </c>
      <c r="W31" s="221" t="str">
        <f>'Calc|Fee Based'!E31</f>
        <v>Business Hours</v>
      </c>
      <c r="X31" s="221" t="str">
        <f>'Calc|Fee Based'!F31</f>
        <v>Capex</v>
      </c>
      <c r="Y31" s="198">
        <f>'Calc|Fee Based'!H31</f>
        <v>179.35565029992011</v>
      </c>
      <c r="Z31" s="198">
        <f t="shared" si="0"/>
        <v>186.13925320865701</v>
      </c>
      <c r="AA31" s="198">
        <f t="shared" si="0"/>
        <v>192.8937421917993</v>
      </c>
      <c r="AB31" s="198">
        <f t="shared" si="0"/>
        <v>200.07956111723695</v>
      </c>
      <c r="AC31" s="198">
        <f t="shared" si="0"/>
        <v>207.50452808404881</v>
      </c>
      <c r="AD31" s="263"/>
      <c r="AE31" s="263"/>
      <c r="AF31" s="263"/>
      <c r="AG31" s="263"/>
      <c r="AH31" s="263"/>
    </row>
    <row r="32" spans="1:34" s="1" customFormat="1" x14ac:dyDescent="0.2">
      <c r="A32" s="258">
        <f t="shared" si="8"/>
        <v>21</v>
      </c>
      <c r="B32" s="259" t="s">
        <v>384</v>
      </c>
      <c r="C32" s="260" t="s">
        <v>444</v>
      </c>
      <c r="D32" s="261" t="s">
        <v>230</v>
      </c>
      <c r="E32" s="261" t="s">
        <v>384</v>
      </c>
      <c r="F32" s="261" t="s">
        <v>509</v>
      </c>
      <c r="G32" s="187">
        <v>12.98</v>
      </c>
      <c r="H32" s="187">
        <v>13.52</v>
      </c>
      <c r="I32" s="187">
        <v>14.67</v>
      </c>
      <c r="J32" s="187">
        <v>15.38</v>
      </c>
      <c r="K32" s="230">
        <f t="shared" ref="K32:K47" si="10">J32*(1+$R$5)*(1-$R$6)</f>
        <v>15.868279149965778</v>
      </c>
      <c r="L32" s="264"/>
      <c r="M32" s="187">
        <f t="shared" ref="M32:M43" si="11">G32</f>
        <v>12.98</v>
      </c>
      <c r="N32" s="101">
        <f t="shared" si="3"/>
        <v>0</v>
      </c>
      <c r="O32" s="101">
        <f t="shared" si="4"/>
        <v>0</v>
      </c>
      <c r="P32" s="101">
        <f t="shared" si="5"/>
        <v>0</v>
      </c>
      <c r="Q32" s="101">
        <f t="shared" si="6"/>
        <v>0</v>
      </c>
      <c r="R32" s="101">
        <f t="shared" si="7"/>
        <v>0</v>
      </c>
      <c r="S32" s="265"/>
      <c r="T32" s="258">
        <f t="shared" si="9"/>
        <v>21</v>
      </c>
      <c r="U32" s="29" t="str">
        <f>'Calc|Fee Based'!B32</f>
        <v>RFOM</v>
      </c>
      <c r="V32" s="29" t="str">
        <f>'Calc|Fee Based'!C32</f>
        <v>Enhanced Connection Operation and Maintenance</v>
      </c>
      <c r="W32" s="221" t="str">
        <f>'Calc|Fee Based'!E32</f>
        <v>Business Hours</v>
      </c>
      <c r="X32" s="221" t="str">
        <f>'Calc|Fee Based'!F32</f>
        <v>Opex</v>
      </c>
      <c r="Y32" s="198">
        <f>'Calc|Fee Based'!H32</f>
        <v>16.324063947037612</v>
      </c>
      <c r="Z32" s="198">
        <f t="shared" ref="Z32:AC47" si="12">Y32*(1+Z$5)*(1-Z$6)</f>
        <v>16.941473922627218</v>
      </c>
      <c r="AA32" s="198">
        <f t="shared" si="12"/>
        <v>17.556234092747296</v>
      </c>
      <c r="AB32" s="198">
        <f t="shared" si="12"/>
        <v>18.210251780255465</v>
      </c>
      <c r="AC32" s="198">
        <f t="shared" si="12"/>
        <v>18.886035539329672</v>
      </c>
      <c r="AD32" s="263"/>
      <c r="AE32" s="263"/>
      <c r="AF32" s="263"/>
      <c r="AG32" s="263"/>
      <c r="AH32" s="263"/>
    </row>
    <row r="33" spans="1:34" s="1" customFormat="1" x14ac:dyDescent="0.2">
      <c r="A33" s="258">
        <f t="shared" si="8"/>
        <v>22</v>
      </c>
      <c r="B33" s="259" t="s">
        <v>385</v>
      </c>
      <c r="C33" s="260" t="s">
        <v>510</v>
      </c>
      <c r="D33" s="261" t="s">
        <v>230</v>
      </c>
      <c r="E33" s="261" t="s">
        <v>385</v>
      </c>
      <c r="F33" s="261" t="s">
        <v>478</v>
      </c>
      <c r="G33" s="187">
        <v>0</v>
      </c>
      <c r="H33" s="187">
        <v>0</v>
      </c>
      <c r="I33" s="187">
        <v>0</v>
      </c>
      <c r="J33" s="187">
        <f>I33*(1+$Q$5)*(1-$Q$6)</f>
        <v>0</v>
      </c>
      <c r="K33" s="230">
        <f t="shared" si="10"/>
        <v>0</v>
      </c>
      <c r="L33" s="264"/>
      <c r="M33" s="187">
        <f t="shared" si="11"/>
        <v>0</v>
      </c>
      <c r="N33" s="101">
        <f t="shared" si="3"/>
        <v>0</v>
      </c>
      <c r="O33" s="101">
        <f t="shared" si="4"/>
        <v>0</v>
      </c>
      <c r="P33" s="101">
        <f t="shared" si="5"/>
        <v>0</v>
      </c>
      <c r="Q33" s="101">
        <f t="shared" si="6"/>
        <v>0</v>
      </c>
      <c r="R33" s="101">
        <f t="shared" si="7"/>
        <v>0</v>
      </c>
      <c r="S33" s="265"/>
      <c r="T33" s="258">
        <f t="shared" si="9"/>
        <v>22</v>
      </c>
      <c r="U33" s="29" t="str">
        <f>'Calc|Fee Based'!B33</f>
        <v>REENRM</v>
      </c>
      <c r="V33" s="29" t="str">
        <f>'Calc|Fee Based'!C33</f>
        <v>Remote  energisation</v>
      </c>
      <c r="W33" s="221" t="str">
        <f>'Calc|Fee Based'!E33</f>
        <v>Business Hours</v>
      </c>
      <c r="X33" s="221" t="str">
        <f>'Calc|Fee Based'!F33</f>
        <v>Opex</v>
      </c>
      <c r="Y33" s="198">
        <f>'Calc|Fee Based'!H33</f>
        <v>0</v>
      </c>
      <c r="Z33" s="198">
        <f t="shared" si="12"/>
        <v>0</v>
      </c>
      <c r="AA33" s="198">
        <f t="shared" si="12"/>
        <v>0</v>
      </c>
      <c r="AB33" s="198">
        <f t="shared" si="12"/>
        <v>0</v>
      </c>
      <c r="AC33" s="198">
        <f t="shared" si="12"/>
        <v>0</v>
      </c>
      <c r="AD33" s="263"/>
      <c r="AE33" s="263"/>
      <c r="AF33" s="263"/>
      <c r="AG33" s="263"/>
      <c r="AH33" s="263"/>
    </row>
    <row r="34" spans="1:34" s="1" customFormat="1" x14ac:dyDescent="0.2">
      <c r="A34" s="258">
        <f t="shared" si="8"/>
        <v>23</v>
      </c>
      <c r="B34" s="259" t="s">
        <v>386</v>
      </c>
      <c r="C34" s="260" t="s">
        <v>447</v>
      </c>
      <c r="D34" s="261" t="s">
        <v>230</v>
      </c>
      <c r="E34" s="261" t="s">
        <v>386</v>
      </c>
      <c r="F34" s="261" t="s">
        <v>478</v>
      </c>
      <c r="G34" s="187">
        <v>0</v>
      </c>
      <c r="H34" s="187">
        <v>0</v>
      </c>
      <c r="I34" s="187">
        <v>0</v>
      </c>
      <c r="J34" s="187">
        <f>I34*(1+$Q$5)*(1-$Q$6)</f>
        <v>0</v>
      </c>
      <c r="K34" s="230">
        <f t="shared" si="10"/>
        <v>0</v>
      </c>
      <c r="L34" s="264"/>
      <c r="M34" s="187">
        <f t="shared" si="11"/>
        <v>0</v>
      </c>
      <c r="N34" s="101">
        <f t="shared" si="3"/>
        <v>0</v>
      </c>
      <c r="O34" s="101">
        <f t="shared" si="4"/>
        <v>0</v>
      </c>
      <c r="P34" s="101">
        <f t="shared" si="5"/>
        <v>0</v>
      </c>
      <c r="Q34" s="101">
        <f t="shared" si="6"/>
        <v>0</v>
      </c>
      <c r="R34" s="101">
        <f t="shared" si="7"/>
        <v>0</v>
      </c>
      <c r="S34" s="265"/>
      <c r="T34" s="258">
        <f t="shared" si="9"/>
        <v>23</v>
      </c>
      <c r="U34" s="29" t="str">
        <f>'Calc|Fee Based'!B34</f>
        <v>DEENRM</v>
      </c>
      <c r="V34" s="29" t="str">
        <f>'Calc|Fee Based'!C34</f>
        <v>Remote de-energisation</v>
      </c>
      <c r="W34" s="221" t="str">
        <f>'Calc|Fee Based'!E34</f>
        <v>Business Hours</v>
      </c>
      <c r="X34" s="221" t="str">
        <f>'Calc|Fee Based'!F34</f>
        <v>Opex</v>
      </c>
      <c r="Y34" s="198">
        <f>'Calc|Fee Based'!H34</f>
        <v>0</v>
      </c>
      <c r="Z34" s="198">
        <f t="shared" si="12"/>
        <v>0</v>
      </c>
      <c r="AA34" s="198">
        <f t="shared" si="12"/>
        <v>0</v>
      </c>
      <c r="AB34" s="198">
        <f t="shared" si="12"/>
        <v>0</v>
      </c>
      <c r="AC34" s="198">
        <f t="shared" si="12"/>
        <v>0</v>
      </c>
      <c r="AD34" s="263"/>
      <c r="AE34" s="263"/>
      <c r="AF34" s="263"/>
      <c r="AG34" s="263"/>
      <c r="AH34" s="263"/>
    </row>
    <row r="35" spans="1:34" s="1" customFormat="1" x14ac:dyDescent="0.2">
      <c r="A35" s="258">
        <f t="shared" si="8"/>
        <v>24</v>
      </c>
      <c r="B35" s="259" t="s">
        <v>387</v>
      </c>
      <c r="C35" s="260" t="s">
        <v>448</v>
      </c>
      <c r="D35" s="261" t="s">
        <v>230</v>
      </c>
      <c r="E35" s="261" t="s">
        <v>511</v>
      </c>
      <c r="F35" s="261" t="s">
        <v>478</v>
      </c>
      <c r="G35" s="187">
        <v>472.07</v>
      </c>
      <c r="H35" s="187">
        <v>491.82</v>
      </c>
      <c r="I35" s="187">
        <v>533.57000000000005</v>
      </c>
      <c r="J35" s="187">
        <v>559.26</v>
      </c>
      <c r="K35" s="230">
        <f t="shared" si="10"/>
        <v>577.01520139205854</v>
      </c>
      <c r="L35" s="264"/>
      <c r="M35" s="187">
        <f t="shared" si="11"/>
        <v>472.07</v>
      </c>
      <c r="N35" s="101">
        <f t="shared" si="3"/>
        <v>0</v>
      </c>
      <c r="O35" s="101">
        <f t="shared" si="4"/>
        <v>0</v>
      </c>
      <c r="P35" s="101">
        <f t="shared" si="5"/>
        <v>0</v>
      </c>
      <c r="Q35" s="101">
        <f t="shared" si="6"/>
        <v>0</v>
      </c>
      <c r="R35" s="101">
        <f t="shared" si="7"/>
        <v>0</v>
      </c>
      <c r="S35" s="265"/>
      <c r="T35" s="258">
        <f t="shared" si="9"/>
        <v>24</v>
      </c>
      <c r="U35" s="29" t="str">
        <f>'Calc|Fee Based'!B35</f>
        <v>MCTK</v>
      </c>
      <c r="V35" s="29" t="str">
        <f>'Calc|Fee Based'!C35</f>
        <v>Meter Alteration BH</v>
      </c>
      <c r="W35" s="221" t="str">
        <f>'Calc|Fee Based'!E35</f>
        <v>Business Hours</v>
      </c>
      <c r="X35" s="221" t="str">
        <f>'Calc|Fee Based'!F35</f>
        <v>Opex</v>
      </c>
      <c r="Y35" s="198">
        <f>'Calc|Fee Based'!H35</f>
        <v>654.21129227583151</v>
      </c>
      <c r="Z35" s="198">
        <f t="shared" si="12"/>
        <v>678.95492102569108</v>
      </c>
      <c r="AA35" s="198">
        <f t="shared" si="12"/>
        <v>703.59235485582212</v>
      </c>
      <c r="AB35" s="198">
        <f t="shared" si="12"/>
        <v>729.80309244568662</v>
      </c>
      <c r="AC35" s="198">
        <f t="shared" si="12"/>
        <v>756.88613792733508</v>
      </c>
      <c r="AD35" s="263"/>
      <c r="AE35" s="263"/>
      <c r="AF35" s="263"/>
      <c r="AG35" s="263"/>
      <c r="AH35" s="263"/>
    </row>
    <row r="36" spans="1:34" s="1" customFormat="1" x14ac:dyDescent="0.2">
      <c r="A36" s="258">
        <f t="shared" si="8"/>
        <v>25</v>
      </c>
      <c r="B36" s="259" t="s">
        <v>387</v>
      </c>
      <c r="C36" s="260" t="s">
        <v>449</v>
      </c>
      <c r="D36" s="261" t="s">
        <v>231</v>
      </c>
      <c r="E36" s="261" t="s">
        <v>512</v>
      </c>
      <c r="F36" s="261" t="s">
        <v>478</v>
      </c>
      <c r="G36" s="187">
        <v>652.29999999999995</v>
      </c>
      <c r="H36" s="187">
        <v>679.59</v>
      </c>
      <c r="I36" s="187">
        <v>737.28</v>
      </c>
      <c r="J36" s="187">
        <v>772.78</v>
      </c>
      <c r="K36" s="230">
        <f t="shared" si="10"/>
        <v>797.31396368729213</v>
      </c>
      <c r="L36" s="264"/>
      <c r="M36" s="187">
        <f t="shared" si="11"/>
        <v>652.29999999999995</v>
      </c>
      <c r="N36" s="101">
        <f t="shared" si="3"/>
        <v>0</v>
      </c>
      <c r="O36" s="101">
        <f t="shared" si="4"/>
        <v>0</v>
      </c>
      <c r="P36" s="101">
        <f t="shared" si="5"/>
        <v>0</v>
      </c>
      <c r="Q36" s="101">
        <f t="shared" si="6"/>
        <v>0</v>
      </c>
      <c r="R36" s="101">
        <f t="shared" si="7"/>
        <v>0</v>
      </c>
      <c r="S36" s="265"/>
      <c r="T36" s="258">
        <f t="shared" si="9"/>
        <v>25</v>
      </c>
      <c r="U36" s="29" t="str">
        <f>'Calc|Fee Based'!B36</f>
        <v>MCTK</v>
      </c>
      <c r="V36" s="29" t="str">
        <f>'Calc|Fee Based'!C36</f>
        <v>Meter Alteration AH</v>
      </c>
      <c r="W36" s="221" t="str">
        <f>'Calc|Fee Based'!E36</f>
        <v>After Hours</v>
      </c>
      <c r="X36" s="221" t="str">
        <f>'Calc|Fee Based'!F36</f>
        <v>Opex</v>
      </c>
      <c r="Y36" s="198">
        <f>'Calc|Fee Based'!H36</f>
        <v>1018.9078592653684</v>
      </c>
      <c r="Z36" s="198">
        <f t="shared" si="12"/>
        <v>1057.4450690287038</v>
      </c>
      <c r="AA36" s="198">
        <f t="shared" si="12"/>
        <v>1095.8168844620984</v>
      </c>
      <c r="AB36" s="198">
        <f t="shared" si="12"/>
        <v>1136.6390574248283</v>
      </c>
      <c r="AC36" s="198">
        <f t="shared" si="12"/>
        <v>1178.8198149566904</v>
      </c>
      <c r="AD36" s="263"/>
      <c r="AE36" s="263"/>
      <c r="AF36" s="263"/>
      <c r="AG36" s="263"/>
      <c r="AH36" s="263"/>
    </row>
    <row r="37" spans="1:34" s="1" customFormat="1" x14ac:dyDescent="0.2">
      <c r="A37" s="258">
        <f t="shared" si="8"/>
        <v>26</v>
      </c>
      <c r="B37" s="259" t="s">
        <v>388</v>
      </c>
      <c r="C37" s="260" t="s">
        <v>450</v>
      </c>
      <c r="D37" s="261" t="s">
        <v>230</v>
      </c>
      <c r="E37" s="261" t="s">
        <v>388</v>
      </c>
      <c r="F37" s="261" t="s">
        <v>478</v>
      </c>
      <c r="G37" s="187">
        <f>SUMIF('Calc|Fee Based'!$B$12:$B$71,B37,'Calc|Fee Based'!$H$12:$H$71)</f>
        <v>0</v>
      </c>
      <c r="H37" s="187">
        <v>0</v>
      </c>
      <c r="I37" s="187">
        <v>0</v>
      </c>
      <c r="J37" s="187">
        <f>I37*(1+$Q$5)*(1-$Q$6)</f>
        <v>0</v>
      </c>
      <c r="K37" s="230">
        <f t="shared" si="10"/>
        <v>0</v>
      </c>
      <c r="L37" s="264"/>
      <c r="M37" s="187">
        <f t="shared" si="11"/>
        <v>0</v>
      </c>
      <c r="N37" s="101">
        <f t="shared" si="3"/>
        <v>0</v>
      </c>
      <c r="O37" s="101">
        <f t="shared" si="4"/>
        <v>0</v>
      </c>
      <c r="P37" s="101">
        <f t="shared" si="5"/>
        <v>0</v>
      </c>
      <c r="Q37" s="101">
        <f t="shared" si="6"/>
        <v>0</v>
      </c>
      <c r="R37" s="101">
        <f t="shared" si="7"/>
        <v>0</v>
      </c>
      <c r="S37" s="265"/>
      <c r="T37" s="258">
        <f t="shared" si="9"/>
        <v>26</v>
      </c>
      <c r="U37" s="29" t="str">
        <f>'Calc|Fee Based'!B37</f>
        <v>SPRDRM</v>
      </c>
      <c r="V37" s="29" t="str">
        <f>'Calc|Fee Based'!C37</f>
        <v>Remote special meter read</v>
      </c>
      <c r="W37" s="221" t="str">
        <f>'Calc|Fee Based'!E37</f>
        <v>Business Hours</v>
      </c>
      <c r="X37" s="221" t="str">
        <f>'Calc|Fee Based'!F37</f>
        <v>Opex</v>
      </c>
      <c r="Y37" s="198">
        <f>'Calc|Fee Based'!H37</f>
        <v>0</v>
      </c>
      <c r="Z37" s="198">
        <f t="shared" si="12"/>
        <v>0</v>
      </c>
      <c r="AA37" s="198">
        <f t="shared" si="12"/>
        <v>0</v>
      </c>
      <c r="AB37" s="198">
        <f t="shared" si="12"/>
        <v>0</v>
      </c>
      <c r="AC37" s="198">
        <f t="shared" si="12"/>
        <v>0</v>
      </c>
      <c r="AD37" s="263"/>
      <c r="AE37" s="263"/>
      <c r="AF37" s="263"/>
      <c r="AG37" s="263"/>
      <c r="AH37" s="263"/>
    </row>
    <row r="38" spans="1:34" s="1" customFormat="1" x14ac:dyDescent="0.2">
      <c r="A38" s="258">
        <f t="shared" si="8"/>
        <v>27</v>
      </c>
      <c r="B38" s="259" t="s">
        <v>389</v>
      </c>
      <c r="C38" s="260" t="s">
        <v>451</v>
      </c>
      <c r="D38" s="261" t="s">
        <v>230</v>
      </c>
      <c r="E38" s="261" t="s">
        <v>389</v>
      </c>
      <c r="F38" s="261" t="s">
        <v>478</v>
      </c>
      <c r="G38" s="187">
        <v>49.91</v>
      </c>
      <c r="H38" s="187">
        <v>52</v>
      </c>
      <c r="I38" s="187">
        <v>56.41</v>
      </c>
      <c r="J38" s="187">
        <v>59.13</v>
      </c>
      <c r="K38" s="230">
        <f t="shared" si="10"/>
        <v>61.007239670837222</v>
      </c>
      <c r="L38" s="264"/>
      <c r="M38" s="187">
        <f t="shared" si="11"/>
        <v>49.91</v>
      </c>
      <c r="N38" s="101">
        <f t="shared" si="3"/>
        <v>0</v>
      </c>
      <c r="O38" s="101">
        <f t="shared" si="4"/>
        <v>0</v>
      </c>
      <c r="P38" s="101">
        <f t="shared" si="5"/>
        <v>0</v>
      </c>
      <c r="Q38" s="101">
        <f t="shared" si="6"/>
        <v>0</v>
      </c>
      <c r="R38" s="101">
        <f t="shared" si="7"/>
        <v>0</v>
      </c>
      <c r="S38" s="265"/>
      <c r="T38" s="258">
        <f t="shared" si="9"/>
        <v>27</v>
      </c>
      <c r="U38" s="29" t="str">
        <f>'Calc|Fee Based'!B38</f>
        <v>MECFRM</v>
      </c>
      <c r="V38" s="29" t="str">
        <f>'Calc|Fee Based'!C38</f>
        <v>Remote meter reconfiguration</v>
      </c>
      <c r="W38" s="221" t="str">
        <f>'Calc|Fee Based'!E38</f>
        <v>Business Hours</v>
      </c>
      <c r="X38" s="221" t="str">
        <f>'Calc|Fee Based'!F38</f>
        <v>Opex</v>
      </c>
      <c r="Y38" s="198">
        <f>'Calc|Fee Based'!H38</f>
        <v>63.818311358111771</v>
      </c>
      <c r="Z38" s="198">
        <f t="shared" si="12"/>
        <v>66.232052334967719</v>
      </c>
      <c r="AA38" s="198">
        <f t="shared" si="12"/>
        <v>68.635433997437161</v>
      </c>
      <c r="AB38" s="198">
        <f t="shared" si="12"/>
        <v>71.192291441179464</v>
      </c>
      <c r="AC38" s="198">
        <f t="shared" si="12"/>
        <v>73.834242519494097</v>
      </c>
      <c r="AD38" s="263"/>
      <c r="AE38" s="263"/>
      <c r="AF38" s="263"/>
      <c r="AG38" s="263"/>
      <c r="AH38" s="263"/>
    </row>
    <row r="39" spans="1:34" s="1" customFormat="1" x14ac:dyDescent="0.2">
      <c r="A39" s="258">
        <f t="shared" si="8"/>
        <v>28</v>
      </c>
      <c r="B39" s="259" t="s">
        <v>390</v>
      </c>
      <c r="C39" s="260" t="s">
        <v>452</v>
      </c>
      <c r="D39" s="261" t="s">
        <v>230</v>
      </c>
      <c r="E39" s="261" t="s">
        <v>513</v>
      </c>
      <c r="F39" s="261" t="s">
        <v>478</v>
      </c>
      <c r="G39" s="187">
        <v>47.69</v>
      </c>
      <c r="H39" s="187">
        <v>49.69</v>
      </c>
      <c r="I39" s="187">
        <v>53.91</v>
      </c>
      <c r="J39" s="187">
        <v>56.51</v>
      </c>
      <c r="K39" s="230">
        <f t="shared" si="10"/>
        <v>58.304060777930175</v>
      </c>
      <c r="L39" s="264"/>
      <c r="M39" s="187">
        <f t="shared" si="11"/>
        <v>47.69</v>
      </c>
      <c r="N39" s="101">
        <f t="shared" si="3"/>
        <v>0</v>
      </c>
      <c r="O39" s="101">
        <f t="shared" si="4"/>
        <v>0</v>
      </c>
      <c r="P39" s="101">
        <f t="shared" si="5"/>
        <v>0</v>
      </c>
      <c r="Q39" s="101">
        <f t="shared" si="6"/>
        <v>0</v>
      </c>
      <c r="R39" s="101">
        <f t="shared" si="7"/>
        <v>0</v>
      </c>
      <c r="S39" s="265"/>
      <c r="T39" s="258">
        <f t="shared" si="9"/>
        <v>28</v>
      </c>
      <c r="U39" s="29" t="str">
        <f>'Calc|Fee Based'!B39</f>
        <v>SPRD</v>
      </c>
      <c r="V39" s="29" t="str">
        <f>'Calc|Fee Based'!C39</f>
        <v xml:space="preserve">Field-based special meter reads </v>
      </c>
      <c r="W39" s="221" t="str">
        <f>'Calc|Fee Based'!E39</f>
        <v>Business Hours</v>
      </c>
      <c r="X39" s="221" t="str">
        <f>'Calc|Fee Based'!F39</f>
        <v>Opex</v>
      </c>
      <c r="Y39" s="198">
        <f>'Calc|Fee Based'!H39</f>
        <v>62.016583642744322</v>
      </c>
      <c r="Z39" s="198">
        <f t="shared" si="12"/>
        <v>64.362179538303536</v>
      </c>
      <c r="AA39" s="198">
        <f t="shared" si="12"/>
        <v>66.697708585125127</v>
      </c>
      <c r="AB39" s="198">
        <f t="shared" si="12"/>
        <v>69.182380462960126</v>
      </c>
      <c r="AC39" s="198">
        <f t="shared" si="12"/>
        <v>71.749743599677032</v>
      </c>
      <c r="AD39" s="263"/>
      <c r="AE39" s="263"/>
      <c r="AF39" s="263"/>
      <c r="AG39" s="263"/>
      <c r="AH39" s="263"/>
    </row>
    <row r="40" spans="1:34" s="1" customFormat="1" x14ac:dyDescent="0.2">
      <c r="A40" s="258">
        <f t="shared" si="8"/>
        <v>29</v>
      </c>
      <c r="B40" s="259" t="s">
        <v>391</v>
      </c>
      <c r="C40" s="260" t="s">
        <v>453</v>
      </c>
      <c r="D40" s="261" t="s">
        <v>230</v>
      </c>
      <c r="E40" s="261" t="s">
        <v>514</v>
      </c>
      <c r="F40" s="261" t="s">
        <v>478</v>
      </c>
      <c r="G40" s="187">
        <v>514.16999999999996</v>
      </c>
      <c r="H40" s="187">
        <v>535.67999999999995</v>
      </c>
      <c r="I40" s="187">
        <v>581.15</v>
      </c>
      <c r="J40" s="187">
        <v>609.13</v>
      </c>
      <c r="K40" s="230">
        <f t="shared" si="10"/>
        <v>628.46845764750674</v>
      </c>
      <c r="L40" s="264"/>
      <c r="M40" s="187">
        <f t="shared" si="11"/>
        <v>514.16999999999996</v>
      </c>
      <c r="N40" s="101">
        <f t="shared" si="3"/>
        <v>0</v>
      </c>
      <c r="O40" s="101">
        <f t="shared" si="4"/>
        <v>0</v>
      </c>
      <c r="P40" s="101">
        <f t="shared" si="5"/>
        <v>0</v>
      </c>
      <c r="Q40" s="101">
        <f t="shared" si="6"/>
        <v>0</v>
      </c>
      <c r="R40" s="101">
        <f t="shared" si="7"/>
        <v>0</v>
      </c>
      <c r="S40" s="265"/>
      <c r="T40" s="258">
        <f t="shared" si="9"/>
        <v>29</v>
      </c>
      <c r="U40" s="29" t="str">
        <f>'Calc|Fee Based'!B40</f>
        <v>MTAL</v>
      </c>
      <c r="V40" s="29" t="str">
        <f>'Calc|Fee Based'!C40</f>
        <v>Meter test of types 5, 6 and AMI smart metering installations BH</v>
      </c>
      <c r="W40" s="221" t="str">
        <f>'Calc|Fee Based'!E40</f>
        <v>Business Hours</v>
      </c>
      <c r="X40" s="221" t="str">
        <f>'Calc|Fee Based'!F40</f>
        <v>Opex</v>
      </c>
      <c r="Y40" s="198">
        <f>'Calc|Fee Based'!H40</f>
        <v>668.49058490004552</v>
      </c>
      <c r="Z40" s="198">
        <f t="shared" si="12"/>
        <v>693.77428613057884</v>
      </c>
      <c r="AA40" s="198">
        <f t="shared" si="12"/>
        <v>718.94947455364309</v>
      </c>
      <c r="AB40" s="198">
        <f t="shared" si="12"/>
        <v>745.73230681133293</v>
      </c>
      <c r="AC40" s="198">
        <f t="shared" si="12"/>
        <v>773.40648658881719</v>
      </c>
      <c r="AD40" s="263"/>
      <c r="AE40" s="263"/>
      <c r="AF40" s="263"/>
      <c r="AG40" s="263"/>
      <c r="AH40" s="263"/>
    </row>
    <row r="41" spans="1:34" s="1" customFormat="1" x14ac:dyDescent="0.2">
      <c r="A41" s="258">
        <f t="shared" si="8"/>
        <v>30</v>
      </c>
      <c r="B41" s="259" t="s">
        <v>391</v>
      </c>
      <c r="C41" s="260" t="s">
        <v>454</v>
      </c>
      <c r="D41" s="261" t="s">
        <v>231</v>
      </c>
      <c r="E41" s="261" t="s">
        <v>515</v>
      </c>
      <c r="F41" s="261" t="s">
        <v>478</v>
      </c>
      <c r="G41" s="187">
        <v>698.04</v>
      </c>
      <c r="H41" s="187">
        <v>727.25</v>
      </c>
      <c r="I41" s="187">
        <v>788.98</v>
      </c>
      <c r="J41" s="187">
        <v>826.97</v>
      </c>
      <c r="K41" s="230">
        <f t="shared" si="10"/>
        <v>853.2243698730299</v>
      </c>
      <c r="L41" s="264"/>
      <c r="M41" s="187">
        <f t="shared" si="11"/>
        <v>698.04</v>
      </c>
      <c r="N41" s="101">
        <f t="shared" si="3"/>
        <v>0</v>
      </c>
      <c r="O41" s="101">
        <f t="shared" si="4"/>
        <v>0</v>
      </c>
      <c r="P41" s="101">
        <f t="shared" si="5"/>
        <v>0</v>
      </c>
      <c r="Q41" s="101">
        <f t="shared" si="6"/>
        <v>0</v>
      </c>
      <c r="R41" s="101">
        <f t="shared" si="7"/>
        <v>0</v>
      </c>
      <c r="S41" s="265"/>
      <c r="T41" s="258">
        <f t="shared" si="9"/>
        <v>30</v>
      </c>
      <c r="U41" s="29" t="str">
        <f>'Calc|Fee Based'!B41</f>
        <v>MTAL</v>
      </c>
      <c r="V41" s="29" t="str">
        <f>'Calc|Fee Based'!C41</f>
        <v>Meter test of types 5, 6 and AMI smart metering installations AH</v>
      </c>
      <c r="W41" s="221" t="str">
        <f>'Calc|Fee Based'!E41</f>
        <v>After Hours</v>
      </c>
      <c r="X41" s="221" t="str">
        <f>'Calc|Fee Based'!F41</f>
        <v>Opex</v>
      </c>
      <c r="Y41" s="198">
        <f>'Calc|Fee Based'!H41</f>
        <v>907.56700909186748</v>
      </c>
      <c r="Z41" s="198">
        <f t="shared" si="12"/>
        <v>941.89307683745653</v>
      </c>
      <c r="AA41" s="198">
        <f t="shared" si="12"/>
        <v>976.07182366881386</v>
      </c>
      <c r="AB41" s="198">
        <f t="shared" si="12"/>
        <v>1012.4331659467388</v>
      </c>
      <c r="AC41" s="198">
        <f t="shared" si="12"/>
        <v>1050.0046338732129</v>
      </c>
      <c r="AD41" s="263"/>
      <c r="AE41" s="263"/>
      <c r="AF41" s="263"/>
      <c r="AG41" s="263"/>
      <c r="AH41" s="263"/>
    </row>
    <row r="42" spans="1:34" s="1" customFormat="1" x14ac:dyDescent="0.2">
      <c r="A42" s="258">
        <f t="shared" si="8"/>
        <v>31</v>
      </c>
      <c r="B42" s="259" t="s">
        <v>392</v>
      </c>
      <c r="C42" s="260" t="s">
        <v>455</v>
      </c>
      <c r="D42" s="261" t="s">
        <v>230</v>
      </c>
      <c r="E42" s="261" t="s">
        <v>392</v>
      </c>
      <c r="F42" s="261" t="s">
        <v>478</v>
      </c>
      <c r="G42" s="187">
        <v>1.44</v>
      </c>
      <c r="H42" s="187">
        <v>1.5</v>
      </c>
      <c r="I42" s="187">
        <v>1.63</v>
      </c>
      <c r="J42" s="187">
        <v>1.71</v>
      </c>
      <c r="K42" s="230">
        <f t="shared" si="10"/>
        <v>1.7642885140729179</v>
      </c>
      <c r="L42" s="264"/>
      <c r="M42" s="187">
        <f t="shared" si="11"/>
        <v>1.44</v>
      </c>
      <c r="N42" s="101">
        <f t="shared" si="3"/>
        <v>0</v>
      </c>
      <c r="O42" s="101">
        <f t="shared" si="4"/>
        <v>0</v>
      </c>
      <c r="P42" s="101">
        <f t="shared" si="5"/>
        <v>0</v>
      </c>
      <c r="Q42" s="101">
        <f t="shared" si="6"/>
        <v>0</v>
      </c>
      <c r="R42" s="101">
        <f t="shared" si="7"/>
        <v>0</v>
      </c>
      <c r="S42" s="265"/>
      <c r="T42" s="258">
        <f t="shared" si="9"/>
        <v>31</v>
      </c>
      <c r="U42" s="29" t="str">
        <f>'Calc|Fee Based'!B42</f>
        <v>MDCH</v>
      </c>
      <c r="V42" s="29" t="str">
        <f>'Calc|Fee Based'!C42</f>
        <v>Type 7 metering</v>
      </c>
      <c r="W42" s="221" t="str">
        <f>'Calc|Fee Based'!E42</f>
        <v>Business Hours</v>
      </c>
      <c r="X42" s="221" t="str">
        <f>'Calc|Fee Based'!F42</f>
        <v>Opex</v>
      </c>
      <c r="Y42" s="198">
        <f>'Calc|Fee Based'!H42</f>
        <v>0</v>
      </c>
      <c r="Z42" s="198">
        <f t="shared" si="12"/>
        <v>0</v>
      </c>
      <c r="AA42" s="198">
        <f t="shared" si="12"/>
        <v>0</v>
      </c>
      <c r="AB42" s="198">
        <f t="shared" si="12"/>
        <v>0</v>
      </c>
      <c r="AC42" s="198">
        <f t="shared" si="12"/>
        <v>0</v>
      </c>
      <c r="AD42" s="263"/>
      <c r="AE42" s="263"/>
      <c r="AF42" s="263"/>
      <c r="AG42" s="263"/>
      <c r="AH42" s="263"/>
    </row>
    <row r="43" spans="1:34" s="1" customFormat="1" ht="22.5" x14ac:dyDescent="0.2">
      <c r="A43" s="258">
        <f t="shared" si="8"/>
        <v>32</v>
      </c>
      <c r="B43" s="259" t="s">
        <v>393</v>
      </c>
      <c r="C43" s="260" t="s">
        <v>456</v>
      </c>
      <c r="D43" s="261" t="s">
        <v>230</v>
      </c>
      <c r="E43" s="261" t="s">
        <v>393</v>
      </c>
      <c r="F43" s="266" t="s">
        <v>516</v>
      </c>
      <c r="G43" s="187">
        <v>16.579999999999998</v>
      </c>
      <c r="H43" s="187">
        <v>17.27</v>
      </c>
      <c r="I43" s="187">
        <v>18.739999999999998</v>
      </c>
      <c r="J43" s="187">
        <v>19.64</v>
      </c>
      <c r="K43" s="230">
        <f t="shared" si="10"/>
        <v>20.263524220112345</v>
      </c>
      <c r="L43" s="264"/>
      <c r="M43" s="187">
        <f t="shared" si="11"/>
        <v>16.579999999999998</v>
      </c>
      <c r="N43" s="101">
        <f t="shared" si="3"/>
        <v>0</v>
      </c>
      <c r="O43" s="101">
        <f t="shared" si="4"/>
        <v>0</v>
      </c>
      <c r="P43" s="101">
        <f t="shared" si="5"/>
        <v>0</v>
      </c>
      <c r="Q43" s="101">
        <f t="shared" si="6"/>
        <v>0</v>
      </c>
      <c r="R43" s="101">
        <f t="shared" si="7"/>
        <v>0</v>
      </c>
      <c r="S43" s="265"/>
      <c r="T43" s="258">
        <f t="shared" si="9"/>
        <v>32</v>
      </c>
      <c r="U43" s="29" t="str">
        <f>'Calc|Fee Based'!B43</f>
        <v>NCUM</v>
      </c>
      <c r="V43" s="29" t="str">
        <f>'Calc|Fee Based'!C43</f>
        <v>Non-contestable unmetered loads</v>
      </c>
      <c r="W43" s="221" t="str">
        <f>'Calc|Fee Based'!E43</f>
        <v>Business Hours</v>
      </c>
      <c r="X43" s="221" t="str">
        <f>'Calc|Fee Based'!F43</f>
        <v>Capex</v>
      </c>
      <c r="Y43" s="198">
        <f>'Calc|Fee Based'!H43</f>
        <v>0</v>
      </c>
      <c r="Z43" s="198">
        <f t="shared" si="12"/>
        <v>0</v>
      </c>
      <c r="AA43" s="198">
        <f t="shared" si="12"/>
        <v>0</v>
      </c>
      <c r="AB43" s="198">
        <f t="shared" si="12"/>
        <v>0</v>
      </c>
      <c r="AC43" s="198">
        <f t="shared" si="12"/>
        <v>0</v>
      </c>
      <c r="AD43" s="263"/>
      <c r="AE43" s="263"/>
      <c r="AF43" s="263"/>
      <c r="AG43" s="263"/>
      <c r="AH43" s="263"/>
    </row>
    <row r="44" spans="1:34" s="1" customFormat="1" x14ac:dyDescent="0.2">
      <c r="A44" s="258">
        <f t="shared" si="8"/>
        <v>33</v>
      </c>
      <c r="B44" s="259" t="s">
        <v>394</v>
      </c>
      <c r="C44" s="260" t="s">
        <v>517</v>
      </c>
      <c r="D44" s="261" t="s">
        <v>230</v>
      </c>
      <c r="E44" s="261" t="s">
        <v>518</v>
      </c>
      <c r="F44" s="261" t="s">
        <v>478</v>
      </c>
      <c r="G44" s="187">
        <v>472.07</v>
      </c>
      <c r="H44" s="187">
        <v>491.82</v>
      </c>
      <c r="I44" s="187">
        <v>533.57000000000005</v>
      </c>
      <c r="J44" s="187">
        <v>559.26</v>
      </c>
      <c r="K44" s="230">
        <f t="shared" si="10"/>
        <v>577.01520139205854</v>
      </c>
      <c r="L44" s="264"/>
      <c r="M44" s="187">
        <f>G44</f>
        <v>472.07</v>
      </c>
      <c r="N44" s="101">
        <f t="shared" si="3"/>
        <v>0</v>
      </c>
      <c r="O44" s="101">
        <f t="shared" si="4"/>
        <v>0</v>
      </c>
      <c r="P44" s="101">
        <f t="shared" si="5"/>
        <v>0</v>
      </c>
      <c r="Q44" s="101">
        <f t="shared" si="6"/>
        <v>0</v>
      </c>
      <c r="R44" s="101">
        <f t="shared" si="7"/>
        <v>0</v>
      </c>
      <c r="S44" s="265"/>
      <c r="T44" s="258">
        <f t="shared" si="9"/>
        <v>33</v>
      </c>
      <c r="U44" s="29" t="str">
        <f>'Calc|Fee Based'!B44</f>
        <v>WSVR</v>
      </c>
      <c r="V44" s="29" t="str">
        <f>'Calc|Fee Based'!C44</f>
        <v>Wasted site attendance BH</v>
      </c>
      <c r="W44" s="221" t="str">
        <f>'Calc|Fee Based'!E44</f>
        <v>Business Hours</v>
      </c>
      <c r="X44" s="221" t="str">
        <f>'Calc|Fee Based'!F44</f>
        <v>Opex</v>
      </c>
      <c r="Y44" s="198">
        <f>'Calc|Fee Based'!H44</f>
        <v>654.21129227583151</v>
      </c>
      <c r="Z44" s="198">
        <f t="shared" si="12"/>
        <v>678.95492102569108</v>
      </c>
      <c r="AA44" s="198">
        <f t="shared" si="12"/>
        <v>703.59235485582212</v>
      </c>
      <c r="AB44" s="198">
        <f t="shared" si="12"/>
        <v>729.80309244568662</v>
      </c>
      <c r="AC44" s="198">
        <f t="shared" si="12"/>
        <v>756.88613792733508</v>
      </c>
      <c r="AD44" s="263"/>
      <c r="AE44" s="263"/>
      <c r="AF44" s="263"/>
      <c r="AG44" s="263"/>
      <c r="AH44" s="263"/>
    </row>
    <row r="45" spans="1:34" s="1" customFormat="1" x14ac:dyDescent="0.2">
      <c r="A45" s="258">
        <f t="shared" si="8"/>
        <v>34</v>
      </c>
      <c r="B45" s="259" t="s">
        <v>394</v>
      </c>
      <c r="C45" s="260" t="s">
        <v>519</v>
      </c>
      <c r="D45" s="261" t="s">
        <v>231</v>
      </c>
      <c r="E45" s="261" t="s">
        <v>520</v>
      </c>
      <c r="F45" s="261" t="s">
        <v>478</v>
      </c>
      <c r="G45" s="187">
        <v>652.29999999999995</v>
      </c>
      <c r="H45" s="187">
        <v>679.59</v>
      </c>
      <c r="I45" s="187">
        <v>737.28</v>
      </c>
      <c r="J45" s="187">
        <v>772.78</v>
      </c>
      <c r="K45" s="230">
        <f t="shared" si="10"/>
        <v>797.31396368729213</v>
      </c>
      <c r="L45" s="264"/>
      <c r="M45" s="187">
        <f>G45</f>
        <v>652.29999999999995</v>
      </c>
      <c r="N45" s="101">
        <f t="shared" si="3"/>
        <v>0</v>
      </c>
      <c r="O45" s="101">
        <f t="shared" si="4"/>
        <v>0</v>
      </c>
      <c r="P45" s="101">
        <f t="shared" si="5"/>
        <v>0</v>
      </c>
      <c r="Q45" s="101">
        <f t="shared" si="6"/>
        <v>0</v>
      </c>
      <c r="R45" s="101">
        <f t="shared" si="7"/>
        <v>0</v>
      </c>
      <c r="S45" s="265"/>
      <c r="T45" s="258">
        <f t="shared" si="9"/>
        <v>34</v>
      </c>
      <c r="U45" s="29" t="str">
        <f>'Calc|Fee Based'!B45</f>
        <v>WSVR</v>
      </c>
      <c r="V45" s="29" t="str">
        <f>'Calc|Fee Based'!C45</f>
        <v>Wasted site attendance AH</v>
      </c>
      <c r="W45" s="221" t="str">
        <f>'Calc|Fee Based'!E45</f>
        <v>After Hours</v>
      </c>
      <c r="X45" s="221" t="str">
        <f>'Calc|Fee Based'!F45</f>
        <v>Opex</v>
      </c>
      <c r="Y45" s="198">
        <f>'Calc|Fee Based'!H45</f>
        <v>1018.9078592653684</v>
      </c>
      <c r="Z45" s="198">
        <f t="shared" si="12"/>
        <v>1057.4450690287038</v>
      </c>
      <c r="AA45" s="198">
        <f t="shared" si="12"/>
        <v>1095.8168844620984</v>
      </c>
      <c r="AB45" s="198">
        <f t="shared" si="12"/>
        <v>1136.6390574248283</v>
      </c>
      <c r="AC45" s="198">
        <f t="shared" si="12"/>
        <v>1178.8198149566904</v>
      </c>
      <c r="AD45" s="263"/>
      <c r="AE45" s="263"/>
      <c r="AF45" s="263"/>
      <c r="AG45" s="263"/>
      <c r="AH45" s="263"/>
    </row>
    <row r="46" spans="1:34" s="1" customFormat="1" x14ac:dyDescent="0.2">
      <c r="A46" s="258">
        <f t="shared" si="8"/>
        <v>35</v>
      </c>
      <c r="B46" s="259" t="s">
        <v>395</v>
      </c>
      <c r="C46" s="260" t="s">
        <v>521</v>
      </c>
      <c r="D46" s="261" t="s">
        <v>230</v>
      </c>
      <c r="E46" s="261" t="s">
        <v>522</v>
      </c>
      <c r="F46" s="261" t="s">
        <v>478</v>
      </c>
      <c r="G46" s="187">
        <v>750.72</v>
      </c>
      <c r="H46" s="187">
        <v>782.13</v>
      </c>
      <c r="I46" s="187">
        <v>848.52</v>
      </c>
      <c r="J46" s="187">
        <v>889.37</v>
      </c>
      <c r="K46" s="230">
        <f t="shared" si="10"/>
        <v>917.60542442165558</v>
      </c>
      <c r="L46" s="264"/>
      <c r="M46" s="187">
        <f>G46</f>
        <v>750.72</v>
      </c>
      <c r="N46" s="101">
        <f t="shared" si="3"/>
        <v>0</v>
      </c>
      <c r="O46" s="101">
        <f t="shared" si="4"/>
        <v>0</v>
      </c>
      <c r="P46" s="101">
        <f t="shared" si="5"/>
        <v>0</v>
      </c>
      <c r="Q46" s="101">
        <f t="shared" si="6"/>
        <v>0</v>
      </c>
      <c r="R46" s="101">
        <f t="shared" si="7"/>
        <v>0</v>
      </c>
      <c r="S46" s="265"/>
      <c r="T46" s="258">
        <f t="shared" si="9"/>
        <v>35</v>
      </c>
      <c r="U46" s="29" t="str">
        <f>'Calc|Fee Based'!B46</f>
        <v>RTK3</v>
      </c>
      <c r="V46" s="29" t="str">
        <f>'Calc|Fee Based'!C46</f>
        <v>Replacement of 3-phase overhead service line BH</v>
      </c>
      <c r="W46" s="221" t="str">
        <f>'Calc|Fee Based'!E46</f>
        <v>Business Hours</v>
      </c>
      <c r="X46" s="221" t="str">
        <f>'Calc|Fee Based'!F46</f>
        <v>Capex</v>
      </c>
      <c r="Y46" s="198">
        <f>'Calc|Fee Based'!H46</f>
        <v>830.27378311067059</v>
      </c>
      <c r="Z46" s="198">
        <f t="shared" si="12"/>
        <v>861.67646064404767</v>
      </c>
      <c r="AA46" s="198">
        <f t="shared" si="12"/>
        <v>892.94436389457269</v>
      </c>
      <c r="AB46" s="198">
        <f t="shared" si="12"/>
        <v>926.20898117311754</v>
      </c>
      <c r="AC46" s="198">
        <f t="shared" si="12"/>
        <v>960.58066337380592</v>
      </c>
      <c r="AD46" s="263"/>
      <c r="AE46" s="263"/>
      <c r="AF46" s="263"/>
      <c r="AG46" s="263"/>
      <c r="AH46" s="263"/>
    </row>
    <row r="47" spans="1:34" s="1" customFormat="1" x14ac:dyDescent="0.2">
      <c r="A47" s="258">
        <f t="shared" si="8"/>
        <v>36</v>
      </c>
      <c r="B47" s="259" t="s">
        <v>395</v>
      </c>
      <c r="C47" s="260" t="s">
        <v>523</v>
      </c>
      <c r="D47" s="261" t="s">
        <v>231</v>
      </c>
      <c r="E47" s="261" t="s">
        <v>524</v>
      </c>
      <c r="F47" s="261" t="s">
        <v>478</v>
      </c>
      <c r="G47" s="187">
        <v>933.7</v>
      </c>
      <c r="H47" s="187">
        <v>972.77</v>
      </c>
      <c r="I47" s="187">
        <v>1055.3499999999999</v>
      </c>
      <c r="J47" s="187">
        <v>1106.1600000000001</v>
      </c>
      <c r="K47" s="230">
        <f t="shared" si="10"/>
        <v>1141.278001594678</v>
      </c>
      <c r="L47" s="264"/>
      <c r="M47" s="187">
        <f>G47</f>
        <v>933.7</v>
      </c>
      <c r="N47" s="101">
        <f t="shared" si="3"/>
        <v>0</v>
      </c>
      <c r="O47" s="101">
        <f t="shared" si="4"/>
        <v>0</v>
      </c>
      <c r="P47" s="101">
        <f t="shared" si="5"/>
        <v>0</v>
      </c>
      <c r="Q47" s="101">
        <f t="shared" si="6"/>
        <v>0</v>
      </c>
      <c r="R47" s="101">
        <f t="shared" si="7"/>
        <v>0</v>
      </c>
      <c r="S47" s="265"/>
      <c r="T47" s="258">
        <f t="shared" si="9"/>
        <v>36</v>
      </c>
      <c r="U47" s="29" t="str">
        <f>'Calc|Fee Based'!B47</f>
        <v>RTK3</v>
      </c>
      <c r="V47" s="29" t="str">
        <f>'Calc|Fee Based'!C47</f>
        <v>Replacement of 3-phase overhead service line AH</v>
      </c>
      <c r="W47" s="221" t="str">
        <f>'Calc|Fee Based'!E47</f>
        <v>After Hours</v>
      </c>
      <c r="X47" s="221" t="str">
        <f>'Calc|Fee Based'!F47</f>
        <v>Capex</v>
      </c>
      <c r="Y47" s="198">
        <f>'Calc|Fee Based'!H47</f>
        <v>1211.9156797280427</v>
      </c>
      <c r="Z47" s="198">
        <f t="shared" si="12"/>
        <v>1257.7528458078373</v>
      </c>
      <c r="AA47" s="198">
        <f t="shared" si="12"/>
        <v>1303.3932875420787</v>
      </c>
      <c r="AB47" s="198">
        <f t="shared" si="12"/>
        <v>1351.9482486646407</v>
      </c>
      <c r="AC47" s="198">
        <f t="shared" si="12"/>
        <v>1402.1191458373521</v>
      </c>
      <c r="AD47" s="263"/>
      <c r="AE47" s="263"/>
      <c r="AF47" s="263"/>
      <c r="AG47" s="263"/>
      <c r="AH47" s="263"/>
    </row>
    <row r="48" spans="1:34" s="1" customFormat="1" x14ac:dyDescent="0.2">
      <c r="A48" s="258">
        <f t="shared" si="8"/>
        <v>37</v>
      </c>
      <c r="B48" s="259"/>
      <c r="C48" s="260"/>
      <c r="D48" s="261"/>
      <c r="E48" s="261"/>
      <c r="F48" s="261"/>
      <c r="G48" s="187"/>
      <c r="H48" s="187"/>
      <c r="I48" s="187"/>
      <c r="J48" s="187"/>
      <c r="K48" s="230"/>
      <c r="L48" s="264"/>
      <c r="M48" s="187"/>
      <c r="N48" s="101">
        <f t="shared" si="3"/>
        <v>0</v>
      </c>
      <c r="O48" s="101">
        <f t="shared" si="4"/>
        <v>0</v>
      </c>
      <c r="P48" s="101">
        <f t="shared" si="5"/>
        <v>0</v>
      </c>
      <c r="Q48" s="101">
        <f t="shared" si="6"/>
        <v>0</v>
      </c>
      <c r="R48" s="101">
        <f t="shared" si="7"/>
        <v>0</v>
      </c>
      <c r="S48" s="265"/>
      <c r="T48" s="258">
        <f t="shared" si="9"/>
        <v>37</v>
      </c>
      <c r="U48" s="29" t="str">
        <f>'Calc|Fee Based'!B48</f>
        <v/>
      </c>
      <c r="V48" s="29" t="str">
        <f>'Calc|Fee Based'!C48</f>
        <v/>
      </c>
      <c r="W48" s="378"/>
      <c r="X48" s="378"/>
      <c r="Y48" s="379"/>
      <c r="Z48" s="379"/>
      <c r="AA48" s="379"/>
      <c r="AB48" s="379"/>
      <c r="AC48" s="379"/>
      <c r="AD48" s="263"/>
      <c r="AE48" s="263"/>
      <c r="AF48" s="263"/>
      <c r="AG48" s="263"/>
      <c r="AH48" s="263"/>
    </row>
    <row r="49" spans="1:34" s="1" customFormat="1" x14ac:dyDescent="0.2">
      <c r="A49" s="258">
        <f t="shared" si="8"/>
        <v>38</v>
      </c>
      <c r="B49" s="259"/>
      <c r="C49" s="260"/>
      <c r="D49" s="261"/>
      <c r="E49" s="261"/>
      <c r="F49" s="261"/>
      <c r="G49" s="187"/>
      <c r="H49" s="187"/>
      <c r="I49" s="187"/>
      <c r="J49" s="187"/>
      <c r="K49" s="230"/>
      <c r="L49" s="264"/>
      <c r="M49" s="187"/>
      <c r="N49" s="101">
        <f t="shared" si="3"/>
        <v>0</v>
      </c>
      <c r="O49" s="101">
        <f t="shared" si="4"/>
        <v>0</v>
      </c>
      <c r="P49" s="101">
        <f t="shared" si="5"/>
        <v>0</v>
      </c>
      <c r="Q49" s="101">
        <f t="shared" si="6"/>
        <v>0</v>
      </c>
      <c r="R49" s="101">
        <f t="shared" si="7"/>
        <v>0</v>
      </c>
      <c r="S49" s="265"/>
      <c r="T49" s="258">
        <f t="shared" si="9"/>
        <v>38</v>
      </c>
      <c r="U49" s="380"/>
      <c r="V49" s="380"/>
      <c r="W49" s="378"/>
      <c r="X49" s="378"/>
      <c r="Y49" s="379"/>
      <c r="Z49" s="379"/>
      <c r="AA49" s="379"/>
      <c r="AB49" s="379"/>
      <c r="AC49" s="379"/>
      <c r="AD49" s="263"/>
      <c r="AE49" s="263"/>
      <c r="AF49" s="263"/>
      <c r="AG49" s="263"/>
      <c r="AH49" s="263"/>
    </row>
    <row r="50" spans="1:34" s="1" customFormat="1" x14ac:dyDescent="0.2">
      <c r="A50" s="258">
        <f t="shared" si="8"/>
        <v>39</v>
      </c>
      <c r="B50" s="259"/>
      <c r="C50" s="260"/>
      <c r="D50" s="261"/>
      <c r="E50" s="261"/>
      <c r="F50" s="261"/>
      <c r="G50" s="187"/>
      <c r="H50" s="187"/>
      <c r="I50" s="187"/>
      <c r="J50" s="187"/>
      <c r="K50" s="230"/>
      <c r="L50" s="264"/>
      <c r="M50" s="187"/>
      <c r="N50" s="101">
        <f t="shared" si="3"/>
        <v>0</v>
      </c>
      <c r="O50" s="101">
        <f t="shared" si="4"/>
        <v>0</v>
      </c>
      <c r="P50" s="101">
        <f t="shared" si="5"/>
        <v>0</v>
      </c>
      <c r="Q50" s="101">
        <f t="shared" si="6"/>
        <v>0</v>
      </c>
      <c r="R50" s="101">
        <f t="shared" si="7"/>
        <v>0</v>
      </c>
      <c r="S50" s="265"/>
      <c r="T50" s="258">
        <f t="shared" si="9"/>
        <v>39</v>
      </c>
      <c r="U50" s="380"/>
      <c r="V50" s="380"/>
      <c r="W50" s="378"/>
      <c r="X50" s="378"/>
      <c r="Y50" s="379"/>
      <c r="Z50" s="379"/>
      <c r="AA50" s="379"/>
      <c r="AB50" s="379"/>
      <c r="AC50" s="379"/>
      <c r="AD50" s="263"/>
      <c r="AE50" s="263"/>
      <c r="AF50" s="263"/>
      <c r="AG50" s="263"/>
      <c r="AH50" s="263"/>
    </row>
    <row r="51" spans="1:34" s="1" customFormat="1" x14ac:dyDescent="0.2">
      <c r="A51" s="258">
        <f t="shared" si="8"/>
        <v>40</v>
      </c>
      <c r="B51" s="259"/>
      <c r="C51" s="259"/>
      <c r="D51" s="261"/>
      <c r="E51" s="261"/>
      <c r="F51" s="261"/>
      <c r="G51" s="187"/>
      <c r="H51" s="187"/>
      <c r="I51" s="187"/>
      <c r="J51" s="187"/>
      <c r="K51" s="230"/>
      <c r="L51" s="264"/>
      <c r="M51" s="187"/>
      <c r="N51" s="101">
        <f t="shared" si="3"/>
        <v>0</v>
      </c>
      <c r="O51" s="101">
        <f t="shared" si="4"/>
        <v>0</v>
      </c>
      <c r="P51" s="101">
        <f t="shared" si="5"/>
        <v>0</v>
      </c>
      <c r="Q51" s="101">
        <f t="shared" si="6"/>
        <v>0</v>
      </c>
      <c r="R51" s="101">
        <f t="shared" si="7"/>
        <v>0</v>
      </c>
      <c r="S51" s="265"/>
      <c r="T51" s="258">
        <f t="shared" si="9"/>
        <v>40</v>
      </c>
      <c r="U51" s="380"/>
      <c r="V51" s="380"/>
      <c r="W51" s="378"/>
      <c r="X51" s="378"/>
      <c r="Y51" s="379"/>
      <c r="Z51" s="379"/>
      <c r="AA51" s="379"/>
      <c r="AB51" s="379"/>
      <c r="AC51" s="379"/>
      <c r="AD51" s="263"/>
      <c r="AE51" s="263"/>
      <c r="AF51" s="263"/>
      <c r="AG51" s="263"/>
      <c r="AH51" s="263"/>
    </row>
    <row r="52" spans="1:34" s="1" customFormat="1" x14ac:dyDescent="0.2">
      <c r="A52" s="258">
        <f t="shared" si="8"/>
        <v>41</v>
      </c>
      <c r="B52" s="259"/>
      <c r="C52" s="259"/>
      <c r="D52" s="261"/>
      <c r="E52" s="261"/>
      <c r="F52" s="261"/>
      <c r="G52" s="187"/>
      <c r="H52" s="187"/>
      <c r="I52" s="187"/>
      <c r="J52" s="187"/>
      <c r="K52" s="230"/>
      <c r="L52" s="264"/>
      <c r="M52" s="187"/>
      <c r="N52" s="101">
        <f t="shared" si="3"/>
        <v>0</v>
      </c>
      <c r="O52" s="101">
        <f t="shared" si="4"/>
        <v>0</v>
      </c>
      <c r="P52" s="101">
        <f t="shared" si="5"/>
        <v>0</v>
      </c>
      <c r="Q52" s="101">
        <f t="shared" si="6"/>
        <v>0</v>
      </c>
      <c r="R52" s="101">
        <f t="shared" si="7"/>
        <v>0</v>
      </c>
      <c r="S52" s="265"/>
      <c r="T52" s="258">
        <f t="shared" si="9"/>
        <v>41</v>
      </c>
      <c r="U52" s="380"/>
      <c r="V52" s="380"/>
      <c r="W52" s="378"/>
      <c r="X52" s="378"/>
      <c r="Y52" s="379"/>
      <c r="Z52" s="379"/>
      <c r="AA52" s="379"/>
      <c r="AB52" s="379"/>
      <c r="AC52" s="379"/>
      <c r="AD52" s="263"/>
      <c r="AE52" s="263"/>
      <c r="AF52" s="263"/>
      <c r="AG52" s="263"/>
      <c r="AH52" s="263"/>
    </row>
    <row r="53" spans="1:34" s="1" customFormat="1" x14ac:dyDescent="0.2">
      <c r="A53" s="258">
        <f t="shared" si="8"/>
        <v>42</v>
      </c>
      <c r="B53" s="259"/>
      <c r="C53" s="259"/>
      <c r="D53" s="261"/>
      <c r="E53" s="261"/>
      <c r="F53" s="261"/>
      <c r="G53" s="187"/>
      <c r="H53" s="187"/>
      <c r="I53" s="187"/>
      <c r="J53" s="187"/>
      <c r="K53" s="230"/>
      <c r="L53" s="264"/>
      <c r="M53" s="187"/>
      <c r="N53" s="101">
        <f t="shared" si="3"/>
        <v>0</v>
      </c>
      <c r="O53" s="101">
        <f t="shared" si="4"/>
        <v>0</v>
      </c>
      <c r="P53" s="101">
        <f t="shared" si="5"/>
        <v>0</v>
      </c>
      <c r="Q53" s="101">
        <f t="shared" si="6"/>
        <v>0</v>
      </c>
      <c r="R53" s="101">
        <f t="shared" si="7"/>
        <v>0</v>
      </c>
      <c r="S53" s="265"/>
      <c r="T53" s="258">
        <f t="shared" si="9"/>
        <v>42</v>
      </c>
      <c r="U53" s="380"/>
      <c r="V53" s="380"/>
      <c r="W53" s="378"/>
      <c r="X53" s="378"/>
      <c r="Y53" s="379"/>
      <c r="Z53" s="379"/>
      <c r="AA53" s="379"/>
      <c r="AB53" s="379"/>
      <c r="AC53" s="379"/>
      <c r="AD53" s="263"/>
      <c r="AE53" s="263"/>
      <c r="AF53" s="263"/>
      <c r="AG53" s="263"/>
      <c r="AH53" s="263"/>
    </row>
    <row r="54" spans="1:34" s="1" customFormat="1" x14ac:dyDescent="0.2">
      <c r="A54" s="258">
        <f t="shared" si="8"/>
        <v>43</v>
      </c>
      <c r="B54" s="259"/>
      <c r="C54" s="259"/>
      <c r="D54" s="261"/>
      <c r="E54" s="261"/>
      <c r="F54" s="261"/>
      <c r="G54" s="187"/>
      <c r="H54" s="187"/>
      <c r="I54" s="187"/>
      <c r="J54" s="187"/>
      <c r="K54" s="230"/>
      <c r="L54" s="264"/>
      <c r="M54" s="187"/>
      <c r="N54" s="101">
        <f t="shared" si="3"/>
        <v>0</v>
      </c>
      <c r="O54" s="101">
        <f t="shared" si="4"/>
        <v>0</v>
      </c>
      <c r="P54" s="101">
        <f t="shared" si="5"/>
        <v>0</v>
      </c>
      <c r="Q54" s="101">
        <f t="shared" si="6"/>
        <v>0</v>
      </c>
      <c r="R54" s="101">
        <f t="shared" si="7"/>
        <v>0</v>
      </c>
      <c r="S54" s="265"/>
      <c r="T54" s="258">
        <f t="shared" si="9"/>
        <v>43</v>
      </c>
      <c r="U54" s="380"/>
      <c r="V54" s="380"/>
      <c r="W54" s="378"/>
      <c r="X54" s="378"/>
      <c r="Y54" s="379"/>
      <c r="Z54" s="379"/>
      <c r="AA54" s="379"/>
      <c r="AB54" s="379"/>
      <c r="AC54" s="379"/>
      <c r="AD54" s="263"/>
      <c r="AE54" s="263"/>
      <c r="AF54" s="263"/>
      <c r="AG54" s="263"/>
      <c r="AH54" s="263"/>
    </row>
    <row r="55" spans="1:34" s="1" customFormat="1" x14ac:dyDescent="0.2">
      <c r="A55" s="258">
        <f t="shared" si="8"/>
        <v>44</v>
      </c>
      <c r="B55" s="259"/>
      <c r="C55" s="259"/>
      <c r="D55" s="261"/>
      <c r="E55" s="261"/>
      <c r="F55" s="261"/>
      <c r="G55" s="187"/>
      <c r="H55" s="187"/>
      <c r="I55" s="187"/>
      <c r="J55" s="187"/>
      <c r="K55" s="230"/>
      <c r="L55" s="264"/>
      <c r="M55" s="187"/>
      <c r="N55" s="101">
        <f t="shared" si="3"/>
        <v>0</v>
      </c>
      <c r="O55" s="101">
        <f t="shared" si="4"/>
        <v>0</v>
      </c>
      <c r="P55" s="101">
        <f t="shared" si="5"/>
        <v>0</v>
      </c>
      <c r="Q55" s="101">
        <f t="shared" si="6"/>
        <v>0</v>
      </c>
      <c r="R55" s="101">
        <f t="shared" si="7"/>
        <v>0</v>
      </c>
      <c r="S55" s="265"/>
      <c r="T55" s="258">
        <f t="shared" si="9"/>
        <v>44</v>
      </c>
      <c r="U55" s="380"/>
      <c r="V55" s="380"/>
      <c r="W55" s="378"/>
      <c r="X55" s="378"/>
      <c r="Y55" s="379"/>
      <c r="Z55" s="379"/>
      <c r="AA55" s="379"/>
      <c r="AB55" s="379"/>
      <c r="AC55" s="379"/>
      <c r="AD55" s="263"/>
      <c r="AE55" s="263"/>
      <c r="AF55" s="263"/>
      <c r="AG55" s="263"/>
      <c r="AH55" s="263"/>
    </row>
    <row r="56" spans="1:34" s="1" customFormat="1" x14ac:dyDescent="0.2">
      <c r="A56" s="258">
        <f t="shared" si="8"/>
        <v>45</v>
      </c>
      <c r="B56" s="259"/>
      <c r="C56" s="259"/>
      <c r="D56" s="261"/>
      <c r="E56" s="261"/>
      <c r="F56" s="261"/>
      <c r="G56" s="187"/>
      <c r="H56" s="187"/>
      <c r="I56" s="187"/>
      <c r="J56" s="187"/>
      <c r="K56" s="230"/>
      <c r="L56" s="264"/>
      <c r="M56" s="187"/>
      <c r="N56" s="101">
        <f t="shared" si="3"/>
        <v>0</v>
      </c>
      <c r="O56" s="101">
        <f t="shared" si="4"/>
        <v>0</v>
      </c>
      <c r="P56" s="101">
        <f t="shared" si="5"/>
        <v>0</v>
      </c>
      <c r="Q56" s="101">
        <f t="shared" si="6"/>
        <v>0</v>
      </c>
      <c r="R56" s="101">
        <f t="shared" si="7"/>
        <v>0</v>
      </c>
      <c r="S56" s="265"/>
      <c r="T56" s="258">
        <f t="shared" si="9"/>
        <v>45</v>
      </c>
      <c r="U56" s="380"/>
      <c r="V56" s="380"/>
      <c r="W56" s="378"/>
      <c r="X56" s="378"/>
      <c r="Y56" s="379"/>
      <c r="Z56" s="379"/>
      <c r="AA56" s="379"/>
      <c r="AB56" s="379"/>
      <c r="AC56" s="379"/>
      <c r="AD56" s="263"/>
      <c r="AE56" s="263"/>
      <c r="AF56" s="263"/>
      <c r="AG56" s="263"/>
      <c r="AH56" s="263"/>
    </row>
    <row r="57" spans="1:34" s="1" customFormat="1" x14ac:dyDescent="0.2">
      <c r="A57" s="258">
        <f t="shared" si="8"/>
        <v>46</v>
      </c>
      <c r="B57" s="260"/>
      <c r="C57" s="260"/>
      <c r="D57" s="261"/>
      <c r="E57" s="261"/>
      <c r="F57" s="261"/>
      <c r="G57" s="187"/>
      <c r="H57" s="187"/>
      <c r="I57" s="187"/>
      <c r="J57" s="187"/>
      <c r="K57" s="230"/>
      <c r="L57" s="264"/>
      <c r="M57" s="187"/>
      <c r="N57" s="101">
        <f t="shared" si="3"/>
        <v>0</v>
      </c>
      <c r="O57" s="101">
        <f t="shared" si="4"/>
        <v>0</v>
      </c>
      <c r="P57" s="101">
        <f t="shared" si="5"/>
        <v>0</v>
      </c>
      <c r="Q57" s="101">
        <f t="shared" si="6"/>
        <v>0</v>
      </c>
      <c r="R57" s="101">
        <f t="shared" si="7"/>
        <v>0</v>
      </c>
      <c r="S57" s="265"/>
      <c r="T57" s="258">
        <f t="shared" si="9"/>
        <v>46</v>
      </c>
      <c r="U57" s="380"/>
      <c r="V57" s="380"/>
      <c r="W57" s="378"/>
      <c r="X57" s="378"/>
      <c r="Y57" s="379"/>
      <c r="Z57" s="379"/>
      <c r="AA57" s="379"/>
      <c r="AB57" s="379"/>
      <c r="AC57" s="379"/>
      <c r="AD57" s="263"/>
      <c r="AE57" s="263"/>
      <c r="AF57" s="263"/>
      <c r="AG57" s="263"/>
      <c r="AH57" s="263"/>
    </row>
    <row r="58" spans="1:34" s="1" customFormat="1" x14ac:dyDescent="0.2">
      <c r="A58" s="258">
        <f t="shared" si="8"/>
        <v>47</v>
      </c>
      <c r="B58" s="260"/>
      <c r="C58" s="260"/>
      <c r="D58" s="261"/>
      <c r="E58" s="261"/>
      <c r="F58" s="261"/>
      <c r="G58" s="187"/>
      <c r="H58" s="187"/>
      <c r="I58" s="187"/>
      <c r="J58" s="187"/>
      <c r="K58" s="230"/>
      <c r="L58" s="264"/>
      <c r="M58" s="187"/>
      <c r="N58" s="101">
        <f t="shared" si="3"/>
        <v>0</v>
      </c>
      <c r="O58" s="101">
        <f t="shared" si="4"/>
        <v>0</v>
      </c>
      <c r="P58" s="101">
        <f t="shared" si="5"/>
        <v>0</v>
      </c>
      <c r="Q58" s="101">
        <f t="shared" si="6"/>
        <v>0</v>
      </c>
      <c r="R58" s="101">
        <f t="shared" si="7"/>
        <v>0</v>
      </c>
      <c r="S58" s="265"/>
      <c r="T58" s="258">
        <f t="shared" si="9"/>
        <v>47</v>
      </c>
      <c r="U58" s="380"/>
      <c r="V58" s="380"/>
      <c r="W58" s="378"/>
      <c r="X58" s="378"/>
      <c r="Y58" s="379"/>
      <c r="Z58" s="379"/>
      <c r="AA58" s="379"/>
      <c r="AB58" s="379"/>
      <c r="AC58" s="379"/>
      <c r="AD58" s="263"/>
      <c r="AE58" s="263"/>
      <c r="AF58" s="263"/>
      <c r="AG58" s="263"/>
      <c r="AH58" s="263"/>
    </row>
    <row r="59" spans="1:34" s="1" customFormat="1" x14ac:dyDescent="0.2">
      <c r="A59" s="258">
        <f t="shared" si="8"/>
        <v>48</v>
      </c>
      <c r="B59" s="260"/>
      <c r="C59" s="260"/>
      <c r="D59" s="261"/>
      <c r="E59" s="261"/>
      <c r="F59" s="261"/>
      <c r="G59" s="187"/>
      <c r="H59" s="187"/>
      <c r="I59" s="187"/>
      <c r="J59" s="187"/>
      <c r="K59" s="230"/>
      <c r="L59" s="264"/>
      <c r="M59" s="187"/>
      <c r="N59" s="101">
        <f t="shared" si="3"/>
        <v>0</v>
      </c>
      <c r="O59" s="101">
        <f t="shared" si="4"/>
        <v>0</v>
      </c>
      <c r="P59" s="101">
        <f t="shared" si="5"/>
        <v>0</v>
      </c>
      <c r="Q59" s="101">
        <f t="shared" si="6"/>
        <v>0</v>
      </c>
      <c r="R59" s="101">
        <f t="shared" si="7"/>
        <v>0</v>
      </c>
      <c r="S59" s="265"/>
      <c r="T59" s="258">
        <f t="shared" si="9"/>
        <v>48</v>
      </c>
      <c r="U59" s="380"/>
      <c r="V59" s="380"/>
      <c r="W59" s="378"/>
      <c r="X59" s="378"/>
      <c r="Y59" s="379"/>
      <c r="Z59" s="379"/>
      <c r="AA59" s="379"/>
      <c r="AB59" s="379"/>
      <c r="AC59" s="379"/>
      <c r="AD59" s="263"/>
      <c r="AE59" s="263"/>
      <c r="AF59" s="263"/>
      <c r="AG59" s="263"/>
      <c r="AH59" s="263"/>
    </row>
    <row r="60" spans="1:34" s="1" customFormat="1" x14ac:dyDescent="0.2">
      <c r="A60" s="258">
        <f t="shared" si="8"/>
        <v>49</v>
      </c>
      <c r="B60" s="260"/>
      <c r="C60" s="260"/>
      <c r="D60" s="261"/>
      <c r="E60" s="261"/>
      <c r="F60" s="261"/>
      <c r="G60" s="187"/>
      <c r="H60" s="187"/>
      <c r="I60" s="187"/>
      <c r="J60" s="187"/>
      <c r="K60" s="230"/>
      <c r="L60" s="264"/>
      <c r="M60" s="187"/>
      <c r="N60" s="101">
        <f t="shared" si="3"/>
        <v>0</v>
      </c>
      <c r="O60" s="101">
        <f t="shared" si="4"/>
        <v>0</v>
      </c>
      <c r="P60" s="101">
        <f t="shared" si="5"/>
        <v>0</v>
      </c>
      <c r="Q60" s="101">
        <f t="shared" si="6"/>
        <v>0</v>
      </c>
      <c r="R60" s="101">
        <f t="shared" si="7"/>
        <v>0</v>
      </c>
      <c r="S60" s="265"/>
      <c r="T60" s="258">
        <f t="shared" si="9"/>
        <v>49</v>
      </c>
      <c r="U60" s="380"/>
      <c r="V60" s="380"/>
      <c r="W60" s="378"/>
      <c r="X60" s="378"/>
      <c r="Y60" s="379"/>
      <c r="Z60" s="379"/>
      <c r="AA60" s="379"/>
      <c r="AB60" s="379"/>
      <c r="AC60" s="379"/>
      <c r="AD60" s="263"/>
      <c r="AE60" s="263"/>
      <c r="AF60" s="263"/>
      <c r="AG60" s="263"/>
      <c r="AH60" s="263"/>
    </row>
    <row r="61" spans="1:34" s="1" customFormat="1" x14ac:dyDescent="0.2">
      <c r="A61" s="258">
        <f t="shared" si="8"/>
        <v>50</v>
      </c>
      <c r="B61" s="260"/>
      <c r="C61" s="261"/>
      <c r="D61" s="261"/>
      <c r="E61" s="261"/>
      <c r="F61" s="261"/>
      <c r="G61" s="187"/>
      <c r="H61" s="187"/>
      <c r="I61" s="187"/>
      <c r="J61" s="187"/>
      <c r="K61" s="230"/>
      <c r="L61" s="264"/>
      <c r="M61" s="187"/>
      <c r="N61" s="101">
        <f t="shared" si="3"/>
        <v>0</v>
      </c>
      <c r="O61" s="101">
        <f t="shared" si="4"/>
        <v>0</v>
      </c>
      <c r="P61" s="101">
        <f t="shared" si="5"/>
        <v>0</v>
      </c>
      <c r="Q61" s="101">
        <f t="shared" si="6"/>
        <v>0</v>
      </c>
      <c r="R61" s="101">
        <f t="shared" si="7"/>
        <v>0</v>
      </c>
      <c r="S61" s="265"/>
      <c r="T61" s="258">
        <f t="shared" si="9"/>
        <v>50</v>
      </c>
      <c r="U61" s="380"/>
      <c r="V61" s="380"/>
      <c r="W61" s="378"/>
      <c r="X61" s="378"/>
      <c r="Y61" s="379"/>
      <c r="Z61" s="379"/>
      <c r="AA61" s="379"/>
      <c r="AB61" s="379"/>
      <c r="AC61" s="379"/>
    </row>
    <row r="62" spans="1:34" s="1" customFormat="1" x14ac:dyDescent="0.2">
      <c r="A62" s="258">
        <f t="shared" si="8"/>
        <v>51</v>
      </c>
      <c r="B62" s="260"/>
      <c r="C62" s="261"/>
      <c r="D62" s="261"/>
      <c r="E62" s="261"/>
      <c r="F62" s="261"/>
      <c r="G62" s="187"/>
      <c r="H62" s="187"/>
      <c r="I62" s="187"/>
      <c r="J62" s="187"/>
      <c r="K62" s="230"/>
      <c r="L62" s="264"/>
      <c r="M62" s="187"/>
      <c r="N62" s="101">
        <f t="shared" si="3"/>
        <v>0</v>
      </c>
      <c r="O62" s="101">
        <f t="shared" si="4"/>
        <v>0</v>
      </c>
      <c r="P62" s="101">
        <f t="shared" si="5"/>
        <v>0</v>
      </c>
      <c r="Q62" s="101">
        <f t="shared" si="6"/>
        <v>0</v>
      </c>
      <c r="R62" s="101">
        <f t="shared" si="7"/>
        <v>0</v>
      </c>
      <c r="S62" s="265"/>
      <c r="T62" s="258">
        <f t="shared" si="9"/>
        <v>51</v>
      </c>
      <c r="U62" s="380"/>
      <c r="V62" s="380"/>
      <c r="W62" s="378"/>
      <c r="X62" s="378"/>
      <c r="Y62" s="379"/>
      <c r="Z62" s="379"/>
      <c r="AA62" s="379"/>
      <c r="AB62" s="379"/>
      <c r="AC62" s="379"/>
    </row>
    <row r="63" spans="1:34" s="1" customFormat="1" x14ac:dyDescent="0.2">
      <c r="A63" s="258">
        <f t="shared" si="8"/>
        <v>52</v>
      </c>
      <c r="B63" s="260"/>
      <c r="C63" s="261"/>
      <c r="D63" s="261"/>
      <c r="E63" s="261"/>
      <c r="F63" s="261"/>
      <c r="G63" s="187"/>
      <c r="H63" s="187"/>
      <c r="I63" s="187"/>
      <c r="J63" s="187"/>
      <c r="K63" s="230"/>
      <c r="L63" s="264"/>
      <c r="M63" s="187"/>
      <c r="N63" s="101">
        <f t="shared" si="3"/>
        <v>0</v>
      </c>
      <c r="O63" s="101">
        <f t="shared" si="4"/>
        <v>0</v>
      </c>
      <c r="P63" s="101">
        <f t="shared" si="5"/>
        <v>0</v>
      </c>
      <c r="Q63" s="101">
        <f t="shared" si="6"/>
        <v>0</v>
      </c>
      <c r="R63" s="101">
        <f t="shared" si="7"/>
        <v>0</v>
      </c>
      <c r="S63" s="265"/>
      <c r="T63" s="258">
        <f t="shared" si="9"/>
        <v>52</v>
      </c>
      <c r="U63" s="380"/>
      <c r="V63" s="380"/>
      <c r="W63" s="378"/>
      <c r="X63" s="378"/>
      <c r="Y63" s="379"/>
      <c r="Z63" s="379"/>
      <c r="AA63" s="379"/>
      <c r="AB63" s="379"/>
      <c r="AC63" s="379"/>
    </row>
    <row r="64" spans="1:34" s="1" customFormat="1" x14ac:dyDescent="0.2">
      <c r="A64" s="258">
        <f t="shared" si="8"/>
        <v>53</v>
      </c>
      <c r="B64" s="260"/>
      <c r="C64" s="261"/>
      <c r="D64" s="261"/>
      <c r="E64" s="261"/>
      <c r="F64" s="261"/>
      <c r="G64" s="187"/>
      <c r="H64" s="187"/>
      <c r="I64" s="187"/>
      <c r="J64" s="187"/>
      <c r="K64" s="230"/>
      <c r="L64" s="264"/>
      <c r="M64" s="187"/>
      <c r="N64" s="101">
        <f t="shared" si="3"/>
        <v>0</v>
      </c>
      <c r="O64" s="101">
        <f t="shared" si="4"/>
        <v>0</v>
      </c>
      <c r="P64" s="101">
        <f t="shared" si="5"/>
        <v>0</v>
      </c>
      <c r="Q64" s="101">
        <f t="shared" si="6"/>
        <v>0</v>
      </c>
      <c r="R64" s="101">
        <f t="shared" si="7"/>
        <v>0</v>
      </c>
      <c r="S64" s="265"/>
      <c r="T64" s="258">
        <f t="shared" si="9"/>
        <v>53</v>
      </c>
      <c r="U64" s="380"/>
      <c r="V64" s="380"/>
      <c r="W64" s="378"/>
      <c r="X64" s="378"/>
      <c r="Y64" s="379"/>
      <c r="Z64" s="379"/>
      <c r="AA64" s="379"/>
      <c r="AB64" s="379"/>
      <c r="AC64" s="379"/>
    </row>
    <row r="65" spans="1:29" s="1" customFormat="1" x14ac:dyDescent="0.2">
      <c r="A65" s="258">
        <f t="shared" si="8"/>
        <v>54</v>
      </c>
      <c r="B65" s="260"/>
      <c r="C65" s="261"/>
      <c r="D65" s="261"/>
      <c r="E65" s="261"/>
      <c r="F65" s="261"/>
      <c r="G65" s="187"/>
      <c r="H65" s="187"/>
      <c r="I65" s="187"/>
      <c r="J65" s="187"/>
      <c r="K65" s="230"/>
      <c r="L65" s="264"/>
      <c r="M65" s="187"/>
      <c r="N65" s="101">
        <f t="shared" si="3"/>
        <v>0</v>
      </c>
      <c r="O65" s="101">
        <f t="shared" si="4"/>
        <v>0</v>
      </c>
      <c r="P65" s="101">
        <f t="shared" si="5"/>
        <v>0</v>
      </c>
      <c r="Q65" s="101">
        <f t="shared" si="6"/>
        <v>0</v>
      </c>
      <c r="R65" s="101">
        <f t="shared" si="7"/>
        <v>0</v>
      </c>
      <c r="S65" s="265"/>
      <c r="T65" s="258">
        <f t="shared" si="9"/>
        <v>54</v>
      </c>
      <c r="U65" s="380"/>
      <c r="V65" s="380"/>
      <c r="W65" s="378"/>
      <c r="X65" s="378"/>
      <c r="Y65" s="379"/>
      <c r="Z65" s="379"/>
      <c r="AA65" s="379"/>
      <c r="AB65" s="379"/>
      <c r="AC65" s="379"/>
    </row>
    <row r="66" spans="1:29" s="1" customFormat="1" x14ac:dyDescent="0.2">
      <c r="A66" s="258">
        <f t="shared" si="8"/>
        <v>55</v>
      </c>
      <c r="B66" s="260"/>
      <c r="C66" s="261"/>
      <c r="D66" s="261"/>
      <c r="E66" s="261"/>
      <c r="F66" s="261"/>
      <c r="G66" s="187"/>
      <c r="H66" s="187"/>
      <c r="I66" s="187"/>
      <c r="J66" s="187"/>
      <c r="K66" s="230"/>
      <c r="L66" s="264"/>
      <c r="M66" s="187"/>
      <c r="N66" s="101">
        <f t="shared" si="3"/>
        <v>0</v>
      </c>
      <c r="O66" s="101">
        <f t="shared" si="4"/>
        <v>0</v>
      </c>
      <c r="P66" s="101">
        <f t="shared" si="5"/>
        <v>0</v>
      </c>
      <c r="Q66" s="101">
        <f t="shared" si="6"/>
        <v>0</v>
      </c>
      <c r="R66" s="101">
        <f t="shared" si="7"/>
        <v>0</v>
      </c>
      <c r="S66" s="265"/>
      <c r="T66" s="258">
        <f t="shared" si="9"/>
        <v>55</v>
      </c>
      <c r="U66" s="380"/>
      <c r="V66" s="380"/>
      <c r="W66" s="378"/>
      <c r="X66" s="378"/>
      <c r="Y66" s="379"/>
      <c r="Z66" s="379"/>
      <c r="AA66" s="379"/>
      <c r="AB66" s="379"/>
      <c r="AC66" s="379"/>
    </row>
    <row r="67" spans="1:29" s="1" customFormat="1" x14ac:dyDescent="0.2">
      <c r="A67" s="258">
        <f t="shared" si="8"/>
        <v>56</v>
      </c>
      <c r="B67" s="260"/>
      <c r="C67" s="261"/>
      <c r="D67" s="261"/>
      <c r="E67" s="261"/>
      <c r="F67" s="261"/>
      <c r="G67" s="187"/>
      <c r="H67" s="187"/>
      <c r="I67" s="187"/>
      <c r="J67" s="187"/>
      <c r="K67" s="230"/>
      <c r="L67" s="264"/>
      <c r="M67" s="187"/>
      <c r="N67" s="101">
        <f t="shared" si="3"/>
        <v>0</v>
      </c>
      <c r="O67" s="101">
        <f t="shared" si="4"/>
        <v>0</v>
      </c>
      <c r="P67" s="101">
        <f t="shared" si="5"/>
        <v>0</v>
      </c>
      <c r="Q67" s="101">
        <f t="shared" si="6"/>
        <v>0</v>
      </c>
      <c r="R67" s="101">
        <f t="shared" si="7"/>
        <v>0</v>
      </c>
      <c r="S67" s="265"/>
      <c r="T67" s="258">
        <f t="shared" si="9"/>
        <v>56</v>
      </c>
      <c r="U67" s="380"/>
      <c r="V67" s="380"/>
      <c r="W67" s="378"/>
      <c r="X67" s="378"/>
      <c r="Y67" s="379"/>
      <c r="Z67" s="379"/>
      <c r="AA67" s="379"/>
      <c r="AB67" s="379"/>
      <c r="AC67" s="379"/>
    </row>
    <row r="68" spans="1:29" s="1" customFormat="1" x14ac:dyDescent="0.2">
      <c r="A68" s="258">
        <f t="shared" si="8"/>
        <v>57</v>
      </c>
      <c r="B68" s="260"/>
      <c r="C68" s="261"/>
      <c r="D68" s="261"/>
      <c r="E68" s="261"/>
      <c r="F68" s="261"/>
      <c r="G68" s="187"/>
      <c r="H68" s="187"/>
      <c r="I68" s="187"/>
      <c r="J68" s="187"/>
      <c r="K68" s="230"/>
      <c r="L68" s="264"/>
      <c r="M68" s="187"/>
      <c r="N68" s="101">
        <f t="shared" si="3"/>
        <v>0</v>
      </c>
      <c r="O68" s="101">
        <f t="shared" si="4"/>
        <v>0</v>
      </c>
      <c r="P68" s="101">
        <f t="shared" si="5"/>
        <v>0</v>
      </c>
      <c r="Q68" s="101">
        <f t="shared" si="6"/>
        <v>0</v>
      </c>
      <c r="R68" s="101">
        <f t="shared" si="7"/>
        <v>0</v>
      </c>
      <c r="S68" s="265"/>
      <c r="T68" s="258">
        <f t="shared" si="9"/>
        <v>57</v>
      </c>
      <c r="U68" s="380"/>
      <c r="V68" s="380"/>
      <c r="W68" s="378"/>
      <c r="X68" s="378"/>
      <c r="Y68" s="379"/>
      <c r="Z68" s="379"/>
      <c r="AA68" s="379"/>
      <c r="AB68" s="379"/>
      <c r="AC68" s="379"/>
    </row>
    <row r="69" spans="1:29" s="1" customFormat="1" x14ac:dyDescent="0.2">
      <c r="A69" s="258">
        <f t="shared" si="8"/>
        <v>58</v>
      </c>
      <c r="B69" s="260"/>
      <c r="C69" s="261"/>
      <c r="D69" s="261"/>
      <c r="E69" s="261"/>
      <c r="F69" s="261"/>
      <c r="G69" s="187"/>
      <c r="H69" s="187"/>
      <c r="I69" s="187"/>
      <c r="J69" s="187"/>
      <c r="K69" s="230"/>
      <c r="L69" s="264"/>
      <c r="M69" s="187"/>
      <c r="N69" s="101">
        <f t="shared" si="3"/>
        <v>0</v>
      </c>
      <c r="O69" s="101">
        <f t="shared" si="4"/>
        <v>0</v>
      </c>
      <c r="P69" s="101">
        <f t="shared" si="5"/>
        <v>0</v>
      </c>
      <c r="Q69" s="101">
        <f t="shared" si="6"/>
        <v>0</v>
      </c>
      <c r="R69" s="101">
        <f t="shared" si="7"/>
        <v>0</v>
      </c>
      <c r="S69" s="265"/>
      <c r="T69" s="258">
        <f t="shared" si="9"/>
        <v>58</v>
      </c>
      <c r="U69" s="380"/>
      <c r="V69" s="380"/>
      <c r="W69" s="378"/>
      <c r="X69" s="378"/>
      <c r="Y69" s="379"/>
      <c r="Z69" s="379"/>
      <c r="AA69" s="379"/>
      <c r="AB69" s="379"/>
      <c r="AC69" s="379"/>
    </row>
    <row r="70" spans="1:29" s="1" customFormat="1" x14ac:dyDescent="0.2">
      <c r="A70" s="258">
        <f t="shared" si="8"/>
        <v>59</v>
      </c>
      <c r="B70" s="260"/>
      <c r="C70" s="261"/>
      <c r="D70" s="261"/>
      <c r="E70" s="261"/>
      <c r="F70" s="261"/>
      <c r="G70" s="187"/>
      <c r="H70" s="187"/>
      <c r="I70" s="187"/>
      <c r="J70" s="187"/>
      <c r="K70" s="230"/>
      <c r="L70" s="264"/>
      <c r="M70" s="187"/>
      <c r="N70" s="101">
        <f t="shared" si="3"/>
        <v>0</v>
      </c>
      <c r="O70" s="101">
        <f t="shared" si="4"/>
        <v>0</v>
      </c>
      <c r="P70" s="101">
        <f t="shared" si="5"/>
        <v>0</v>
      </c>
      <c r="Q70" s="101">
        <f t="shared" si="6"/>
        <v>0</v>
      </c>
      <c r="R70" s="101">
        <f t="shared" si="7"/>
        <v>0</v>
      </c>
      <c r="S70" s="265"/>
      <c r="T70" s="258">
        <f t="shared" si="9"/>
        <v>59</v>
      </c>
      <c r="U70" s="380"/>
      <c r="V70" s="380"/>
      <c r="W70" s="378"/>
      <c r="X70" s="378"/>
      <c r="Y70" s="379"/>
      <c r="Z70" s="379"/>
      <c r="AA70" s="379"/>
      <c r="AB70" s="379"/>
      <c r="AC70" s="379"/>
    </row>
    <row r="71" spans="1:29" s="1" customFormat="1" x14ac:dyDescent="0.2">
      <c r="A71" s="258">
        <f t="shared" si="8"/>
        <v>60</v>
      </c>
      <c r="B71" s="260"/>
      <c r="C71" s="261"/>
      <c r="D71" s="261"/>
      <c r="E71" s="261"/>
      <c r="F71" s="261"/>
      <c r="G71" s="187"/>
      <c r="H71" s="187"/>
      <c r="I71" s="187"/>
      <c r="J71" s="187"/>
      <c r="K71" s="230"/>
      <c r="L71" s="264"/>
      <c r="M71" s="187"/>
      <c r="N71" s="101">
        <f t="shared" si="3"/>
        <v>0</v>
      </c>
      <c r="O71" s="101">
        <f t="shared" si="4"/>
        <v>0</v>
      </c>
      <c r="P71" s="101">
        <f t="shared" si="5"/>
        <v>0</v>
      </c>
      <c r="Q71" s="101">
        <f t="shared" si="6"/>
        <v>0</v>
      </c>
      <c r="R71" s="101">
        <f t="shared" si="7"/>
        <v>0</v>
      </c>
      <c r="S71" s="265"/>
      <c r="T71" s="258">
        <f t="shared" si="9"/>
        <v>60</v>
      </c>
      <c r="U71" s="380"/>
      <c r="V71" s="380"/>
      <c r="W71" s="378"/>
      <c r="X71" s="378"/>
      <c r="Y71" s="379"/>
      <c r="Z71" s="379"/>
      <c r="AA71" s="379"/>
      <c r="AB71" s="379"/>
      <c r="AC71" s="379"/>
    </row>
    <row r="72" spans="1:29" x14ac:dyDescent="0.2"/>
    <row r="73" spans="1:29" x14ac:dyDescent="0.2"/>
    <row r="74" spans="1:29" x14ac:dyDescent="0.2"/>
    <row r="75" spans="1:29" x14ac:dyDescent="0.2"/>
    <row r="76" spans="1:29" x14ac:dyDescent="0.2"/>
    <row r="77" spans="1:29" x14ac:dyDescent="0.2"/>
    <row r="78" spans="1:29" x14ac:dyDescent="0.2"/>
    <row r="79" spans="1:29" x14ac:dyDescent="0.2"/>
    <row r="80" spans="1:29"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sheetData>
  <mergeCells count="4">
    <mergeCell ref="G9:K9"/>
    <mergeCell ref="Y9:AC9"/>
    <mergeCell ref="M9:R9"/>
    <mergeCell ref="O3:R3"/>
  </mergeCells>
  <conditionalFormatting sqref="H1">
    <cfRule type="cellIs" dxfId="91" priority="3" operator="equal">
      <formula>"Check"</formula>
    </cfRule>
    <cfRule type="cellIs" dxfId="90" priority="4" operator="equal">
      <formula>"Ok"</formula>
    </cfRule>
  </conditionalFormatting>
  <conditionalFormatting sqref="L63:M69 S63:S69">
    <cfRule type="colorScale" priority="21">
      <colorScale>
        <cfvo type="min"/>
        <cfvo type="percentile" val="50"/>
        <cfvo type="max"/>
        <color rgb="FFF8696B"/>
        <color rgb="FFFCFCFF"/>
        <color rgb="FF63BE7B"/>
      </colorScale>
    </cfRule>
  </conditionalFormatting>
  <dataValidations count="2">
    <dataValidation type="list" allowBlank="1" showInputMessage="1" showErrorMessage="1" sqref="W12:W71" xr:uid="{00000000-0002-0000-0800-000000000000}">
      <formula1>#REF!</formula1>
    </dataValidation>
    <dataValidation type="list" allowBlank="1" showInputMessage="1" showErrorMessage="1" sqref="X12:X71" xr:uid="{00000000-0002-0000-0800-000001000000}">
      <formula1>$B$52:$B$61</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5" id="{D4095C04-89A5-438D-99C4-D8EE1BF167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N10:R10</xm:sqref>
        </x14:conditionalFormatting>
        <x14:conditionalFormatting xmlns:xm="http://schemas.microsoft.com/office/excel/2006/main">
          <x14:cfRule type="iconSet" priority="209" id="{0753589B-99BB-4FE4-81B1-E6562BFC0B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N12:R71</xm:sqref>
        </x14:conditionalFormatting>
        <x14:conditionalFormatting xmlns:xm="http://schemas.microsoft.com/office/excel/2006/main">
          <x14:cfRule type="iconSet" priority="1" id="{4C4DBBDF-2164-47C8-A326-A387BB45D30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N62:R71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293D5B-7328-4FF7-BB27-DA8E0C57EF61}">
          <x14:formula1>
            <xm:f>'Input|Setup'!$B$25:$B$27</xm:f>
          </x14:formula1>
          <xm:sqref>D12:D71</xm:sqref>
        </x14:dataValidation>
        <x14:dataValidation type="list" allowBlank="1" showInputMessage="1" showErrorMessage="1" xr:uid="{A226CDDE-FB23-45FF-8FCA-7BA96002ECD9}">
          <x14:formula1>
            <xm:f>'Input|Labour Rates'!$B$100:$B$149</xm:f>
          </x14:formula1>
          <xm:sqref>B12:B71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A40B0-2C36-461E-BF65-79C9723EEDF7}">
  <sheetPr codeName="Sheet47">
    <tabColor theme="8" tint="0.79998168889431442"/>
  </sheetPr>
  <dimension ref="A1:HJ1017"/>
  <sheetViews>
    <sheetView showGridLines="0" zoomScaleNormal="100" workbookViewId="0">
      <pane xSplit="6" ySplit="12" topLeftCell="AD13" activePane="bottomRight" state="frozen"/>
      <selection pane="topRight" activeCell="A2" sqref="A2"/>
      <selection pane="bottomLeft" activeCell="A2" sqref="A2"/>
      <selection pane="bottomRight" activeCell="B16" sqref="B16"/>
    </sheetView>
  </sheetViews>
  <sheetFormatPr defaultColWidth="0" defaultRowHeight="0" customHeight="1" zeroHeight="1" outlineLevelCol="1" x14ac:dyDescent="0.2"/>
  <cols>
    <col min="1" max="1" width="7.140625" style="16" customWidth="1"/>
    <col min="2" max="2" width="13.7109375" style="8" customWidth="1"/>
    <col min="3" max="3" width="45.42578125" style="17" bestFit="1" customWidth="1"/>
    <col min="4" max="4" width="18.28515625" style="17" bestFit="1" customWidth="1"/>
    <col min="5" max="5" width="13.140625" style="17" customWidth="1"/>
    <col min="6" max="6" width="21.7109375" style="17" customWidth="1"/>
    <col min="7" max="7" width="14.140625" style="19" customWidth="1"/>
    <col min="8" max="15" width="14.140625" style="2" customWidth="1"/>
    <col min="16" max="16" width="5.28515625" style="2" customWidth="1"/>
    <col min="17" max="18" width="14.140625" hidden="1" customWidth="1" outlineLevel="1"/>
    <col min="19" max="19" width="14.140625" customWidth="1" collapsed="1"/>
    <col min="20" max="23" width="14.140625" customWidth="1"/>
    <col min="24" max="24" width="5.140625" style="2" customWidth="1"/>
    <col min="25" max="26" width="14.140625" hidden="1" customWidth="1" outlineLevel="1"/>
    <col min="27" max="27" width="14.140625" customWidth="1" collapsed="1"/>
    <col min="28" max="31" width="14.140625" customWidth="1"/>
    <col min="32" max="32" width="3.7109375" customWidth="1"/>
    <col min="33" max="38" width="14.140625" style="2" customWidth="1"/>
    <col min="39" max="39" width="14.140625" style="256" customWidth="1"/>
    <col min="40" max="40" width="4.28515625" style="2" customWidth="1"/>
    <col min="41" max="42" width="15.7109375" style="2" customWidth="1"/>
    <col min="43" max="43" width="4.7109375" style="2" customWidth="1"/>
    <col min="44" max="45" width="15.7109375" style="2" customWidth="1"/>
    <col min="46" max="46" width="5.42578125" style="2" customWidth="1"/>
    <col min="47" max="53" width="15.7109375" style="2" customWidth="1"/>
    <col min="54" max="54" width="4.140625" style="2" customWidth="1"/>
    <col min="55" max="61" width="15.7109375" style="2" customWidth="1"/>
    <col min="62" max="69" width="15.7109375" customWidth="1"/>
    <col min="70" max="70" width="5" customWidth="1"/>
    <col min="71" max="76" width="15.7109375" customWidth="1"/>
    <col min="77" max="77" width="10.28515625" style="5" bestFit="1" customWidth="1"/>
    <col min="78" max="78" width="6.28515625" customWidth="1"/>
    <col min="79" max="84" width="15.7109375" customWidth="1"/>
    <col min="85" max="85" width="11.28515625" style="5" bestFit="1" customWidth="1"/>
    <col min="86" max="86" width="10.28515625" customWidth="1"/>
    <col min="87" max="93" width="15.7109375" customWidth="1"/>
    <col min="94" max="94" width="6.28515625" customWidth="1"/>
    <col min="95" max="100" width="15.7109375" customWidth="1"/>
    <col min="101" max="101" width="11.28515625" style="5" bestFit="1" customWidth="1"/>
    <col min="102" max="205" width="10.28515625" customWidth="1"/>
    <col min="206" max="206" width="8.7109375" style="5" customWidth="1"/>
    <col min="207" max="218" width="0" hidden="1" customWidth="1"/>
    <col min="219" max="16384" width="8.7109375" hidden="1"/>
  </cols>
  <sheetData>
    <row r="1" spans="1:206" s="27" customFormat="1" ht="24.95" customHeight="1" x14ac:dyDescent="0.2">
      <c r="B1" s="35" t="str">
        <f>IFERROR(Index!B1,"")</f>
        <v>Jemena Electricity Networks – Alternative Control Services Forecast model</v>
      </c>
      <c r="D1" s="28" t="s">
        <v>115</v>
      </c>
      <c r="E1" s="37" t="s">
        <v>116</v>
      </c>
      <c r="F1" s="28"/>
      <c r="G1" s="28"/>
      <c r="H1" s="28" t="s">
        <v>117</v>
      </c>
      <c r="I1" s="122">
        <f>'Model Validation'!C15</f>
        <v>0</v>
      </c>
      <c r="J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54"/>
    </row>
    <row r="2" spans="1:206" s="38" customFormat="1" ht="24.95" customHeight="1" x14ac:dyDescent="0.2">
      <c r="B2" s="35" t="str">
        <f ca="1">IFERROR(MID(CELL("filename",A1),FIND("]",CELL("filename",A1))+1,255),"")</f>
        <v>Input|Volume, Revenue, Cost</v>
      </c>
      <c r="C2" s="28"/>
      <c r="D2" s="28"/>
      <c r="E2" s="69" t="s">
        <v>118</v>
      </c>
      <c r="F2" s="28"/>
      <c r="G2" s="28"/>
      <c r="H2" s="28"/>
      <c r="I2" s="28"/>
      <c r="J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55"/>
    </row>
    <row r="3" spans="1:206" ht="12.75" x14ac:dyDescent="0.2">
      <c r="A3" s="9"/>
      <c r="B3" s="6"/>
      <c r="C3" s="10"/>
      <c r="D3" s="10"/>
      <c r="E3" s="10"/>
      <c r="F3" s="10"/>
      <c r="G3" s="10"/>
      <c r="H3" s="10"/>
      <c r="I3"/>
      <c r="J3"/>
      <c r="K3"/>
      <c r="L3"/>
      <c r="M3"/>
      <c r="N3"/>
      <c r="O3"/>
      <c r="P3"/>
      <c r="X3"/>
      <c r="AG3" s="10"/>
      <c r="AH3" s="10"/>
      <c r="AI3" s="10"/>
      <c r="AJ3" s="10"/>
      <c r="AK3" s="10"/>
      <c r="AL3" s="10"/>
      <c r="AM3" s="10"/>
      <c r="AN3"/>
      <c r="AO3"/>
      <c r="AP3"/>
      <c r="AQ3"/>
      <c r="AR3"/>
      <c r="AS3"/>
      <c r="AT3"/>
      <c r="AU3"/>
      <c r="AV3"/>
      <c r="AW3"/>
      <c r="AX3"/>
      <c r="AY3"/>
      <c r="AZ3"/>
      <c r="BA3"/>
      <c r="BB3"/>
      <c r="BC3"/>
      <c r="BD3"/>
      <c r="BE3"/>
      <c r="BF3"/>
      <c r="BG3"/>
      <c r="BH3"/>
      <c r="BI3"/>
      <c r="BY3"/>
      <c r="CG3"/>
      <c r="CW3"/>
      <c r="GX3"/>
    </row>
    <row r="4" spans="1:206" s="3" customFormat="1" ht="15" x14ac:dyDescent="0.2">
      <c r="A4" s="152"/>
      <c r="B4" s="152" t="s">
        <v>525</v>
      </c>
      <c r="C4" s="152"/>
      <c r="D4" s="152"/>
      <c r="E4" s="152"/>
      <c r="F4" s="152"/>
      <c r="G4" s="152"/>
      <c r="H4" s="152"/>
      <c r="I4" s="152"/>
      <c r="J4" s="152"/>
      <c r="K4"/>
      <c r="L4"/>
      <c r="M4"/>
      <c r="N4"/>
      <c r="O4"/>
      <c r="P4"/>
      <c r="Q4"/>
      <c r="R4"/>
      <c r="S4"/>
      <c r="T4"/>
      <c r="U4"/>
      <c r="V4"/>
      <c r="W4"/>
      <c r="X4"/>
      <c r="Y4"/>
      <c r="Z4"/>
      <c r="AA4"/>
      <c r="AB4"/>
      <c r="AC4"/>
      <c r="AD4"/>
      <c r="AE4"/>
      <c r="AF4"/>
      <c r="BJ4"/>
      <c r="BK4"/>
      <c r="BL4"/>
      <c r="BM4"/>
      <c r="BN4"/>
      <c r="BO4"/>
      <c r="BP4"/>
      <c r="BQ4"/>
      <c r="BR4"/>
      <c r="BS4"/>
      <c r="BT4"/>
      <c r="BU4"/>
      <c r="BV4"/>
      <c r="BW4"/>
      <c r="BX4"/>
      <c r="CA4"/>
      <c r="CB4"/>
      <c r="CC4"/>
      <c r="CD4"/>
      <c r="CE4"/>
      <c r="CF4"/>
      <c r="CI4"/>
      <c r="CJ4"/>
      <c r="CK4"/>
      <c r="CL4"/>
      <c r="CM4"/>
      <c r="CN4"/>
      <c r="CO4"/>
      <c r="CQ4"/>
      <c r="CR4"/>
      <c r="CS4"/>
      <c r="CT4"/>
      <c r="CU4"/>
      <c r="CV4"/>
    </row>
    <row r="5" spans="1:206" ht="12.75" x14ac:dyDescent="0.2">
      <c r="B5" s="208"/>
      <c r="C5" s="10"/>
      <c r="D5" s="10"/>
      <c r="E5" s="10"/>
      <c r="F5" s="10"/>
      <c r="G5" s="5"/>
      <c r="H5" s="5"/>
      <c r="I5"/>
      <c r="J5"/>
      <c r="K5"/>
      <c r="L5"/>
      <c r="M5"/>
      <c r="N5"/>
      <c r="O5"/>
      <c r="P5"/>
      <c r="X5"/>
      <c r="AG5"/>
      <c r="AH5"/>
      <c r="AI5"/>
      <c r="AJ5"/>
      <c r="AK5"/>
      <c r="AL5"/>
      <c r="AM5"/>
      <c r="AN5"/>
      <c r="AO5"/>
      <c r="AP5"/>
      <c r="AQ5"/>
      <c r="AR5"/>
      <c r="AS5"/>
      <c r="AT5"/>
      <c r="AU5"/>
      <c r="AV5"/>
      <c r="AW5"/>
      <c r="AX5"/>
      <c r="AY5"/>
      <c r="AZ5"/>
      <c r="BA5"/>
      <c r="BB5"/>
      <c r="BC5"/>
      <c r="BD5"/>
      <c r="BE5"/>
      <c r="BF5"/>
      <c r="BG5"/>
      <c r="BH5"/>
      <c r="BI5"/>
      <c r="BY5"/>
      <c r="CG5"/>
      <c r="CW5"/>
      <c r="GX5"/>
    </row>
    <row r="6" spans="1:206" ht="12.75" x14ac:dyDescent="0.2">
      <c r="A6" s="9"/>
      <c r="B6" s="209"/>
      <c r="C6" s="10"/>
      <c r="D6" s="113" t="str">
        <f>'Input|Setup'!B14</f>
        <v>2024-25</v>
      </c>
      <c r="E6" s="113" t="str">
        <f>'Input|Setup'!B15</f>
        <v>2025-26</v>
      </c>
      <c r="F6" s="113" t="str">
        <f>'Input|Setup'!E11</f>
        <v>2026-27</v>
      </c>
      <c r="G6" s="113" t="str">
        <f>'Input|Setup'!E12</f>
        <v>2027-28</v>
      </c>
      <c r="H6" s="113" t="str">
        <f>'Input|Setup'!E13</f>
        <v>2028-29</v>
      </c>
      <c r="I6" s="113" t="str">
        <f>'Input|Setup'!E14</f>
        <v>2029-30</v>
      </c>
      <c r="J6" s="113" t="str">
        <f>'Input|Setup'!E15</f>
        <v>2030-31</v>
      </c>
      <c r="K6"/>
      <c r="L6"/>
      <c r="M6"/>
      <c r="N6"/>
      <c r="O6"/>
      <c r="P6"/>
      <c r="X6"/>
      <c r="AG6"/>
      <c r="AH6"/>
      <c r="AI6"/>
      <c r="AJ6"/>
      <c r="AK6"/>
      <c r="AL6"/>
      <c r="AM6"/>
      <c r="AN6"/>
      <c r="AO6"/>
      <c r="AP6"/>
      <c r="AQ6"/>
      <c r="AR6"/>
      <c r="AS6"/>
      <c r="AT6"/>
      <c r="AU6"/>
      <c r="AV6"/>
      <c r="AW6"/>
      <c r="AX6"/>
      <c r="AY6"/>
      <c r="AZ6"/>
      <c r="BA6"/>
      <c r="BB6"/>
      <c r="BC6"/>
      <c r="BD6"/>
      <c r="BE6"/>
      <c r="BF6"/>
      <c r="BG6"/>
      <c r="BH6"/>
      <c r="BI6"/>
      <c r="BY6"/>
      <c r="CG6"/>
      <c r="CW6"/>
      <c r="GX6"/>
    </row>
    <row r="7" spans="1:206" ht="12.75" x14ac:dyDescent="0.2">
      <c r="A7" s="9"/>
      <c r="B7" s="209" t="s">
        <v>526</v>
      </c>
      <c r="C7" s="10"/>
      <c r="D7" s="271">
        <v>1.3899999999999999E-2</v>
      </c>
      <c r="E7" s="271">
        <v>1.38E-2</v>
      </c>
      <c r="F7" s="271">
        <v>1.7242464344908726E-2</v>
      </c>
      <c r="G7" s="271">
        <v>1.803882268285939E-2</v>
      </c>
      <c r="H7" s="271">
        <v>1.7653599629277039E-2</v>
      </c>
      <c r="I7" s="271">
        <v>1.7324380647018245E-2</v>
      </c>
      <c r="J7" s="271">
        <v>1.7038486332985769E-2</v>
      </c>
      <c r="K7"/>
      <c r="L7"/>
      <c r="M7"/>
      <c r="N7"/>
      <c r="O7"/>
      <c r="P7"/>
      <c r="X7"/>
      <c r="AG7"/>
      <c r="AH7"/>
      <c r="AI7"/>
      <c r="AJ7"/>
      <c r="AK7"/>
      <c r="AL7"/>
      <c r="AM7"/>
      <c r="AN7"/>
      <c r="AO7"/>
      <c r="AP7"/>
      <c r="AQ7"/>
      <c r="AR7"/>
      <c r="AS7"/>
      <c r="AT7"/>
      <c r="AU7"/>
      <c r="AV7"/>
      <c r="AW7"/>
      <c r="AX7"/>
      <c r="AY7"/>
      <c r="AZ7"/>
      <c r="BA7"/>
      <c r="BB7"/>
      <c r="BC7"/>
      <c r="BD7"/>
      <c r="BE7"/>
      <c r="BF7"/>
      <c r="BG7"/>
      <c r="BH7"/>
      <c r="BI7"/>
      <c r="BY7"/>
      <c r="CG7"/>
      <c r="CW7"/>
      <c r="GX7"/>
    </row>
    <row r="8" spans="1:206" ht="12.75" x14ac:dyDescent="0.2">
      <c r="A8" s="9"/>
      <c r="B8" s="209"/>
      <c r="C8" s="10"/>
      <c r="D8" s="10"/>
      <c r="E8" s="10"/>
      <c r="F8" s="10"/>
      <c r="G8" s="5"/>
      <c r="H8" s="5"/>
      <c r="I8" s="5"/>
      <c r="J8" s="5"/>
      <c r="K8" s="5"/>
      <c r="L8" s="5"/>
      <c r="M8" s="5"/>
      <c r="N8" s="5"/>
      <c r="O8" s="5"/>
      <c r="P8"/>
      <c r="X8"/>
      <c r="AG8"/>
      <c r="AH8"/>
      <c r="AI8"/>
      <c r="AJ8"/>
      <c r="AK8"/>
      <c r="AL8"/>
      <c r="AM8"/>
      <c r="AN8"/>
      <c r="AO8"/>
      <c r="AP8"/>
      <c r="AQ8"/>
      <c r="AR8"/>
      <c r="AS8"/>
      <c r="AT8"/>
      <c r="AU8"/>
      <c r="AV8"/>
      <c r="AW8"/>
      <c r="AX8"/>
      <c r="AY8"/>
      <c r="AZ8"/>
      <c r="BA8"/>
      <c r="BB8"/>
      <c r="BC8"/>
      <c r="BD8"/>
      <c r="BE8"/>
      <c r="BF8"/>
      <c r="BG8"/>
      <c r="BH8"/>
      <c r="BI8"/>
      <c r="BY8"/>
      <c r="CG8"/>
      <c r="CW8"/>
      <c r="GX8"/>
    </row>
    <row r="9" spans="1:206" ht="7.5" customHeight="1" x14ac:dyDescent="0.2">
      <c r="A9" s="9"/>
      <c r="B9" s="6"/>
      <c r="C9" s="10"/>
      <c r="D9" s="10"/>
      <c r="E9" s="10"/>
      <c r="F9" s="10"/>
      <c r="H9" s="19"/>
      <c r="I9" s="19"/>
      <c r="J9" s="19"/>
      <c r="K9" s="19"/>
      <c r="L9" s="19"/>
      <c r="M9" s="19"/>
      <c r="N9" s="19"/>
      <c r="O9" s="19"/>
      <c r="P9"/>
      <c r="X9"/>
      <c r="AG9"/>
      <c r="AH9"/>
      <c r="AI9"/>
      <c r="AJ9"/>
      <c r="AK9"/>
      <c r="AL9"/>
      <c r="AM9"/>
      <c r="AN9"/>
      <c r="AO9"/>
      <c r="AP9"/>
      <c r="AQ9"/>
      <c r="AR9"/>
      <c r="AS9"/>
      <c r="AT9"/>
      <c r="AU9"/>
      <c r="AV9"/>
      <c r="AW9"/>
      <c r="AX9"/>
      <c r="AY9"/>
      <c r="AZ9"/>
      <c r="BA9"/>
      <c r="BB9"/>
      <c r="BC9"/>
      <c r="BD9"/>
      <c r="BE9"/>
      <c r="BF9"/>
      <c r="BG9"/>
      <c r="BH9"/>
      <c r="BI9"/>
      <c r="BY9"/>
      <c r="CG9"/>
      <c r="CW9"/>
      <c r="GX9"/>
    </row>
    <row r="10" spans="1:206" s="3" customFormat="1" ht="12.75" customHeight="1" x14ac:dyDescent="0.2">
      <c r="A10" s="152"/>
      <c r="B10" s="152" t="s">
        <v>527</v>
      </c>
      <c r="C10" s="152"/>
      <c r="D10" s="105"/>
      <c r="E10" s="105"/>
      <c r="F10" s="105"/>
      <c r="G10"/>
      <c r="H10" s="531" t="s">
        <v>528</v>
      </c>
      <c r="I10" s="531"/>
      <c r="J10" s="531"/>
      <c r="K10" s="531"/>
      <c r="L10" s="531"/>
      <c r="M10" s="531"/>
      <c r="N10" s="531"/>
      <c r="O10" s="531"/>
      <c r="P10"/>
      <c r="Q10" s="531" t="str">
        <f>IFERROR("Price Forecast, $ ($nominal)","")</f>
        <v>Price Forecast, $ ($nominal)</v>
      </c>
      <c r="R10" s="531"/>
      <c r="S10" s="531"/>
      <c r="T10" s="531"/>
      <c r="U10" s="531"/>
      <c r="V10" s="531"/>
      <c r="W10" s="531"/>
      <c r="X10"/>
      <c r="Y10" s="531" t="str">
        <f>IFERROR("Revenue Forecast, $ ($nominal)","")</f>
        <v>Revenue Forecast, $ ($nominal)</v>
      </c>
      <c r="Z10" s="531"/>
      <c r="AA10" s="531"/>
      <c r="AB10" s="531"/>
      <c r="AC10" s="531"/>
      <c r="AD10" s="531"/>
      <c r="AE10" s="531"/>
      <c r="AF10"/>
      <c r="AG10" s="531" t="str">
        <f>IFERROR("Revenue Forecast, $ ($" &amp; 'Input|Setup'!$B$15 &amp; ")","")</f>
        <v>Revenue Forecast, $ ($2025-26)</v>
      </c>
      <c r="AH10" s="531"/>
      <c r="AI10" s="531"/>
      <c r="AJ10" s="531"/>
      <c r="AK10" s="531"/>
      <c r="AL10" s="531"/>
      <c r="AM10" s="531"/>
      <c r="AO10" s="530" t="s">
        <v>529</v>
      </c>
      <c r="AP10" s="530"/>
      <c r="AQ10" s="530"/>
      <c r="AR10" s="530"/>
      <c r="AS10" s="530"/>
      <c r="AU10" s="530" t="s">
        <v>530</v>
      </c>
      <c r="AV10" s="530"/>
      <c r="AW10" s="530"/>
      <c r="AX10" s="530"/>
      <c r="AY10" s="530"/>
      <c r="AZ10" s="530"/>
      <c r="BA10" s="530"/>
      <c r="BC10" s="530" t="s">
        <v>531</v>
      </c>
      <c r="BD10" s="530"/>
      <c r="BE10" s="530"/>
      <c r="BF10" s="530"/>
      <c r="BG10" s="530"/>
      <c r="BH10" s="530"/>
      <c r="BI10" s="530"/>
      <c r="BJ10"/>
      <c r="BK10" s="530" t="s">
        <v>532</v>
      </c>
      <c r="BL10" s="530"/>
      <c r="BM10" s="530"/>
      <c r="BN10" s="530"/>
      <c r="BO10" s="530"/>
      <c r="BP10" s="530"/>
      <c r="BQ10" s="530"/>
      <c r="BR10"/>
      <c r="BS10" s="530" t="s">
        <v>533</v>
      </c>
      <c r="BT10" s="530"/>
      <c r="BU10" s="530"/>
      <c r="BV10" s="530"/>
      <c r="BW10" s="530"/>
      <c r="BX10" s="530"/>
      <c r="BY10" s="530"/>
      <c r="BZ10"/>
      <c r="CA10" s="530" t="s">
        <v>534</v>
      </c>
      <c r="CB10" s="530"/>
      <c r="CC10" s="530"/>
      <c r="CD10" s="530"/>
      <c r="CE10" s="530"/>
      <c r="CF10" s="530"/>
      <c r="CG10" s="530"/>
      <c r="CH10"/>
      <c r="CI10" s="530" t="s">
        <v>535</v>
      </c>
      <c r="CJ10" s="530"/>
      <c r="CK10" s="530"/>
      <c r="CL10" s="530"/>
      <c r="CM10" s="530"/>
      <c r="CN10" s="530"/>
      <c r="CO10" s="530"/>
      <c r="CP10"/>
      <c r="CQ10" s="530" t="s">
        <v>536</v>
      </c>
      <c r="CR10" s="530"/>
      <c r="CS10" s="530"/>
      <c r="CT10" s="530"/>
      <c r="CU10" s="530"/>
      <c r="CV10" s="530"/>
      <c r="CW10" s="53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row>
    <row r="11" spans="1:206" ht="15.6" customHeight="1" x14ac:dyDescent="0.2">
      <c r="A11" s="9"/>
      <c r="B11" s="6"/>
      <c r="C11" s="10"/>
      <c r="D11" s="10"/>
      <c r="E11" s="10"/>
      <c r="F11" s="10"/>
      <c r="G11" s="5"/>
      <c r="H11" s="5"/>
      <c r="I11" s="101"/>
      <c r="J11" s="101"/>
      <c r="K11" s="101"/>
      <c r="L11" s="101"/>
      <c r="M11" s="101"/>
      <c r="N11" s="101"/>
      <c r="O11" s="101"/>
      <c r="P11"/>
      <c r="Q11" s="101"/>
      <c r="R11" s="101"/>
      <c r="S11" s="101"/>
      <c r="T11" s="101"/>
      <c r="U11" s="101"/>
      <c r="V11" s="101"/>
      <c r="W11" s="101"/>
      <c r="X11"/>
      <c r="Y11" s="101"/>
      <c r="Z11" s="101"/>
      <c r="AA11" s="101"/>
      <c r="AB11" s="101"/>
      <c r="AC11" s="101"/>
      <c r="AD11" s="101"/>
      <c r="AE11" s="101"/>
      <c r="AG11" s="101"/>
      <c r="AH11" s="101"/>
      <c r="AI11" s="101"/>
      <c r="AJ11" s="101"/>
      <c r="AK11" s="101"/>
      <c r="AL11" s="101"/>
      <c r="AM11" s="101"/>
      <c r="AN11"/>
      <c r="AO11"/>
      <c r="AP11"/>
      <c r="AQ11"/>
      <c r="AR11"/>
      <c r="AS11"/>
      <c r="AT11"/>
      <c r="AU11"/>
      <c r="AV11"/>
      <c r="AW11"/>
      <c r="AX11"/>
      <c r="AY11"/>
      <c r="AZ11"/>
      <c r="BA11"/>
      <c r="BB11"/>
      <c r="BC11"/>
      <c r="BD11"/>
      <c r="BE11"/>
      <c r="BF11"/>
      <c r="BG11"/>
      <c r="BH11"/>
      <c r="BI11"/>
      <c r="BY11"/>
      <c r="CG11"/>
      <c r="CW11"/>
      <c r="GX11"/>
    </row>
    <row r="12" spans="1:206" s="257" customFormat="1" ht="33" customHeight="1" x14ac:dyDescent="0.2">
      <c r="A12" s="40"/>
      <c r="B12" s="111" t="s">
        <v>14</v>
      </c>
      <c r="C12" s="111" t="s">
        <v>472</v>
      </c>
      <c r="D12" s="112" t="s">
        <v>473</v>
      </c>
      <c r="E12" s="112" t="s">
        <v>474</v>
      </c>
      <c r="F12" s="112" t="s">
        <v>475</v>
      </c>
      <c r="G12" s="3"/>
      <c r="H12" s="113" t="str">
        <f>'Input|Setup'!B13</f>
        <v>2023-24</v>
      </c>
      <c r="I12" s="113" t="str">
        <f>D6</f>
        <v>2024-25</v>
      </c>
      <c r="J12" s="113" t="str">
        <f t="shared" ref="J12:O12" si="0">E6</f>
        <v>2025-26</v>
      </c>
      <c r="K12" s="113" t="str">
        <f t="shared" si="0"/>
        <v>2026-27</v>
      </c>
      <c r="L12" s="113" t="str">
        <f t="shared" si="0"/>
        <v>2027-28</v>
      </c>
      <c r="M12" s="113" t="str">
        <f t="shared" si="0"/>
        <v>2028-29</v>
      </c>
      <c r="N12" s="113" t="str">
        <f t="shared" si="0"/>
        <v>2029-30</v>
      </c>
      <c r="O12" s="113" t="str">
        <f t="shared" si="0"/>
        <v>2030-31</v>
      </c>
      <c r="P12"/>
      <c r="Q12" s="113" t="str">
        <f>I12</f>
        <v>2024-25</v>
      </c>
      <c r="R12" s="113" t="str">
        <f t="shared" ref="R12:W12" si="1">J12</f>
        <v>2025-26</v>
      </c>
      <c r="S12" s="113" t="str">
        <f t="shared" si="1"/>
        <v>2026-27</v>
      </c>
      <c r="T12" s="113" t="str">
        <f t="shared" si="1"/>
        <v>2027-28</v>
      </c>
      <c r="U12" s="113" t="str">
        <f t="shared" si="1"/>
        <v>2028-29</v>
      </c>
      <c r="V12" s="113" t="str">
        <f t="shared" si="1"/>
        <v>2029-30</v>
      </c>
      <c r="W12" s="113" t="str">
        <f t="shared" si="1"/>
        <v>2030-31</v>
      </c>
      <c r="X12"/>
      <c r="Y12" s="113" t="str">
        <f t="shared" ref="Y12:AE12" si="2">I12</f>
        <v>2024-25</v>
      </c>
      <c r="Z12" s="113" t="str">
        <f t="shared" si="2"/>
        <v>2025-26</v>
      </c>
      <c r="AA12" s="113" t="str">
        <f t="shared" si="2"/>
        <v>2026-27</v>
      </c>
      <c r="AB12" s="113" t="str">
        <f t="shared" si="2"/>
        <v>2027-28</v>
      </c>
      <c r="AC12" s="113" t="str">
        <f t="shared" si="2"/>
        <v>2028-29</v>
      </c>
      <c r="AD12" s="113" t="str">
        <f t="shared" si="2"/>
        <v>2029-30</v>
      </c>
      <c r="AE12" s="113" t="str">
        <f t="shared" si="2"/>
        <v>2030-31</v>
      </c>
      <c r="AF12"/>
      <c r="AG12" s="113" t="str">
        <f t="shared" ref="AG12:AM12" si="3">Y12</f>
        <v>2024-25</v>
      </c>
      <c r="AH12" s="113" t="str">
        <f t="shared" si="3"/>
        <v>2025-26</v>
      </c>
      <c r="AI12" s="113" t="str">
        <f t="shared" si="3"/>
        <v>2026-27</v>
      </c>
      <c r="AJ12" s="113" t="str">
        <f t="shared" si="3"/>
        <v>2027-28</v>
      </c>
      <c r="AK12" s="113" t="str">
        <f t="shared" si="3"/>
        <v>2028-29</v>
      </c>
      <c r="AL12" s="113" t="str">
        <f t="shared" si="3"/>
        <v>2029-30</v>
      </c>
      <c r="AM12" s="113" t="str">
        <f t="shared" si="3"/>
        <v>2030-31</v>
      </c>
      <c r="AO12" s="113" t="s">
        <v>537</v>
      </c>
      <c r="AP12" s="113" t="s">
        <v>538</v>
      </c>
      <c r="AR12" s="113" t="s">
        <v>537</v>
      </c>
      <c r="AS12" s="113" t="s">
        <v>538</v>
      </c>
      <c r="AU12" s="113" t="str">
        <f>AG12</f>
        <v>2024-25</v>
      </c>
      <c r="AV12" s="113" t="str">
        <f t="shared" ref="AV12:BA12" si="4">AH12</f>
        <v>2025-26</v>
      </c>
      <c r="AW12" s="113" t="str">
        <f t="shared" si="4"/>
        <v>2026-27</v>
      </c>
      <c r="AX12" s="113" t="str">
        <f t="shared" si="4"/>
        <v>2027-28</v>
      </c>
      <c r="AY12" s="113" t="str">
        <f t="shared" si="4"/>
        <v>2028-29</v>
      </c>
      <c r="AZ12" s="113" t="str">
        <f t="shared" si="4"/>
        <v>2029-30</v>
      </c>
      <c r="BA12" s="113" t="str">
        <f t="shared" si="4"/>
        <v>2030-31</v>
      </c>
      <c r="BC12" s="113" t="str">
        <f>AU12</f>
        <v>2024-25</v>
      </c>
      <c r="BD12" s="113" t="str">
        <f t="shared" ref="BD12:BI12" si="5">AV12</f>
        <v>2025-26</v>
      </c>
      <c r="BE12" s="113" t="str">
        <f t="shared" si="5"/>
        <v>2026-27</v>
      </c>
      <c r="BF12" s="113" t="str">
        <f t="shared" si="5"/>
        <v>2027-28</v>
      </c>
      <c r="BG12" s="113" t="str">
        <f t="shared" si="5"/>
        <v>2028-29</v>
      </c>
      <c r="BH12" s="113" t="str">
        <f t="shared" si="5"/>
        <v>2029-30</v>
      </c>
      <c r="BI12" s="113" t="str">
        <f t="shared" si="5"/>
        <v>2030-31</v>
      </c>
      <c r="BJ12"/>
      <c r="BK12" s="113" t="str">
        <f t="shared" ref="BK12:BQ12" si="6">BC12</f>
        <v>2024-25</v>
      </c>
      <c r="BL12" s="113" t="str">
        <f t="shared" si="6"/>
        <v>2025-26</v>
      </c>
      <c r="BM12" s="113" t="str">
        <f t="shared" si="6"/>
        <v>2026-27</v>
      </c>
      <c r="BN12" s="113" t="str">
        <f t="shared" si="6"/>
        <v>2027-28</v>
      </c>
      <c r="BO12" s="113" t="str">
        <f t="shared" si="6"/>
        <v>2028-29</v>
      </c>
      <c r="BP12" s="113" t="str">
        <f t="shared" si="6"/>
        <v>2029-30</v>
      </c>
      <c r="BQ12" s="113" t="str">
        <f t="shared" si="6"/>
        <v>2030-31</v>
      </c>
      <c r="BR12"/>
      <c r="BS12" s="113" t="str">
        <f t="shared" ref="BS12:BY12" si="7">BK12</f>
        <v>2024-25</v>
      </c>
      <c r="BT12" s="113" t="str">
        <f t="shared" si="7"/>
        <v>2025-26</v>
      </c>
      <c r="BU12" s="113" t="str">
        <f t="shared" si="7"/>
        <v>2026-27</v>
      </c>
      <c r="BV12" s="113" t="str">
        <f t="shared" si="7"/>
        <v>2027-28</v>
      </c>
      <c r="BW12" s="113" t="str">
        <f t="shared" si="7"/>
        <v>2028-29</v>
      </c>
      <c r="BX12" s="113" t="str">
        <f t="shared" si="7"/>
        <v>2029-30</v>
      </c>
      <c r="BY12" s="113" t="str">
        <f t="shared" si="7"/>
        <v>2030-31</v>
      </c>
      <c r="BZ12"/>
      <c r="CA12" s="113" t="str">
        <f t="shared" ref="CA12:CG12" si="8">BS12</f>
        <v>2024-25</v>
      </c>
      <c r="CB12" s="113" t="str">
        <f t="shared" si="8"/>
        <v>2025-26</v>
      </c>
      <c r="CC12" s="113" t="str">
        <f t="shared" si="8"/>
        <v>2026-27</v>
      </c>
      <c r="CD12" s="113" t="str">
        <f t="shared" si="8"/>
        <v>2027-28</v>
      </c>
      <c r="CE12" s="113" t="str">
        <f t="shared" si="8"/>
        <v>2028-29</v>
      </c>
      <c r="CF12" s="113" t="str">
        <f t="shared" si="8"/>
        <v>2029-30</v>
      </c>
      <c r="CG12" s="113" t="str">
        <f t="shared" si="8"/>
        <v>2030-31</v>
      </c>
      <c r="CH12"/>
      <c r="CI12" s="113" t="str">
        <f t="shared" ref="CI12:CO12" si="9">CA12</f>
        <v>2024-25</v>
      </c>
      <c r="CJ12" s="113" t="str">
        <f t="shared" si="9"/>
        <v>2025-26</v>
      </c>
      <c r="CK12" s="113" t="str">
        <f t="shared" si="9"/>
        <v>2026-27</v>
      </c>
      <c r="CL12" s="113" t="str">
        <f t="shared" si="9"/>
        <v>2027-28</v>
      </c>
      <c r="CM12" s="113" t="str">
        <f t="shared" si="9"/>
        <v>2028-29</v>
      </c>
      <c r="CN12" s="113" t="str">
        <f t="shared" si="9"/>
        <v>2029-30</v>
      </c>
      <c r="CO12" s="113" t="str">
        <f t="shared" si="9"/>
        <v>2030-31</v>
      </c>
      <c r="CP12"/>
      <c r="CQ12" s="113" t="str">
        <f>CI12</f>
        <v>2024-25</v>
      </c>
      <c r="CR12" s="113" t="str">
        <f t="shared" ref="CR12:CW12" si="10">CJ12</f>
        <v>2025-26</v>
      </c>
      <c r="CS12" s="113" t="str">
        <f t="shared" si="10"/>
        <v>2026-27</v>
      </c>
      <c r="CT12" s="113" t="str">
        <f t="shared" si="10"/>
        <v>2027-28</v>
      </c>
      <c r="CU12" s="113" t="str">
        <f t="shared" si="10"/>
        <v>2028-29</v>
      </c>
      <c r="CV12" s="113" t="str">
        <f t="shared" si="10"/>
        <v>2029-30</v>
      </c>
      <c r="CW12" s="113" t="str">
        <f t="shared" si="10"/>
        <v>2030-31</v>
      </c>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row>
    <row r="13" spans="1:206" s="1" customFormat="1" ht="12.75" x14ac:dyDescent="0.2">
      <c r="A13" s="258">
        <v>1</v>
      </c>
      <c r="B13" s="259" t="s">
        <v>372</v>
      </c>
      <c r="C13" s="260" t="s">
        <v>476</v>
      </c>
      <c r="D13" s="261" t="s">
        <v>230</v>
      </c>
      <c r="E13" s="261" t="s">
        <v>477</v>
      </c>
      <c r="F13" s="261" t="s">
        <v>478</v>
      </c>
      <c r="G13" s="262"/>
      <c r="H13" s="212">
        <v>4764</v>
      </c>
      <c r="I13" s="272">
        <f t="shared" ref="I13:O13" si="11">H13*(1+D$7)</f>
        <v>4830.2196000000004</v>
      </c>
      <c r="J13" s="272">
        <f t="shared" si="11"/>
        <v>4896.8766304800001</v>
      </c>
      <c r="K13" s="272">
        <f t="shared" si="11"/>
        <v>4981.3108511824685</v>
      </c>
      <c r="L13" s="272">
        <f t="shared" si="11"/>
        <v>5071.1678343551521</v>
      </c>
      <c r="M13" s="272">
        <f t="shared" si="11"/>
        <v>5160.6922009557256</v>
      </c>
      <c r="N13" s="272">
        <f t="shared" si="11"/>
        <v>5250.0979970471808</v>
      </c>
      <c r="O13" s="272">
        <f t="shared" si="11"/>
        <v>5339.5517200167051</v>
      </c>
      <c r="P13"/>
      <c r="Q13" s="272">
        <f>'Input|Fee Based Mapping'!J12</f>
        <v>668.16</v>
      </c>
      <c r="R13" s="272">
        <f>'Input|Fee Based Mapping'!K12</f>
        <v>689.37252255143903</v>
      </c>
      <c r="S13" s="272">
        <f>'Input|Fee Based Mapping'!Y12</f>
        <v>816.75607668400971</v>
      </c>
      <c r="T13" s="272">
        <f>'Input|Fee Based Mapping'!Z12</f>
        <v>847.64748650721413</v>
      </c>
      <c r="U13" s="272">
        <f>'Input|Fee Based Mapping'!AA12</f>
        <v>878.40631631074405</v>
      </c>
      <c r="V13" s="272">
        <f>'Input|Fee Based Mapping'!AB12</f>
        <v>911.12935159559777</v>
      </c>
      <c r="W13" s="272">
        <f>'Input|Fee Based Mapping'!AC12</f>
        <v>944.94142765331173</v>
      </c>
      <c r="X13"/>
      <c r="Y13" s="272">
        <f>I13*Q13</f>
        <v>3227359.5279359999</v>
      </c>
      <c r="Z13" s="272">
        <f t="shared" ref="Z13:Z72" si="12">J13*R13</f>
        <v>3375772.1953771887</v>
      </c>
      <c r="AA13" s="272">
        <f t="shared" ref="AA13:AA72" si="13">K13*S13</f>
        <v>4068515.9075552779</v>
      </c>
      <c r="AB13" s="272">
        <f t="shared" ref="AB13:AB72" si="14">L13*T13</f>
        <v>4298562.6684473772</v>
      </c>
      <c r="AC13" s="272">
        <f t="shared" ref="AC13:AC72" si="15">M13*U13</f>
        <v>4533184.625855105</v>
      </c>
      <c r="AD13" s="272">
        <f t="shared" ref="AD13:AD72" si="16">N13*V13</f>
        <v>4783518.3838629443</v>
      </c>
      <c r="AE13" s="272">
        <f t="shared" ref="AE13:AE72" si="17">O13*W13</f>
        <v>5045563.6253412813</v>
      </c>
      <c r="AF13"/>
      <c r="AG13" s="272">
        <f>Y13/('Input|Escalations'!G$17/'Input|Escalations'!$H$17)</f>
        <v>3305612.918400283</v>
      </c>
      <c r="AH13" s="272">
        <f>Z13/('Input|Escalations'!H$17/'Input|Escalations'!$H$17)</f>
        <v>3375772.1953771887</v>
      </c>
      <c r="AI13" s="272">
        <f>AA13/('Input|Escalations'!I$17/'Input|Escalations'!$H$17)</f>
        <v>3926166.5172490682</v>
      </c>
      <c r="AJ13" s="272">
        <f>AB13/('Input|Escalations'!J$17/'Input|Escalations'!$H$17)</f>
        <v>4031257.9137662365</v>
      </c>
      <c r="AK13" s="272">
        <f>AC13/('Input|Escalations'!K$17/'Input|Escalations'!$H$17)</f>
        <v>4143557.4846476163</v>
      </c>
      <c r="AL13" s="272">
        <f>AD13/('Input|Escalations'!L$17/'Input|Escalations'!$H$17)</f>
        <v>4262959.1099396106</v>
      </c>
      <c r="AM13" s="272">
        <f>AE13/('Input|Escalations'!M$17/'Input|Escalations'!$H$17)</f>
        <v>4385391.0933706863</v>
      </c>
      <c r="AN13" s="263"/>
      <c r="AO13" s="272">
        <f>SUM('Calc|Fee Based'!Z12-'Calc|Fee Based'!V12,'Calc|Fee Based'!AB12:AE12)</f>
        <v>738.33599951057511</v>
      </c>
      <c r="AP13" s="272">
        <f>'Calc|Fee Based'!V12</f>
        <v>78.420077173434592</v>
      </c>
      <c r="AQ13" s="101">
        <f>SUM(AO13:AP13)-S13</f>
        <v>0</v>
      </c>
      <c r="AR13" s="303">
        <f>IFERROR(AO13/SUM($AO13:$AP13),0)</f>
        <v>0.90398592748545403</v>
      </c>
      <c r="AS13" s="303">
        <f t="shared" ref="AS13:AS72" si="18">IFERROR(AP13/SUM($AO13:$AP13),0)</f>
        <v>9.6014072514545981E-2</v>
      </c>
      <c r="AT13" s="263"/>
      <c r="AU13" s="272">
        <f>AG13*$AR13</f>
        <v>2988227.5599479782</v>
      </c>
      <c r="AV13" s="272">
        <f t="shared" ref="AV13:BA28" si="19">AH13*$AR13</f>
        <v>3051650.5590176554</v>
      </c>
      <c r="AW13" s="272">
        <f t="shared" si="19"/>
        <v>3549199.280557734</v>
      </c>
      <c r="AX13" s="272">
        <f t="shared" si="19"/>
        <v>3644200.4241090477</v>
      </c>
      <c r="AY13" s="272">
        <f t="shared" si="19"/>
        <v>3745717.6558484705</v>
      </c>
      <c r="AZ13" s="272">
        <f t="shared" si="19"/>
        <v>3853655.0448313244</v>
      </c>
      <c r="BA13" s="272">
        <f t="shared" si="19"/>
        <v>3964331.8349271491</v>
      </c>
      <c r="BB13" s="263"/>
      <c r="BC13" s="272">
        <f>AG13*$AS13</f>
        <v>317385.35845230473</v>
      </c>
      <c r="BD13" s="272">
        <f t="shared" ref="BD13:BD72" si="20">AH13*$AS13</f>
        <v>324121.63635953347</v>
      </c>
      <c r="BE13" s="272">
        <f t="shared" ref="BE13:BE72" si="21">AI13*$AS13</f>
        <v>376967.23669133446</v>
      </c>
      <c r="BF13" s="272">
        <f t="shared" ref="BF13:BF72" si="22">AJ13*$AS13</f>
        <v>387057.48965718877</v>
      </c>
      <c r="BG13" s="272">
        <f t="shared" ref="BG13:BG72" si="23">AK13*$AS13</f>
        <v>397839.82879914599</v>
      </c>
      <c r="BH13" s="272">
        <f t="shared" ref="BH13:BH72" si="24">AL13*$AS13</f>
        <v>409304.06510828616</v>
      </c>
      <c r="BI13" s="272">
        <f t="shared" ref="BI13:BI72" si="25">AM13*$AS13</f>
        <v>421059.25844353717</v>
      </c>
      <c r="BJ13" s="299">
        <f>SUM(AG13:AM13)-SUM(AU13:BA13,BC13:BI13)</f>
        <v>0</v>
      </c>
      <c r="BK13" s="272"/>
      <c r="BL13" s="272"/>
      <c r="BM13" s="272">
        <f>'Calc|Fee Based'!AB12*'Input|Escalations'!$H$20/'Input|Escalations'!$I$20</f>
        <v>97.909139655155528</v>
      </c>
      <c r="BN13" s="272">
        <f>BM13*(1-'Input|Fee Based Mapping'!Z$6)</f>
        <v>98.748558315304095</v>
      </c>
      <c r="BO13" s="272">
        <f>BN13*(1-'Input|Fee Based Mapping'!AA$6)</f>
        <v>99.7386704155643</v>
      </c>
      <c r="BP13" s="272">
        <f>BO13*(1-'Input|Fee Based Mapping'!AB$6)</f>
        <v>100.86533155366108</v>
      </c>
      <c r="BQ13" s="272">
        <f>BP13*(1-'Input|Fee Based Mapping'!AC$6)</f>
        <v>102.02384716592736</v>
      </c>
      <c r="BR13" s="299"/>
      <c r="BS13" s="272"/>
      <c r="BT13" s="272"/>
      <c r="BU13" s="272">
        <f>BM13*K13*$AS13</f>
        <v>46827.585928771186</v>
      </c>
      <c r="BV13" s="272">
        <f t="shared" ref="BV13:BV48" si="26">BN13*L13*$AS13</f>
        <v>48081.016311604362</v>
      </c>
      <c r="BW13" s="272">
        <f t="shared" ref="BW13:BW48" si="27">BO13*M13*$AS13</f>
        <v>49420.418953369161</v>
      </c>
      <c r="BX13" s="272">
        <f t="shared" ref="BX13:BX48" si="28">BP13*N13*$AS13</f>
        <v>50844.528156030654</v>
      </c>
      <c r="BY13" s="272">
        <f t="shared" ref="BY13:BY48" si="29">BQ13*O13*$AS13</f>
        <v>52304.780592946059</v>
      </c>
      <c r="BZ13"/>
      <c r="CA13" s="272"/>
      <c r="CB13" s="272"/>
      <c r="CC13" s="272">
        <f>BM13*K13*$AR13</f>
        <v>440888.27386539476</v>
      </c>
      <c r="CD13" s="272">
        <f t="shared" ref="CD13:CD48" si="30">BN13*L13*$AR13</f>
        <v>452689.49630590976</v>
      </c>
      <c r="CE13" s="272">
        <f t="shared" ref="CE13:CE48" si="31">BO13*M13*$AR13</f>
        <v>465300.15959392709</v>
      </c>
      <c r="CF13" s="272">
        <f t="shared" ref="CF13:CF48" si="32">BP13*N13*$AR13</f>
        <v>478708.34700534522</v>
      </c>
      <c r="CG13" s="272">
        <f t="shared" ref="CG13:CG48" si="33">BQ13*O13*$AR13</f>
        <v>492456.8280246029</v>
      </c>
      <c r="CH13"/>
      <c r="CI13" s="272"/>
      <c r="CJ13" s="272"/>
      <c r="CK13" s="272">
        <f>'Calc|Fee Based'!AC12*'Input|Escalations'!$H$20/'Input|Escalations'!$I$20</f>
        <v>187.54578059171229</v>
      </c>
      <c r="CL13" s="272">
        <f>CK13*(1-'Input|Fee Based Mapping'!Z$6)</f>
        <v>189.1536940961644</v>
      </c>
      <c r="CM13" s="272">
        <f>CL13*(1-'Input|Fee Based Mapping'!AA$6)</f>
        <v>191.0502621527383</v>
      </c>
      <c r="CN13" s="272">
        <f>CM13*(1-'Input|Fee Based Mapping'!AB$6)</f>
        <v>193.20839103989761</v>
      </c>
      <c r="CO13" s="272">
        <f>CN13*(1-'Input|Fee Based Mapping'!AC$6)</f>
        <v>195.42753744027888</v>
      </c>
      <c r="CP13"/>
      <c r="CQ13" s="272"/>
      <c r="CR13" s="272"/>
      <c r="CS13" s="272">
        <f>CK13*K13</f>
        <v>934223.83195498283</v>
      </c>
      <c r="CT13" s="272">
        <f t="shared" ref="CT13:CT48" si="34">CL13*L13</f>
        <v>959230.12924992293</v>
      </c>
      <c r="CU13" s="272">
        <f t="shared" ref="CU13:CU48" si="35">CM13*M13</f>
        <v>985951.59788218339</v>
      </c>
      <c r="CV13" s="272">
        <f t="shared" ref="CV13:CV48" si="36">CN13*N13</f>
        <v>1014362.9868112749</v>
      </c>
      <c r="CW13" s="272">
        <f t="shared" ref="CW13:CW48" si="37">CO13*O13</f>
        <v>1043495.4436778701</v>
      </c>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row>
    <row r="14" spans="1:206" s="1" customFormat="1" ht="12.75" x14ac:dyDescent="0.2">
      <c r="A14" s="258">
        <f>IFERROR(A13+1,"")</f>
        <v>2</v>
      </c>
      <c r="B14" s="259" t="s">
        <v>372</v>
      </c>
      <c r="C14" s="260" t="s">
        <v>479</v>
      </c>
      <c r="D14" s="261" t="s">
        <v>231</v>
      </c>
      <c r="E14" s="261" t="s">
        <v>480</v>
      </c>
      <c r="F14" s="261" t="s">
        <v>478</v>
      </c>
      <c r="G14" s="262"/>
      <c r="H14" s="212">
        <v>4</v>
      </c>
      <c r="I14" s="272">
        <f t="shared" ref="I14:L72" si="38">H14*(1+D$7)</f>
        <v>4.0556000000000001</v>
      </c>
      <c r="J14" s="272">
        <f t="shared" si="38"/>
        <v>4.11156728</v>
      </c>
      <c r="K14" s="272">
        <f t="shared" si="38"/>
        <v>4.1824608322270933</v>
      </c>
      <c r="L14" s="272">
        <f t="shared" si="38"/>
        <v>4.257907501557642</v>
      </c>
      <c r="M14" s="272">
        <f t="shared" ref="M14:O72" si="39">L14*(1+H$7)</f>
        <v>4.333074895848636</v>
      </c>
      <c r="N14" s="272">
        <f t="shared" si="39"/>
        <v>4.4081427347163569</v>
      </c>
      <c r="O14" s="272">
        <f t="shared" si="39"/>
        <v>4.4832508144556718</v>
      </c>
      <c r="P14"/>
      <c r="Q14" s="272">
        <f>'Input|Fee Based Mapping'!J13</f>
        <v>884.93</v>
      </c>
      <c r="R14" s="272">
        <f>'Input|Fee Based Mapping'!K13</f>
        <v>913.02446477108015</v>
      </c>
      <c r="S14" s="272">
        <f>'Input|Fee Based Mapping'!Y13</f>
        <v>1198.3979733013819</v>
      </c>
      <c r="T14" s="272">
        <f>'Input|Fee Based Mapping'!Z13</f>
        <v>1243.723871671004</v>
      </c>
      <c r="U14" s="272">
        <f>'Input|Fee Based Mapping'!AA13</f>
        <v>1288.8552399582502</v>
      </c>
      <c r="V14" s="272">
        <f>'Input|Fee Based Mapping'!AB13</f>
        <v>1336.8686190871208</v>
      </c>
      <c r="W14" s="272">
        <f>'Input|Fee Based Mapping'!AC13</f>
        <v>1386.4799101168576</v>
      </c>
      <c r="X14"/>
      <c r="Y14" s="272">
        <f t="shared" ref="Y14:Y72" si="40">I14*Q14</f>
        <v>3588.9221079999998</v>
      </c>
      <c r="Z14" s="272">
        <f t="shared" si="12"/>
        <v>3753.9615151922858</v>
      </c>
      <c r="AA14" s="272">
        <f t="shared" si="13"/>
        <v>5012.2525847533598</v>
      </c>
      <c r="AB14" s="272">
        <f t="shared" si="14"/>
        <v>5295.6612030542819</v>
      </c>
      <c r="AC14" s="272">
        <f t="shared" si="15"/>
        <v>5584.706284646064</v>
      </c>
      <c r="AD14" s="272">
        <f t="shared" si="16"/>
        <v>5893.1076904991805</v>
      </c>
      <c r="AE14" s="272">
        <f t="shared" si="17"/>
        <v>6215.9371862578282</v>
      </c>
      <c r="AF14"/>
      <c r="AG14" s="272">
        <f>Y14/('Input|Escalations'!G$17/'Input|Escalations'!$H$17)</f>
        <v>3675.942261977958</v>
      </c>
      <c r="AH14" s="272">
        <f>Z14/('Input|Escalations'!H$17/'Input|Escalations'!$H$17)</f>
        <v>3753.9615151922858</v>
      </c>
      <c r="AI14" s="272">
        <f>AA14/('Input|Escalations'!I$17/'Input|Escalations'!$H$17)</f>
        <v>4836.8836994614512</v>
      </c>
      <c r="AJ14" s="272">
        <f>AB14/('Input|Escalations'!J$17/'Input|Escalations'!$H$17)</f>
        <v>4966.3521925919194</v>
      </c>
      <c r="AK14" s="272">
        <f>AC14/('Input|Escalations'!K$17/'Input|Escalations'!$H$17)</f>
        <v>5104.7008748157314</v>
      </c>
      <c r="AL14" s="272">
        <f>AD14/('Input|Escalations'!L$17/'Input|Escalations'!$H$17)</f>
        <v>5251.7990104976352</v>
      </c>
      <c r="AM14" s="272">
        <f>AE14/('Input|Escalations'!M$17/'Input|Escalations'!$H$17)</f>
        <v>5402.6304289687578</v>
      </c>
      <c r="AN14" s="263"/>
      <c r="AO14" s="272">
        <f>SUM('Calc|Fee Based'!Z13-'Calc|Fee Based'!V13,'Calc|Fee Based'!AB13:AE13)</f>
        <v>1119.9778961279471</v>
      </c>
      <c r="AP14" s="272">
        <f>'Calc|Fee Based'!V13</f>
        <v>78.420077173434592</v>
      </c>
      <c r="AQ14" s="101">
        <f t="shared" ref="AQ14:AQ72" si="41">SUM(AO14:AP14)-S14</f>
        <v>0</v>
      </c>
      <c r="AR14" s="303">
        <f t="shared" ref="AR14:AR72" si="42">IFERROR(AO14/SUM($AO14:$AP14),0)</f>
        <v>0.93456257527088382</v>
      </c>
      <c r="AS14" s="303">
        <f t="shared" si="18"/>
        <v>6.543742472911622E-2</v>
      </c>
      <c r="AT14" s="263"/>
      <c r="AU14" s="272">
        <f t="shared" ref="AU14:AU72" si="43">AG14*$AR14</f>
        <v>3435.3980669011985</v>
      </c>
      <c r="AV14" s="272">
        <f t="shared" si="19"/>
        <v>3508.3119411058915</v>
      </c>
      <c r="AW14" s="272">
        <f t="shared" si="19"/>
        <v>4520.3704864544534</v>
      </c>
      <c r="AX14" s="272">
        <f t="shared" si="19"/>
        <v>4641.3668948109043</v>
      </c>
      <c r="AY14" s="272">
        <f t="shared" si="19"/>
        <v>4770.6623955553232</v>
      </c>
      <c r="AZ14" s="272">
        <f t="shared" si="19"/>
        <v>4908.1348080557491</v>
      </c>
      <c r="BA14" s="272">
        <f t="shared" si="19"/>
        <v>5049.0962069338821</v>
      </c>
      <c r="BB14" s="263"/>
      <c r="BC14" s="272">
        <f t="shared" ref="BC14:BC72" si="44">AG14*$AS14</f>
        <v>240.54419507675985</v>
      </c>
      <c r="BD14" s="272">
        <f t="shared" si="20"/>
        <v>245.64957408639427</v>
      </c>
      <c r="BE14" s="272">
        <f t="shared" si="21"/>
        <v>316.51321300699789</v>
      </c>
      <c r="BF14" s="272">
        <f t="shared" si="22"/>
        <v>324.98529778101505</v>
      </c>
      <c r="BG14" s="272">
        <f t="shared" si="23"/>
        <v>334.03847926040817</v>
      </c>
      <c r="BH14" s="272">
        <f t="shared" si="24"/>
        <v>343.66420244188606</v>
      </c>
      <c r="BI14" s="272">
        <f t="shared" si="25"/>
        <v>353.53422203487594</v>
      </c>
      <c r="BJ14" s="299">
        <f t="shared" ref="BJ14:BJ72" si="45">SUM(AG14:AM14)-SUM(AU14:BA14,BC14:BI14)</f>
        <v>0</v>
      </c>
      <c r="BK14" s="272"/>
      <c r="BL14" s="272"/>
      <c r="BM14" s="272">
        <f>'Calc|Fee Based'!AB13*'Input|Escalations'!$H$20/'Input|Escalations'!$I$20</f>
        <v>143.65869796376805</v>
      </c>
      <c r="BN14" s="272">
        <f>BM14*(1-'Input|Fee Based Mapping'!Z$6)</f>
        <v>144.89034796281985</v>
      </c>
      <c r="BO14" s="272">
        <f>BN14*(1-'Input|Fee Based Mapping'!AA$6)</f>
        <v>146.34310524025614</v>
      </c>
      <c r="BP14" s="272">
        <f>BO14*(1-'Input|Fee Based Mapping'!AB$6)</f>
        <v>147.99621620329214</v>
      </c>
      <c r="BQ14" s="272">
        <f>BP14*(1-'Input|Fee Based Mapping'!AC$6)</f>
        <v>149.6960661357403</v>
      </c>
      <c r="BR14" s="299"/>
      <c r="BS14" s="272"/>
      <c r="BT14" s="272"/>
      <c r="BU14" s="272">
        <f t="shared" ref="BU14:BU48" si="46">BM14*K14*$AS14</f>
        <v>39.317872316348605</v>
      </c>
      <c r="BV14" s="272">
        <f t="shared" si="26"/>
        <v>40.370290773807191</v>
      </c>
      <c r="BW14" s="272">
        <f t="shared" si="27"/>
        <v>41.494894167396453</v>
      </c>
      <c r="BX14" s="272">
        <f t="shared" si="28"/>
        <v>42.690619778363278</v>
      </c>
      <c r="BY14" s="272">
        <f t="shared" si="29"/>
        <v>43.916692353439188</v>
      </c>
      <c r="BZ14"/>
      <c r="CA14" s="272"/>
      <c r="CB14" s="272"/>
      <c r="CC14" s="272">
        <f t="shared" ref="CC14:CC48" si="47">BM14*K14*$AR14</f>
        <v>561.52900512585336</v>
      </c>
      <c r="CD14" s="272">
        <f t="shared" si="30"/>
        <v>576.55940872038047</v>
      </c>
      <c r="CE14" s="272">
        <f t="shared" si="31"/>
        <v>592.62074132969246</v>
      </c>
      <c r="CF14" s="272">
        <f t="shared" si="32"/>
        <v>609.69782544369014</v>
      </c>
      <c r="CG14" s="272">
        <f t="shared" si="33"/>
        <v>627.20831807042862</v>
      </c>
      <c r="CH14"/>
      <c r="CI14" s="272"/>
      <c r="CJ14" s="272"/>
      <c r="CK14" s="272">
        <f>'Calc|Fee Based'!AC13*'Input|Escalations'!$H$20/'Input|Escalations'!$I$20</f>
        <v>275.17944436339673</v>
      </c>
      <c r="CL14" s="272">
        <f>CK14*(1-'Input|Fee Based Mapping'!Z$6)</f>
        <v>277.53868029685009</v>
      </c>
      <c r="CM14" s="272">
        <f>CL14*(1-'Input|Fee Based Mapping'!AA$6)</f>
        <v>280.32144908193698</v>
      </c>
      <c r="CN14" s="272">
        <f>CM14*(1-'Input|Fee Based Mapping'!AB$6)</f>
        <v>283.48799703710512</v>
      </c>
      <c r="CO14" s="272">
        <f>CN14*(1-'Input|Fee Based Mapping'!AC$6)</f>
        <v>286.74407388133636</v>
      </c>
      <c r="CP14"/>
      <c r="CQ14" s="272"/>
      <c r="CR14" s="272"/>
      <c r="CS14" s="272">
        <f t="shared" ref="CS14:CS48" si="48">CK14*K14</f>
        <v>1150.9272478839214</v>
      </c>
      <c r="CT14" s="272">
        <f t="shared" si="34"/>
        <v>1181.734028808366</v>
      </c>
      <c r="CU14" s="272">
        <f t="shared" si="35"/>
        <v>1214.6538337848528</v>
      </c>
      <c r="CV14" s="272">
        <f t="shared" si="36"/>
        <v>1249.6555545184069</v>
      </c>
      <c r="CW14" s="272">
        <f t="shared" si="37"/>
        <v>1285.5456027688385</v>
      </c>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row>
    <row r="15" spans="1:206" s="1" customFormat="1" ht="12.75" x14ac:dyDescent="0.2">
      <c r="A15" s="258">
        <f t="shared" ref="A15:A72" si="49">IFERROR(A14+1,"")</f>
        <v>3</v>
      </c>
      <c r="B15" s="259" t="s">
        <v>373</v>
      </c>
      <c r="C15" s="260" t="s">
        <v>481</v>
      </c>
      <c r="D15" s="261" t="s">
        <v>230</v>
      </c>
      <c r="E15" s="261" t="s">
        <v>482</v>
      </c>
      <c r="F15" s="261" t="s">
        <v>478</v>
      </c>
      <c r="G15" s="262"/>
      <c r="H15" s="212">
        <v>2318</v>
      </c>
      <c r="I15" s="272">
        <f t="shared" si="38"/>
        <v>2350.2202000000002</v>
      </c>
      <c r="J15" s="272">
        <f t="shared" si="38"/>
        <v>2382.6532387600005</v>
      </c>
      <c r="K15" s="272">
        <f t="shared" si="38"/>
        <v>2423.7360522756012</v>
      </c>
      <c r="L15" s="272">
        <f t="shared" si="38"/>
        <v>2467.4573971526543</v>
      </c>
      <c r="M15" s="272">
        <f t="shared" si="39"/>
        <v>2511.0169021442853</v>
      </c>
      <c r="N15" s="272">
        <f t="shared" si="39"/>
        <v>2554.5187147681295</v>
      </c>
      <c r="O15" s="272">
        <f t="shared" si="39"/>
        <v>2598.0438469770625</v>
      </c>
      <c r="P15"/>
      <c r="Q15" s="272">
        <f>'Input|Fee Based Mapping'!J14</f>
        <v>822.02</v>
      </c>
      <c r="R15" s="272">
        <f>'Input|Fee Based Mapping'!K14</f>
        <v>848.11721891123966</v>
      </c>
      <c r="S15" s="272">
        <f>'Input|Fee Based Mapping'!Y14</f>
        <v>1079.7718462563191</v>
      </c>
      <c r="T15" s="272">
        <f>'Input|Fee Based Mapping'!Z14</f>
        <v>1120.6110583178745</v>
      </c>
      <c r="U15" s="272">
        <f>'Input|Fee Based Mapping'!AA14</f>
        <v>1161.2749962961295</v>
      </c>
      <c r="V15" s="272">
        <f>'Input|Fee Based Mapping'!AB14</f>
        <v>1204.5356627708611</v>
      </c>
      <c r="W15" s="272">
        <f>'Input|Fee Based Mapping'!AC14</f>
        <v>1249.2360682319666</v>
      </c>
      <c r="X15"/>
      <c r="Y15" s="272">
        <f t="shared" si="40"/>
        <v>1931928.0088040002</v>
      </c>
      <c r="Z15" s="272">
        <f t="shared" si="12"/>
        <v>2020769.2384869894</v>
      </c>
      <c r="AA15" s="272">
        <f t="shared" si="13"/>
        <v>2617081.9520036285</v>
      </c>
      <c r="AB15" s="272">
        <f t="shared" si="14"/>
        <v>2765060.045177504</v>
      </c>
      <c r="AC15" s="272">
        <f t="shared" si="15"/>
        <v>2915981.1437371233</v>
      </c>
      <c r="AD15" s="272">
        <f t="shared" si="16"/>
        <v>3077008.8931537974</v>
      </c>
      <c r="AE15" s="272">
        <f t="shared" si="17"/>
        <v>3245570.0804918786</v>
      </c>
      <c r="AF15"/>
      <c r="AG15" s="272">
        <f>Y15/('Input|Escalations'!G$17/'Input|Escalations'!$H$17)</f>
        <v>1978771.2301783813</v>
      </c>
      <c r="AH15" s="272">
        <f>Z15/('Input|Escalations'!H$17/'Input|Escalations'!$H$17)</f>
        <v>2020769.2384869894</v>
      </c>
      <c r="AI15" s="272">
        <f>AA15/('Input|Escalations'!I$17/'Input|Escalations'!$H$17)</f>
        <v>2525515.3884915402</v>
      </c>
      <c r="AJ15" s="272">
        <f>AB15/('Input|Escalations'!J$17/'Input|Escalations'!$H$17)</f>
        <v>2593115.6642149808</v>
      </c>
      <c r="AK15" s="272">
        <f>AC15/('Input|Escalations'!K$17/'Input|Escalations'!$H$17)</f>
        <v>2665352.6142108361</v>
      </c>
      <c r="AL15" s="272">
        <f>AD15/('Input|Escalations'!L$17/'Input|Escalations'!$H$17)</f>
        <v>2742157.9765817425</v>
      </c>
      <c r="AM15" s="272">
        <f>AE15/('Input|Escalations'!M$17/'Input|Escalations'!$H$17)</f>
        <v>2820912.623599458</v>
      </c>
      <c r="AN15" s="263"/>
      <c r="AO15" s="272">
        <f>SUM('Calc|Fee Based'!Z14-'Calc|Fee Based'!V14,'Calc|Fee Based'!AB14:AE14)</f>
        <v>845.2706144887286</v>
      </c>
      <c r="AP15" s="272">
        <f>'Calc|Fee Based'!V14</f>
        <v>234.50123176759053</v>
      </c>
      <c r="AQ15" s="101">
        <f t="shared" si="41"/>
        <v>0</v>
      </c>
      <c r="AR15" s="303">
        <f t="shared" si="42"/>
        <v>0.78282335052480712</v>
      </c>
      <c r="AS15" s="303">
        <f t="shared" si="18"/>
        <v>0.21717664947519291</v>
      </c>
      <c r="AT15" s="263"/>
      <c r="AU15" s="272">
        <f t="shared" si="43"/>
        <v>1549028.3243303348</v>
      </c>
      <c r="AV15" s="272">
        <f t="shared" si="19"/>
        <v>1581905.3459098481</v>
      </c>
      <c r="AW15" s="272">
        <f t="shared" si="19"/>
        <v>1977032.4182209074</v>
      </c>
      <c r="AX15" s="272">
        <f t="shared" si="19"/>
        <v>2029951.4925591319</v>
      </c>
      <c r="AY15" s="272">
        <f t="shared" si="19"/>
        <v>2086500.2637865804</v>
      </c>
      <c r="AZ15" s="272">
        <f t="shared" si="19"/>
        <v>2146625.2948960452</v>
      </c>
      <c r="BA15" s="272">
        <f t="shared" si="19"/>
        <v>2208276.2715438516</v>
      </c>
      <c r="BB15" s="263"/>
      <c r="BC15" s="272">
        <f t="shared" si="44"/>
        <v>429742.90584804659</v>
      </c>
      <c r="BD15" s="272">
        <f t="shared" si="20"/>
        <v>438863.89257714141</v>
      </c>
      <c r="BE15" s="272">
        <f t="shared" si="21"/>
        <v>548482.97027063288</v>
      </c>
      <c r="BF15" s="272">
        <f t="shared" si="22"/>
        <v>563164.17165584897</v>
      </c>
      <c r="BG15" s="272">
        <f t="shared" si="23"/>
        <v>578852.35042425583</v>
      </c>
      <c r="BH15" s="272">
        <f t="shared" si="24"/>
        <v>595532.6816856974</v>
      </c>
      <c r="BI15" s="272">
        <f t="shared" si="25"/>
        <v>612636.35205560632</v>
      </c>
      <c r="BJ15" s="299">
        <f t="shared" si="45"/>
        <v>0</v>
      </c>
      <c r="BK15" s="272"/>
      <c r="BL15" s="272"/>
      <c r="BM15" s="272">
        <f>'Calc|Fee Based'!AB14*'Input|Escalations'!$H$20/'Input|Escalations'!$I$20</f>
        <v>129.4383176431711</v>
      </c>
      <c r="BN15" s="272">
        <f>BM15*(1-'Input|Fee Based Mapping'!Z$6)</f>
        <v>130.54804998839035</v>
      </c>
      <c r="BO15" s="272">
        <f>BN15*(1-'Input|Fee Based Mapping'!AA$6)</f>
        <v>131.85700280921191</v>
      </c>
      <c r="BP15" s="272">
        <f>BO15*(1-'Input|Fee Based Mapping'!AB$6)</f>
        <v>133.34647685405412</v>
      </c>
      <c r="BQ15" s="272">
        <f>BP15*(1-'Input|Fee Based Mapping'!AC$6)</f>
        <v>134.8780633059753</v>
      </c>
      <c r="BR15" s="299"/>
      <c r="BS15" s="272"/>
      <c r="BT15" s="272"/>
      <c r="BU15" s="272">
        <f t="shared" si="46"/>
        <v>68133.59602878752</v>
      </c>
      <c r="BV15" s="272">
        <f t="shared" si="26"/>
        <v>69957.322741585944</v>
      </c>
      <c r="BW15" s="272">
        <f t="shared" si="27"/>
        <v>71906.138096977229</v>
      </c>
      <c r="BX15" s="272">
        <f t="shared" si="28"/>
        <v>73978.200518956583</v>
      </c>
      <c r="BY15" s="272">
        <f t="shared" si="29"/>
        <v>76102.850928827858</v>
      </c>
      <c r="BZ15"/>
      <c r="CA15" s="272"/>
      <c r="CB15" s="272"/>
      <c r="CC15" s="272">
        <f t="shared" si="47"/>
        <v>245590.72098886731</v>
      </c>
      <c r="CD15" s="272">
        <f t="shared" si="30"/>
        <v>252164.42888612233</v>
      </c>
      <c r="CE15" s="272">
        <f t="shared" si="31"/>
        <v>259189.0246230404</v>
      </c>
      <c r="CF15" s="272">
        <f t="shared" si="32"/>
        <v>266657.87015311985</v>
      </c>
      <c r="CG15" s="272">
        <f t="shared" si="33"/>
        <v>274316.27153544402</v>
      </c>
      <c r="CH15"/>
      <c r="CI15" s="272"/>
      <c r="CJ15" s="272"/>
      <c r="CK15" s="272">
        <f>'Calc|Fee Based'!AC14*'Input|Escalations'!$H$20/'Input|Escalations'!$I$20</f>
        <v>247.94018624172713</v>
      </c>
      <c r="CL15" s="272">
        <f>CK15*(1-'Input|Fee Based Mapping'!Z$6)</f>
        <v>250.06588788372963</v>
      </c>
      <c r="CM15" s="272">
        <f>CL15*(1-'Input|Fee Based Mapping'!AA$6)</f>
        <v>252.57319802253113</v>
      </c>
      <c r="CN15" s="272">
        <f>CM15*(1-'Input|Fee Based Mapping'!AB$6)</f>
        <v>255.42629808443451</v>
      </c>
      <c r="CO15" s="272">
        <f>CN15*(1-'Input|Fee Based Mapping'!AC$6)</f>
        <v>258.36006481633456</v>
      </c>
      <c r="CP15"/>
      <c r="CQ15" s="272"/>
      <c r="CR15" s="272"/>
      <c r="CS15" s="272">
        <f t="shared" si="48"/>
        <v>600941.56820200104</v>
      </c>
      <c r="CT15" s="272">
        <f t="shared" si="34"/>
        <v>617026.92483425501</v>
      </c>
      <c r="CU15" s="272">
        <f t="shared" si="35"/>
        <v>634215.56926321122</v>
      </c>
      <c r="CV15" s="272">
        <f t="shared" si="36"/>
        <v>652491.25870063074</v>
      </c>
      <c r="CW15" s="272">
        <f t="shared" si="37"/>
        <v>671230.77670067304</v>
      </c>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row>
    <row r="16" spans="1:206" s="1" customFormat="1" ht="12.75" x14ac:dyDescent="0.2">
      <c r="A16" s="258">
        <f t="shared" si="49"/>
        <v>4</v>
      </c>
      <c r="B16" s="259" t="s">
        <v>373</v>
      </c>
      <c r="C16" s="260" t="s">
        <v>483</v>
      </c>
      <c r="D16" s="261" t="s">
        <v>231</v>
      </c>
      <c r="E16" s="261" t="s">
        <v>484</v>
      </c>
      <c r="F16" s="261" t="s">
        <v>478</v>
      </c>
      <c r="G16" s="264"/>
      <c r="H16" s="212">
        <v>10</v>
      </c>
      <c r="I16" s="272">
        <f t="shared" si="38"/>
        <v>10.138999999999999</v>
      </c>
      <c r="J16" s="272">
        <f t="shared" si="38"/>
        <v>10.2789182</v>
      </c>
      <c r="K16" s="272">
        <f t="shared" si="38"/>
        <v>10.456152080567733</v>
      </c>
      <c r="L16" s="272">
        <f t="shared" si="38"/>
        <v>10.644768753894105</v>
      </c>
      <c r="M16" s="272">
        <f t="shared" si="39"/>
        <v>10.83268723962159</v>
      </c>
      <c r="N16" s="272">
        <f t="shared" si="39"/>
        <v>11.020356836790892</v>
      </c>
      <c r="O16" s="272">
        <f t="shared" si="39"/>
        <v>11.20812703613918</v>
      </c>
      <c r="P16"/>
      <c r="Q16" s="272">
        <f>'Input|Fee Based Mapping'!J15</f>
        <v>1038.81</v>
      </c>
      <c r="R16" s="272">
        <f>'Input|Fee Based Mapping'!K15</f>
        <v>1071.7897960842618</v>
      </c>
      <c r="S16" s="272">
        <f>'Input|Fee Based Mapping'!Y15</f>
        <v>1461.4137428736913</v>
      </c>
      <c r="T16" s="272">
        <f>'Input|Fee Based Mapping'!Z15</f>
        <v>1516.6874434816641</v>
      </c>
      <c r="U16" s="272">
        <f>'Input|Fee Based Mapping'!AA15</f>
        <v>1571.7239199436353</v>
      </c>
      <c r="V16" s="272">
        <f>'Input|Fee Based Mapping'!AB15</f>
        <v>1630.2749302623838</v>
      </c>
      <c r="W16" s="272">
        <f>'Input|Fee Based Mapping'!AC15</f>
        <v>1690.7745506955123</v>
      </c>
      <c r="X16"/>
      <c r="Y16" s="272">
        <f t="shared" si="40"/>
        <v>10532.494589999998</v>
      </c>
      <c r="Z16" s="272">
        <f t="shared" si="12"/>
        <v>11016.839641544806</v>
      </c>
      <c r="AA16" s="272">
        <f t="shared" si="13"/>
        <v>15280.764348119024</v>
      </c>
      <c r="AB16" s="272">
        <f t="shared" si="14"/>
        <v>16144.78710779715</v>
      </c>
      <c r="AC16" s="272">
        <f t="shared" si="15"/>
        <v>17025.993651781446</v>
      </c>
      <c r="AD16" s="272">
        <f t="shared" si="16"/>
        <v>17966.211473565858</v>
      </c>
      <c r="AE16" s="272">
        <f t="shared" si="17"/>
        <v>18950.415953666445</v>
      </c>
      <c r="AF16"/>
      <c r="AG16" s="272">
        <f>Y16/('Input|Escalations'!G$17/'Input|Escalations'!$H$17)</f>
        <v>10787.874693945629</v>
      </c>
      <c r="AH16" s="272">
        <f>Z16/('Input|Escalations'!H$17/'Input|Escalations'!$H$17)</f>
        <v>11016.839641544806</v>
      </c>
      <c r="AI16" s="272">
        <f>AA16/('Input|Escalations'!I$17/'Input|Escalations'!$H$17)</f>
        <v>14746.120380197397</v>
      </c>
      <c r="AJ16" s="272">
        <f>AB16/('Input|Escalations'!J$17/'Input|Escalations'!$H$17)</f>
        <v>15140.828647703853</v>
      </c>
      <c r="AK16" s="272">
        <f>AC16/('Input|Escalations'!K$17/'Input|Escalations'!$H$17)</f>
        <v>15562.609788056921</v>
      </c>
      <c r="AL16" s="272">
        <f>AD16/('Input|Escalations'!L$17/'Input|Escalations'!$H$17)</f>
        <v>16011.065229875687</v>
      </c>
      <c r="AM16" s="272">
        <f>AE16/('Input|Escalations'!M$17/'Input|Escalations'!$H$17)</f>
        <v>16470.902263819411</v>
      </c>
      <c r="AN16" s="263"/>
      <c r="AO16" s="272">
        <f>SUM('Calc|Fee Based'!Z15-'Calc|Fee Based'!V15,'Calc|Fee Based'!AB15:AE15)</f>
        <v>1226.9125111061007</v>
      </c>
      <c r="AP16" s="272">
        <f>'Calc|Fee Based'!V15</f>
        <v>234.50123176759053</v>
      </c>
      <c r="AQ16" s="101">
        <f t="shared" si="41"/>
        <v>0</v>
      </c>
      <c r="AR16" s="303">
        <f t="shared" si="42"/>
        <v>0.83953809596283624</v>
      </c>
      <c r="AS16" s="303">
        <f t="shared" si="18"/>
        <v>0.16046190403716373</v>
      </c>
      <c r="AT16" s="263"/>
      <c r="AU16" s="272">
        <f t="shared" si="43"/>
        <v>9056.8317800407785</v>
      </c>
      <c r="AV16" s="272">
        <f t="shared" si="19"/>
        <v>9249.0565761904218</v>
      </c>
      <c r="AW16" s="272">
        <f t="shared" si="19"/>
        <v>12379.929826829697</v>
      </c>
      <c r="AX16" s="272">
        <f t="shared" si="19"/>
        <v>12711.302454192857</v>
      </c>
      <c r="AY16" s="272">
        <f t="shared" si="19"/>
        <v>13065.403789677906</v>
      </c>
      <c r="AZ16" s="272">
        <f t="shared" si="19"/>
        <v>13441.899217426606</v>
      </c>
      <c r="BA16" s="272">
        <f t="shared" si="19"/>
        <v>13827.949925356917</v>
      </c>
      <c r="BB16" s="263"/>
      <c r="BC16" s="272">
        <f t="shared" si="44"/>
        <v>1731.0429139048506</v>
      </c>
      <c r="BD16" s="272">
        <f t="shared" si="20"/>
        <v>1767.783065354384</v>
      </c>
      <c r="BE16" s="272">
        <f t="shared" si="21"/>
        <v>2366.1905533676991</v>
      </c>
      <c r="BF16" s="272">
        <f t="shared" si="22"/>
        <v>2429.5261935109952</v>
      </c>
      <c r="BG16" s="272">
        <f t="shared" si="23"/>
        <v>2497.2059983790145</v>
      </c>
      <c r="BH16" s="272">
        <f t="shared" si="24"/>
        <v>2569.1660124490813</v>
      </c>
      <c r="BI16" s="272">
        <f t="shared" si="25"/>
        <v>2642.9523384624931</v>
      </c>
      <c r="BJ16" s="299">
        <f t="shared" si="45"/>
        <v>0</v>
      </c>
      <c r="BK16" s="272"/>
      <c r="BL16" s="272"/>
      <c r="BM16" s="272">
        <f>'Calc|Fee Based'!AB15*'Input|Escalations'!$H$20/'Input|Escalations'!$I$20</f>
        <v>175.18787595178364</v>
      </c>
      <c r="BN16" s="272">
        <f>BM16*(1-'Input|Fee Based Mapping'!Z$6)</f>
        <v>176.68983963590611</v>
      </c>
      <c r="BO16" s="272">
        <f>BN16*(1-'Input|Fee Based Mapping'!AA$6)</f>
        <v>178.46143763390376</v>
      </c>
      <c r="BP16" s="272">
        <f>BO16*(1-'Input|Fee Based Mapping'!AB$6)</f>
        <v>180.47736150368519</v>
      </c>
      <c r="BQ16" s="272">
        <f>BP16*(1-'Input|Fee Based Mapping'!AC$6)</f>
        <v>182.55028227578825</v>
      </c>
      <c r="BR16" s="299"/>
      <c r="BS16" s="272"/>
      <c r="BT16" s="272"/>
      <c r="BU16" s="272">
        <f t="shared" si="46"/>
        <v>293.93268347190468</v>
      </c>
      <c r="BV16" s="272">
        <f t="shared" si="26"/>
        <v>301.80035695248461</v>
      </c>
      <c r="BW16" s="272">
        <f t="shared" si="27"/>
        <v>310.2076708238879</v>
      </c>
      <c r="BX16" s="272">
        <f t="shared" si="28"/>
        <v>319.14668040964875</v>
      </c>
      <c r="BY16" s="272">
        <f t="shared" si="29"/>
        <v>328.31255793282082</v>
      </c>
      <c r="BZ16"/>
      <c r="CA16" s="272"/>
      <c r="CB16" s="272"/>
      <c r="CC16" s="272">
        <f t="shared" si="47"/>
        <v>1537.8583901515797</v>
      </c>
      <c r="CD16" s="272">
        <f t="shared" si="30"/>
        <v>1579.0221271343689</v>
      </c>
      <c r="CE16" s="272">
        <f t="shared" si="31"/>
        <v>1623.0092673974257</v>
      </c>
      <c r="CF16" s="272">
        <f t="shared" si="32"/>
        <v>1669.7782443234696</v>
      </c>
      <c r="CG16" s="272">
        <f t="shared" si="33"/>
        <v>1717.7341962972803</v>
      </c>
      <c r="CH16"/>
      <c r="CI16" s="272"/>
      <c r="CJ16" s="272"/>
      <c r="CK16" s="272">
        <f>'Calc|Fee Based'!AC15*'Input|Escalations'!$H$20/'Input|Escalations'!$I$20</f>
        <v>335.57385001341157</v>
      </c>
      <c r="CL16" s="272">
        <f>CK16*(1-'Input|Fee Based Mapping'!Z$6)</f>
        <v>338.45087408441537</v>
      </c>
      <c r="CM16" s="272">
        <f>CL16*(1-'Input|Fee Based Mapping'!AA$6)</f>
        <v>341.84438495172986</v>
      </c>
      <c r="CN16" s="272">
        <f>CM16*(1-'Input|Fee Based Mapping'!AB$6)</f>
        <v>345.70590408164202</v>
      </c>
      <c r="CO16" s="272">
        <f>CN16*(1-'Input|Fee Based Mapping'!AC$6)</f>
        <v>349.67660125739206</v>
      </c>
      <c r="CP16"/>
      <c r="CQ16" s="272"/>
      <c r="CR16" s="272"/>
      <c r="CS16" s="272">
        <f t="shared" si="48"/>
        <v>3508.8112100018579</v>
      </c>
      <c r="CT16" s="272">
        <f t="shared" si="34"/>
        <v>3602.7312891819329</v>
      </c>
      <c r="CU16" s="272">
        <f t="shared" si="35"/>
        <v>3703.0933068028949</v>
      </c>
      <c r="CV16" s="272">
        <f t="shared" si="36"/>
        <v>3809.8024235651001</v>
      </c>
      <c r="CW16" s="272">
        <f t="shared" si="37"/>
        <v>3919.2197684582356</v>
      </c>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row>
    <row r="17" spans="1:205" s="1" customFormat="1" ht="12.75" x14ac:dyDescent="0.2">
      <c r="A17" s="258">
        <f t="shared" si="49"/>
        <v>5</v>
      </c>
      <c r="B17" s="259" t="s">
        <v>374</v>
      </c>
      <c r="C17" s="260" t="s">
        <v>485</v>
      </c>
      <c r="D17" s="261" t="s">
        <v>230</v>
      </c>
      <c r="E17" s="261" t="s">
        <v>486</v>
      </c>
      <c r="F17" s="261" t="s">
        <v>478</v>
      </c>
      <c r="G17" s="264"/>
      <c r="H17" s="212">
        <v>554</v>
      </c>
      <c r="I17" s="272">
        <f t="shared" si="38"/>
        <v>561.70060000000001</v>
      </c>
      <c r="J17" s="272">
        <f t="shared" si="38"/>
        <v>569.45206828000005</v>
      </c>
      <c r="K17" s="272">
        <f t="shared" si="38"/>
        <v>579.27082526345248</v>
      </c>
      <c r="L17" s="272">
        <f t="shared" si="38"/>
        <v>589.72018896573354</v>
      </c>
      <c r="M17" s="272">
        <f t="shared" si="39"/>
        <v>600.13087307503622</v>
      </c>
      <c r="N17" s="272">
        <f t="shared" si="39"/>
        <v>610.52776875821553</v>
      </c>
      <c r="O17" s="272">
        <f t="shared" si="39"/>
        <v>620.9302378021107</v>
      </c>
      <c r="P17"/>
      <c r="Q17" s="272">
        <f>'Input|Fee Based Mapping'!J16</f>
        <v>668.16</v>
      </c>
      <c r="R17" s="272">
        <f>'Input|Fee Based Mapping'!K16</f>
        <v>689.37252255143903</v>
      </c>
      <c r="S17" s="272">
        <f>'Input|Fee Based Mapping'!Y16</f>
        <v>775.84744624698351</v>
      </c>
      <c r="T17" s="272">
        <f>'Input|Fee Based Mapping'!Z16</f>
        <v>805.1916067699234</v>
      </c>
      <c r="U17" s="272">
        <f>'Input|Fee Based Mapping'!AA16</f>
        <v>834.40982777110855</v>
      </c>
      <c r="V17" s="272">
        <f>'Input|Fee Based Mapping'!AB16</f>
        <v>865.49387364962604</v>
      </c>
      <c r="W17" s="272">
        <f>'Input|Fee Based Mapping'!AC16</f>
        <v>897.61241382405728</v>
      </c>
      <c r="X17"/>
      <c r="Y17" s="272">
        <f t="shared" si="40"/>
        <v>375305.87289599999</v>
      </c>
      <c r="Z17" s="272">
        <f t="shared" si="12"/>
        <v>392564.60878231796</v>
      </c>
      <c r="AA17" s="272">
        <f t="shared" si="13"/>
        <v>449425.79046603222</v>
      </c>
      <c r="AB17" s="272">
        <f t="shared" si="14"/>
        <v>474837.74649798183</v>
      </c>
      <c r="AC17" s="272">
        <f t="shared" si="15"/>
        <v>500755.098442666</v>
      </c>
      <c r="AD17" s="272">
        <f t="shared" si="16"/>
        <v>528408.04355321114</v>
      </c>
      <c r="AE17" s="272">
        <f t="shared" si="17"/>
        <v>557354.68956989853</v>
      </c>
      <c r="AF17"/>
      <c r="AG17" s="272">
        <f>Y17/('Input|Escalations'!G$17/'Input|Escalations'!$H$17)</f>
        <v>384405.86834461725</v>
      </c>
      <c r="AH17" s="272">
        <f>Z17/('Input|Escalations'!H$17/'Input|Escalations'!$H$17)</f>
        <v>392564.60878231796</v>
      </c>
      <c r="AI17" s="272">
        <f>AA17/('Input|Escalations'!I$17/'Input|Escalations'!$H$17)</f>
        <v>433701.26370630565</v>
      </c>
      <c r="AJ17" s="272">
        <f>AB17/('Input|Escalations'!J$17/'Input|Escalations'!$H$17)</f>
        <v>445310.11199990573</v>
      </c>
      <c r="AK17" s="272">
        <f>AC17/('Input|Escalations'!K$17/'Input|Escalations'!$H$17)</f>
        <v>457715.20627977251</v>
      </c>
      <c r="AL17" s="272">
        <f>AD17/('Input|Escalations'!L$17/'Input|Escalations'!$H$17)</f>
        <v>470904.82407876704</v>
      </c>
      <c r="AM17" s="272">
        <f>AE17/('Input|Escalations'!M$17/'Input|Escalations'!$H$17)</f>
        <v>484429.18828972062</v>
      </c>
      <c r="AN17" s="263"/>
      <c r="AO17" s="272">
        <f>SUM('Calc|Fee Based'!Z16-'Calc|Fee Based'!V16,'Calc|Fee Based'!AB16:AE16)</f>
        <v>721.7037319770335</v>
      </c>
      <c r="AP17" s="272">
        <f>'Calc|Fee Based'!V16</f>
        <v>54.14371426995001</v>
      </c>
      <c r="AQ17" s="101">
        <f t="shared" si="41"/>
        <v>0</v>
      </c>
      <c r="AR17" s="303">
        <f t="shared" si="42"/>
        <v>0.930213453003087</v>
      </c>
      <c r="AS17" s="303">
        <f t="shared" si="18"/>
        <v>6.9786546996912946E-2</v>
      </c>
      <c r="AT17" s="263"/>
      <c r="AU17" s="272">
        <f t="shared" si="43"/>
        <v>357579.51014749648</v>
      </c>
      <c r="AV17" s="272">
        <f t="shared" si="19"/>
        <v>365168.88026220596</v>
      </c>
      <c r="AW17" s="272">
        <f t="shared" si="19"/>
        <v>403434.75008404499</v>
      </c>
      <c r="AX17" s="272">
        <f t="shared" si="19"/>
        <v>414233.4569406237</v>
      </c>
      <c r="AY17" s="272">
        <f t="shared" si="19"/>
        <v>425772.84252552746</v>
      </c>
      <c r="AZ17" s="272">
        <f t="shared" si="19"/>
        <v>438042.0024421211</v>
      </c>
      <c r="BA17" s="272">
        <f t="shared" si="19"/>
        <v>450622.54797446361</v>
      </c>
      <c r="BB17" s="263"/>
      <c r="BC17" s="272">
        <f t="shared" si="44"/>
        <v>26826.358197120764</v>
      </c>
      <c r="BD17" s="272">
        <f t="shared" si="20"/>
        <v>27395.728520111978</v>
      </c>
      <c r="BE17" s="272">
        <f t="shared" si="21"/>
        <v>30266.513622260634</v>
      </c>
      <c r="BF17" s="272">
        <f t="shared" si="22"/>
        <v>31076.655059281988</v>
      </c>
      <c r="BG17" s="272">
        <f t="shared" si="23"/>
        <v>31942.363754245049</v>
      </c>
      <c r="BH17" s="272">
        <f t="shared" si="24"/>
        <v>32862.821636645902</v>
      </c>
      <c r="BI17" s="272">
        <f t="shared" si="25"/>
        <v>33806.640315256976</v>
      </c>
      <c r="BJ17" s="299">
        <f t="shared" si="45"/>
        <v>0</v>
      </c>
      <c r="BK17" s="272"/>
      <c r="BL17" s="272"/>
      <c r="BM17" s="272">
        <f>'Calc|Fee Based'!AB16*'Input|Escalations'!$H$20/'Input|Escalations'!$I$20</f>
        <v>93.0051922895952</v>
      </c>
      <c r="BN17" s="272">
        <f>BM17*(1-'Input|Fee Based Mapping'!Z$6)</f>
        <v>93.8025672249032</v>
      </c>
      <c r="BO17" s="272">
        <f>BN17*(1-'Input|Fee Based Mapping'!AA$6)</f>
        <v>94.743087860640472</v>
      </c>
      <c r="BP17" s="272">
        <f>BO17*(1-'Input|Fee Based Mapping'!AB$6)</f>
        <v>95.813318241205224</v>
      </c>
      <c r="BQ17" s="272">
        <f>BP17*(1-'Input|Fee Based Mapping'!AC$6)</f>
        <v>96.913807609907906</v>
      </c>
      <c r="BR17" s="299"/>
      <c r="BS17" s="272"/>
      <c r="BT17" s="272"/>
      <c r="BU17" s="272">
        <f t="shared" si="46"/>
        <v>3759.7637923405091</v>
      </c>
      <c r="BV17" s="272">
        <f t="shared" si="26"/>
        <v>3860.4010999472671</v>
      </c>
      <c r="BW17" s="272">
        <f t="shared" si="27"/>
        <v>3967.9410778468864</v>
      </c>
      <c r="BX17" s="272">
        <f t="shared" si="28"/>
        <v>4082.2821037680164</v>
      </c>
      <c r="BY17" s="272">
        <f t="shared" si="29"/>
        <v>4199.5250521519592</v>
      </c>
      <c r="BZ17"/>
      <c r="CA17" s="272"/>
      <c r="CB17" s="272"/>
      <c r="CC17" s="272">
        <f t="shared" si="47"/>
        <v>50115.430699039389</v>
      </c>
      <c r="CD17" s="272">
        <f t="shared" si="30"/>
        <v>51456.866569393562</v>
      </c>
      <c r="CE17" s="272">
        <f t="shared" si="31"/>
        <v>52890.310957784146</v>
      </c>
      <c r="CF17" s="272">
        <f t="shared" si="32"/>
        <v>54414.409299355837</v>
      </c>
      <c r="CG17" s="272">
        <f t="shared" si="33"/>
        <v>55977.18855337616</v>
      </c>
      <c r="CH17"/>
      <c r="CI17" s="272"/>
      <c r="CJ17" s="272"/>
      <c r="CK17" s="272">
        <f>'Calc|Fee Based'!AC16*'Input|Escalations'!$H$20/'Input|Escalations'!$I$20</f>
        <v>178.15222816244986</v>
      </c>
      <c r="CL17" s="272">
        <f>CK17*(1-'Input|Fee Based Mapping'!Z$6)</f>
        <v>179.6796065583107</v>
      </c>
      <c r="CM17" s="272">
        <f>CL17*(1-'Input|Fee Based Mapping'!AA$6)</f>
        <v>181.48118174744241</v>
      </c>
      <c r="CN17" s="272">
        <f>CM17*(1-'Input|Fee Based Mapping'!AB$6)</f>
        <v>183.53121704387056</v>
      </c>
      <c r="CO17" s="272">
        <f>CN17*(1-'Input|Fee Based Mapping'!AC$6)</f>
        <v>185.63921368660641</v>
      </c>
      <c r="CP17"/>
      <c r="CQ17" s="272"/>
      <c r="CR17" s="272"/>
      <c r="CS17" s="272">
        <f t="shared" si="48"/>
        <v>103198.38823018521</v>
      </c>
      <c r="CT17" s="272">
        <f t="shared" si="34"/>
        <v>105960.69153285564</v>
      </c>
      <c r="CU17" s="272">
        <f t="shared" si="35"/>
        <v>108912.46004878194</v>
      </c>
      <c r="CV17" s="272">
        <f t="shared" si="36"/>
        <v>112050.90443927406</v>
      </c>
      <c r="CW17" s="272">
        <f t="shared" si="37"/>
        <v>115269.00109982135</v>
      </c>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row>
    <row r="18" spans="1:205" s="1" customFormat="1" ht="12.75" x14ac:dyDescent="0.2">
      <c r="A18" s="258">
        <f t="shared" si="49"/>
        <v>6</v>
      </c>
      <c r="B18" s="259" t="s">
        <v>374</v>
      </c>
      <c r="C18" s="260" t="s">
        <v>487</v>
      </c>
      <c r="D18" s="261" t="s">
        <v>231</v>
      </c>
      <c r="E18" s="261" t="s">
        <v>488</v>
      </c>
      <c r="F18" s="261" t="s">
        <v>478</v>
      </c>
      <c r="G18" s="264"/>
      <c r="H18" s="212">
        <v>1</v>
      </c>
      <c r="I18" s="272">
        <f t="shared" si="38"/>
        <v>1.0139</v>
      </c>
      <c r="J18" s="272">
        <f t="shared" si="38"/>
        <v>1.02789182</v>
      </c>
      <c r="K18" s="272">
        <f t="shared" si="38"/>
        <v>1.0456152080567733</v>
      </c>
      <c r="L18" s="272">
        <f t="shared" si="38"/>
        <v>1.0644768753894105</v>
      </c>
      <c r="M18" s="272">
        <f t="shared" si="39"/>
        <v>1.083268723962159</v>
      </c>
      <c r="N18" s="272">
        <f t="shared" si="39"/>
        <v>1.1020356836790892</v>
      </c>
      <c r="O18" s="272">
        <f t="shared" si="39"/>
        <v>1.1208127036139179</v>
      </c>
      <c r="P18" s="101"/>
      <c r="Q18" s="272">
        <f>'Input|Fee Based Mapping'!J17</f>
        <v>884.93</v>
      </c>
      <c r="R18" s="272">
        <f>'Input|Fee Based Mapping'!K17</f>
        <v>913.02446477108015</v>
      </c>
      <c r="S18" s="272">
        <f>'Input|Fee Based Mapping'!Y17</f>
        <v>1157.4893428643556</v>
      </c>
      <c r="T18" s="272">
        <f>'Input|Fee Based Mapping'!Z17</f>
        <v>1201.2679919337131</v>
      </c>
      <c r="U18" s="272">
        <f>'Input|Fee Based Mapping'!AA17</f>
        <v>1244.8587514186145</v>
      </c>
      <c r="V18" s="272">
        <f>'Input|Fee Based Mapping'!AB17</f>
        <v>1291.2331411411487</v>
      </c>
      <c r="W18" s="272">
        <f>'Input|Fee Based Mapping'!AC17</f>
        <v>1339.150896287603</v>
      </c>
      <c r="X18" s="101"/>
      <c r="Y18" s="272">
        <f t="shared" si="40"/>
        <v>897.23052699999994</v>
      </c>
      <c r="Z18" s="272">
        <f t="shared" si="12"/>
        <v>938.49037879807145</v>
      </c>
      <c r="AA18" s="272">
        <f t="shared" si="13"/>
        <v>1210.288460062611</v>
      </c>
      <c r="AB18" s="272">
        <f t="shared" si="14"/>
        <v>1278.7219985589104</v>
      </c>
      <c r="AC18" s="272">
        <f t="shared" si="15"/>
        <v>1348.5165511623691</v>
      </c>
      <c r="AD18" s="272">
        <f t="shared" si="16"/>
        <v>1422.9849974865838</v>
      </c>
      <c r="AE18" s="272">
        <f t="shared" si="17"/>
        <v>1500.9373366151099</v>
      </c>
      <c r="AF18"/>
      <c r="AG18" s="272">
        <f>Y18/('Input|Escalations'!G$17/'Input|Escalations'!$H$17)</f>
        <v>918.98556549448949</v>
      </c>
      <c r="AH18" s="272">
        <f>Z18/('Input|Escalations'!H$17/'Input|Escalations'!$H$17)</f>
        <v>938.49037879807145</v>
      </c>
      <c r="AI18" s="272">
        <f>AA18/('Input|Escalations'!I$17/'Input|Escalations'!$H$17)</f>
        <v>1167.9428410951095</v>
      </c>
      <c r="AJ18" s="272">
        <f>AB18/('Input|Escalations'!J$17/'Input|Escalations'!$H$17)</f>
        <v>1199.2050770913847</v>
      </c>
      <c r="AK18" s="272">
        <f>AC18/('Input|Escalations'!K$17/'Input|Escalations'!$H$17)</f>
        <v>1232.6115766101216</v>
      </c>
      <c r="AL18" s="272">
        <f>AD18/('Input|Escalations'!L$17/'Input|Escalations'!$H$17)</f>
        <v>1268.1307714436141</v>
      </c>
      <c r="AM18" s="272">
        <f>AE18/('Input|Escalations'!M$17/'Input|Escalations'!$H$17)</f>
        <v>1304.5514270477966</v>
      </c>
      <c r="AN18" s="263"/>
      <c r="AO18" s="272">
        <f>SUM('Calc|Fee Based'!Z17-'Calc|Fee Based'!V17,'Calc|Fee Based'!AB17:AE17)</f>
        <v>1103.3456285944058</v>
      </c>
      <c r="AP18" s="272">
        <f>'Calc|Fee Based'!V17</f>
        <v>54.14371426995001</v>
      </c>
      <c r="AQ18" s="101">
        <f t="shared" si="41"/>
        <v>0</v>
      </c>
      <c r="AR18" s="303">
        <f t="shared" si="42"/>
        <v>0.95322314230905614</v>
      </c>
      <c r="AS18" s="303">
        <f t="shared" si="18"/>
        <v>4.6776857690943779E-2</v>
      </c>
      <c r="AT18" s="263"/>
      <c r="AU18" s="272">
        <f t="shared" si="43"/>
        <v>875.99830847732221</v>
      </c>
      <c r="AV18" s="272">
        <f t="shared" si="19"/>
        <v>894.59074790471402</v>
      </c>
      <c r="AW18" s="272">
        <f t="shared" si="19"/>
        <v>1113.3101450260469</v>
      </c>
      <c r="AX18" s="272">
        <f t="shared" si="19"/>
        <v>1143.1100318580236</v>
      </c>
      <c r="AY18" s="272">
        <f t="shared" si="19"/>
        <v>1174.9538803028199</v>
      </c>
      <c r="AZ18" s="272">
        <f t="shared" si="19"/>
        <v>1208.8115988142893</v>
      </c>
      <c r="BA18" s="272">
        <f t="shared" si="19"/>
        <v>1243.5286105942641</v>
      </c>
      <c r="BB18" s="263"/>
      <c r="BC18" s="272">
        <f t="shared" si="44"/>
        <v>42.987257017167231</v>
      </c>
      <c r="BD18" s="272">
        <f t="shared" si="20"/>
        <v>43.899630893357312</v>
      </c>
      <c r="BE18" s="272">
        <f t="shared" si="21"/>
        <v>54.632696069062504</v>
      </c>
      <c r="BF18" s="272">
        <f t="shared" si="22"/>
        <v>56.09504523336097</v>
      </c>
      <c r="BG18" s="272">
        <f t="shared" si="23"/>
        <v>57.657696307301499</v>
      </c>
      <c r="BH18" s="272">
        <f t="shared" si="24"/>
        <v>59.31917262932469</v>
      </c>
      <c r="BI18" s="272">
        <f t="shared" si="25"/>
        <v>61.022816453532407</v>
      </c>
      <c r="BJ18" s="299">
        <f t="shared" si="45"/>
        <v>0</v>
      </c>
      <c r="BK18" s="272"/>
      <c r="BL18" s="272"/>
      <c r="BM18" s="272">
        <f>'Calc|Fee Based'!AB17*'Input|Escalations'!$H$20/'Input|Escalations'!$I$20</f>
        <v>138.75475059820775</v>
      </c>
      <c r="BN18" s="272">
        <f>BM18*(1-'Input|Fee Based Mapping'!Z$6)</f>
        <v>139.94435687241898</v>
      </c>
      <c r="BO18" s="272">
        <f>BN18*(1-'Input|Fee Based Mapping'!AA$6)</f>
        <v>141.34752268533234</v>
      </c>
      <c r="BP18" s="272">
        <f>BO18*(1-'Input|Fee Based Mapping'!AB$6)</f>
        <v>142.94420289083629</v>
      </c>
      <c r="BQ18" s="272">
        <f>BP18*(1-'Input|Fee Based Mapping'!AC$6)</f>
        <v>144.58602657972082</v>
      </c>
      <c r="BR18" s="299"/>
      <c r="BS18" s="272"/>
      <c r="BT18" s="272"/>
      <c r="BU18" s="272">
        <f t="shared" si="46"/>
        <v>6.7865772424918918</v>
      </c>
      <c r="BV18" s="272">
        <f t="shared" si="26"/>
        <v>6.9682330323957871</v>
      </c>
      <c r="BW18" s="272">
        <f t="shared" si="27"/>
        <v>7.1623485159691072</v>
      </c>
      <c r="BX18" s="272">
        <f t="shared" si="28"/>
        <v>7.3687402595090523</v>
      </c>
      <c r="BY18" s="272">
        <f t="shared" si="29"/>
        <v>7.5803701302381885</v>
      </c>
      <c r="BZ18"/>
      <c r="CA18" s="272"/>
      <c r="CB18" s="272"/>
      <c r="CC18" s="272">
        <f t="shared" si="47"/>
        <v>138.29750017311878</v>
      </c>
      <c r="CD18" s="272">
        <f t="shared" si="30"/>
        <v>141.99929869953732</v>
      </c>
      <c r="CE18" s="272">
        <f t="shared" si="31"/>
        <v>145.95500201858317</v>
      </c>
      <c r="CF18" s="272">
        <f t="shared" si="32"/>
        <v>150.16087210125616</v>
      </c>
      <c r="CG18" s="272">
        <f t="shared" si="33"/>
        <v>154.47348522537249</v>
      </c>
      <c r="CH18"/>
      <c r="CI18" s="272"/>
      <c r="CJ18" s="272"/>
      <c r="CK18" s="272">
        <f>'Calc|Fee Based'!AC17*'Input|Escalations'!$H$20/'Input|Escalations'!$I$20</f>
        <v>265.78589193413427</v>
      </c>
      <c r="CL18" s="272">
        <f>CK18*(1-'Input|Fee Based Mapping'!Z$6)</f>
        <v>268.06459275899635</v>
      </c>
      <c r="CM18" s="272">
        <f>CL18*(1-'Input|Fee Based Mapping'!AA$6)</f>
        <v>270.75236867664108</v>
      </c>
      <c r="CN18" s="272">
        <f>CM18*(1-'Input|Fee Based Mapping'!AB$6)</f>
        <v>273.81082304107804</v>
      </c>
      <c r="CO18" s="272">
        <f>CN18*(1-'Input|Fee Based Mapping'!AC$6)</f>
        <v>276.95575012766386</v>
      </c>
      <c r="CP18"/>
      <c r="CQ18" s="272"/>
      <c r="CR18" s="272"/>
      <c r="CS18" s="272">
        <f t="shared" si="48"/>
        <v>277.90977069326487</v>
      </c>
      <c r="CT18" s="272">
        <f t="shared" si="34"/>
        <v>285.34856010263121</v>
      </c>
      <c r="CU18" s="272">
        <f t="shared" si="35"/>
        <v>293.29757292607701</v>
      </c>
      <c r="CV18" s="272">
        <f t="shared" si="36"/>
        <v>301.74929756880857</v>
      </c>
      <c r="CW18" s="272">
        <f t="shared" si="37"/>
        <v>310.41552308200761</v>
      </c>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row>
    <row r="19" spans="1:205" s="1" customFormat="1" ht="12.75" x14ac:dyDescent="0.2">
      <c r="A19" s="258">
        <f t="shared" si="49"/>
        <v>7</v>
      </c>
      <c r="B19" s="259" t="s">
        <v>375</v>
      </c>
      <c r="C19" s="260" t="s">
        <v>489</v>
      </c>
      <c r="D19" s="261" t="s">
        <v>230</v>
      </c>
      <c r="E19" s="261" t="s">
        <v>490</v>
      </c>
      <c r="F19" s="261" t="s">
        <v>478</v>
      </c>
      <c r="G19" s="264"/>
      <c r="H19" s="212">
        <v>12</v>
      </c>
      <c r="I19" s="272">
        <f t="shared" si="38"/>
        <v>12.1668</v>
      </c>
      <c r="J19" s="272">
        <f t="shared" si="38"/>
        <v>12.334701840000001</v>
      </c>
      <c r="K19" s="272">
        <f t="shared" si="38"/>
        <v>12.547382496681282</v>
      </c>
      <c r="L19" s="272">
        <f t="shared" si="38"/>
        <v>12.773722504672929</v>
      </c>
      <c r="M19" s="272">
        <f t="shared" si="39"/>
        <v>12.99922468754591</v>
      </c>
      <c r="N19" s="272">
        <f t="shared" si="39"/>
        <v>13.224428204149072</v>
      </c>
      <c r="O19" s="272">
        <f t="shared" si="39"/>
        <v>13.449752443367018</v>
      </c>
      <c r="P19" s="101"/>
      <c r="Q19" s="272">
        <f>'Input|Fee Based Mapping'!J18</f>
        <v>822.02</v>
      </c>
      <c r="R19" s="272">
        <f>'Input|Fee Based Mapping'!K18</f>
        <v>848.11721891123966</v>
      </c>
      <c r="S19" s="272">
        <f>'Input|Fee Based Mapping'!Y18</f>
        <v>825.94062054517963</v>
      </c>
      <c r="T19" s="272">
        <f>'Input|Fee Based Mapping'!Z18</f>
        <v>857.17940887777524</v>
      </c>
      <c r="U19" s="272">
        <f>'Input|Fee Based Mapping'!AA18</f>
        <v>888.28412630860726</v>
      </c>
      <c r="V19" s="272">
        <f>'Input|Fee Based Mapping'!AB18</f>
        <v>921.37513700426484</v>
      </c>
      <c r="W19" s="272">
        <f>'Input|Fee Based Mapping'!AC18</f>
        <v>955.56743489865016</v>
      </c>
      <c r="X19" s="101"/>
      <c r="Y19" s="272">
        <f t="shared" si="40"/>
        <v>10001.352935999999</v>
      </c>
      <c r="Z19" s="272">
        <f t="shared" si="12"/>
        <v>10461.273020640152</v>
      </c>
      <c r="AA19" s="272">
        <f t="shared" si="13"/>
        <v>10363.392885526662</v>
      </c>
      <c r="AB19" s="272">
        <f t="shared" si="14"/>
        <v>10949.371905724276</v>
      </c>
      <c r="AC19" s="272">
        <f t="shared" si="15"/>
        <v>11547.004944265997</v>
      </c>
      <c r="AD19" s="272">
        <f t="shared" si="16"/>
        <v>12184.659348400915</v>
      </c>
      <c r="AE19" s="272">
        <f t="shared" si="17"/>
        <v>12852.145442330075</v>
      </c>
      <c r="AF19"/>
      <c r="AG19" s="272">
        <f>Y19/('Input|Escalations'!G$17/'Input|Escalations'!$H$17)</f>
        <v>10243.854513434242</v>
      </c>
      <c r="AH19" s="272">
        <f>Z19/('Input|Escalations'!H$17/'Input|Escalations'!$H$17)</f>
        <v>10461.273020640152</v>
      </c>
      <c r="AI19" s="272">
        <f>AA19/('Input|Escalations'!I$17/'Input|Escalations'!$H$17)</f>
        <v>10000.798098562962</v>
      </c>
      <c r="AJ19" s="272">
        <f>AB19/('Input|Escalations'!J$17/'Input|Escalations'!$H$17)</f>
        <v>10268.488690351878</v>
      </c>
      <c r="AK19" s="272">
        <f>AC19/('Input|Escalations'!K$17/'Input|Escalations'!$H$17)</f>
        <v>10554.540066422105</v>
      </c>
      <c r="AL19" s="272">
        <f>AD19/('Input|Escalations'!L$17/'Input|Escalations'!$H$17)</f>
        <v>10858.681916223773</v>
      </c>
      <c r="AM19" s="272">
        <f>AE19/('Input|Escalations'!M$17/'Input|Escalations'!$H$17)</f>
        <v>11170.542745794168</v>
      </c>
      <c r="AN19" s="263"/>
      <c r="AO19" s="272">
        <f>SUM('Calc|Fee Based'!Z18-'Calc|Fee Based'!V18,'Calc|Fee Based'!AB18:AE18)</f>
        <v>742.07016975877434</v>
      </c>
      <c r="AP19" s="272">
        <f>'Calc|Fee Based'!V18</f>
        <v>83.8704507864052</v>
      </c>
      <c r="AQ19" s="101">
        <f t="shared" si="41"/>
        <v>0</v>
      </c>
      <c r="AR19" s="303">
        <f t="shared" si="42"/>
        <v>0.89845462409749899</v>
      </c>
      <c r="AS19" s="303">
        <f t="shared" si="18"/>
        <v>0.10154537590250101</v>
      </c>
      <c r="AT19" s="263"/>
      <c r="AU19" s="272">
        <f t="shared" si="43"/>
        <v>9203.6384561770301</v>
      </c>
      <c r="AV19" s="272">
        <f t="shared" si="19"/>
        <v>9398.9791193405563</v>
      </c>
      <c r="AW19" s="272">
        <f t="shared" si="19"/>
        <v>8985.2632963193682</v>
      </c>
      <c r="AX19" s="272">
        <f t="shared" si="19"/>
        <v>9225.7711463395171</v>
      </c>
      <c r="AY19" s="272">
        <f t="shared" si="19"/>
        <v>9482.7753278992641</v>
      </c>
      <c r="AZ19" s="272">
        <f t="shared" si="19"/>
        <v>9756.0329792351404</v>
      </c>
      <c r="BA19" s="272">
        <f t="shared" si="19"/>
        <v>10036.225783637543</v>
      </c>
      <c r="BB19" s="263"/>
      <c r="BC19" s="272">
        <f t="shared" si="44"/>
        <v>1040.2160572572118</v>
      </c>
      <c r="BD19" s="272">
        <f t="shared" si="20"/>
        <v>1062.2939012995964</v>
      </c>
      <c r="BE19" s="272">
        <f t="shared" si="21"/>
        <v>1015.5348022435934</v>
      </c>
      <c r="BF19" s="272">
        <f t="shared" si="22"/>
        <v>1042.7175440123617</v>
      </c>
      <c r="BG19" s="272">
        <f t="shared" si="23"/>
        <v>1071.7647385228406</v>
      </c>
      <c r="BH19" s="272">
        <f t="shared" si="24"/>
        <v>1102.6489369886331</v>
      </c>
      <c r="BI19" s="272">
        <f t="shared" si="25"/>
        <v>1134.3169621566246</v>
      </c>
      <c r="BJ19" s="299">
        <f t="shared" si="45"/>
        <v>0</v>
      </c>
      <c r="BK19" s="272"/>
      <c r="BL19" s="272"/>
      <c r="BM19" s="272">
        <f>'Calc|Fee Based'!AB18*'Input|Escalations'!$H$20/'Input|Escalations'!$I$20</f>
        <v>99.010142528893667</v>
      </c>
      <c r="BN19" s="272">
        <f>BM19*(1-'Input|Fee Based Mapping'!Z$6)</f>
        <v>99.85900057703347</v>
      </c>
      <c r="BO19" s="272">
        <f>BN19*(1-'Input|Fee Based Mapping'!AA$6)</f>
        <v>100.86024663548746</v>
      </c>
      <c r="BP19" s="272">
        <f>BO19*(1-'Input|Fee Based Mapping'!AB$6)</f>
        <v>101.99957724606803</v>
      </c>
      <c r="BQ19" s="272">
        <f>BP19*(1-'Input|Fee Based Mapping'!AC$6)</f>
        <v>103.17112053912967</v>
      </c>
      <c r="BR19" s="299"/>
      <c r="BS19" s="272"/>
      <c r="BT19" s="272"/>
      <c r="BU19" s="272">
        <f t="shared" si="46"/>
        <v>126.1516614364505</v>
      </c>
      <c r="BV19" s="272">
        <f t="shared" si="26"/>
        <v>129.52835323367123</v>
      </c>
      <c r="BW19" s="272">
        <f t="shared" si="27"/>
        <v>133.13665089069792</v>
      </c>
      <c r="BX19" s="272">
        <f t="shared" si="28"/>
        <v>136.97314466716452</v>
      </c>
      <c r="BY19" s="272">
        <f t="shared" si="29"/>
        <v>140.90700688491174</v>
      </c>
      <c r="BZ19"/>
      <c r="CA19" s="272"/>
      <c r="CB19" s="272"/>
      <c r="CC19" s="272">
        <f t="shared" si="47"/>
        <v>1116.1664679245089</v>
      </c>
      <c r="CD19" s="272">
        <f t="shared" si="30"/>
        <v>1146.0428097313281</v>
      </c>
      <c r="CE19" s="272">
        <f t="shared" si="31"/>
        <v>1177.9683571652999</v>
      </c>
      <c r="CF19" s="272">
        <f t="shared" si="32"/>
        <v>1211.9129414770196</v>
      </c>
      <c r="CG19" s="272">
        <f t="shared" si="33"/>
        <v>1246.7190236711608</v>
      </c>
      <c r="CH19"/>
      <c r="CI19" s="272"/>
      <c r="CJ19" s="272"/>
      <c r="CK19" s="272">
        <f>'Calc|Fee Based'!AC18*'Input|Escalations'!$H$20/'Input|Escalations'!$I$20</f>
        <v>189.65476085766301</v>
      </c>
      <c r="CL19" s="272">
        <f>CK19*(1-'Input|Fee Based Mapping'!Z$6)</f>
        <v>191.28075558921361</v>
      </c>
      <c r="CM19" s="272">
        <f>CL19*(1-'Input|Fee Based Mapping'!AA$6)</f>
        <v>193.19865083636321</v>
      </c>
      <c r="CN19" s="272">
        <f>CM19*(1-'Input|Fee Based Mapping'!AB$6)</f>
        <v>195.38104820463704</v>
      </c>
      <c r="CO19" s="272">
        <f>CN19*(1-'Input|Fee Based Mapping'!AC$6)</f>
        <v>197.62514923716677</v>
      </c>
      <c r="CP19"/>
      <c r="CQ19" s="272"/>
      <c r="CR19" s="272"/>
      <c r="CS19" s="272">
        <f t="shared" si="48"/>
        <v>2379.6708267977151</v>
      </c>
      <c r="CT19" s="272">
        <f t="shared" si="34"/>
        <v>2443.3672923807799</v>
      </c>
      <c r="CU19" s="272">
        <f t="shared" si="35"/>
        <v>2511.4326715526149</v>
      </c>
      <c r="CV19" s="272">
        <f t="shared" si="36"/>
        <v>2583.8026444336115</v>
      </c>
      <c r="CW19" s="272">
        <f t="shared" si="37"/>
        <v>2658.0093338233551</v>
      </c>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row>
    <row r="20" spans="1:205" s="1" customFormat="1" ht="12.75" x14ac:dyDescent="0.2">
      <c r="A20" s="258">
        <f t="shared" si="49"/>
        <v>8</v>
      </c>
      <c r="B20" s="259" t="s">
        <v>375</v>
      </c>
      <c r="C20" s="260" t="s">
        <v>491</v>
      </c>
      <c r="D20" s="261" t="s">
        <v>231</v>
      </c>
      <c r="E20" s="261" t="s">
        <v>492</v>
      </c>
      <c r="F20" s="261" t="s">
        <v>478</v>
      </c>
      <c r="G20" s="264"/>
      <c r="H20" s="212">
        <v>0</v>
      </c>
      <c r="I20" s="272">
        <f t="shared" si="38"/>
        <v>0</v>
      </c>
      <c r="J20" s="272">
        <f t="shared" si="38"/>
        <v>0</v>
      </c>
      <c r="K20" s="272">
        <f t="shared" si="38"/>
        <v>0</v>
      </c>
      <c r="L20" s="272">
        <f t="shared" si="38"/>
        <v>0</v>
      </c>
      <c r="M20" s="272">
        <f t="shared" si="39"/>
        <v>0</v>
      </c>
      <c r="N20" s="272">
        <f t="shared" si="39"/>
        <v>0</v>
      </c>
      <c r="O20" s="272">
        <f t="shared" si="39"/>
        <v>0</v>
      </c>
      <c r="P20" s="101"/>
      <c r="Q20" s="272">
        <f>'Input|Fee Based Mapping'!J19</f>
        <v>1038.81</v>
      </c>
      <c r="R20" s="272">
        <f>'Input|Fee Based Mapping'!K19</f>
        <v>1071.7897960842618</v>
      </c>
      <c r="S20" s="272">
        <f>'Input|Fee Based Mapping'!Y19</f>
        <v>1207.5825171625515</v>
      </c>
      <c r="T20" s="272">
        <f>'Input|Fee Based Mapping'!Z19</f>
        <v>1253.2557940415647</v>
      </c>
      <c r="U20" s="272">
        <f>'Input|Fee Based Mapping'!AA19</f>
        <v>1298.7330499561131</v>
      </c>
      <c r="V20" s="272">
        <f>'Input|Fee Based Mapping'!AB19</f>
        <v>1347.1144044957875</v>
      </c>
      <c r="W20" s="272">
        <f>'Input|Fee Based Mapping'!AC19</f>
        <v>1397.1059173621959</v>
      </c>
      <c r="X20" s="101"/>
      <c r="Y20" s="272">
        <f t="shared" si="40"/>
        <v>0</v>
      </c>
      <c r="Z20" s="272">
        <f t="shared" si="12"/>
        <v>0</v>
      </c>
      <c r="AA20" s="272">
        <f t="shared" si="13"/>
        <v>0</v>
      </c>
      <c r="AB20" s="272">
        <f t="shared" si="14"/>
        <v>0</v>
      </c>
      <c r="AC20" s="272">
        <f t="shared" si="15"/>
        <v>0</v>
      </c>
      <c r="AD20" s="272">
        <f t="shared" si="16"/>
        <v>0</v>
      </c>
      <c r="AE20" s="272">
        <f t="shared" si="17"/>
        <v>0</v>
      </c>
      <c r="AF20"/>
      <c r="AG20" s="272">
        <f>Y20/('Input|Escalations'!G$17/'Input|Escalations'!$H$17)</f>
        <v>0</v>
      </c>
      <c r="AH20" s="272">
        <f>Z20/('Input|Escalations'!H$17/'Input|Escalations'!$H$17)</f>
        <v>0</v>
      </c>
      <c r="AI20" s="272">
        <f>AA20/('Input|Escalations'!I$17/'Input|Escalations'!$H$17)</f>
        <v>0</v>
      </c>
      <c r="AJ20" s="272">
        <f>AB20/('Input|Escalations'!J$17/'Input|Escalations'!$H$17)</f>
        <v>0</v>
      </c>
      <c r="AK20" s="272">
        <f>AC20/('Input|Escalations'!K$17/'Input|Escalations'!$H$17)</f>
        <v>0</v>
      </c>
      <c r="AL20" s="272">
        <f>AD20/('Input|Escalations'!L$17/'Input|Escalations'!$H$17)</f>
        <v>0</v>
      </c>
      <c r="AM20" s="272">
        <f>AE20/('Input|Escalations'!M$17/'Input|Escalations'!$H$17)</f>
        <v>0</v>
      </c>
      <c r="AN20" s="263"/>
      <c r="AO20" s="272">
        <f>SUM('Calc|Fee Based'!Z19-'Calc|Fee Based'!V19,'Calc|Fee Based'!AB19:AE19)</f>
        <v>1123.7120663761466</v>
      </c>
      <c r="AP20" s="272">
        <f>'Calc|Fee Based'!V19</f>
        <v>83.8704507864052</v>
      </c>
      <c r="AQ20" s="101">
        <f t="shared" si="41"/>
        <v>0</v>
      </c>
      <c r="AR20" s="303">
        <f t="shared" si="42"/>
        <v>0.93054681597786382</v>
      </c>
      <c r="AS20" s="303">
        <f t="shared" si="18"/>
        <v>6.9453184022136238E-2</v>
      </c>
      <c r="AT20" s="263"/>
      <c r="AU20" s="272">
        <f t="shared" si="43"/>
        <v>0</v>
      </c>
      <c r="AV20" s="272">
        <f t="shared" si="19"/>
        <v>0</v>
      </c>
      <c r="AW20" s="272">
        <f t="shared" si="19"/>
        <v>0</v>
      </c>
      <c r="AX20" s="272">
        <f t="shared" si="19"/>
        <v>0</v>
      </c>
      <c r="AY20" s="272">
        <f t="shared" si="19"/>
        <v>0</v>
      </c>
      <c r="AZ20" s="272">
        <f t="shared" si="19"/>
        <v>0</v>
      </c>
      <c r="BA20" s="272">
        <f t="shared" si="19"/>
        <v>0</v>
      </c>
      <c r="BB20" s="263"/>
      <c r="BC20" s="272">
        <f t="shared" si="44"/>
        <v>0</v>
      </c>
      <c r="BD20" s="272">
        <f t="shared" si="20"/>
        <v>0</v>
      </c>
      <c r="BE20" s="272">
        <f t="shared" si="21"/>
        <v>0</v>
      </c>
      <c r="BF20" s="272">
        <f t="shared" si="22"/>
        <v>0</v>
      </c>
      <c r="BG20" s="272">
        <f t="shared" si="23"/>
        <v>0</v>
      </c>
      <c r="BH20" s="272">
        <f t="shared" si="24"/>
        <v>0</v>
      </c>
      <c r="BI20" s="272">
        <f t="shared" si="25"/>
        <v>0</v>
      </c>
      <c r="BJ20" s="299">
        <f t="shared" si="45"/>
        <v>0</v>
      </c>
      <c r="BK20" s="272"/>
      <c r="BL20" s="272"/>
      <c r="BM20" s="272">
        <f>'Calc|Fee Based'!AB19*'Input|Escalations'!$H$20/'Input|Escalations'!$I$20</f>
        <v>144.75970083750622</v>
      </c>
      <c r="BN20" s="272">
        <f>BM20*(1-'Input|Fee Based Mapping'!Z$6)</f>
        <v>146.00079022454923</v>
      </c>
      <c r="BO20" s="272">
        <f>BN20*(1-'Input|Fee Based Mapping'!AA$6)</f>
        <v>147.46468146017932</v>
      </c>
      <c r="BP20" s="272">
        <f>BO20*(1-'Input|Fee Based Mapping'!AB$6)</f>
        <v>149.13046189569911</v>
      </c>
      <c r="BQ20" s="272">
        <f>BP20*(1-'Input|Fee Based Mapping'!AC$6)</f>
        <v>150.84333950894262</v>
      </c>
      <c r="BR20" s="299"/>
      <c r="BS20" s="272"/>
      <c r="BT20" s="272"/>
      <c r="BU20" s="272">
        <f t="shared" si="46"/>
        <v>0</v>
      </c>
      <c r="BV20" s="272">
        <f t="shared" si="26"/>
        <v>0</v>
      </c>
      <c r="BW20" s="272">
        <f t="shared" si="27"/>
        <v>0</v>
      </c>
      <c r="BX20" s="272">
        <f t="shared" si="28"/>
        <v>0</v>
      </c>
      <c r="BY20" s="272">
        <f t="shared" si="29"/>
        <v>0</v>
      </c>
      <c r="BZ20"/>
      <c r="CA20" s="272"/>
      <c r="CB20" s="272"/>
      <c r="CC20" s="272">
        <f t="shared" si="47"/>
        <v>0</v>
      </c>
      <c r="CD20" s="272">
        <f t="shared" si="30"/>
        <v>0</v>
      </c>
      <c r="CE20" s="272">
        <f t="shared" si="31"/>
        <v>0</v>
      </c>
      <c r="CF20" s="272">
        <f t="shared" si="32"/>
        <v>0</v>
      </c>
      <c r="CG20" s="272">
        <f t="shared" si="33"/>
        <v>0</v>
      </c>
      <c r="CH20"/>
      <c r="CI20" s="272"/>
      <c r="CJ20" s="272"/>
      <c r="CK20" s="272">
        <f>'Calc|Fee Based'!AC19*'Input|Escalations'!$H$20/'Input|Escalations'!$I$20</f>
        <v>277.28842462934745</v>
      </c>
      <c r="CL20" s="272">
        <f>CK20*(1-'Input|Fee Based Mapping'!Z$6)</f>
        <v>279.66574178989936</v>
      </c>
      <c r="CM20" s="272">
        <f>CL20*(1-'Input|Fee Based Mapping'!AA$6)</f>
        <v>282.46983776556198</v>
      </c>
      <c r="CN20" s="272">
        <f>CM20*(1-'Input|Fee Based Mapping'!AB$6)</f>
        <v>285.66065420184464</v>
      </c>
      <c r="CO20" s="272">
        <f>CN20*(1-'Input|Fee Based Mapping'!AC$6)</f>
        <v>288.94168567822436</v>
      </c>
      <c r="CP20"/>
      <c r="CQ20" s="272"/>
      <c r="CR20" s="272"/>
      <c r="CS20" s="272">
        <f t="shared" si="48"/>
        <v>0</v>
      </c>
      <c r="CT20" s="272">
        <f t="shared" si="34"/>
        <v>0</v>
      </c>
      <c r="CU20" s="272">
        <f t="shared" si="35"/>
        <v>0</v>
      </c>
      <c r="CV20" s="272">
        <f t="shared" si="36"/>
        <v>0</v>
      </c>
      <c r="CW20" s="272">
        <f t="shared" si="37"/>
        <v>0</v>
      </c>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row>
    <row r="21" spans="1:205" s="1" customFormat="1" ht="12.75" x14ac:dyDescent="0.2">
      <c r="A21" s="258">
        <f t="shared" si="49"/>
        <v>9</v>
      </c>
      <c r="B21" s="259" t="s">
        <v>376</v>
      </c>
      <c r="C21" s="260" t="s">
        <v>493</v>
      </c>
      <c r="D21" s="261" t="s">
        <v>230</v>
      </c>
      <c r="E21" s="261" t="s">
        <v>494</v>
      </c>
      <c r="F21" s="261" t="s">
        <v>478</v>
      </c>
      <c r="G21" s="264"/>
      <c r="H21" s="212">
        <v>657</v>
      </c>
      <c r="I21" s="272">
        <f t="shared" si="38"/>
        <v>666.13229999999999</v>
      </c>
      <c r="J21" s="272">
        <f t="shared" si="38"/>
        <v>675.32492574000003</v>
      </c>
      <c r="K21" s="272">
        <f t="shared" si="38"/>
        <v>686.9691916933001</v>
      </c>
      <c r="L21" s="272">
        <f t="shared" si="38"/>
        <v>699.36130713084276</v>
      </c>
      <c r="M21" s="272">
        <f t="shared" si="39"/>
        <v>711.70755164313846</v>
      </c>
      <c r="N21" s="272">
        <f t="shared" si="39"/>
        <v>724.03744417716155</v>
      </c>
      <c r="O21" s="272">
        <f t="shared" si="39"/>
        <v>736.37394627434401</v>
      </c>
      <c r="P21" s="101"/>
      <c r="Q21" s="272">
        <f>'Input|Fee Based Mapping'!J20</f>
        <v>822.02</v>
      </c>
      <c r="R21" s="272">
        <f>'Input|Fee Based Mapping'!K20</f>
        <v>848.11721891123966</v>
      </c>
      <c r="S21" s="272">
        <f>'Input|Fee Based Mapping'!Y20</f>
        <v>1050.687018310251</v>
      </c>
      <c r="T21" s="272">
        <f>'Input|Fee Based Mapping'!Z20</f>
        <v>1090.4261818195296</v>
      </c>
      <c r="U21" s="272">
        <f>'Input|Fee Based Mapping'!AA20</f>
        <v>1129.9947924433923</v>
      </c>
      <c r="V21" s="272">
        <f>'Input|Fee Based Mapping'!AB20</f>
        <v>1172.0901858601048</v>
      </c>
      <c r="W21" s="272">
        <f>'Input|Fee Based Mapping'!AC20</f>
        <v>1215.5865373291902</v>
      </c>
      <c r="X21" s="101"/>
      <c r="Y21" s="272">
        <f t="shared" si="40"/>
        <v>547574.07324599999</v>
      </c>
      <c r="Z21" s="272">
        <f t="shared" si="12"/>
        <v>572754.6978800483</v>
      </c>
      <c r="AA21" s="272">
        <f t="shared" si="13"/>
        <v>721789.61169123673</v>
      </c>
      <c r="AB21" s="272">
        <f t="shared" si="14"/>
        <v>762601.87984700024</v>
      </c>
      <c r="AC21" s="272">
        <f t="shared" si="15"/>
        <v>804225.82709938311</v>
      </c>
      <c r="AD21" s="272">
        <f t="shared" si="16"/>
        <v>848637.18251528451</v>
      </c>
      <c r="AE21" s="272">
        <f t="shared" si="17"/>
        <v>895126.25553106098</v>
      </c>
      <c r="AF21"/>
      <c r="AG21" s="272">
        <f>Y21/('Input|Escalations'!G$17/'Input|Escalations'!$H$17)</f>
        <v>560851.03461052477</v>
      </c>
      <c r="AH21" s="272">
        <f>Z21/('Input|Escalations'!H$17/'Input|Escalations'!$H$17)</f>
        <v>572754.6978800483</v>
      </c>
      <c r="AI21" s="272">
        <f>AA21/('Input|Escalations'!I$17/'Input|Escalations'!$H$17)</f>
        <v>696535.60912907333</v>
      </c>
      <c r="AJ21" s="272">
        <f>AB21/('Input|Escalations'!J$17/'Input|Escalations'!$H$17)</f>
        <v>715179.72408591933</v>
      </c>
      <c r="AK21" s="272">
        <f>AC21/('Input|Escalations'!K$17/'Input|Escalations'!$H$17)</f>
        <v>735102.63098891079</v>
      </c>
      <c r="AL21" s="272">
        <f>AD21/('Input|Escalations'!L$17/'Input|Escalations'!$H$17)</f>
        <v>756285.50324824452</v>
      </c>
      <c r="AM21" s="272">
        <f>AE21/('Input|Escalations'!M$17/'Input|Escalations'!$H$17)</f>
        <v>778005.98702838656</v>
      </c>
      <c r="AN21" s="263"/>
      <c r="AO21" s="272">
        <f>SUM('Calc|Fee Based'!Z20-'Calc|Fee Based'!V20,'Calc|Fee Based'!AB20:AE20)</f>
        <v>833.44556353008807</v>
      </c>
      <c r="AP21" s="272">
        <f>'Calc|Fee Based'!V20</f>
        <v>217.24145478016305</v>
      </c>
      <c r="AQ21" s="101">
        <f t="shared" si="41"/>
        <v>0</v>
      </c>
      <c r="AR21" s="303">
        <f t="shared" si="42"/>
        <v>0.79323866099579521</v>
      </c>
      <c r="AS21" s="303">
        <f t="shared" si="18"/>
        <v>0.2067613390042049</v>
      </c>
      <c r="AT21" s="263"/>
      <c r="AU21" s="272">
        <f t="shared" si="43"/>
        <v>444888.72371255909</v>
      </c>
      <c r="AV21" s="272">
        <f t="shared" si="19"/>
        <v>454331.16962542076</v>
      </c>
      <c r="AW21" s="272">
        <f t="shared" si="19"/>
        <v>552518.9739214367</v>
      </c>
      <c r="AX21" s="272">
        <f t="shared" si="19"/>
        <v>567308.20670525695</v>
      </c>
      <c r="AY21" s="272">
        <f t="shared" si="19"/>
        <v>583111.82670012978</v>
      </c>
      <c r="AZ21" s="272">
        <f t="shared" si="19"/>
        <v>599914.89992716862</v>
      </c>
      <c r="BA21" s="272">
        <f t="shared" si="19"/>
        <v>617144.42739710934</v>
      </c>
      <c r="BB21" s="263"/>
      <c r="BC21" s="272">
        <f t="shared" si="44"/>
        <v>115962.31089796577</v>
      </c>
      <c r="BD21" s="272">
        <f t="shared" si="20"/>
        <v>118423.52825462763</v>
      </c>
      <c r="BE21" s="272">
        <f t="shared" si="21"/>
        <v>144016.63520763669</v>
      </c>
      <c r="BF21" s="272">
        <f t="shared" si="22"/>
        <v>147871.5173806625</v>
      </c>
      <c r="BG21" s="272">
        <f t="shared" si="23"/>
        <v>151990.80428878113</v>
      </c>
      <c r="BH21" s="272">
        <f t="shared" si="24"/>
        <v>156370.60332107599</v>
      </c>
      <c r="BI21" s="272">
        <f t="shared" si="25"/>
        <v>160861.55963127728</v>
      </c>
      <c r="BJ21" s="299">
        <f t="shared" si="45"/>
        <v>0</v>
      </c>
      <c r="BK21" s="272"/>
      <c r="BL21" s="272"/>
      <c r="BM21" s="272">
        <f>'Calc|Fee Based'!AB20*'Input|Escalations'!$H$20/'Input|Escalations'!$I$20</f>
        <v>125.95175591132683</v>
      </c>
      <c r="BN21" s="272">
        <f>BM21*(1-'Input|Fee Based Mapping'!Z$6)</f>
        <v>127.03159641000573</v>
      </c>
      <c r="BO21" s="272">
        <f>BN21*(1-'Input|Fee Based Mapping'!AA$6)</f>
        <v>128.30529116430603</v>
      </c>
      <c r="BP21" s="272">
        <f>BO21*(1-'Input|Fee Based Mapping'!AB$6)</f>
        <v>129.75464460730578</v>
      </c>
      <c r="BQ21" s="272">
        <f>BP21*(1-'Input|Fee Based Mapping'!AC$6)</f>
        <v>131.24497611394099</v>
      </c>
      <c r="BR21" s="299"/>
      <c r="BS21" s="272"/>
      <c r="BT21" s="272"/>
      <c r="BU21" s="272">
        <f t="shared" si="46"/>
        <v>17890.019884884943</v>
      </c>
      <c r="BV21" s="272">
        <f t="shared" si="26"/>
        <v>18368.880668084679</v>
      </c>
      <c r="BW21" s="272">
        <f t="shared" si="27"/>
        <v>18880.58630953047</v>
      </c>
      <c r="BX21" s="272">
        <f t="shared" si="28"/>
        <v>19424.653261702959</v>
      </c>
      <c r="BY21" s="272">
        <f t="shared" si="29"/>
        <v>19982.528382002882</v>
      </c>
      <c r="BZ21"/>
      <c r="CA21" s="272"/>
      <c r="CB21" s="272"/>
      <c r="CC21" s="272">
        <f t="shared" si="47"/>
        <v>68634.956065871083</v>
      </c>
      <c r="CD21" s="272">
        <f t="shared" si="30"/>
        <v>70472.102644134604</v>
      </c>
      <c r="CE21" s="272">
        <f t="shared" si="31"/>
        <v>72435.258327877775</v>
      </c>
      <c r="CF21" s="272">
        <f t="shared" si="32"/>
        <v>74522.567989886651</v>
      </c>
      <c r="CG21" s="272">
        <f t="shared" si="33"/>
        <v>76662.852607701876</v>
      </c>
      <c r="CH21"/>
      <c r="CI21" s="272"/>
      <c r="CJ21" s="272"/>
      <c r="CK21" s="272">
        <f>'Calc|Fee Based'!AC20*'Input|Escalations'!$H$20/'Input|Escalations'!$I$20</f>
        <v>241.26164791646977</v>
      </c>
      <c r="CL21" s="272">
        <f>CK21*(1-'Input|Fee Based Mapping'!Z$6)</f>
        <v>243.33009147498299</v>
      </c>
      <c r="CM21" s="272">
        <f>CL21*(1-'Input|Fee Based Mapping'!AA$6)</f>
        <v>245.76986449078271</v>
      </c>
      <c r="CN21" s="272">
        <f>CM21*(1-'Input|Fee Based Mapping'!AB$6)</f>
        <v>248.54611320237436</v>
      </c>
      <c r="CO21" s="272">
        <f>CN21*(1-'Input|Fee Based Mapping'!AC$6)</f>
        <v>251.40085573955488</v>
      </c>
      <c r="CP21"/>
      <c r="CQ21" s="272"/>
      <c r="CR21" s="272"/>
      <c r="CS21" s="272">
        <f t="shared" si="48"/>
        <v>165739.3192557708</v>
      </c>
      <c r="CT21" s="272">
        <f t="shared" si="34"/>
        <v>170175.65083821164</v>
      </c>
      <c r="CU21" s="272">
        <f t="shared" si="35"/>
        <v>174916.26852440089</v>
      </c>
      <c r="CV21" s="272">
        <f t="shared" si="36"/>
        <v>179956.6925632146</v>
      </c>
      <c r="CW21" s="272">
        <f t="shared" si="37"/>
        <v>185125.0402376831</v>
      </c>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row>
    <row r="22" spans="1:205" s="1" customFormat="1" ht="12.75" x14ac:dyDescent="0.2">
      <c r="A22" s="258">
        <f t="shared" si="49"/>
        <v>10</v>
      </c>
      <c r="B22" s="259" t="s">
        <v>376</v>
      </c>
      <c r="C22" s="260" t="s">
        <v>495</v>
      </c>
      <c r="D22" s="261" t="s">
        <v>231</v>
      </c>
      <c r="E22" s="261" t="s">
        <v>496</v>
      </c>
      <c r="F22" s="261" t="s">
        <v>478</v>
      </c>
      <c r="G22" s="264"/>
      <c r="H22" s="212">
        <v>6</v>
      </c>
      <c r="I22" s="272">
        <f t="shared" si="38"/>
        <v>6.0834000000000001</v>
      </c>
      <c r="J22" s="272">
        <f t="shared" si="38"/>
        <v>6.1673509200000005</v>
      </c>
      <c r="K22" s="272">
        <f t="shared" si="38"/>
        <v>6.2736912483406408</v>
      </c>
      <c r="L22" s="272">
        <f t="shared" si="38"/>
        <v>6.3868612523364643</v>
      </c>
      <c r="M22" s="272">
        <f t="shared" si="39"/>
        <v>6.4996123437729549</v>
      </c>
      <c r="N22" s="272">
        <f t="shared" si="39"/>
        <v>6.6122141020745362</v>
      </c>
      <c r="O22" s="272">
        <f t="shared" si="39"/>
        <v>6.724876221683509</v>
      </c>
      <c r="P22" s="101"/>
      <c r="Q22" s="272">
        <f>'Input|Fee Based Mapping'!J21</f>
        <v>1038.81</v>
      </c>
      <c r="R22" s="272">
        <f>'Input|Fee Based Mapping'!K21</f>
        <v>1071.7897960842618</v>
      </c>
      <c r="S22" s="272">
        <f>'Input|Fee Based Mapping'!Y21</f>
        <v>1432.3289149276234</v>
      </c>
      <c r="T22" s="272">
        <f>'Input|Fee Based Mapping'!Z21</f>
        <v>1486.5025669833194</v>
      </c>
      <c r="U22" s="272">
        <f>'Input|Fee Based Mapping'!AA21</f>
        <v>1540.4437160908983</v>
      </c>
      <c r="V22" s="272">
        <f>'Input|Fee Based Mapping'!AB21</f>
        <v>1597.8294533516278</v>
      </c>
      <c r="W22" s="272">
        <f>'Input|Fee Based Mapping'!AC21</f>
        <v>1657.1250197927361</v>
      </c>
      <c r="X22" s="101"/>
      <c r="Y22" s="272">
        <f t="shared" si="40"/>
        <v>6319.4967539999998</v>
      </c>
      <c r="Z22" s="272">
        <f t="shared" si="12"/>
        <v>6610.1037849268851</v>
      </c>
      <c r="AA22" s="272">
        <f t="shared" si="13"/>
        <v>8985.9893783266762</v>
      </c>
      <c r="AB22" s="272">
        <f t="shared" si="14"/>
        <v>9494.085646564452</v>
      </c>
      <c r="AC22" s="272">
        <f t="shared" si="15"/>
        <v>10012.286991991883</v>
      </c>
      <c r="AD22" s="272">
        <f t="shared" si="16"/>
        <v>10565.190444161681</v>
      </c>
      <c r="AE22" s="272">
        <f t="shared" si="17"/>
        <v>11143.960641960985</v>
      </c>
      <c r="AF22"/>
      <c r="AG22" s="272">
        <f>Y22/('Input|Escalations'!G$17/'Input|Escalations'!$H$17)</f>
        <v>6472.7248163673785</v>
      </c>
      <c r="AH22" s="272">
        <f>Z22/('Input|Escalations'!H$17/'Input|Escalations'!$H$17)</f>
        <v>6610.1037849268851</v>
      </c>
      <c r="AI22" s="272">
        <f>AA22/('Input|Escalations'!I$17/'Input|Escalations'!$H$17)</f>
        <v>8671.5872379964676</v>
      </c>
      <c r="AJ22" s="272">
        <f>AB22/('Input|Escalations'!J$17/'Input|Escalations'!$H$17)</f>
        <v>8903.6989451433237</v>
      </c>
      <c r="AK22" s="272">
        <f>AC22/('Input|Escalations'!K$17/'Input|Escalations'!$H$17)</f>
        <v>9151.7310959471997</v>
      </c>
      <c r="AL22" s="272">
        <f>AD22/('Input|Escalations'!L$17/'Input|Escalations'!$H$17)</f>
        <v>9415.4493069627551</v>
      </c>
      <c r="AM22" s="272">
        <f>AE22/('Input|Escalations'!M$17/'Input|Escalations'!$H$17)</f>
        <v>9685.8605644525142</v>
      </c>
      <c r="AN22" s="263"/>
      <c r="AO22" s="272">
        <f>SUM('Calc|Fee Based'!Z21-'Calc|Fee Based'!V21,'Calc|Fee Based'!AB21:AE21)</f>
        <v>1215.0874601474602</v>
      </c>
      <c r="AP22" s="272">
        <f>'Calc|Fee Based'!V21</f>
        <v>217.24145478016305</v>
      </c>
      <c r="AQ22" s="101">
        <f t="shared" si="41"/>
        <v>0</v>
      </c>
      <c r="AR22" s="303">
        <f t="shared" si="42"/>
        <v>0.84832991045835271</v>
      </c>
      <c r="AS22" s="303">
        <f t="shared" si="18"/>
        <v>0.15167008954164723</v>
      </c>
      <c r="AT22" s="263"/>
      <c r="AU22" s="272">
        <f t="shared" si="43"/>
        <v>5491.0060638904961</v>
      </c>
      <c r="AV22" s="272">
        <f t="shared" si="19"/>
        <v>5607.5487519874423</v>
      </c>
      <c r="AW22" s="272">
        <f t="shared" si="19"/>
        <v>7356.3668251413374</v>
      </c>
      <c r="AX22" s="272">
        <f t="shared" si="19"/>
        <v>7553.274128881565</v>
      </c>
      <c r="AY22" s="272">
        <f t="shared" si="19"/>
        <v>7763.6872211638101</v>
      </c>
      <c r="AZ22" s="272">
        <f t="shared" si="19"/>
        <v>7987.4072675008729</v>
      </c>
      <c r="BA22" s="272">
        <f t="shared" si="19"/>
        <v>8216.8052253540918</v>
      </c>
      <c r="BB22" s="263"/>
      <c r="BC22" s="272">
        <f t="shared" si="44"/>
        <v>981.7187524768824</v>
      </c>
      <c r="BD22" s="272">
        <f t="shared" si="20"/>
        <v>1002.555032939442</v>
      </c>
      <c r="BE22" s="272">
        <f t="shared" si="21"/>
        <v>1315.2204128551298</v>
      </c>
      <c r="BF22" s="272">
        <f t="shared" si="22"/>
        <v>1350.424816261758</v>
      </c>
      <c r="BG22" s="272">
        <f t="shared" si="23"/>
        <v>1388.0438747833891</v>
      </c>
      <c r="BH22" s="272">
        <f t="shared" si="24"/>
        <v>1428.0420394618816</v>
      </c>
      <c r="BI22" s="272">
        <f t="shared" si="25"/>
        <v>1469.0553390984226</v>
      </c>
      <c r="BJ22" s="299">
        <f t="shared" si="45"/>
        <v>0</v>
      </c>
      <c r="BK22" s="272"/>
      <c r="BL22" s="272"/>
      <c r="BM22" s="272">
        <f>'Calc|Fee Based'!AB21*'Input|Escalations'!$H$20/'Input|Escalations'!$I$20</f>
        <v>171.70131421993941</v>
      </c>
      <c r="BN22" s="272">
        <f>BM22*(1-'Input|Fee Based Mapping'!Z$6)</f>
        <v>173.17338605752153</v>
      </c>
      <c r="BO22" s="272">
        <f>BN22*(1-'Input|Fee Based Mapping'!AA$6)</f>
        <v>174.90972598899788</v>
      </c>
      <c r="BP22" s="272">
        <f>BO22*(1-'Input|Fee Based Mapping'!AB$6)</f>
        <v>176.88552925693685</v>
      </c>
      <c r="BQ22" s="272">
        <f>BP22*(1-'Input|Fee Based Mapping'!AC$6)</f>
        <v>178.91719508375391</v>
      </c>
      <c r="BR22" s="299"/>
      <c r="BS22" s="272"/>
      <c r="BT22" s="272"/>
      <c r="BU22" s="272">
        <f t="shared" si="46"/>
        <v>163.37917703091273</v>
      </c>
      <c r="BV22" s="272">
        <f t="shared" si="26"/>
        <v>167.75233486835327</v>
      </c>
      <c r="BW22" s="272">
        <f t="shared" si="27"/>
        <v>172.42544574913674</v>
      </c>
      <c r="BX22" s="272">
        <f t="shared" si="28"/>
        <v>177.3940937141823</v>
      </c>
      <c r="BY22" s="272">
        <f t="shared" si="29"/>
        <v>182.48884367125922</v>
      </c>
      <c r="BZ22"/>
      <c r="CA22" s="272"/>
      <c r="CB22" s="272"/>
      <c r="CC22" s="272">
        <f t="shared" si="47"/>
        <v>913.82185531930736</v>
      </c>
      <c r="CD22" s="272">
        <f t="shared" si="30"/>
        <v>938.28205447833454</v>
      </c>
      <c r="CE22" s="272">
        <f t="shared" si="31"/>
        <v>964.41996833489907</v>
      </c>
      <c r="CF22" s="272">
        <f t="shared" si="32"/>
        <v>992.21089729145342</v>
      </c>
      <c r="CG22" s="272">
        <f t="shared" si="33"/>
        <v>1020.707147197787</v>
      </c>
      <c r="CH22"/>
      <c r="CI22" s="272"/>
      <c r="CJ22" s="272"/>
      <c r="CK22" s="272">
        <f>'Calc|Fee Based'!AC21*'Input|Escalations'!$H$20/'Input|Escalations'!$I$20</f>
        <v>328.89531168815421</v>
      </c>
      <c r="CL22" s="272">
        <f>CK22*(1-'Input|Fee Based Mapping'!Z$6)</f>
        <v>331.71507767566874</v>
      </c>
      <c r="CM22" s="272">
        <f>CL22*(1-'Input|Fee Based Mapping'!AA$6)</f>
        <v>335.04105141998144</v>
      </c>
      <c r="CN22" s="272">
        <f>CM22*(1-'Input|Fee Based Mapping'!AB$6)</f>
        <v>338.8257191995819</v>
      </c>
      <c r="CO22" s="272">
        <f>CN22*(1-'Input|Fee Based Mapping'!AC$6)</f>
        <v>342.71739218061242</v>
      </c>
      <c r="CP22"/>
      <c r="CQ22" s="272"/>
      <c r="CR22" s="272"/>
      <c r="CS22" s="272">
        <f t="shared" si="48"/>
        <v>2063.3876385582403</v>
      </c>
      <c r="CT22" s="272">
        <f t="shared" si="34"/>
        <v>2118.6181764225094</v>
      </c>
      <c r="CU22" s="272">
        <f t="shared" si="35"/>
        <v>2177.6369534799805</v>
      </c>
      <c r="CV22" s="272">
        <f t="shared" si="36"/>
        <v>2240.3881986370225</v>
      </c>
      <c r="CW22" s="272">
        <f t="shared" si="37"/>
        <v>2304.7320414327824</v>
      </c>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row>
    <row r="23" spans="1:205" s="1" customFormat="1" ht="12.75" x14ac:dyDescent="0.2">
      <c r="A23" s="258">
        <f t="shared" si="49"/>
        <v>11</v>
      </c>
      <c r="B23" s="259" t="s">
        <v>377</v>
      </c>
      <c r="C23" s="260" t="s">
        <v>497</v>
      </c>
      <c r="D23" s="261" t="s">
        <v>230</v>
      </c>
      <c r="E23" s="261" t="s">
        <v>498</v>
      </c>
      <c r="F23" s="261" t="s">
        <v>478</v>
      </c>
      <c r="G23" s="264"/>
      <c r="H23" s="212">
        <v>51</v>
      </c>
      <c r="I23" s="272">
        <f t="shared" si="38"/>
        <v>51.7089</v>
      </c>
      <c r="J23" s="272">
        <f t="shared" si="38"/>
        <v>52.422482819999999</v>
      </c>
      <c r="K23" s="272">
        <f t="shared" si="38"/>
        <v>53.32637561089544</v>
      </c>
      <c r="L23" s="272">
        <f t="shared" si="38"/>
        <v>54.288320644859937</v>
      </c>
      <c r="M23" s="272">
        <f t="shared" si="39"/>
        <v>55.246704922070109</v>
      </c>
      <c r="N23" s="272">
        <f t="shared" si="39"/>
        <v>56.203819867633548</v>
      </c>
      <c r="O23" s="272">
        <f t="shared" si="39"/>
        <v>57.161447884309815</v>
      </c>
      <c r="P23" s="101"/>
      <c r="Q23" s="272">
        <f>'Input|Fee Based Mapping'!J22</f>
        <v>801.33</v>
      </c>
      <c r="R23" s="272">
        <f>'Input|Fee Based Mapping'!K22</f>
        <v>826.77035963862659</v>
      </c>
      <c r="S23" s="272">
        <f>'Input|Fee Based Mapping'!Y22</f>
        <v>775.84744624698351</v>
      </c>
      <c r="T23" s="272">
        <f>'Input|Fee Based Mapping'!Z22</f>
        <v>805.1916067699234</v>
      </c>
      <c r="U23" s="272">
        <f>'Input|Fee Based Mapping'!AA22</f>
        <v>834.40982777110855</v>
      </c>
      <c r="V23" s="272">
        <f>'Input|Fee Based Mapping'!AB22</f>
        <v>865.49387364962604</v>
      </c>
      <c r="W23" s="272">
        <f>'Input|Fee Based Mapping'!AC22</f>
        <v>897.61241382405728</v>
      </c>
      <c r="X23" s="101"/>
      <c r="Y23" s="272">
        <f t="shared" si="40"/>
        <v>41435.892836999999</v>
      </c>
      <c r="Z23" s="272">
        <f t="shared" si="12"/>
        <v>43341.35497424112</v>
      </c>
      <c r="AA23" s="272">
        <f t="shared" si="13"/>
        <v>41373.132335320654</v>
      </c>
      <c r="AB23" s="272">
        <f t="shared" si="14"/>
        <v>43712.500128875574</v>
      </c>
      <c r="AC23" s="272">
        <f t="shared" si="15"/>
        <v>46098.393538945777</v>
      </c>
      <c r="AD23" s="272">
        <f t="shared" si="16"/>
        <v>48644.06177114397</v>
      </c>
      <c r="AE23" s="272">
        <f t="shared" si="17"/>
        <v>51308.825213113385</v>
      </c>
      <c r="AF23"/>
      <c r="AG23" s="272">
        <f>Y23/('Input|Escalations'!G$17/'Input|Escalations'!$H$17)</f>
        <v>42440.583846273337</v>
      </c>
      <c r="AH23" s="272">
        <f>Z23/('Input|Escalations'!H$17/'Input|Escalations'!$H$17)</f>
        <v>43341.35497424112</v>
      </c>
      <c r="AI23" s="272">
        <f>AA23/('Input|Escalations'!I$17/'Input|Escalations'!$H$17)</f>
        <v>39925.567597511894</v>
      </c>
      <c r="AJ23" s="272">
        <f>AB23/('Input|Escalations'!J$17/'Input|Escalations'!$H$17)</f>
        <v>40994.252187716942</v>
      </c>
      <c r="AK23" s="272">
        <f>AC23/('Input|Escalations'!K$17/'Input|Escalations'!$H$17)</f>
        <v>42136.237401206483</v>
      </c>
      <c r="AL23" s="272">
        <f>AD23/('Input|Escalations'!L$17/'Input|Escalations'!$H$17)</f>
        <v>43350.444093893704</v>
      </c>
      <c r="AM23" s="272">
        <f>AE23/('Input|Escalations'!M$17/'Input|Escalations'!$H$17)</f>
        <v>44595.466792013976</v>
      </c>
      <c r="AN23" s="263"/>
      <c r="AO23" s="272">
        <f>SUM('Calc|Fee Based'!Z22-'Calc|Fee Based'!V22,'Calc|Fee Based'!AB22:AE22)</f>
        <v>721.7037319770335</v>
      </c>
      <c r="AP23" s="272">
        <f>'Calc|Fee Based'!V22</f>
        <v>54.14371426995001</v>
      </c>
      <c r="AQ23" s="101">
        <f t="shared" si="41"/>
        <v>0</v>
      </c>
      <c r="AR23" s="303">
        <f t="shared" si="42"/>
        <v>0.930213453003087</v>
      </c>
      <c r="AS23" s="303">
        <f t="shared" si="18"/>
        <v>6.9786546996912946E-2</v>
      </c>
      <c r="AT23" s="263"/>
      <c r="AU23" s="272">
        <f t="shared" si="43"/>
        <v>39478.802047108955</v>
      </c>
      <c r="AV23" s="272">
        <f t="shared" si="19"/>
        <v>40316.711468421352</v>
      </c>
      <c r="AW23" s="272">
        <f t="shared" si="19"/>
        <v>37139.300097989704</v>
      </c>
      <c r="AX23" s="272">
        <f t="shared" si="19"/>
        <v>38133.404880815528</v>
      </c>
      <c r="AY23" s="272">
        <f t="shared" si="19"/>
        <v>39195.694889534105</v>
      </c>
      <c r="AZ23" s="272">
        <f t="shared" si="19"/>
        <v>40325.166289798144</v>
      </c>
      <c r="BA23" s="272">
        <f t="shared" si="19"/>
        <v>41483.303152883818</v>
      </c>
      <c r="BB23" s="263"/>
      <c r="BC23" s="272">
        <f t="shared" si="44"/>
        <v>2961.7817991643788</v>
      </c>
      <c r="BD23" s="272">
        <f t="shared" si="20"/>
        <v>3024.6435058197644</v>
      </c>
      <c r="BE23" s="272">
        <f t="shared" si="21"/>
        <v>2786.2674995221887</v>
      </c>
      <c r="BF23" s="272">
        <f t="shared" si="22"/>
        <v>2860.8473069014099</v>
      </c>
      <c r="BG23" s="272">
        <f t="shared" si="23"/>
        <v>2940.5425116723773</v>
      </c>
      <c r="BH23" s="272">
        <f t="shared" si="24"/>
        <v>3025.2778040955604</v>
      </c>
      <c r="BI23" s="272">
        <f t="shared" si="25"/>
        <v>3112.163639130154</v>
      </c>
      <c r="BJ23" s="299">
        <f t="shared" si="45"/>
        <v>0</v>
      </c>
      <c r="BK23" s="272"/>
      <c r="BL23" s="272"/>
      <c r="BM23" s="272">
        <f>'Calc|Fee Based'!AB22*'Input|Escalations'!$H$20/'Input|Escalations'!$I$20</f>
        <v>93.0051922895952</v>
      </c>
      <c r="BN23" s="272">
        <f>BM23*(1-'Input|Fee Based Mapping'!Z$6)</f>
        <v>93.8025672249032</v>
      </c>
      <c r="BO23" s="272">
        <f>BN23*(1-'Input|Fee Based Mapping'!AA$6)</f>
        <v>94.743087860640472</v>
      </c>
      <c r="BP23" s="272">
        <f>BO23*(1-'Input|Fee Based Mapping'!AB$6)</f>
        <v>95.813318241205224</v>
      </c>
      <c r="BQ23" s="272">
        <f>BP23*(1-'Input|Fee Based Mapping'!AC$6)</f>
        <v>96.913807609907906</v>
      </c>
      <c r="BR23" s="299"/>
      <c r="BS23" s="272"/>
      <c r="BT23" s="272"/>
      <c r="BU23" s="272">
        <f t="shared" si="46"/>
        <v>346.11543936708648</v>
      </c>
      <c r="BV23" s="272">
        <f t="shared" si="26"/>
        <v>355.37988465218518</v>
      </c>
      <c r="BW23" s="272">
        <f t="shared" si="27"/>
        <v>365.27977431442446</v>
      </c>
      <c r="BX23" s="272">
        <f t="shared" si="28"/>
        <v>375.80575323496174</v>
      </c>
      <c r="BY23" s="272">
        <f t="shared" si="29"/>
        <v>386.59887664214779</v>
      </c>
      <c r="BZ23"/>
      <c r="CA23" s="272"/>
      <c r="CB23" s="272"/>
      <c r="CC23" s="272">
        <f t="shared" si="47"/>
        <v>4613.5143784314232</v>
      </c>
      <c r="CD23" s="272">
        <f t="shared" si="30"/>
        <v>4737.0039621643882</v>
      </c>
      <c r="CE23" s="272">
        <f t="shared" si="31"/>
        <v>4868.9636441281418</v>
      </c>
      <c r="CF23" s="272">
        <f t="shared" si="32"/>
        <v>5009.2687261139836</v>
      </c>
      <c r="CG23" s="272">
        <f t="shared" si="33"/>
        <v>5153.1346863216313</v>
      </c>
      <c r="CH23"/>
      <c r="CI23" s="272"/>
      <c r="CJ23" s="272"/>
      <c r="CK23" s="272">
        <f>'Calc|Fee Based'!AC22*'Input|Escalations'!$H$20/'Input|Escalations'!$I$20</f>
        <v>178.15222816244986</v>
      </c>
      <c r="CL23" s="272">
        <f>CK23*(1-'Input|Fee Based Mapping'!Z$6)</f>
        <v>179.6796065583107</v>
      </c>
      <c r="CM23" s="272">
        <f>CL23*(1-'Input|Fee Based Mapping'!AA$6)</f>
        <v>181.48118174744241</v>
      </c>
      <c r="CN23" s="272">
        <f>CM23*(1-'Input|Fee Based Mapping'!AB$6)</f>
        <v>183.53121704387056</v>
      </c>
      <c r="CO23" s="272">
        <f>CN23*(1-'Input|Fee Based Mapping'!AC$6)</f>
        <v>185.63921368660641</v>
      </c>
      <c r="CP23"/>
      <c r="CQ23" s="272"/>
      <c r="CR23" s="272"/>
      <c r="CS23" s="272">
        <f t="shared" si="48"/>
        <v>9500.2126349087466</v>
      </c>
      <c r="CT23" s="272">
        <f t="shared" si="34"/>
        <v>9754.5040941798488</v>
      </c>
      <c r="CU23" s="272">
        <f t="shared" si="35"/>
        <v>10026.237296909527</v>
      </c>
      <c r="CV23" s="272">
        <f t="shared" si="36"/>
        <v>10315.155462821256</v>
      </c>
      <c r="CW23" s="272">
        <f t="shared" si="37"/>
        <v>10611.406238431206</v>
      </c>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row>
    <row r="24" spans="1:205" s="1" customFormat="1" ht="12.75" x14ac:dyDescent="0.2">
      <c r="A24" s="258">
        <f t="shared" si="49"/>
        <v>12</v>
      </c>
      <c r="B24" s="259" t="s">
        <v>377</v>
      </c>
      <c r="C24" s="260" t="s">
        <v>499</v>
      </c>
      <c r="D24" s="261" t="s">
        <v>231</v>
      </c>
      <c r="E24" s="261" t="s">
        <v>500</v>
      </c>
      <c r="F24" s="261" t="s">
        <v>478</v>
      </c>
      <c r="G24" s="264"/>
      <c r="H24" s="212">
        <v>2</v>
      </c>
      <c r="I24" s="272">
        <f t="shared" si="38"/>
        <v>2.0278</v>
      </c>
      <c r="J24" s="272">
        <f t="shared" si="38"/>
        <v>2.05578364</v>
      </c>
      <c r="K24" s="272">
        <f t="shared" si="38"/>
        <v>2.0912304161135467</v>
      </c>
      <c r="L24" s="272">
        <f t="shared" si="38"/>
        <v>2.128953750778821</v>
      </c>
      <c r="M24" s="272">
        <f t="shared" si="39"/>
        <v>2.166537447924318</v>
      </c>
      <c r="N24" s="272">
        <f t="shared" si="39"/>
        <v>2.2040713673581784</v>
      </c>
      <c r="O24" s="272">
        <f t="shared" si="39"/>
        <v>2.2416254072278359</v>
      </c>
      <c r="P24" s="101"/>
      <c r="Q24" s="272">
        <f>'Input|Fee Based Mapping'!J23</f>
        <v>1018.1</v>
      </c>
      <c r="R24" s="272">
        <f>'Input|Fee Based Mapping'!K23</f>
        <v>1050.4223018582677</v>
      </c>
      <c r="S24" s="272">
        <f>'Input|Fee Based Mapping'!Y23</f>
        <v>1157.4893428643556</v>
      </c>
      <c r="T24" s="272">
        <f>'Input|Fee Based Mapping'!Z23</f>
        <v>1201.2679919337131</v>
      </c>
      <c r="U24" s="272">
        <f>'Input|Fee Based Mapping'!AA23</f>
        <v>1244.8587514186145</v>
      </c>
      <c r="V24" s="272">
        <f>'Input|Fee Based Mapping'!AB23</f>
        <v>1291.2331411411487</v>
      </c>
      <c r="W24" s="272">
        <f>'Input|Fee Based Mapping'!AC23</f>
        <v>1339.150896287603</v>
      </c>
      <c r="X24" s="101"/>
      <c r="Y24" s="272">
        <f t="shared" si="40"/>
        <v>2064.5031800000002</v>
      </c>
      <c r="Z24" s="272">
        <f t="shared" si="12"/>
        <v>2159.4409832513684</v>
      </c>
      <c r="AA24" s="272">
        <f t="shared" si="13"/>
        <v>2420.5769201252219</v>
      </c>
      <c r="AB24" s="272">
        <f t="shared" si="14"/>
        <v>2557.4439971178208</v>
      </c>
      <c r="AC24" s="272">
        <f t="shared" si="15"/>
        <v>2697.0331023247381</v>
      </c>
      <c r="AD24" s="272">
        <f t="shared" si="16"/>
        <v>2845.9699949731676</v>
      </c>
      <c r="AE24" s="272">
        <f t="shared" si="17"/>
        <v>3001.8746732302197</v>
      </c>
      <c r="AF24"/>
      <c r="AG24" s="272">
        <f>Y24/('Input|Escalations'!G$17/'Input|Escalations'!$H$17)</f>
        <v>2114.560935282881</v>
      </c>
      <c r="AH24" s="272">
        <f>Z24/('Input|Escalations'!H$17/'Input|Escalations'!$H$17)</f>
        <v>2159.4409832513684</v>
      </c>
      <c r="AI24" s="272">
        <f>AA24/('Input|Escalations'!I$17/'Input|Escalations'!$H$17)</f>
        <v>2335.8856821902191</v>
      </c>
      <c r="AJ24" s="272">
        <f>AB24/('Input|Escalations'!J$17/'Input|Escalations'!$H$17)</f>
        <v>2398.4101541827695</v>
      </c>
      <c r="AK24" s="272">
        <f>AC24/('Input|Escalations'!K$17/'Input|Escalations'!$H$17)</f>
        <v>2465.2231532202431</v>
      </c>
      <c r="AL24" s="272">
        <f>AD24/('Input|Escalations'!L$17/'Input|Escalations'!$H$17)</f>
        <v>2536.2615428872282</v>
      </c>
      <c r="AM24" s="272">
        <f>AE24/('Input|Escalations'!M$17/'Input|Escalations'!$H$17)</f>
        <v>2609.1028540955931</v>
      </c>
      <c r="AN24" s="263"/>
      <c r="AO24" s="272">
        <f>SUM('Calc|Fee Based'!Z23-'Calc|Fee Based'!V23,'Calc|Fee Based'!AB23:AE23)</f>
        <v>1103.3456285944058</v>
      </c>
      <c r="AP24" s="272">
        <f>'Calc|Fee Based'!V23</f>
        <v>54.14371426995001</v>
      </c>
      <c r="AQ24" s="101">
        <f t="shared" si="41"/>
        <v>0</v>
      </c>
      <c r="AR24" s="303">
        <f t="shared" si="42"/>
        <v>0.95322314230905614</v>
      </c>
      <c r="AS24" s="303">
        <f t="shared" si="18"/>
        <v>4.6776857690943779E-2</v>
      </c>
      <c r="AT24" s="263"/>
      <c r="AU24" s="272">
        <f t="shared" si="43"/>
        <v>2015.6484193343244</v>
      </c>
      <c r="AV24" s="272">
        <f t="shared" si="19"/>
        <v>2058.4291196858271</v>
      </c>
      <c r="AW24" s="272">
        <f t="shared" si="19"/>
        <v>2226.6202900520939</v>
      </c>
      <c r="AX24" s="272">
        <f t="shared" si="19"/>
        <v>2286.2200637160472</v>
      </c>
      <c r="AY24" s="272">
        <f t="shared" si="19"/>
        <v>2349.9077606056399</v>
      </c>
      <c r="AZ24" s="272">
        <f t="shared" si="19"/>
        <v>2417.6231976285785</v>
      </c>
      <c r="BA24" s="272">
        <f t="shared" si="19"/>
        <v>2487.0572211885283</v>
      </c>
      <c r="BB24" s="263"/>
      <c r="BC24" s="272">
        <f t="shared" si="44"/>
        <v>98.912515948556305</v>
      </c>
      <c r="BD24" s="272">
        <f t="shared" si="20"/>
        <v>101.01186356554096</v>
      </c>
      <c r="BE24" s="272">
        <f t="shared" si="21"/>
        <v>109.26539213812501</v>
      </c>
      <c r="BF24" s="272">
        <f t="shared" si="22"/>
        <v>112.19009046672194</v>
      </c>
      <c r="BG24" s="272">
        <f t="shared" si="23"/>
        <v>115.315392614603</v>
      </c>
      <c r="BH24" s="272">
        <f t="shared" si="24"/>
        <v>118.63834525864938</v>
      </c>
      <c r="BI24" s="272">
        <f t="shared" si="25"/>
        <v>122.04563290706481</v>
      </c>
      <c r="BJ24" s="299">
        <f t="shared" si="45"/>
        <v>0</v>
      </c>
      <c r="BK24" s="272"/>
      <c r="BL24" s="272"/>
      <c r="BM24" s="272">
        <f>'Calc|Fee Based'!AB23*'Input|Escalations'!$H$20/'Input|Escalations'!$I$20</f>
        <v>138.75475059820775</v>
      </c>
      <c r="BN24" s="272">
        <f>BM24*(1-'Input|Fee Based Mapping'!Z$6)</f>
        <v>139.94435687241898</v>
      </c>
      <c r="BO24" s="272">
        <f>BN24*(1-'Input|Fee Based Mapping'!AA$6)</f>
        <v>141.34752268533234</v>
      </c>
      <c r="BP24" s="272">
        <f>BO24*(1-'Input|Fee Based Mapping'!AB$6)</f>
        <v>142.94420289083629</v>
      </c>
      <c r="BQ24" s="272">
        <f>BP24*(1-'Input|Fee Based Mapping'!AC$6)</f>
        <v>144.58602657972082</v>
      </c>
      <c r="BR24" s="299"/>
      <c r="BS24" s="272"/>
      <c r="BT24" s="272"/>
      <c r="BU24" s="272">
        <f t="shared" si="46"/>
        <v>13.573154484983784</v>
      </c>
      <c r="BV24" s="272">
        <f t="shared" si="26"/>
        <v>13.936466064791574</v>
      </c>
      <c r="BW24" s="272">
        <f t="shared" si="27"/>
        <v>14.324697031938214</v>
      </c>
      <c r="BX24" s="272">
        <f t="shared" si="28"/>
        <v>14.737480519018105</v>
      </c>
      <c r="BY24" s="272">
        <f t="shared" si="29"/>
        <v>15.160740260476377</v>
      </c>
      <c r="BZ24"/>
      <c r="CA24" s="272"/>
      <c r="CB24" s="272"/>
      <c r="CC24" s="272">
        <f t="shared" si="47"/>
        <v>276.59500034623755</v>
      </c>
      <c r="CD24" s="272">
        <f t="shared" si="30"/>
        <v>283.99859739907464</v>
      </c>
      <c r="CE24" s="272">
        <f t="shared" si="31"/>
        <v>291.91000403716635</v>
      </c>
      <c r="CF24" s="272">
        <f t="shared" si="32"/>
        <v>300.32174420251232</v>
      </c>
      <c r="CG24" s="272">
        <f t="shared" si="33"/>
        <v>308.94697045074497</v>
      </c>
      <c r="CH24"/>
      <c r="CI24" s="272"/>
      <c r="CJ24" s="272"/>
      <c r="CK24" s="272">
        <f>'Calc|Fee Based'!AC23*'Input|Escalations'!$H$20/'Input|Escalations'!$I$20</f>
        <v>265.78589193413427</v>
      </c>
      <c r="CL24" s="272">
        <f>CK24*(1-'Input|Fee Based Mapping'!Z$6)</f>
        <v>268.06459275899635</v>
      </c>
      <c r="CM24" s="272">
        <f>CL24*(1-'Input|Fee Based Mapping'!AA$6)</f>
        <v>270.75236867664108</v>
      </c>
      <c r="CN24" s="272">
        <f>CM24*(1-'Input|Fee Based Mapping'!AB$6)</f>
        <v>273.81082304107804</v>
      </c>
      <c r="CO24" s="272">
        <f>CN24*(1-'Input|Fee Based Mapping'!AC$6)</f>
        <v>276.95575012766386</v>
      </c>
      <c r="CP24"/>
      <c r="CQ24" s="272"/>
      <c r="CR24" s="272"/>
      <c r="CS24" s="272">
        <f t="shared" si="48"/>
        <v>555.81954138652975</v>
      </c>
      <c r="CT24" s="272">
        <f t="shared" si="34"/>
        <v>570.69712020526242</v>
      </c>
      <c r="CU24" s="272">
        <f t="shared" si="35"/>
        <v>586.59514585215402</v>
      </c>
      <c r="CV24" s="272">
        <f t="shared" si="36"/>
        <v>603.49859513761714</v>
      </c>
      <c r="CW24" s="272">
        <f t="shared" si="37"/>
        <v>620.83104616401522</v>
      </c>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row>
    <row r="25" spans="1:205" s="1" customFormat="1" ht="12.75" x14ac:dyDescent="0.2">
      <c r="A25" s="258">
        <f t="shared" si="49"/>
        <v>13</v>
      </c>
      <c r="B25" s="259" t="s">
        <v>378</v>
      </c>
      <c r="C25" s="260" t="s">
        <v>435</v>
      </c>
      <c r="D25" s="261" t="s">
        <v>230</v>
      </c>
      <c r="E25" s="261" t="s">
        <v>501</v>
      </c>
      <c r="F25" s="261" t="s">
        <v>478</v>
      </c>
      <c r="G25" s="264"/>
      <c r="H25" s="212">
        <v>1775</v>
      </c>
      <c r="I25" s="272">
        <f t="shared" si="38"/>
        <v>1799.6725000000001</v>
      </c>
      <c r="J25" s="272">
        <f t="shared" si="38"/>
        <v>1824.5079805000003</v>
      </c>
      <c r="K25" s="272">
        <f t="shared" si="38"/>
        <v>1855.966994300773</v>
      </c>
      <c r="L25" s="272">
        <f t="shared" si="38"/>
        <v>1889.4464538162042</v>
      </c>
      <c r="M25" s="272">
        <f t="shared" si="39"/>
        <v>1922.8019850328328</v>
      </c>
      <c r="N25" s="272">
        <f t="shared" si="39"/>
        <v>1956.113338530384</v>
      </c>
      <c r="O25" s="272">
        <f t="shared" si="39"/>
        <v>1989.4425489147052</v>
      </c>
      <c r="P25" s="101"/>
      <c r="Q25" s="272">
        <f>'Input|Fee Based Mapping'!J24</f>
        <v>58.64</v>
      </c>
      <c r="R25" s="272">
        <f>'Input|Fee Based Mapping'!K24</f>
        <v>60.501683313003454</v>
      </c>
      <c r="S25" s="272">
        <f>'Input|Fee Based Mapping'!Y24</f>
        <v>64.351625299667774</v>
      </c>
      <c r="T25" s="272">
        <f>'Input|Fee Based Mapping'!Z24</f>
        <v>66.7855373165727</v>
      </c>
      <c r="U25" s="272">
        <f>'Input|Fee Based Mapping'!AA24</f>
        <v>69.209003448847099</v>
      </c>
      <c r="V25" s="272">
        <f>'Input|Fee Based Mapping'!AB24</f>
        <v>71.787227921774289</v>
      </c>
      <c r="W25" s="272">
        <f>'Input|Fee Based Mapping'!AC24</f>
        <v>74.451257135862008</v>
      </c>
      <c r="X25" s="101"/>
      <c r="Y25" s="272">
        <f t="shared" si="40"/>
        <v>105532.7954</v>
      </c>
      <c r="Z25" s="272">
        <f t="shared" si="12"/>
        <v>110385.8040382585</v>
      </c>
      <c r="AA25" s="272">
        <f t="shared" si="13"/>
        <v>119434.49258579398</v>
      </c>
      <c r="AB25" s="272">
        <f t="shared" si="14"/>
        <v>126187.69664900807</v>
      </c>
      <c r="AC25" s="272">
        <f t="shared" si="15"/>
        <v>133075.20921358737</v>
      </c>
      <c r="AD25" s="272">
        <f t="shared" si="16"/>
        <v>140423.9540739035</v>
      </c>
      <c r="AE25" s="272">
        <f t="shared" si="17"/>
        <v>148116.49876627343</v>
      </c>
      <c r="AF25"/>
      <c r="AG25" s="272">
        <f>Y25/('Input|Escalations'!G$17/'Input|Escalations'!$H$17)</f>
        <v>108091.63614077886</v>
      </c>
      <c r="AH25" s="272">
        <f>Z25/('Input|Escalations'!H$17/'Input|Escalations'!$H$17)</f>
        <v>110385.8040382585</v>
      </c>
      <c r="AI25" s="272">
        <f>AA25/('Input|Escalations'!I$17/'Input|Escalations'!$H$17)</f>
        <v>115255.71398754702</v>
      </c>
      <c r="AJ25" s="272">
        <f>AB25/('Input|Escalations'!J$17/'Input|Escalations'!$H$17)</f>
        <v>118340.75479932121</v>
      </c>
      <c r="AK25" s="272">
        <f>AC25/('Input|Escalations'!K$17/'Input|Escalations'!$H$17)</f>
        <v>121637.39725337012</v>
      </c>
      <c r="AL25" s="272">
        <f>AD25/('Input|Escalations'!L$17/'Input|Escalations'!$H$17)</f>
        <v>125142.52611477784</v>
      </c>
      <c r="AM25" s="272">
        <f>AE25/('Input|Escalations'!M$17/'Input|Escalations'!$H$17)</f>
        <v>128736.61352886623</v>
      </c>
      <c r="AN25" s="263"/>
      <c r="AO25" s="272">
        <f>SUM('Calc|Fee Based'!Z24-'Calc|Fee Based'!V24,'Calc|Fee Based'!AB24:AE24)</f>
        <v>64.351625299667774</v>
      </c>
      <c r="AP25" s="272">
        <f>'Calc|Fee Based'!V24</f>
        <v>0</v>
      </c>
      <c r="AQ25" s="101">
        <f t="shared" si="41"/>
        <v>0</v>
      </c>
      <c r="AR25" s="303">
        <f t="shared" si="42"/>
        <v>1</v>
      </c>
      <c r="AS25" s="303">
        <f t="shared" si="18"/>
        <v>0</v>
      </c>
      <c r="AT25" s="263"/>
      <c r="AU25" s="272">
        <f t="shared" si="43"/>
        <v>108091.63614077886</v>
      </c>
      <c r="AV25" s="272">
        <f t="shared" si="19"/>
        <v>110385.8040382585</v>
      </c>
      <c r="AW25" s="272">
        <f t="shared" si="19"/>
        <v>115255.71398754702</v>
      </c>
      <c r="AX25" s="272">
        <f t="shared" si="19"/>
        <v>118340.75479932121</v>
      </c>
      <c r="AY25" s="272">
        <f t="shared" si="19"/>
        <v>121637.39725337012</v>
      </c>
      <c r="AZ25" s="272">
        <f t="shared" si="19"/>
        <v>125142.52611477784</v>
      </c>
      <c r="BA25" s="272">
        <f t="shared" si="19"/>
        <v>128736.61352886623</v>
      </c>
      <c r="BB25" s="263"/>
      <c r="BC25" s="272">
        <f t="shared" si="44"/>
        <v>0</v>
      </c>
      <c r="BD25" s="272">
        <f t="shared" si="20"/>
        <v>0</v>
      </c>
      <c r="BE25" s="272">
        <f t="shared" si="21"/>
        <v>0</v>
      </c>
      <c r="BF25" s="272">
        <f t="shared" si="22"/>
        <v>0</v>
      </c>
      <c r="BG25" s="272">
        <f t="shared" si="23"/>
        <v>0</v>
      </c>
      <c r="BH25" s="272">
        <f t="shared" si="24"/>
        <v>0</v>
      </c>
      <c r="BI25" s="272">
        <f t="shared" si="25"/>
        <v>0</v>
      </c>
      <c r="BJ25" s="299">
        <f t="shared" si="45"/>
        <v>0</v>
      </c>
      <c r="BK25" s="272"/>
      <c r="BL25" s="272"/>
      <c r="BM25" s="272">
        <f>'Calc|Fee Based'!AB24*'Input|Escalations'!$H$20/'Input|Escalations'!$I$20</f>
        <v>0</v>
      </c>
      <c r="BN25" s="272">
        <f>BM25*(1-'Input|Fee Based Mapping'!Z$6)</f>
        <v>0</v>
      </c>
      <c r="BO25" s="272">
        <f>BN25*(1-'Input|Fee Based Mapping'!AA$6)</f>
        <v>0</v>
      </c>
      <c r="BP25" s="272">
        <f>BO25*(1-'Input|Fee Based Mapping'!AB$6)</f>
        <v>0</v>
      </c>
      <c r="BQ25" s="272">
        <f>BP25*(1-'Input|Fee Based Mapping'!AC$6)</f>
        <v>0</v>
      </c>
      <c r="BR25" s="299"/>
      <c r="BS25" s="272"/>
      <c r="BT25" s="272"/>
      <c r="BU25" s="272">
        <f t="shared" si="46"/>
        <v>0</v>
      </c>
      <c r="BV25" s="272">
        <f t="shared" si="26"/>
        <v>0</v>
      </c>
      <c r="BW25" s="272">
        <f t="shared" si="27"/>
        <v>0</v>
      </c>
      <c r="BX25" s="272">
        <f t="shared" si="28"/>
        <v>0</v>
      </c>
      <c r="BY25" s="272">
        <f t="shared" si="29"/>
        <v>0</v>
      </c>
      <c r="BZ25"/>
      <c r="CA25" s="272"/>
      <c r="CB25" s="272"/>
      <c r="CC25" s="272">
        <f t="shared" si="47"/>
        <v>0</v>
      </c>
      <c r="CD25" s="272">
        <f t="shared" si="30"/>
        <v>0</v>
      </c>
      <c r="CE25" s="272">
        <f t="shared" si="31"/>
        <v>0</v>
      </c>
      <c r="CF25" s="272">
        <f t="shared" si="32"/>
        <v>0</v>
      </c>
      <c r="CG25" s="272">
        <f t="shared" si="33"/>
        <v>0</v>
      </c>
      <c r="CH25"/>
      <c r="CI25" s="272"/>
      <c r="CJ25" s="272"/>
      <c r="CK25" s="272">
        <f>'Calc|Fee Based'!AC24*'Input|Escalations'!$H$20/'Input|Escalations'!$I$20</f>
        <v>0</v>
      </c>
      <c r="CL25" s="272">
        <f>CK25*(1-'Input|Fee Based Mapping'!Z$6)</f>
        <v>0</v>
      </c>
      <c r="CM25" s="272">
        <f>CL25*(1-'Input|Fee Based Mapping'!AA$6)</f>
        <v>0</v>
      </c>
      <c r="CN25" s="272">
        <f>CM25*(1-'Input|Fee Based Mapping'!AB$6)</f>
        <v>0</v>
      </c>
      <c r="CO25" s="272">
        <f>CN25*(1-'Input|Fee Based Mapping'!AC$6)</f>
        <v>0</v>
      </c>
      <c r="CP25"/>
      <c r="CQ25" s="272"/>
      <c r="CR25" s="272"/>
      <c r="CS25" s="272">
        <f t="shared" si="48"/>
        <v>0</v>
      </c>
      <c r="CT25" s="272">
        <f t="shared" si="34"/>
        <v>0</v>
      </c>
      <c r="CU25" s="272">
        <f t="shared" si="35"/>
        <v>0</v>
      </c>
      <c r="CV25" s="272">
        <f t="shared" si="36"/>
        <v>0</v>
      </c>
      <c r="CW25" s="272">
        <f t="shared" si="37"/>
        <v>0</v>
      </c>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row>
    <row r="26" spans="1:205" s="1" customFormat="1" ht="12.75" x14ac:dyDescent="0.2">
      <c r="A26" s="258">
        <f t="shared" si="49"/>
        <v>14</v>
      </c>
      <c r="B26" s="259" t="s">
        <v>378</v>
      </c>
      <c r="C26" s="260" t="s">
        <v>436</v>
      </c>
      <c r="D26" s="261" t="s">
        <v>231</v>
      </c>
      <c r="E26" s="261" t="s">
        <v>502</v>
      </c>
      <c r="F26" s="261" t="s">
        <v>478</v>
      </c>
      <c r="G26" s="264"/>
      <c r="H26" s="212">
        <v>926</v>
      </c>
      <c r="I26" s="272">
        <f t="shared" si="38"/>
        <v>938.87139999999999</v>
      </c>
      <c r="J26" s="272">
        <f t="shared" si="38"/>
        <v>951.82782531999999</v>
      </c>
      <c r="K26" s="272">
        <f t="shared" si="38"/>
        <v>968.23968266057204</v>
      </c>
      <c r="L26" s="272">
        <f t="shared" si="38"/>
        <v>985.7055866105942</v>
      </c>
      <c r="M26" s="272">
        <f t="shared" si="39"/>
        <v>1003.1068383889593</v>
      </c>
      <c r="N26" s="272">
        <f t="shared" si="39"/>
        <v>1020.4850430868366</v>
      </c>
      <c r="O26" s="272">
        <f t="shared" si="39"/>
        <v>1037.8725635464882</v>
      </c>
      <c r="P26" s="101"/>
      <c r="Q26" s="272">
        <f>'Input|Fee Based Mapping'!J25</f>
        <v>102.36</v>
      </c>
      <c r="R26" s="272">
        <f>'Input|Fee Based Mapping'!K25</f>
        <v>105.60969140380344</v>
      </c>
      <c r="S26" s="272">
        <f>'Input|Fee Based Mapping'!Y25</f>
        <v>112.33673134944479</v>
      </c>
      <c r="T26" s="272">
        <f>'Input|Fee Based Mapping'!Z25</f>
        <v>116.5855396600042</v>
      </c>
      <c r="U26" s="272">
        <f>'Input|Fee Based Mapping'!AA25</f>
        <v>120.81611289833378</v>
      </c>
      <c r="V26" s="272">
        <f>'Input|Fee Based Mapping'!AB25</f>
        <v>125.31684320040559</v>
      </c>
      <c r="W26" s="272">
        <f>'Input|Fee Based Mapping'!AC25</f>
        <v>129.96736030446374</v>
      </c>
      <c r="X26" s="101"/>
      <c r="Y26" s="272">
        <f t="shared" si="40"/>
        <v>96102.876504</v>
      </c>
      <c r="Z26" s="272">
        <f t="shared" si="12"/>
        <v>100522.24290159853</v>
      </c>
      <c r="AA26" s="272">
        <f t="shared" si="13"/>
        <v>108768.88111291236</v>
      </c>
      <c r="AB26" s="272">
        <f t="shared" si="14"/>
        <v>114919.01776087713</v>
      </c>
      <c r="AC26" s="272">
        <f t="shared" si="15"/>
        <v>121191.46903589118</v>
      </c>
      <c r="AD26" s="272">
        <f t="shared" si="16"/>
        <v>127883.96413287225</v>
      </c>
      <c r="AE26" s="272">
        <f t="shared" si="17"/>
        <v>134889.55741656388</v>
      </c>
      <c r="AF26"/>
      <c r="AG26" s="272">
        <f>Y26/('Input|Escalations'!G$17/'Input|Escalations'!$H$17)</f>
        <v>98433.071158395323</v>
      </c>
      <c r="AH26" s="272">
        <f>Z26/('Input|Escalations'!H$17/'Input|Escalations'!$H$17)</f>
        <v>100522.24290159853</v>
      </c>
      <c r="AI26" s="272">
        <f>AA26/('Input|Escalations'!I$17/'Input|Escalations'!$H$17)</f>
        <v>104963.27133713165</v>
      </c>
      <c r="AJ26" s="272">
        <f>AB26/('Input|Escalations'!J$17/'Input|Escalations'!$H$17)</f>
        <v>107772.81512987902</v>
      </c>
      <c r="AK26" s="272">
        <f>AC26/('Input|Escalations'!K$17/'Input|Escalations'!$H$17)</f>
        <v>110775.06434108282</v>
      </c>
      <c r="AL26" s="272">
        <f>AD26/('Input|Escalations'!L$17/'Input|Escalations'!$H$17)</f>
        <v>113967.18192920779</v>
      </c>
      <c r="AM26" s="272">
        <f>AE26/('Input|Escalations'!M$17/'Input|Escalations'!$H$17)</f>
        <v>117240.31398837056</v>
      </c>
      <c r="AN26" s="263"/>
      <c r="AO26" s="272">
        <f>SUM('Calc|Fee Based'!Z25-'Calc|Fee Based'!V25,'Calc|Fee Based'!AB25:AE25)</f>
        <v>112.33673134944479</v>
      </c>
      <c r="AP26" s="272">
        <f>'Calc|Fee Based'!V25</f>
        <v>0</v>
      </c>
      <c r="AQ26" s="101">
        <f t="shared" si="41"/>
        <v>0</v>
      </c>
      <c r="AR26" s="303">
        <f t="shared" si="42"/>
        <v>1</v>
      </c>
      <c r="AS26" s="303">
        <f t="shared" si="18"/>
        <v>0</v>
      </c>
      <c r="AT26" s="263"/>
      <c r="AU26" s="272">
        <f t="shared" si="43"/>
        <v>98433.071158395323</v>
      </c>
      <c r="AV26" s="272">
        <f t="shared" si="19"/>
        <v>100522.24290159853</v>
      </c>
      <c r="AW26" s="272">
        <f t="shared" si="19"/>
        <v>104963.27133713165</v>
      </c>
      <c r="AX26" s="272">
        <f t="shared" si="19"/>
        <v>107772.81512987902</v>
      </c>
      <c r="AY26" s="272">
        <f t="shared" si="19"/>
        <v>110775.06434108282</v>
      </c>
      <c r="AZ26" s="272">
        <f t="shared" si="19"/>
        <v>113967.18192920779</v>
      </c>
      <c r="BA26" s="272">
        <f t="shared" si="19"/>
        <v>117240.31398837056</v>
      </c>
      <c r="BB26" s="263"/>
      <c r="BC26" s="272">
        <f t="shared" si="44"/>
        <v>0</v>
      </c>
      <c r="BD26" s="272">
        <f t="shared" si="20"/>
        <v>0</v>
      </c>
      <c r="BE26" s="272">
        <f t="shared" si="21"/>
        <v>0</v>
      </c>
      <c r="BF26" s="272">
        <f t="shared" si="22"/>
        <v>0</v>
      </c>
      <c r="BG26" s="272">
        <f t="shared" si="23"/>
        <v>0</v>
      </c>
      <c r="BH26" s="272">
        <f t="shared" si="24"/>
        <v>0</v>
      </c>
      <c r="BI26" s="272">
        <f t="shared" si="25"/>
        <v>0</v>
      </c>
      <c r="BJ26" s="299">
        <f t="shared" si="45"/>
        <v>0</v>
      </c>
      <c r="BK26" s="272"/>
      <c r="BL26" s="272"/>
      <c r="BM26" s="272">
        <f>'Calc|Fee Based'!AB25*'Input|Escalations'!$H$20/'Input|Escalations'!$I$20</f>
        <v>0</v>
      </c>
      <c r="BN26" s="272">
        <f>BM26*(1-'Input|Fee Based Mapping'!Z$6)</f>
        <v>0</v>
      </c>
      <c r="BO26" s="272">
        <f>BN26*(1-'Input|Fee Based Mapping'!AA$6)</f>
        <v>0</v>
      </c>
      <c r="BP26" s="272">
        <f>BO26*(1-'Input|Fee Based Mapping'!AB$6)</f>
        <v>0</v>
      </c>
      <c r="BQ26" s="272">
        <f>BP26*(1-'Input|Fee Based Mapping'!AC$6)</f>
        <v>0</v>
      </c>
      <c r="BR26" s="299"/>
      <c r="BS26" s="272"/>
      <c r="BT26" s="272"/>
      <c r="BU26" s="272">
        <f t="shared" si="46"/>
        <v>0</v>
      </c>
      <c r="BV26" s="272">
        <f t="shared" si="26"/>
        <v>0</v>
      </c>
      <c r="BW26" s="272">
        <f t="shared" si="27"/>
        <v>0</v>
      </c>
      <c r="BX26" s="272">
        <f t="shared" si="28"/>
        <v>0</v>
      </c>
      <c r="BY26" s="272">
        <f t="shared" si="29"/>
        <v>0</v>
      </c>
      <c r="BZ26"/>
      <c r="CA26" s="272"/>
      <c r="CB26" s="272"/>
      <c r="CC26" s="272">
        <f t="shared" si="47"/>
        <v>0</v>
      </c>
      <c r="CD26" s="272">
        <f t="shared" si="30"/>
        <v>0</v>
      </c>
      <c r="CE26" s="272">
        <f t="shared" si="31"/>
        <v>0</v>
      </c>
      <c r="CF26" s="272">
        <f t="shared" si="32"/>
        <v>0</v>
      </c>
      <c r="CG26" s="272">
        <f t="shared" si="33"/>
        <v>0</v>
      </c>
      <c r="CH26"/>
      <c r="CI26" s="272"/>
      <c r="CJ26" s="272"/>
      <c r="CK26" s="272">
        <f>'Calc|Fee Based'!AC25*'Input|Escalations'!$H$20/'Input|Escalations'!$I$20</f>
        <v>0</v>
      </c>
      <c r="CL26" s="272">
        <f>CK26*(1-'Input|Fee Based Mapping'!Z$6)</f>
        <v>0</v>
      </c>
      <c r="CM26" s="272">
        <f>CL26*(1-'Input|Fee Based Mapping'!AA$6)</f>
        <v>0</v>
      </c>
      <c r="CN26" s="272">
        <f>CM26*(1-'Input|Fee Based Mapping'!AB$6)</f>
        <v>0</v>
      </c>
      <c r="CO26" s="272">
        <f>CN26*(1-'Input|Fee Based Mapping'!AC$6)</f>
        <v>0</v>
      </c>
      <c r="CP26"/>
      <c r="CQ26" s="272"/>
      <c r="CR26" s="272"/>
      <c r="CS26" s="272">
        <f t="shared" si="48"/>
        <v>0</v>
      </c>
      <c r="CT26" s="272">
        <f t="shared" si="34"/>
        <v>0</v>
      </c>
      <c r="CU26" s="272">
        <f t="shared" si="35"/>
        <v>0</v>
      </c>
      <c r="CV26" s="272">
        <f t="shared" si="36"/>
        <v>0</v>
      </c>
      <c r="CW26" s="272">
        <f t="shared" si="37"/>
        <v>0</v>
      </c>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row>
    <row r="27" spans="1:205" s="1" customFormat="1" ht="12.75" x14ac:dyDescent="0.2">
      <c r="A27" s="258">
        <f t="shared" si="49"/>
        <v>15</v>
      </c>
      <c r="B27" s="259" t="s">
        <v>379</v>
      </c>
      <c r="C27" s="260" t="s">
        <v>437</v>
      </c>
      <c r="D27" s="261" t="s">
        <v>230</v>
      </c>
      <c r="E27" s="261" t="s">
        <v>503</v>
      </c>
      <c r="F27" s="261" t="s">
        <v>478</v>
      </c>
      <c r="G27" s="264"/>
      <c r="H27" s="212">
        <v>616</v>
      </c>
      <c r="I27" s="272">
        <f t="shared" si="38"/>
        <v>624.56240000000003</v>
      </c>
      <c r="J27" s="272">
        <f t="shared" si="38"/>
        <v>633.18136112000002</v>
      </c>
      <c r="K27" s="272">
        <f t="shared" si="38"/>
        <v>644.09896816297237</v>
      </c>
      <c r="L27" s="272">
        <f t="shared" si="38"/>
        <v>655.71775523987696</v>
      </c>
      <c r="M27" s="272">
        <f t="shared" si="39"/>
        <v>667.29353396069007</v>
      </c>
      <c r="N27" s="272">
        <f t="shared" si="39"/>
        <v>678.85398114631903</v>
      </c>
      <c r="O27" s="272">
        <f t="shared" si="39"/>
        <v>690.42062542617361</v>
      </c>
      <c r="P27" s="101"/>
      <c r="Q27" s="272">
        <f>'Input|Fee Based Mapping'!J26</f>
        <v>84.09</v>
      </c>
      <c r="R27" s="272">
        <f>'Input|Fee Based Mapping'!K26</f>
        <v>86.759661490287527</v>
      </c>
      <c r="S27" s="272">
        <f>'Input|Fee Based Mapping'!Y26</f>
        <v>92.287214577042931</v>
      </c>
      <c r="T27" s="272">
        <f>'Input|Fee Based Mapping'!Z26</f>
        <v>95.777708554774804</v>
      </c>
      <c r="U27" s="272">
        <f>'Input|Fee Based Mapping'!AA26</f>
        <v>99.253222000284595</v>
      </c>
      <c r="V27" s="272">
        <f>'Input|Fee Based Mapping'!AB26</f>
        <v>102.95067570176933</v>
      </c>
      <c r="W27" s="272">
        <f>'Input|Fee Based Mapping'!AC26</f>
        <v>106.77118271422071</v>
      </c>
      <c r="X27" s="101"/>
      <c r="Y27" s="272">
        <f t="shared" si="40"/>
        <v>52519.452216000005</v>
      </c>
      <c r="Z27" s="272">
        <f t="shared" si="12"/>
        <v>54934.600552730706</v>
      </c>
      <c r="AA27" s="272">
        <f t="shared" si="13"/>
        <v>59442.099683708177</v>
      </c>
      <c r="AB27" s="272">
        <f t="shared" si="14"/>
        <v>62803.144055556098</v>
      </c>
      <c r="AC27" s="272">
        <f t="shared" si="15"/>
        <v>66231.033265554812</v>
      </c>
      <c r="AD27" s="272">
        <f t="shared" si="16"/>
        <v>69888.476061849724</v>
      </c>
      <c r="AE27" s="272">
        <f t="shared" si="17"/>
        <v>73717.026747044525</v>
      </c>
      <c r="AF27"/>
      <c r="AG27" s="272">
        <f>Y27/('Input|Escalations'!G$17/'Input|Escalations'!$H$17)</f>
        <v>53792.884929540065</v>
      </c>
      <c r="AH27" s="272">
        <f>Z27/('Input|Escalations'!H$17/'Input|Escalations'!$H$17)</f>
        <v>54934.600552730706</v>
      </c>
      <c r="AI27" s="272">
        <f>AA27/('Input|Escalations'!I$17/'Input|Escalations'!$H$17)</f>
        <v>57362.337224678922</v>
      </c>
      <c r="AJ27" s="272">
        <f>AB27/('Input|Escalations'!J$17/'Input|Escalations'!$H$17)</f>
        <v>58897.750483374359</v>
      </c>
      <c r="AK27" s="272">
        <f>AC27/('Input|Escalations'!K$17/'Input|Escalations'!$H$17)</f>
        <v>60538.477086992272</v>
      </c>
      <c r="AL27" s="272">
        <f>AD27/('Input|Escalations'!L$17/'Input|Escalations'!$H$17)</f>
        <v>62282.966594781443</v>
      </c>
      <c r="AM27" s="272">
        <f>AE27/('Input|Escalations'!M$17/'Input|Escalations'!$H$17)</f>
        <v>64071.730441094427</v>
      </c>
      <c r="AN27" s="263"/>
      <c r="AO27" s="272">
        <f>SUM('Calc|Fee Based'!Z26-'Calc|Fee Based'!V26,'Calc|Fee Based'!AB26:AE26)</f>
        <v>92.287214577042931</v>
      </c>
      <c r="AP27" s="272">
        <f>'Calc|Fee Based'!V26</f>
        <v>0</v>
      </c>
      <c r="AQ27" s="101">
        <f t="shared" si="41"/>
        <v>0</v>
      </c>
      <c r="AR27" s="303">
        <f t="shared" si="42"/>
        <v>1</v>
      </c>
      <c r="AS27" s="303">
        <f t="shared" si="18"/>
        <v>0</v>
      </c>
      <c r="AT27" s="263"/>
      <c r="AU27" s="272">
        <f t="shared" si="43"/>
        <v>53792.884929540065</v>
      </c>
      <c r="AV27" s="272">
        <f t="shared" si="19"/>
        <v>54934.600552730706</v>
      </c>
      <c r="AW27" s="272">
        <f t="shared" si="19"/>
        <v>57362.337224678922</v>
      </c>
      <c r="AX27" s="272">
        <f t="shared" si="19"/>
        <v>58897.750483374359</v>
      </c>
      <c r="AY27" s="272">
        <f t="shared" si="19"/>
        <v>60538.477086992272</v>
      </c>
      <c r="AZ27" s="272">
        <f t="shared" si="19"/>
        <v>62282.966594781443</v>
      </c>
      <c r="BA27" s="272">
        <f t="shared" si="19"/>
        <v>64071.730441094427</v>
      </c>
      <c r="BB27" s="263"/>
      <c r="BC27" s="272">
        <f t="shared" si="44"/>
        <v>0</v>
      </c>
      <c r="BD27" s="272">
        <f t="shared" si="20"/>
        <v>0</v>
      </c>
      <c r="BE27" s="272">
        <f t="shared" si="21"/>
        <v>0</v>
      </c>
      <c r="BF27" s="272">
        <f t="shared" si="22"/>
        <v>0</v>
      </c>
      <c r="BG27" s="272">
        <f t="shared" si="23"/>
        <v>0</v>
      </c>
      <c r="BH27" s="272">
        <f t="shared" si="24"/>
        <v>0</v>
      </c>
      <c r="BI27" s="272">
        <f t="shared" si="25"/>
        <v>0</v>
      </c>
      <c r="BJ27" s="299">
        <f t="shared" si="45"/>
        <v>0</v>
      </c>
      <c r="BK27" s="272"/>
      <c r="BL27" s="272"/>
      <c r="BM27" s="272">
        <f>'Calc|Fee Based'!AB26*'Input|Escalations'!$H$20/'Input|Escalations'!$I$20</f>
        <v>0</v>
      </c>
      <c r="BN27" s="272">
        <f>BM27*(1-'Input|Fee Based Mapping'!Z$6)</f>
        <v>0</v>
      </c>
      <c r="BO27" s="272">
        <f>BN27*(1-'Input|Fee Based Mapping'!AA$6)</f>
        <v>0</v>
      </c>
      <c r="BP27" s="272">
        <f>BO27*(1-'Input|Fee Based Mapping'!AB$6)</f>
        <v>0</v>
      </c>
      <c r="BQ27" s="272">
        <f>BP27*(1-'Input|Fee Based Mapping'!AC$6)</f>
        <v>0</v>
      </c>
      <c r="BR27" s="299"/>
      <c r="BS27" s="272"/>
      <c r="BT27" s="272"/>
      <c r="BU27" s="272">
        <f t="shared" si="46"/>
        <v>0</v>
      </c>
      <c r="BV27" s="272">
        <f t="shared" si="26"/>
        <v>0</v>
      </c>
      <c r="BW27" s="272">
        <f t="shared" si="27"/>
        <v>0</v>
      </c>
      <c r="BX27" s="272">
        <f t="shared" si="28"/>
        <v>0</v>
      </c>
      <c r="BY27" s="272">
        <f t="shared" si="29"/>
        <v>0</v>
      </c>
      <c r="BZ27"/>
      <c r="CA27" s="272"/>
      <c r="CB27" s="272"/>
      <c r="CC27" s="272">
        <f t="shared" si="47"/>
        <v>0</v>
      </c>
      <c r="CD27" s="272">
        <f t="shared" si="30"/>
        <v>0</v>
      </c>
      <c r="CE27" s="272">
        <f t="shared" si="31"/>
        <v>0</v>
      </c>
      <c r="CF27" s="272">
        <f t="shared" si="32"/>
        <v>0</v>
      </c>
      <c r="CG27" s="272">
        <f t="shared" si="33"/>
        <v>0</v>
      </c>
      <c r="CH27"/>
      <c r="CI27" s="272"/>
      <c r="CJ27" s="272"/>
      <c r="CK27" s="272">
        <f>'Calc|Fee Based'!AC26*'Input|Escalations'!$H$20/'Input|Escalations'!$I$20</f>
        <v>0</v>
      </c>
      <c r="CL27" s="272">
        <f>CK27*(1-'Input|Fee Based Mapping'!Z$6)</f>
        <v>0</v>
      </c>
      <c r="CM27" s="272">
        <f>CL27*(1-'Input|Fee Based Mapping'!AA$6)</f>
        <v>0</v>
      </c>
      <c r="CN27" s="272">
        <f>CM27*(1-'Input|Fee Based Mapping'!AB$6)</f>
        <v>0</v>
      </c>
      <c r="CO27" s="272">
        <f>CN27*(1-'Input|Fee Based Mapping'!AC$6)</f>
        <v>0</v>
      </c>
      <c r="CP27"/>
      <c r="CQ27" s="272"/>
      <c r="CR27" s="272"/>
      <c r="CS27" s="272">
        <f t="shared" si="48"/>
        <v>0</v>
      </c>
      <c r="CT27" s="272">
        <f t="shared" si="34"/>
        <v>0</v>
      </c>
      <c r="CU27" s="272">
        <f t="shared" si="35"/>
        <v>0</v>
      </c>
      <c r="CV27" s="272">
        <f t="shared" si="36"/>
        <v>0</v>
      </c>
      <c r="CW27" s="272">
        <f t="shared" si="37"/>
        <v>0</v>
      </c>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row>
    <row r="28" spans="1:205" s="1" customFormat="1" ht="12.75" x14ac:dyDescent="0.2">
      <c r="A28" s="258">
        <f t="shared" si="49"/>
        <v>16</v>
      </c>
      <c r="B28" s="259" t="s">
        <v>380</v>
      </c>
      <c r="C28" s="260" t="s">
        <v>438</v>
      </c>
      <c r="D28" s="261" t="s">
        <v>230</v>
      </c>
      <c r="E28" s="261" t="s">
        <v>504</v>
      </c>
      <c r="F28" s="261" t="s">
        <v>478</v>
      </c>
      <c r="G28" s="264"/>
      <c r="H28" s="212">
        <v>899</v>
      </c>
      <c r="I28" s="272">
        <f t="shared" si="38"/>
        <v>911.49610000000007</v>
      </c>
      <c r="J28" s="272">
        <f t="shared" si="38"/>
        <v>924.07474618000015</v>
      </c>
      <c r="K28" s="272">
        <f t="shared" si="38"/>
        <v>940.00807204303942</v>
      </c>
      <c r="L28" s="272">
        <f t="shared" si="38"/>
        <v>956.96471097508038</v>
      </c>
      <c r="M28" s="272">
        <f t="shared" si="39"/>
        <v>973.85858284198127</v>
      </c>
      <c r="N28" s="272">
        <f t="shared" si="39"/>
        <v>990.73007962750148</v>
      </c>
      <c r="O28" s="272">
        <f t="shared" si="39"/>
        <v>1007.6106205489126</v>
      </c>
      <c r="P28" s="101"/>
      <c r="Q28" s="272">
        <f>'Input|Fee Based Mapping'!J27</f>
        <v>434.84</v>
      </c>
      <c r="R28" s="272">
        <f>'Input|Fee Based Mapping'!K27</f>
        <v>448.6451564090454</v>
      </c>
      <c r="S28" s="272">
        <f>'Input|Fee Based Mapping'!Y27</f>
        <v>512.14286253462149</v>
      </c>
      <c r="T28" s="272">
        <f>'Input|Fee Based Mapping'!Z27</f>
        <v>531.5131684389471</v>
      </c>
      <c r="U28" s="272">
        <f>'Input|Fee Based Mapping'!AA27</f>
        <v>550.80034069697444</v>
      </c>
      <c r="V28" s="272">
        <f>'Input|Fee Based Mapping'!AB27</f>
        <v>571.31915829750767</v>
      </c>
      <c r="W28" s="272">
        <f>'Input|Fee Based Mapping'!AC27</f>
        <v>592.52085353403481</v>
      </c>
      <c r="X28" s="101"/>
      <c r="Y28" s="272">
        <f t="shared" si="40"/>
        <v>396354.96412399999</v>
      </c>
      <c r="Z28" s="272">
        <f t="shared" si="12"/>
        <v>414581.6590335751</v>
      </c>
      <c r="AA28" s="272">
        <f t="shared" si="13"/>
        <v>481418.4248217729</v>
      </c>
      <c r="AB28" s="272">
        <f t="shared" si="14"/>
        <v>508639.34561462625</v>
      </c>
      <c r="AC28" s="272">
        <f t="shared" si="15"/>
        <v>536401.63922003598</v>
      </c>
      <c r="AD28" s="272">
        <f t="shared" si="16"/>
        <v>566023.07519280689</v>
      </c>
      <c r="AE28" s="272">
        <f t="shared" si="17"/>
        <v>597030.30491760012</v>
      </c>
      <c r="AF28"/>
      <c r="AG28" s="272">
        <f>Y28/('Input|Escalations'!G$17/'Input|Escalations'!$H$17)</f>
        <v>405965.33430481714</v>
      </c>
      <c r="AH28" s="272">
        <f>Z28/('Input|Escalations'!H$17/'Input|Escalations'!$H$17)</f>
        <v>414581.6590335751</v>
      </c>
      <c r="AI28" s="272">
        <f>AA28/('Input|Escalations'!I$17/'Input|Escalations'!$H$17)</f>
        <v>464574.53854660928</v>
      </c>
      <c r="AJ28" s="272">
        <f>AB28/('Input|Escalations'!J$17/'Input|Escalations'!$H$17)</f>
        <v>477009.76940798172</v>
      </c>
      <c r="AK28" s="272">
        <f>AC28/('Input|Escalations'!K$17/'Input|Escalations'!$H$17)</f>
        <v>490297.92748583987</v>
      </c>
      <c r="AL28" s="272">
        <f>AD28/('Input|Escalations'!L$17/'Input|Escalations'!$H$17)</f>
        <v>504426.45584245416</v>
      </c>
      <c r="AM28" s="272">
        <f>AE28/('Input|Escalations'!M$17/'Input|Escalations'!$H$17)</f>
        <v>518913.55972761777</v>
      </c>
      <c r="AN28" s="263"/>
      <c r="AO28" s="272">
        <f>SUM('Calc|Fee Based'!Z27-'Calc|Fee Based'!V27,'Calc|Fee Based'!AB27:AE27)</f>
        <v>512.14286253462149</v>
      </c>
      <c r="AP28" s="272">
        <f>'Calc|Fee Based'!V27</f>
        <v>0</v>
      </c>
      <c r="AQ28" s="101">
        <f t="shared" si="41"/>
        <v>0</v>
      </c>
      <c r="AR28" s="303">
        <f t="shared" si="42"/>
        <v>1</v>
      </c>
      <c r="AS28" s="303">
        <f t="shared" si="18"/>
        <v>0</v>
      </c>
      <c r="AT28" s="263"/>
      <c r="AU28" s="272">
        <f t="shared" si="43"/>
        <v>405965.33430481714</v>
      </c>
      <c r="AV28" s="272">
        <f t="shared" si="19"/>
        <v>414581.6590335751</v>
      </c>
      <c r="AW28" s="272">
        <f t="shared" si="19"/>
        <v>464574.53854660928</v>
      </c>
      <c r="AX28" s="272">
        <f t="shared" si="19"/>
        <v>477009.76940798172</v>
      </c>
      <c r="AY28" s="272">
        <f t="shared" si="19"/>
        <v>490297.92748583987</v>
      </c>
      <c r="AZ28" s="272">
        <f t="shared" si="19"/>
        <v>504426.45584245416</v>
      </c>
      <c r="BA28" s="272">
        <f t="shared" si="19"/>
        <v>518913.55972761777</v>
      </c>
      <c r="BB28" s="263"/>
      <c r="BC28" s="272">
        <f t="shared" si="44"/>
        <v>0</v>
      </c>
      <c r="BD28" s="272">
        <f t="shared" si="20"/>
        <v>0</v>
      </c>
      <c r="BE28" s="272">
        <f t="shared" si="21"/>
        <v>0</v>
      </c>
      <c r="BF28" s="272">
        <f t="shared" si="22"/>
        <v>0</v>
      </c>
      <c r="BG28" s="272">
        <f t="shared" si="23"/>
        <v>0</v>
      </c>
      <c r="BH28" s="272">
        <f t="shared" si="24"/>
        <v>0</v>
      </c>
      <c r="BI28" s="272">
        <f t="shared" si="25"/>
        <v>0</v>
      </c>
      <c r="BJ28" s="299">
        <f t="shared" si="45"/>
        <v>0</v>
      </c>
      <c r="BK28" s="272"/>
      <c r="BL28" s="272"/>
      <c r="BM28" s="272">
        <f>'Calc|Fee Based'!AB27*'Input|Escalations'!$H$20/'Input|Escalations'!$I$20</f>
        <v>64.246038687114009</v>
      </c>
      <c r="BN28" s="272">
        <f>BM28*(1-'Input|Fee Based Mapping'!Z$6)</f>
        <v>64.796848590096857</v>
      </c>
      <c r="BO28" s="272">
        <f>BN28*(1-'Input|Fee Based Mapping'!AA$6)</f>
        <v>65.446540544514392</v>
      </c>
      <c r="BP28" s="272">
        <f>BO28*(1-'Input|Fee Based Mapping'!AB$6)</f>
        <v>66.185833273675058</v>
      </c>
      <c r="BQ28" s="272">
        <f>BP28*(1-'Input|Fee Based Mapping'!AC$6)</f>
        <v>66.946028278017195</v>
      </c>
      <c r="BR28" s="299"/>
      <c r="BS28" s="272"/>
      <c r="BT28" s="272"/>
      <c r="BU28" s="272">
        <f t="shared" si="46"/>
        <v>0</v>
      </c>
      <c r="BV28" s="272">
        <f t="shared" si="26"/>
        <v>0</v>
      </c>
      <c r="BW28" s="272">
        <f t="shared" si="27"/>
        <v>0</v>
      </c>
      <c r="BX28" s="272">
        <f t="shared" si="28"/>
        <v>0</v>
      </c>
      <c r="BY28" s="272">
        <f t="shared" si="29"/>
        <v>0</v>
      </c>
      <c r="BZ28"/>
      <c r="CA28" s="272"/>
      <c r="CB28" s="272"/>
      <c r="CC28" s="272">
        <f t="shared" si="47"/>
        <v>60391.794962676562</v>
      </c>
      <c r="CD28" s="272">
        <f t="shared" si="30"/>
        <v>62008.297483118084</v>
      </c>
      <c r="CE28" s="272">
        <f t="shared" si="31"/>
        <v>63735.675226591055</v>
      </c>
      <c r="CF28" s="272">
        <f t="shared" si="32"/>
        <v>65572.295869440626</v>
      </c>
      <c r="CG28" s="272">
        <f t="shared" si="33"/>
        <v>67455.52909649795</v>
      </c>
      <c r="CH28"/>
      <c r="CI28" s="272"/>
      <c r="CJ28" s="272"/>
      <c r="CK28" s="272">
        <f>'Calc|Fee Based'!AC27*'Input|Escalations'!$H$20/'Input|Escalations'!$I$20</f>
        <v>123.06382752353863</v>
      </c>
      <c r="CL28" s="272">
        <f>CK28*(1-'Input|Fee Based Mapping'!Z$6)</f>
        <v>124.11890852594966</v>
      </c>
      <c r="CM28" s="272">
        <f>CL28*(1-'Input|Fee Based Mapping'!AA$6)</f>
        <v>125.36339892964995</v>
      </c>
      <c r="CN28" s="272">
        <f>CM28*(1-'Input|Fee Based Mapping'!AB$6)</f>
        <v>126.7795203710655</v>
      </c>
      <c r="CO28" s="272">
        <f>CN28*(1-'Input|Fee Based Mapping'!AC$6)</f>
        <v>128.23568029641481</v>
      </c>
      <c r="CP28"/>
      <c r="CQ28" s="272"/>
      <c r="CR28" s="272"/>
      <c r="CS28" s="272">
        <f t="shared" si="48"/>
        <v>115680.99124863869</v>
      </c>
      <c r="CT28" s="272">
        <f t="shared" si="34"/>
        <v>118777.41542407786</v>
      </c>
      <c r="CU28" s="272">
        <f t="shared" si="35"/>
        <v>122086.22202188284</v>
      </c>
      <c r="CV28" s="272">
        <f t="shared" si="36"/>
        <v>125604.28431236217</v>
      </c>
      <c r="CW28" s="272">
        <f t="shared" si="37"/>
        <v>129211.6333999825</v>
      </c>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row>
    <row r="29" spans="1:205" s="1" customFormat="1" ht="12.75" x14ac:dyDescent="0.2">
      <c r="A29" s="258">
        <f t="shared" si="49"/>
        <v>17</v>
      </c>
      <c r="B29" s="259" t="s">
        <v>380</v>
      </c>
      <c r="C29" s="260" t="s">
        <v>439</v>
      </c>
      <c r="D29" s="261" t="s">
        <v>231</v>
      </c>
      <c r="E29" s="261" t="s">
        <v>505</v>
      </c>
      <c r="F29" s="261" t="s">
        <v>478</v>
      </c>
      <c r="G29" s="264"/>
      <c r="H29" s="212">
        <v>49</v>
      </c>
      <c r="I29" s="272">
        <f t="shared" si="38"/>
        <v>49.681100000000001</v>
      </c>
      <c r="J29" s="272">
        <f t="shared" si="38"/>
        <v>50.366699180000005</v>
      </c>
      <c r="K29" s="272">
        <f t="shared" si="38"/>
        <v>51.2351451947819</v>
      </c>
      <c r="L29" s="272">
        <f t="shared" si="38"/>
        <v>52.159366894081124</v>
      </c>
      <c r="M29" s="272">
        <f t="shared" si="39"/>
        <v>53.080167474145803</v>
      </c>
      <c r="N29" s="272">
        <f t="shared" si="39"/>
        <v>53.999748500275381</v>
      </c>
      <c r="O29" s="272">
        <f t="shared" si="39"/>
        <v>54.919822477081993</v>
      </c>
      <c r="P29" s="101"/>
      <c r="Q29" s="272">
        <f>'Input|Fee Based Mapping'!J28</f>
        <v>615.51</v>
      </c>
      <c r="R29" s="272">
        <f>'Input|Fee Based Mapping'!K28</f>
        <v>635.05100777603604</v>
      </c>
      <c r="S29" s="272">
        <f>'Input|Fee Based Mapping'!Y28</f>
        <v>820.73226537192193</v>
      </c>
      <c r="T29" s="272">
        <f>'Input|Fee Based Mapping'!Z28</f>
        <v>851.77406290303463</v>
      </c>
      <c r="U29" s="272">
        <f>'Input|Fee Based Mapping'!AA28</f>
        <v>882.68263497920827</v>
      </c>
      <c r="V29" s="272">
        <f>'Input|Fee Based Mapping'!AB28</f>
        <v>915.56497481832014</v>
      </c>
      <c r="W29" s="272">
        <f>'Input|Fee Based Mapping'!AC28</f>
        <v>949.54165717425883</v>
      </c>
      <c r="X29" s="101"/>
      <c r="Y29" s="272">
        <f t="shared" si="40"/>
        <v>30579.213861</v>
      </c>
      <c r="Z29" s="272">
        <f t="shared" si="12"/>
        <v>31985.423072611451</v>
      </c>
      <c r="AA29" s="272">
        <f t="shared" si="13"/>
        <v>42050.336782372688</v>
      </c>
      <c r="AB29" s="272">
        <f t="shared" si="14"/>
        <v>44427.995857821516</v>
      </c>
      <c r="AC29" s="272">
        <f t="shared" si="15"/>
        <v>46852.942091216682</v>
      </c>
      <c r="AD29" s="272">
        <f t="shared" si="16"/>
        <v>49440.278375850248</v>
      </c>
      <c r="AE29" s="272">
        <f t="shared" si="17"/>
        <v>52148.659246604548</v>
      </c>
      <c r="AF29"/>
      <c r="AG29" s="272">
        <f>Y29/('Input|Escalations'!G$17/'Input|Escalations'!$H$17)</f>
        <v>31320.664307299052</v>
      </c>
      <c r="AH29" s="272">
        <f>Z29/('Input|Escalations'!H$17/'Input|Escalations'!$H$17)</f>
        <v>31985.423072611451</v>
      </c>
      <c r="AI29" s="272">
        <f>AA29/('Input|Escalations'!I$17/'Input|Escalations'!$H$17)</f>
        <v>40579.077989448771</v>
      </c>
      <c r="AJ29" s="272">
        <f>AB29/('Input|Escalations'!J$17/'Input|Escalations'!$H$17)</f>
        <v>41665.255041938697</v>
      </c>
      <c r="AK29" s="272">
        <f>AC29/('Input|Escalations'!K$17/'Input|Escalations'!$H$17)</f>
        <v>42825.932518290399</v>
      </c>
      <c r="AL29" s="272">
        <f>AD29/('Input|Escalations'!L$17/'Input|Escalations'!$H$17)</f>
        <v>44060.013610751455</v>
      </c>
      <c r="AM29" s="272">
        <f>AE29/('Input|Escalations'!M$17/'Input|Escalations'!$H$17)</f>
        <v>45325.415111738635</v>
      </c>
      <c r="AN29" s="263"/>
      <c r="AO29" s="272">
        <f>SUM('Calc|Fee Based'!Z28-'Calc|Fee Based'!V28,'Calc|Fee Based'!AB28:AE28)</f>
        <v>820.73226537192193</v>
      </c>
      <c r="AP29" s="272">
        <f>'Calc|Fee Based'!V28</f>
        <v>0</v>
      </c>
      <c r="AQ29" s="101">
        <f t="shared" si="41"/>
        <v>0</v>
      </c>
      <c r="AR29" s="303">
        <f t="shared" si="42"/>
        <v>1</v>
      </c>
      <c r="AS29" s="303">
        <f t="shared" si="18"/>
        <v>0</v>
      </c>
      <c r="AT29" s="263"/>
      <c r="AU29" s="272">
        <f t="shared" si="43"/>
        <v>31320.664307299052</v>
      </c>
      <c r="AV29" s="272">
        <f t="shared" ref="AV29:AV72" si="50">AH29*$AR29</f>
        <v>31985.423072611451</v>
      </c>
      <c r="AW29" s="272">
        <f t="shared" ref="AW29:AW72" si="51">AI29*$AR29</f>
        <v>40579.077989448771</v>
      </c>
      <c r="AX29" s="272">
        <f t="shared" ref="AX29:AX72" si="52">AJ29*$AR29</f>
        <v>41665.255041938697</v>
      </c>
      <c r="AY29" s="272">
        <f t="shared" ref="AY29:AY72" si="53">AK29*$AR29</f>
        <v>42825.932518290399</v>
      </c>
      <c r="AZ29" s="272">
        <f t="shared" ref="AZ29:AZ72" si="54">AL29*$AR29</f>
        <v>44060.013610751455</v>
      </c>
      <c r="BA29" s="272">
        <f t="shared" ref="BA29:BA72" si="55">AM29*$AR29</f>
        <v>45325.415111738635</v>
      </c>
      <c r="BB29" s="263"/>
      <c r="BC29" s="272">
        <f t="shared" si="44"/>
        <v>0</v>
      </c>
      <c r="BD29" s="272">
        <f t="shared" si="20"/>
        <v>0</v>
      </c>
      <c r="BE29" s="272">
        <f t="shared" si="21"/>
        <v>0</v>
      </c>
      <c r="BF29" s="272">
        <f t="shared" si="22"/>
        <v>0</v>
      </c>
      <c r="BG29" s="272">
        <f t="shared" si="23"/>
        <v>0</v>
      </c>
      <c r="BH29" s="272">
        <f t="shared" si="24"/>
        <v>0</v>
      </c>
      <c r="BI29" s="272">
        <f t="shared" si="25"/>
        <v>0</v>
      </c>
      <c r="BJ29" s="299">
        <f t="shared" si="45"/>
        <v>0</v>
      </c>
      <c r="BK29" s="272"/>
      <c r="BL29" s="272"/>
      <c r="BM29" s="272">
        <f>'Calc|Fee Based'!AB28*'Input|Escalations'!$H$20/'Input|Escalations'!$I$20</f>
        <v>102.95720340978623</v>
      </c>
      <c r="BN29" s="272">
        <f>BM29*(1-'Input|Fee Based Mapping'!Z$6)</f>
        <v>103.83990136876412</v>
      </c>
      <c r="BO29" s="272">
        <f>BN29*(1-'Input|Fee Based Mapping'!AA$6)</f>
        <v>104.88106231925373</v>
      </c>
      <c r="BP29" s="272">
        <f>BO29*(1-'Input|Fee Based Mapping'!AB$6)</f>
        <v>106.06581259259374</v>
      </c>
      <c r="BQ29" s="272">
        <f>BP29*(1-'Input|Fee Based Mapping'!AC$6)</f>
        <v>107.28405971401284</v>
      </c>
      <c r="BR29" s="299"/>
      <c r="BS29" s="272"/>
      <c r="BT29" s="272"/>
      <c r="BU29" s="272">
        <f t="shared" si="46"/>
        <v>0</v>
      </c>
      <c r="BV29" s="272">
        <f t="shared" si="26"/>
        <v>0</v>
      </c>
      <c r="BW29" s="272">
        <f t="shared" si="27"/>
        <v>0</v>
      </c>
      <c r="BX29" s="272">
        <f t="shared" si="28"/>
        <v>0</v>
      </c>
      <c r="BY29" s="272">
        <f t="shared" si="29"/>
        <v>0</v>
      </c>
      <c r="BZ29"/>
      <c r="CA29" s="272"/>
      <c r="CB29" s="272"/>
      <c r="CC29" s="272">
        <f t="shared" si="47"/>
        <v>5275.0272655490917</v>
      </c>
      <c r="CD29" s="272">
        <f t="shared" si="30"/>
        <v>5416.2235137385642</v>
      </c>
      <c r="CE29" s="272">
        <f t="shared" si="31"/>
        <v>5567.1043527723104</v>
      </c>
      <c r="CF29" s="272">
        <f t="shared" si="32"/>
        <v>5727.5272044774038</v>
      </c>
      <c r="CG29" s="272">
        <f t="shared" si="33"/>
        <v>5892.0215141142489</v>
      </c>
      <c r="CH29"/>
      <c r="CI29" s="272"/>
      <c r="CJ29" s="272"/>
      <c r="CK29" s="272">
        <f>'Calc|Fee Based'!AC28*'Input|Escalations'!$H$20/'Input|Escalations'!$I$20</f>
        <v>197.21538917650241</v>
      </c>
      <c r="CL29" s="272">
        <f>CK29*(1-'Input|Fee Based Mapping'!Z$6)</f>
        <v>198.90620454191452</v>
      </c>
      <c r="CM29" s="272">
        <f>CL29*(1-'Input|Fee Based Mapping'!AA$6)</f>
        <v>200.90055710051041</v>
      </c>
      <c r="CN29" s="272">
        <f>CM29*(1-'Input|Fee Based Mapping'!AB$6)</f>
        <v>203.16995621485648</v>
      </c>
      <c r="CO29" s="272">
        <f>CN29*(1-'Input|Fee Based Mapping'!AC$6)</f>
        <v>205.50351882346345</v>
      </c>
      <c r="CP29"/>
      <c r="CQ29" s="272"/>
      <c r="CR29" s="272"/>
      <c r="CS29" s="272">
        <f t="shared" si="48"/>
        <v>10104.35909910352</v>
      </c>
      <c r="CT29" s="272">
        <f t="shared" si="34"/>
        <v>10374.821700210865</v>
      </c>
      <c r="CU29" s="272">
        <f t="shared" si="35"/>
        <v>10663.835216544285</v>
      </c>
      <c r="CV29" s="272">
        <f t="shared" si="36"/>
        <v>10971.126538414212</v>
      </c>
      <c r="CW29" s="272">
        <f t="shared" si="37"/>
        <v>11286.216772200291</v>
      </c>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row>
    <row r="30" spans="1:205" s="1" customFormat="1" ht="12.75" x14ac:dyDescent="0.2">
      <c r="A30" s="258">
        <f t="shared" si="49"/>
        <v>18</v>
      </c>
      <c r="B30" s="259" t="s">
        <v>381</v>
      </c>
      <c r="C30" s="260" t="s">
        <v>440</v>
      </c>
      <c r="D30" s="261" t="s">
        <v>230</v>
      </c>
      <c r="E30" s="261" t="s">
        <v>506</v>
      </c>
      <c r="F30" s="261" t="s">
        <v>478</v>
      </c>
      <c r="G30" s="264"/>
      <c r="H30" s="212">
        <v>964</v>
      </c>
      <c r="I30" s="272">
        <f t="shared" si="38"/>
        <v>977.39960000000008</v>
      </c>
      <c r="J30" s="272">
        <f t="shared" si="38"/>
        <v>990.88771448000011</v>
      </c>
      <c r="K30" s="272">
        <f t="shared" si="38"/>
        <v>1007.9730605667296</v>
      </c>
      <c r="L30" s="272">
        <f t="shared" si="38"/>
        <v>1026.155707875392</v>
      </c>
      <c r="M30" s="272">
        <f t="shared" si="39"/>
        <v>1044.2710498995216</v>
      </c>
      <c r="N30" s="272">
        <f t="shared" si="39"/>
        <v>1062.3623990666422</v>
      </c>
      <c r="O30" s="272">
        <f t="shared" si="39"/>
        <v>1080.4634462838171</v>
      </c>
      <c r="P30" s="101"/>
      <c r="Q30" s="272">
        <f>'Input|Fee Based Mapping'!J29</f>
        <v>503.82</v>
      </c>
      <c r="R30" s="272">
        <f>'Input|Fee Based Mapping'!K29</f>
        <v>519.81511062001027</v>
      </c>
      <c r="S30" s="272">
        <f>'Input|Fee Based Mapping'!Y29</f>
        <v>594.38162537760184</v>
      </c>
      <c r="T30" s="272">
        <f>'Input|Fee Based Mapping'!Z29</f>
        <v>616.86237196165882</v>
      </c>
      <c r="U30" s="272">
        <f>'Input|Fee Based Mapping'!AA29</f>
        <v>639.24663548322462</v>
      </c>
      <c r="V30" s="272">
        <f>'Input|Fee Based Mapping'!AB29</f>
        <v>663.06031921958061</v>
      </c>
      <c r="W30" s="272">
        <f>'Input|Fee Based Mapping'!AC29</f>
        <v>687.66653556530912</v>
      </c>
      <c r="X30" s="101"/>
      <c r="Y30" s="272">
        <f t="shared" si="40"/>
        <v>492433.46647200006</v>
      </c>
      <c r="Z30" s="272">
        <f t="shared" si="12"/>
        <v>515078.40691443044</v>
      </c>
      <c r="AA30" s="272">
        <f t="shared" si="13"/>
        <v>599120.66607648868</v>
      </c>
      <c r="AB30" s="272">
        <f t="shared" si="14"/>
        <v>632996.8439620093</v>
      </c>
      <c r="AC30" s="272">
        <f t="shared" si="15"/>
        <v>667546.75518080371</v>
      </c>
      <c r="AD30" s="272">
        <f t="shared" si="16"/>
        <v>704410.35145200719</v>
      </c>
      <c r="AE30" s="272">
        <f t="shared" si="17"/>
        <v>742998.55491094699</v>
      </c>
      <c r="AF30"/>
      <c r="AG30" s="272">
        <f>Y30/('Input|Escalations'!G$17/'Input|Escalations'!$H$17)</f>
        <v>504373.44031004282</v>
      </c>
      <c r="AH30" s="272">
        <f>Z30/('Input|Escalations'!H$17/'Input|Escalations'!$H$17)</f>
        <v>515078.40691443044</v>
      </c>
      <c r="AI30" s="272">
        <f>AA30/('Input|Escalations'!I$17/'Input|Escalations'!$H$17)</f>
        <v>578158.60927895608</v>
      </c>
      <c r="AJ30" s="272">
        <f>AB30/('Input|Escalations'!J$17/'Input|Escalations'!$H$17)</f>
        <v>593634.13620594982</v>
      </c>
      <c r="AK30" s="272">
        <f>AC30/('Input|Escalations'!K$17/'Input|Escalations'!$H$17)</f>
        <v>610171.12296852213</v>
      </c>
      <c r="AL30" s="272">
        <f>AD30/('Input|Escalations'!L$17/'Input|Escalations'!$H$17)</f>
        <v>627753.94257670199</v>
      </c>
      <c r="AM30" s="272">
        <f>AE30/('Input|Escalations'!M$17/'Input|Escalations'!$H$17)</f>
        <v>645783.00603103859</v>
      </c>
      <c r="AN30" s="263"/>
      <c r="AO30" s="272">
        <f>SUM('Calc|Fee Based'!Z29-'Calc|Fee Based'!V29,'Calc|Fee Based'!AB29:AE29)</f>
        <v>594.38162537760184</v>
      </c>
      <c r="AP30" s="272">
        <f>'Calc|Fee Based'!V29</f>
        <v>0</v>
      </c>
      <c r="AQ30" s="101">
        <f t="shared" si="41"/>
        <v>0</v>
      </c>
      <c r="AR30" s="303">
        <f t="shared" si="42"/>
        <v>1</v>
      </c>
      <c r="AS30" s="303">
        <f t="shared" si="18"/>
        <v>0</v>
      </c>
      <c r="AT30" s="263"/>
      <c r="AU30" s="272">
        <f t="shared" si="43"/>
        <v>504373.44031004282</v>
      </c>
      <c r="AV30" s="272">
        <f t="shared" si="50"/>
        <v>515078.40691443044</v>
      </c>
      <c r="AW30" s="272">
        <f t="shared" si="51"/>
        <v>578158.60927895608</v>
      </c>
      <c r="AX30" s="272">
        <f t="shared" si="52"/>
        <v>593634.13620594982</v>
      </c>
      <c r="AY30" s="272">
        <f t="shared" si="53"/>
        <v>610171.12296852213</v>
      </c>
      <c r="AZ30" s="272">
        <f t="shared" si="54"/>
        <v>627753.94257670199</v>
      </c>
      <c r="BA30" s="272">
        <f t="shared" si="55"/>
        <v>645783.00603103859</v>
      </c>
      <c r="BB30" s="263"/>
      <c r="BC30" s="272">
        <f t="shared" si="44"/>
        <v>0</v>
      </c>
      <c r="BD30" s="272">
        <f t="shared" si="20"/>
        <v>0</v>
      </c>
      <c r="BE30" s="272">
        <f t="shared" si="21"/>
        <v>0</v>
      </c>
      <c r="BF30" s="272">
        <f t="shared" si="22"/>
        <v>0</v>
      </c>
      <c r="BG30" s="272">
        <f t="shared" si="23"/>
        <v>0</v>
      </c>
      <c r="BH30" s="272">
        <f t="shared" si="24"/>
        <v>0</v>
      </c>
      <c r="BI30" s="272">
        <f t="shared" si="25"/>
        <v>0</v>
      </c>
      <c r="BJ30" s="299">
        <f t="shared" si="45"/>
        <v>0</v>
      </c>
      <c r="BK30" s="272"/>
      <c r="BL30" s="272"/>
      <c r="BM30" s="272">
        <f>'Calc|Fee Based'!AB29*'Input|Escalations'!$H$20/'Input|Escalations'!$I$20</f>
        <v>74.562524819600796</v>
      </c>
      <c r="BN30" s="272">
        <f>BM30*(1-'Input|Fee Based Mapping'!Z$6)</f>
        <v>75.201782552860507</v>
      </c>
      <c r="BO30" s="272">
        <f>BN30*(1-'Input|Fee Based Mapping'!AA$6)</f>
        <v>75.955800597650381</v>
      </c>
      <c r="BP30" s="272">
        <f>BO30*(1-'Input|Fee Based Mapping'!AB$6)</f>
        <v>76.813807310491484</v>
      </c>
      <c r="BQ30" s="272">
        <f>BP30*(1-'Input|Fee Based Mapping'!AC$6)</f>
        <v>77.696072739416138</v>
      </c>
      <c r="BR30" s="299"/>
      <c r="BS30" s="272"/>
      <c r="BT30" s="272"/>
      <c r="BU30" s="272">
        <f t="shared" si="46"/>
        <v>0</v>
      </c>
      <c r="BV30" s="272">
        <f t="shared" si="26"/>
        <v>0</v>
      </c>
      <c r="BW30" s="272">
        <f t="shared" si="27"/>
        <v>0</v>
      </c>
      <c r="BX30" s="272">
        <f t="shared" si="28"/>
        <v>0</v>
      </c>
      <c r="BY30" s="272">
        <f t="shared" si="29"/>
        <v>0</v>
      </c>
      <c r="BZ30"/>
      <c r="CA30" s="272"/>
      <c r="CB30" s="272"/>
      <c r="CC30" s="272">
        <f t="shared" si="47"/>
        <v>75157.016345995755</v>
      </c>
      <c r="CD30" s="272">
        <f t="shared" si="30"/>
        <v>77168.738409021869</v>
      </c>
      <c r="CE30" s="272">
        <f t="shared" si="31"/>
        <v>79318.443636067066</v>
      </c>
      <c r="CF30" s="272">
        <f t="shared" si="32"/>
        <v>81604.100615816511</v>
      </c>
      <c r="CG30" s="272">
        <f t="shared" si="33"/>
        <v>83947.766514747695</v>
      </c>
      <c r="CH30"/>
      <c r="CI30" s="272"/>
      <c r="CJ30" s="272"/>
      <c r="CK30" s="272">
        <f>'Calc|Fee Based'!AC29*'Input|Escalations'!$H$20/'Input|Escalations'!$I$20</f>
        <v>142.82514348949837</v>
      </c>
      <c r="CL30" s="272">
        <f>CK30*(1-'Input|Fee Based Mapping'!Z$6)</f>
        <v>144.04964705480131</v>
      </c>
      <c r="CM30" s="272">
        <f>CL30*(1-'Input|Fee Based Mapping'!AA$6)</f>
        <v>145.49397496216952</v>
      </c>
      <c r="CN30" s="272">
        <f>CM30*(1-'Input|Fee Based Mapping'!AB$6)</f>
        <v>147.1374940379113</v>
      </c>
      <c r="CO30" s="272">
        <f>CN30*(1-'Input|Fee Based Mapping'!AC$6)</f>
        <v>148.82748088836814</v>
      </c>
      <c r="CP30"/>
      <c r="CQ30" s="272"/>
      <c r="CR30" s="272"/>
      <c r="CS30" s="272">
        <f t="shared" si="48"/>
        <v>143963.897008992</v>
      </c>
      <c r="CT30" s="272">
        <f t="shared" si="34"/>
        <v>147817.36754272002</v>
      </c>
      <c r="CU30" s="272">
        <f t="shared" si="35"/>
        <v>151935.14598779948</v>
      </c>
      <c r="CV30" s="272">
        <f t="shared" si="36"/>
        <v>156313.34115876921</v>
      </c>
      <c r="CW30" s="272">
        <f t="shared" si="37"/>
        <v>160802.65290238516</v>
      </c>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row>
    <row r="31" spans="1:205" s="1" customFormat="1" ht="12.75" x14ac:dyDescent="0.2">
      <c r="A31" s="258">
        <f t="shared" si="49"/>
        <v>19</v>
      </c>
      <c r="B31" s="259" t="s">
        <v>381</v>
      </c>
      <c r="C31" s="260" t="s">
        <v>441</v>
      </c>
      <c r="D31" s="261" t="s">
        <v>231</v>
      </c>
      <c r="E31" s="261" t="s">
        <v>507</v>
      </c>
      <c r="F31" s="261" t="s">
        <v>478</v>
      </c>
      <c r="G31" s="264"/>
      <c r="H31" s="212">
        <v>390</v>
      </c>
      <c r="I31" s="272">
        <f t="shared" si="38"/>
        <v>395.42099999999999</v>
      </c>
      <c r="J31" s="272">
        <f t="shared" si="38"/>
        <v>400.87780980000002</v>
      </c>
      <c r="K31" s="272">
        <f t="shared" si="38"/>
        <v>407.7899311421416</v>
      </c>
      <c r="L31" s="272">
        <f t="shared" si="38"/>
        <v>415.14598140187013</v>
      </c>
      <c r="M31" s="272">
        <f t="shared" si="39"/>
        <v>422.47480234524204</v>
      </c>
      <c r="N31" s="272">
        <f t="shared" si="39"/>
        <v>429.79391663484483</v>
      </c>
      <c r="O31" s="272">
        <f t="shared" si="39"/>
        <v>437.11695440942805</v>
      </c>
      <c r="P31" s="101"/>
      <c r="Q31" s="272">
        <f>'Input|Fee Based Mapping'!J30</f>
        <v>717.35</v>
      </c>
      <c r="R31" s="272">
        <f>'Input|Fee Based Mapping'!K30</f>
        <v>740.12419039193435</v>
      </c>
      <c r="S31" s="272">
        <f>'Input|Fee Based Mapping'!Y30</f>
        <v>959.07819236713851</v>
      </c>
      <c r="T31" s="272">
        <f>'Input|Fee Based Mapping'!Z30</f>
        <v>995.35251996467127</v>
      </c>
      <c r="U31" s="272">
        <f>'Input|Fee Based Mapping'!AA30</f>
        <v>1031.4711650895008</v>
      </c>
      <c r="V31" s="272">
        <f>'Input|Fee Based Mapping'!AB30</f>
        <v>1069.8962841987225</v>
      </c>
      <c r="W31" s="272">
        <f>'Input|Fee Based Mapping'!AC30</f>
        <v>1109.6002125946645</v>
      </c>
      <c r="X31" s="101"/>
      <c r="Y31" s="272">
        <f t="shared" si="40"/>
        <v>283655.25435</v>
      </c>
      <c r="Z31" s="272">
        <f t="shared" si="12"/>
        <v>296699.36442431685</v>
      </c>
      <c r="AA31" s="272">
        <f t="shared" si="13"/>
        <v>391102.43002532504</v>
      </c>
      <c r="AB31" s="272">
        <f t="shared" si="14"/>
        <v>413216.59874155797</v>
      </c>
      <c r="AC31" s="272">
        <f t="shared" si="15"/>
        <v>435770.57659600338</v>
      </c>
      <c r="AD31" s="272">
        <f t="shared" si="16"/>
        <v>459834.91437883599</v>
      </c>
      <c r="AE31" s="272">
        <f t="shared" si="17"/>
        <v>485025.06554143364</v>
      </c>
      <c r="AF31"/>
      <c r="AG31" s="272">
        <f>Y31/('Input|Escalations'!G$17/'Input|Escalations'!$H$17)</f>
        <v>290533.00849662023</v>
      </c>
      <c r="AH31" s="272">
        <f>Z31/('Input|Escalations'!H$17/'Input|Escalations'!$H$17)</f>
        <v>296699.36442431685</v>
      </c>
      <c r="AI31" s="272">
        <f>AA31/('Input|Escalations'!I$17/'Input|Escalations'!$H$17)</f>
        <v>377418.52323317109</v>
      </c>
      <c r="AJ31" s="272">
        <f>AB31/('Input|Escalations'!J$17/'Input|Escalations'!$H$17)</f>
        <v>387520.85575110314</v>
      </c>
      <c r="AK31" s="272">
        <f>AC31/('Input|Escalations'!K$17/'Input|Escalations'!$H$17)</f>
        <v>398316.1029764975</v>
      </c>
      <c r="AL31" s="272">
        <f>AD31/('Input|Escalations'!L$17/'Input|Escalations'!$H$17)</f>
        <v>409794.06370265648</v>
      </c>
      <c r="AM31" s="272">
        <f>AE31/('Input|Escalations'!M$17/'Input|Escalations'!$H$17)</f>
        <v>421563.3297742955</v>
      </c>
      <c r="AN31" s="263"/>
      <c r="AO31" s="272">
        <f>SUM('Calc|Fee Based'!Z30-'Calc|Fee Based'!V30,'Calc|Fee Based'!AB30:AE30)</f>
        <v>959.07819236713851</v>
      </c>
      <c r="AP31" s="272">
        <f>'Calc|Fee Based'!V30</f>
        <v>0</v>
      </c>
      <c r="AQ31" s="101">
        <f t="shared" si="41"/>
        <v>0</v>
      </c>
      <c r="AR31" s="303">
        <f t="shared" si="42"/>
        <v>1</v>
      </c>
      <c r="AS31" s="303">
        <f t="shared" si="18"/>
        <v>0</v>
      </c>
      <c r="AT31" s="263"/>
      <c r="AU31" s="272">
        <f t="shared" si="43"/>
        <v>290533.00849662023</v>
      </c>
      <c r="AV31" s="272">
        <f t="shared" si="50"/>
        <v>296699.36442431685</v>
      </c>
      <c r="AW31" s="272">
        <f t="shared" si="51"/>
        <v>377418.52323317109</v>
      </c>
      <c r="AX31" s="272">
        <f t="shared" si="52"/>
        <v>387520.85575110314</v>
      </c>
      <c r="AY31" s="272">
        <f t="shared" si="53"/>
        <v>398316.1029764975</v>
      </c>
      <c r="AZ31" s="272">
        <f t="shared" si="54"/>
        <v>409794.06370265648</v>
      </c>
      <c r="BA31" s="272">
        <f t="shared" si="55"/>
        <v>421563.3297742955</v>
      </c>
      <c r="BB31" s="263"/>
      <c r="BC31" s="272">
        <f t="shared" si="44"/>
        <v>0</v>
      </c>
      <c r="BD31" s="272">
        <f t="shared" si="20"/>
        <v>0</v>
      </c>
      <c r="BE31" s="272">
        <f t="shared" si="21"/>
        <v>0</v>
      </c>
      <c r="BF31" s="272">
        <f t="shared" si="22"/>
        <v>0</v>
      </c>
      <c r="BG31" s="272">
        <f t="shared" si="23"/>
        <v>0</v>
      </c>
      <c r="BH31" s="272">
        <f t="shared" si="24"/>
        <v>0</v>
      </c>
      <c r="BI31" s="272">
        <f t="shared" si="25"/>
        <v>0</v>
      </c>
      <c r="BJ31" s="299">
        <f t="shared" si="45"/>
        <v>0</v>
      </c>
      <c r="BK31" s="272"/>
      <c r="BL31" s="272"/>
      <c r="BM31" s="272">
        <f>'Calc|Fee Based'!AB30*'Input|Escalations'!$H$20/'Input|Escalations'!$I$20</f>
        <v>120.31208312821339</v>
      </c>
      <c r="BN31" s="272">
        <f>BM31*(1-'Input|Fee Based Mapping'!Z$6)</f>
        <v>121.34357220037633</v>
      </c>
      <c r="BO31" s="272">
        <f>BN31*(1-'Input|Fee Based Mapping'!AA$6)</f>
        <v>122.56023542234229</v>
      </c>
      <c r="BP31" s="272">
        <f>BO31*(1-'Input|Fee Based Mapping'!AB$6)</f>
        <v>123.94469196012261</v>
      </c>
      <c r="BQ31" s="272">
        <f>BP31*(1-'Input|Fee Based Mapping'!AC$6)</f>
        <v>125.36829170922913</v>
      </c>
      <c r="BR31" s="299"/>
      <c r="BS31" s="272"/>
      <c r="BT31" s="272"/>
      <c r="BU31" s="272">
        <f t="shared" si="46"/>
        <v>0</v>
      </c>
      <c r="BV31" s="272">
        <f t="shared" si="26"/>
        <v>0</v>
      </c>
      <c r="BW31" s="272">
        <f t="shared" si="27"/>
        <v>0</v>
      </c>
      <c r="BX31" s="272">
        <f t="shared" si="28"/>
        <v>0</v>
      </c>
      <c r="BY31" s="272">
        <f t="shared" si="29"/>
        <v>0</v>
      </c>
      <c r="BZ31"/>
      <c r="CA31" s="272"/>
      <c r="CB31" s="272"/>
      <c r="CC31" s="272">
        <f t="shared" si="47"/>
        <v>49062.05609442175</v>
      </c>
      <c r="CD31" s="272">
        <f t="shared" si="30"/>
        <v>50375.296367933915</v>
      </c>
      <c r="CE31" s="272">
        <f t="shared" si="31"/>
        <v>51778.611235440389</v>
      </c>
      <c r="CF31" s="272">
        <f t="shared" si="32"/>
        <v>53270.674603640458</v>
      </c>
      <c r="CG31" s="272">
        <f t="shared" si="33"/>
        <v>54800.605851450986</v>
      </c>
      <c r="CH31"/>
      <c r="CI31" s="272"/>
      <c r="CJ31" s="272"/>
      <c r="CK31" s="272">
        <f>'Calc|Fee Based'!AC30*'Input|Escalations'!$H$20/'Input|Escalations'!$I$20</f>
        <v>230.45880726118276</v>
      </c>
      <c r="CL31" s="272">
        <f>CK31*(1-'Input|Fee Based Mapping'!Z$6)</f>
        <v>232.43463325548697</v>
      </c>
      <c r="CM31" s="272">
        <f>CL31*(1-'Input|Fee Based Mapping'!AA$6)</f>
        <v>234.76516189136819</v>
      </c>
      <c r="CN31" s="272">
        <f>CM31*(1-'Input|Fee Based Mapping'!AB$6)</f>
        <v>237.41710003511878</v>
      </c>
      <c r="CO31" s="272">
        <f>CN31*(1-'Input|Fee Based Mapping'!AC$6)</f>
        <v>240.14401732942562</v>
      </c>
      <c r="CP31"/>
      <c r="CQ31" s="272"/>
      <c r="CR31" s="272"/>
      <c r="CS31" s="272">
        <f t="shared" si="48"/>
        <v>93978.7811441378</v>
      </c>
      <c r="CT31" s="272">
        <f t="shared" si="34"/>
        <v>96494.303934632902</v>
      </c>
      <c r="CU31" s="272">
        <f t="shared" si="35"/>
        <v>99182.365367604521</v>
      </c>
      <c r="CV31" s="272">
        <f t="shared" si="36"/>
        <v>102040.42530018046</v>
      </c>
      <c r="CW31" s="272">
        <f t="shared" si="37"/>
        <v>104971.02147468344</v>
      </c>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row>
    <row r="32" spans="1:205" s="1" customFormat="1" ht="12.75" x14ac:dyDescent="0.2">
      <c r="A32" s="258">
        <f t="shared" si="49"/>
        <v>20</v>
      </c>
      <c r="B32" s="259" t="s">
        <v>382</v>
      </c>
      <c r="C32" s="260" t="s">
        <v>442</v>
      </c>
      <c r="D32" s="261" t="s">
        <v>230</v>
      </c>
      <c r="E32" s="261" t="s">
        <v>382</v>
      </c>
      <c r="F32" s="261" t="s">
        <v>508</v>
      </c>
      <c r="G32" s="264"/>
      <c r="H32" s="212">
        <v>232</v>
      </c>
      <c r="I32" s="272">
        <f t="shared" si="38"/>
        <v>235.22480000000002</v>
      </c>
      <c r="J32" s="272">
        <f t="shared" si="38"/>
        <v>238.47090224000002</v>
      </c>
      <c r="K32" s="272">
        <f t="shared" si="38"/>
        <v>242.58272826917144</v>
      </c>
      <c r="L32" s="272">
        <f t="shared" si="38"/>
        <v>246.95863509034328</v>
      </c>
      <c r="M32" s="272">
        <f t="shared" si="39"/>
        <v>251.31834395922093</v>
      </c>
      <c r="N32" s="272">
        <f t="shared" si="39"/>
        <v>255.67227861354874</v>
      </c>
      <c r="O32" s="272">
        <f t="shared" si="39"/>
        <v>260.02854723842904</v>
      </c>
      <c r="P32" s="101"/>
      <c r="Q32" s="272">
        <f>'Input|Fee Based Mapping'!J31</f>
        <v>161.47999999999999</v>
      </c>
      <c r="R32" s="272">
        <f>'Input|Fee Based Mapping'!K31</f>
        <v>166.60661359795014</v>
      </c>
      <c r="S32" s="272">
        <f>'Input|Fee Based Mapping'!Y31</f>
        <v>179.35565029992011</v>
      </c>
      <c r="T32" s="272">
        <f>'Input|Fee Based Mapping'!Z31</f>
        <v>186.13925320865701</v>
      </c>
      <c r="U32" s="272">
        <f>'Input|Fee Based Mapping'!AA31</f>
        <v>192.8937421917993</v>
      </c>
      <c r="V32" s="272">
        <f>'Input|Fee Based Mapping'!AB31</f>
        <v>200.07956111723695</v>
      </c>
      <c r="W32" s="272">
        <f>'Input|Fee Based Mapping'!AC31</f>
        <v>207.50452808404881</v>
      </c>
      <c r="X32" s="101"/>
      <c r="Y32" s="272">
        <f t="shared" si="40"/>
        <v>37984.100703999997</v>
      </c>
      <c r="Z32" s="272">
        <f t="shared" si="12"/>
        <v>39730.829463854228</v>
      </c>
      <c r="AA32" s="272">
        <f t="shared" si="13"/>
        <v>43508.582980246058</v>
      </c>
      <c r="AB32" s="272">
        <f t="shared" si="14"/>
        <v>45968.695909145739</v>
      </c>
      <c r="AC32" s="272">
        <f t="shared" si="15"/>
        <v>48477.735847739903</v>
      </c>
      <c r="AD32" s="272">
        <f t="shared" si="16"/>
        <v>51154.797294842756</v>
      </c>
      <c r="AE32" s="272">
        <f t="shared" si="17"/>
        <v>53957.100983091012</v>
      </c>
      <c r="AF32"/>
      <c r="AG32" s="272">
        <f>Y32/('Input|Escalations'!G$17/'Input|Escalations'!$H$17)</f>
        <v>38905.096532972821</v>
      </c>
      <c r="AH32" s="272">
        <f>Z32/('Input|Escalations'!H$17/'Input|Escalations'!$H$17)</f>
        <v>39730.829463854228</v>
      </c>
      <c r="AI32" s="272">
        <f>AA32/('Input|Escalations'!I$17/'Input|Escalations'!$H$17)</f>
        <v>41986.30301353291</v>
      </c>
      <c r="AJ32" s="272">
        <f>AB32/('Input|Escalations'!J$17/'Input|Escalations'!$H$17)</f>
        <v>43110.147149766031</v>
      </c>
      <c r="AK32" s="272">
        <f>AC32/('Input|Escalations'!K$17/'Input|Escalations'!$H$17)</f>
        <v>44311.075279176854</v>
      </c>
      <c r="AL32" s="272">
        <f>AD32/('Input|Escalations'!L$17/'Input|Escalations'!$H$17)</f>
        <v>45587.952558271623</v>
      </c>
      <c r="AM32" s="272">
        <f>AE32/('Input|Escalations'!M$17/'Input|Escalations'!$H$17)</f>
        <v>46897.236393356325</v>
      </c>
      <c r="AN32" s="263"/>
      <c r="AO32" s="272">
        <f>SUM('Calc|Fee Based'!Z31-'Calc|Fee Based'!V31,'Calc|Fee Based'!AB31:AE31)</f>
        <v>179.35565029992009</v>
      </c>
      <c r="AP32" s="272">
        <f>'Calc|Fee Based'!V31</f>
        <v>0</v>
      </c>
      <c r="AQ32" s="101">
        <f t="shared" si="41"/>
        <v>0</v>
      </c>
      <c r="AR32" s="303">
        <f t="shared" si="42"/>
        <v>1</v>
      </c>
      <c r="AS32" s="303">
        <f t="shared" si="18"/>
        <v>0</v>
      </c>
      <c r="AT32" s="263"/>
      <c r="AU32" s="272">
        <f t="shared" si="43"/>
        <v>38905.096532972821</v>
      </c>
      <c r="AV32" s="272">
        <f t="shared" si="50"/>
        <v>39730.829463854228</v>
      </c>
      <c r="AW32" s="272">
        <f t="shared" si="51"/>
        <v>41986.30301353291</v>
      </c>
      <c r="AX32" s="272">
        <f t="shared" si="52"/>
        <v>43110.147149766031</v>
      </c>
      <c r="AY32" s="272">
        <f t="shared" si="53"/>
        <v>44311.075279176854</v>
      </c>
      <c r="AZ32" s="272">
        <f t="shared" si="54"/>
        <v>45587.952558271623</v>
      </c>
      <c r="BA32" s="272">
        <f t="shared" si="55"/>
        <v>46897.236393356325</v>
      </c>
      <c r="BB32" s="263"/>
      <c r="BC32" s="272">
        <f t="shared" si="44"/>
        <v>0</v>
      </c>
      <c r="BD32" s="272">
        <f t="shared" si="20"/>
        <v>0</v>
      </c>
      <c r="BE32" s="272">
        <f t="shared" si="21"/>
        <v>0</v>
      </c>
      <c r="BF32" s="272">
        <f t="shared" si="22"/>
        <v>0</v>
      </c>
      <c r="BG32" s="272">
        <f t="shared" si="23"/>
        <v>0</v>
      </c>
      <c r="BH32" s="272">
        <f t="shared" si="24"/>
        <v>0</v>
      </c>
      <c r="BI32" s="272">
        <f t="shared" si="25"/>
        <v>0</v>
      </c>
      <c r="BJ32" s="299">
        <f t="shared" si="45"/>
        <v>0</v>
      </c>
      <c r="BK32" s="272"/>
      <c r="BL32" s="272"/>
      <c r="BM32" s="272">
        <f>'Calc|Fee Based'!AB31*'Input|Escalations'!$H$20/'Input|Escalations'!$I$20</f>
        <v>21.500369467039818</v>
      </c>
      <c r="BN32" s="272">
        <f>BM32*(1-'Input|Fee Based Mapping'!Z$6)</f>
        <v>21.684701710120368</v>
      </c>
      <c r="BO32" s="272">
        <f>BN32*(1-'Input|Fee Based Mapping'!AA$6)</f>
        <v>21.902125497566143</v>
      </c>
      <c r="BP32" s="272">
        <f>BO32*(1-'Input|Fee Based Mapping'!AB$6)</f>
        <v>22.149534787633996</v>
      </c>
      <c r="BQ32" s="272">
        <f>BP32*(1-'Input|Fee Based Mapping'!AC$6)</f>
        <v>22.403939164843202</v>
      </c>
      <c r="BR32" s="299"/>
      <c r="BS32" s="272"/>
      <c r="BT32" s="272"/>
      <c r="BU32" s="272">
        <f t="shared" si="46"/>
        <v>0</v>
      </c>
      <c r="BV32" s="272">
        <f t="shared" si="26"/>
        <v>0</v>
      </c>
      <c r="BW32" s="272">
        <f t="shared" si="27"/>
        <v>0</v>
      </c>
      <c r="BX32" s="272">
        <f t="shared" si="28"/>
        <v>0</v>
      </c>
      <c r="BY32" s="272">
        <f t="shared" si="29"/>
        <v>0</v>
      </c>
      <c r="BZ32"/>
      <c r="CA32" s="272"/>
      <c r="CB32" s="272"/>
      <c r="CC32" s="272">
        <f t="shared" si="47"/>
        <v>5215.6182841097107</v>
      </c>
      <c r="CD32" s="272">
        <f t="shared" si="30"/>
        <v>5355.2243366725588</v>
      </c>
      <c r="CE32" s="272">
        <f t="shared" si="31"/>
        <v>5504.4059092353509</v>
      </c>
      <c r="CF32" s="272">
        <f t="shared" si="32"/>
        <v>5663.0220293844495</v>
      </c>
      <c r="CG32" s="272">
        <f t="shared" si="33"/>
        <v>5825.6637534523206</v>
      </c>
      <c r="CH32"/>
      <c r="CI32" s="272"/>
      <c r="CJ32" s="272"/>
      <c r="CK32" s="272">
        <f>'Calc|Fee Based'!AC31*'Input|Escalations'!$H$20/'Input|Escalations'!$I$20</f>
        <v>41.184138568762037</v>
      </c>
      <c r="CL32" s="272">
        <f>CK32*(1-'Input|Fee Based Mapping'!Z$6)</f>
        <v>41.537228530930271</v>
      </c>
      <c r="CM32" s="272">
        <f>CL32*(1-'Input|Fee Based Mapping'!AA$6)</f>
        <v>41.953705624686222</v>
      </c>
      <c r="CN32" s="272">
        <f>CM32*(1-'Input|Fee Based Mapping'!AB$6)</f>
        <v>42.427620200943799</v>
      </c>
      <c r="CO32" s="272">
        <f>CN32*(1-'Input|Fee Based Mapping'!AC$6)</f>
        <v>42.914933925461206</v>
      </c>
      <c r="CP32"/>
      <c r="CQ32" s="272"/>
      <c r="CR32" s="272"/>
      <c r="CS32" s="272">
        <f t="shared" si="48"/>
        <v>9990.5606954259038</v>
      </c>
      <c r="CT32" s="272">
        <f t="shared" si="34"/>
        <v>10257.977263434204</v>
      </c>
      <c r="CU32" s="272">
        <f t="shared" si="35"/>
        <v>10543.735820548794</v>
      </c>
      <c r="CV32" s="272">
        <f t="shared" si="36"/>
        <v>10847.566332925531</v>
      </c>
      <c r="CW32" s="272">
        <f t="shared" si="37"/>
        <v>11159.10792347085</v>
      </c>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row>
    <row r="33" spans="1:205" s="1" customFormat="1" ht="12.75" x14ac:dyDescent="0.2">
      <c r="A33" s="258">
        <f t="shared" si="49"/>
        <v>21</v>
      </c>
      <c r="B33" s="259" t="s">
        <v>384</v>
      </c>
      <c r="C33" s="260" t="s">
        <v>444</v>
      </c>
      <c r="D33" s="261" t="s">
        <v>230</v>
      </c>
      <c r="E33" s="261" t="s">
        <v>384</v>
      </c>
      <c r="F33" s="261" t="s">
        <v>509</v>
      </c>
      <c r="G33" s="264"/>
      <c r="H33" s="212">
        <v>60697.225000000006</v>
      </c>
      <c r="I33" s="272">
        <f t="shared" si="38"/>
        <v>61540.916427500008</v>
      </c>
      <c r="J33" s="272">
        <f t="shared" si="38"/>
        <v>62390.181074199507</v>
      </c>
      <c r="K33" s="272">
        <f t="shared" si="38"/>
        <v>63465.941546843795</v>
      </c>
      <c r="L33" s="272">
        <f t="shared" ref="L33:L72" si="56">K33*(1+G$7)</f>
        <v>64610.792412808027</v>
      </c>
      <c r="M33" s="272">
        <f t="shared" si="39"/>
        <v>65751.405473794075</v>
      </c>
      <c r="N33" s="272">
        <f t="shared" si="39"/>
        <v>66890.507850298527</v>
      </c>
      <c r="O33" s="272">
        <f t="shared" si="39"/>
        <v>68030.220854112311</v>
      </c>
      <c r="P33" s="101"/>
      <c r="Q33" s="272">
        <f>'Input|Fee Based Mapping'!J32</f>
        <v>15.38</v>
      </c>
      <c r="R33" s="272">
        <f>'Input|Fee Based Mapping'!K32</f>
        <v>15.868279149965778</v>
      </c>
      <c r="S33" s="272">
        <f>'Input|Fee Based Mapping'!Y32</f>
        <v>16.324063947037612</v>
      </c>
      <c r="T33" s="272">
        <f>'Input|Fee Based Mapping'!Z32</f>
        <v>16.941473922627218</v>
      </c>
      <c r="U33" s="272">
        <f>'Input|Fee Based Mapping'!AA32</f>
        <v>17.556234092747296</v>
      </c>
      <c r="V33" s="272">
        <f>'Input|Fee Based Mapping'!AB32</f>
        <v>18.210251780255465</v>
      </c>
      <c r="W33" s="272">
        <f>'Input|Fee Based Mapping'!AC32</f>
        <v>18.886035539329672</v>
      </c>
      <c r="X33" s="101"/>
      <c r="Y33" s="272">
        <f t="shared" si="40"/>
        <v>946499.29465495015</v>
      </c>
      <c r="Z33" s="272">
        <f t="shared" si="12"/>
        <v>990024.80950230954</v>
      </c>
      <c r="AA33" s="272">
        <f t="shared" si="13"/>
        <v>1036022.0882696293</v>
      </c>
      <c r="AB33" s="272">
        <f t="shared" si="14"/>
        <v>1094602.0547818677</v>
      </c>
      <c r="AC33" s="272">
        <f t="shared" si="15"/>
        <v>1154347.0664250748</v>
      </c>
      <c r="AD33" s="272">
        <f t="shared" si="16"/>
        <v>1218092.989663091</v>
      </c>
      <c r="AE33" s="272">
        <f t="shared" si="17"/>
        <v>1284821.1687992117</v>
      </c>
      <c r="AF33"/>
      <c r="AG33" s="272">
        <f>Y33/('Input|Escalations'!G$17/'Input|Escalations'!$H$17)</f>
        <v>969448.94691329962</v>
      </c>
      <c r="AH33" s="272">
        <f>Z33/('Input|Escalations'!H$17/'Input|Escalations'!$H$17)</f>
        <v>990024.80950230954</v>
      </c>
      <c r="AI33" s="272">
        <f>AA33/('Input|Escalations'!I$17/'Input|Escalations'!$H$17)</f>
        <v>999773.70778890373</v>
      </c>
      <c r="AJ33" s="272">
        <f>AB33/('Input|Escalations'!J$17/'Input|Escalations'!$H$17)</f>
        <v>1026534.5735573533</v>
      </c>
      <c r="AK33" s="272">
        <f>AC33/('Input|Escalations'!K$17/'Input|Escalations'!$H$17)</f>
        <v>1055130.9557713834</v>
      </c>
      <c r="AL33" s="272">
        <f>AD33/('Input|Escalations'!L$17/'Input|Escalations'!$H$17)</f>
        <v>1085535.831649608</v>
      </c>
      <c r="AM33" s="272">
        <f>AE33/('Input|Escalations'!M$17/'Input|Escalations'!$H$17)</f>
        <v>1116712.3692439941</v>
      </c>
      <c r="AN33" s="263"/>
      <c r="AO33" s="272">
        <f>SUM('Calc|Fee Based'!Z32-'Calc|Fee Based'!V32,'Calc|Fee Based'!AB32:AE32)</f>
        <v>16.324063947037612</v>
      </c>
      <c r="AP33" s="272">
        <f>'Calc|Fee Based'!V32</f>
        <v>0</v>
      </c>
      <c r="AQ33" s="101">
        <f t="shared" si="41"/>
        <v>0</v>
      </c>
      <c r="AR33" s="303">
        <f t="shared" si="42"/>
        <v>1</v>
      </c>
      <c r="AS33" s="303">
        <f t="shared" si="18"/>
        <v>0</v>
      </c>
      <c r="AT33" s="263"/>
      <c r="AU33" s="272">
        <f t="shared" si="43"/>
        <v>969448.94691329962</v>
      </c>
      <c r="AV33" s="272">
        <f t="shared" si="50"/>
        <v>990024.80950230954</v>
      </c>
      <c r="AW33" s="272">
        <f t="shared" si="51"/>
        <v>999773.70778890373</v>
      </c>
      <c r="AX33" s="272">
        <f t="shared" si="52"/>
        <v>1026534.5735573533</v>
      </c>
      <c r="AY33" s="272">
        <f t="shared" si="53"/>
        <v>1055130.9557713834</v>
      </c>
      <c r="AZ33" s="272">
        <f t="shared" si="54"/>
        <v>1085535.831649608</v>
      </c>
      <c r="BA33" s="272">
        <f t="shared" si="55"/>
        <v>1116712.3692439941</v>
      </c>
      <c r="BB33" s="263"/>
      <c r="BC33" s="272">
        <f t="shared" si="44"/>
        <v>0</v>
      </c>
      <c r="BD33" s="272">
        <f t="shared" si="20"/>
        <v>0</v>
      </c>
      <c r="BE33" s="272">
        <f t="shared" si="21"/>
        <v>0</v>
      </c>
      <c r="BF33" s="272">
        <f t="shared" si="22"/>
        <v>0</v>
      </c>
      <c r="BG33" s="272">
        <f t="shared" si="23"/>
        <v>0</v>
      </c>
      <c r="BH33" s="272">
        <f t="shared" si="24"/>
        <v>0</v>
      </c>
      <c r="BI33" s="272">
        <f t="shared" si="25"/>
        <v>0</v>
      </c>
      <c r="BJ33" s="299">
        <f t="shared" si="45"/>
        <v>0</v>
      </c>
      <c r="BK33" s="272"/>
      <c r="BL33" s="272"/>
      <c r="BM33" s="272">
        <f>'Calc|Fee Based'!AB32*'Input|Escalations'!$H$20/'Input|Escalations'!$I$20</f>
        <v>2.0477810403955479</v>
      </c>
      <c r="BN33" s="272">
        <f>BM33*(1-'Input|Fee Based Mapping'!Z$6)</f>
        <v>2.0653375792770121</v>
      </c>
      <c r="BO33" s="272">
        <f>BN33*(1-'Input|Fee Based Mapping'!AA$6)</f>
        <v>2.0860458889804803</v>
      </c>
      <c r="BP33" s="272">
        <f>BO33*(1-'Input|Fee Based Mapping'!AB$6)</f>
        <v>2.1096101376877106</v>
      </c>
      <c r="BQ33" s="272">
        <f>BP33*(1-'Input|Fee Based Mapping'!AC$6)</f>
        <v>2.1338406264261152</v>
      </c>
      <c r="BR33" s="299"/>
      <c r="BS33" s="272"/>
      <c r="BT33" s="272"/>
      <c r="BU33" s="272">
        <f t="shared" si="46"/>
        <v>0</v>
      </c>
      <c r="BV33" s="272">
        <f t="shared" si="26"/>
        <v>0</v>
      </c>
      <c r="BW33" s="272">
        <f t="shared" si="27"/>
        <v>0</v>
      </c>
      <c r="BX33" s="272">
        <f t="shared" si="28"/>
        <v>0</v>
      </c>
      <c r="BY33" s="272">
        <f t="shared" si="29"/>
        <v>0</v>
      </c>
      <c r="BZ33"/>
      <c r="CA33" s="272"/>
      <c r="CB33" s="272"/>
      <c r="CC33" s="272">
        <f t="shared" si="47"/>
        <v>129964.35181047881</v>
      </c>
      <c r="CD33" s="272">
        <f t="shared" si="30"/>
        <v>133443.09759703846</v>
      </c>
      <c r="CE33" s="272">
        <f t="shared" si="31"/>
        <v>137160.44908329679</v>
      </c>
      <c r="CF33" s="272">
        <f t="shared" si="32"/>
        <v>141112.89347606915</v>
      </c>
      <c r="CG33" s="272">
        <f t="shared" si="33"/>
        <v>145165.64908324598</v>
      </c>
      <c r="CH33"/>
      <c r="CI33" s="272"/>
      <c r="CJ33" s="272"/>
      <c r="CK33" s="272">
        <f>'Calc|Fee Based'!AC32*'Input|Escalations'!$H$20/'Input|Escalations'!$I$20</f>
        <v>3.9225418081964341</v>
      </c>
      <c r="CL33" s="272">
        <f>CK33*(1-'Input|Fee Based Mapping'!Z$6)</f>
        <v>3.9561715061042086</v>
      </c>
      <c r="CM33" s="272">
        <f>CL33*(1-'Input|Fee Based Mapping'!AA$6)</f>
        <v>3.9958384475332802</v>
      </c>
      <c r="CN33" s="272">
        <f>CM33*(1-'Input|Fee Based Mapping'!AB$6)</f>
        <v>4.0409759641473597</v>
      </c>
      <c r="CO33" s="272">
        <f>CN33*(1-'Input|Fee Based Mapping'!AC$6)</f>
        <v>4.0873896691453639</v>
      </c>
      <c r="CP33"/>
      <c r="CQ33" s="272"/>
      <c r="CR33" s="272"/>
      <c r="CS33" s="272">
        <f t="shared" si="48"/>
        <v>248947.80911404584</v>
      </c>
      <c r="CT33" s="272">
        <f t="shared" si="34"/>
        <v>255611.37593036512</v>
      </c>
      <c r="CU33" s="272">
        <f t="shared" si="35"/>
        <v>262731.99397153652</v>
      </c>
      <c r="CV33" s="272">
        <f t="shared" si="36"/>
        <v>270302.93445266661</v>
      </c>
      <c r="CW33" s="272">
        <f t="shared" si="37"/>
        <v>278066.02190877614</v>
      </c>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row>
    <row r="34" spans="1:205" s="1" customFormat="1" ht="12.75" x14ac:dyDescent="0.2">
      <c r="A34" s="258">
        <f t="shared" si="49"/>
        <v>22</v>
      </c>
      <c r="B34" s="259" t="s">
        <v>385</v>
      </c>
      <c r="C34" s="260" t="s">
        <v>510</v>
      </c>
      <c r="D34" s="261" t="s">
        <v>230</v>
      </c>
      <c r="E34" s="261" t="s">
        <v>385</v>
      </c>
      <c r="F34" s="261" t="s">
        <v>478</v>
      </c>
      <c r="G34" s="264"/>
      <c r="H34" s="212">
        <v>0</v>
      </c>
      <c r="I34" s="272">
        <f t="shared" si="38"/>
        <v>0</v>
      </c>
      <c r="J34" s="272">
        <f t="shared" si="38"/>
        <v>0</v>
      </c>
      <c r="K34" s="272">
        <f t="shared" si="38"/>
        <v>0</v>
      </c>
      <c r="L34" s="272">
        <f t="shared" si="56"/>
        <v>0</v>
      </c>
      <c r="M34" s="272">
        <f t="shared" si="39"/>
        <v>0</v>
      </c>
      <c r="N34" s="272">
        <f t="shared" si="39"/>
        <v>0</v>
      </c>
      <c r="O34" s="272">
        <f t="shared" si="39"/>
        <v>0</v>
      </c>
      <c r="P34" s="101"/>
      <c r="Q34" s="272">
        <f>'Input|Fee Based Mapping'!J33</f>
        <v>0</v>
      </c>
      <c r="R34" s="272">
        <f>'Input|Fee Based Mapping'!K33</f>
        <v>0</v>
      </c>
      <c r="S34" s="272">
        <f>'Input|Fee Based Mapping'!Y33</f>
        <v>0</v>
      </c>
      <c r="T34" s="272">
        <f>'Input|Fee Based Mapping'!Z33</f>
        <v>0</v>
      </c>
      <c r="U34" s="272">
        <f>'Input|Fee Based Mapping'!AA33</f>
        <v>0</v>
      </c>
      <c r="V34" s="272">
        <f>'Input|Fee Based Mapping'!AB33</f>
        <v>0</v>
      </c>
      <c r="W34" s="272">
        <f>'Input|Fee Based Mapping'!AC33</f>
        <v>0</v>
      </c>
      <c r="X34" s="101"/>
      <c r="Y34" s="272">
        <f t="shared" si="40"/>
        <v>0</v>
      </c>
      <c r="Z34" s="272">
        <f t="shared" si="12"/>
        <v>0</v>
      </c>
      <c r="AA34" s="272">
        <f t="shared" si="13"/>
        <v>0</v>
      </c>
      <c r="AB34" s="272">
        <f t="shared" si="14"/>
        <v>0</v>
      </c>
      <c r="AC34" s="272">
        <f t="shared" si="15"/>
        <v>0</v>
      </c>
      <c r="AD34" s="272">
        <f t="shared" si="16"/>
        <v>0</v>
      </c>
      <c r="AE34" s="272">
        <f t="shared" si="17"/>
        <v>0</v>
      </c>
      <c r="AF34"/>
      <c r="AG34" s="272">
        <f>Y34/('Input|Escalations'!G$17/'Input|Escalations'!$H$17)</f>
        <v>0</v>
      </c>
      <c r="AH34" s="272">
        <f>Z34/('Input|Escalations'!H$17/'Input|Escalations'!$H$17)</f>
        <v>0</v>
      </c>
      <c r="AI34" s="272">
        <f>AA34/('Input|Escalations'!I$17/'Input|Escalations'!$H$17)</f>
        <v>0</v>
      </c>
      <c r="AJ34" s="272">
        <f>AB34/('Input|Escalations'!J$17/'Input|Escalations'!$H$17)</f>
        <v>0</v>
      </c>
      <c r="AK34" s="272">
        <f>AC34/('Input|Escalations'!K$17/'Input|Escalations'!$H$17)</f>
        <v>0</v>
      </c>
      <c r="AL34" s="272">
        <f>AD34/('Input|Escalations'!L$17/'Input|Escalations'!$H$17)</f>
        <v>0</v>
      </c>
      <c r="AM34" s="272">
        <f>AE34/('Input|Escalations'!M$17/'Input|Escalations'!$H$17)</f>
        <v>0</v>
      </c>
      <c r="AN34" s="263"/>
      <c r="AO34" s="272">
        <f>SUM('Calc|Fee Based'!Z33-'Calc|Fee Based'!V33,'Calc|Fee Based'!AB33:AE33)</f>
        <v>0</v>
      </c>
      <c r="AP34" s="272">
        <f>'Calc|Fee Based'!V33</f>
        <v>0</v>
      </c>
      <c r="AQ34" s="101">
        <f t="shared" si="41"/>
        <v>0</v>
      </c>
      <c r="AR34" s="303">
        <f t="shared" si="42"/>
        <v>0</v>
      </c>
      <c r="AS34" s="303">
        <f t="shared" si="18"/>
        <v>0</v>
      </c>
      <c r="AT34" s="263"/>
      <c r="AU34" s="272">
        <f t="shared" si="43"/>
        <v>0</v>
      </c>
      <c r="AV34" s="272">
        <f t="shared" si="50"/>
        <v>0</v>
      </c>
      <c r="AW34" s="272">
        <f t="shared" si="51"/>
        <v>0</v>
      </c>
      <c r="AX34" s="272">
        <f t="shared" si="52"/>
        <v>0</v>
      </c>
      <c r="AY34" s="272">
        <f t="shared" si="53"/>
        <v>0</v>
      </c>
      <c r="AZ34" s="272">
        <f t="shared" si="54"/>
        <v>0</v>
      </c>
      <c r="BA34" s="272">
        <f t="shared" si="55"/>
        <v>0</v>
      </c>
      <c r="BB34" s="263"/>
      <c r="BC34" s="272">
        <f t="shared" si="44"/>
        <v>0</v>
      </c>
      <c r="BD34" s="272">
        <f t="shared" si="20"/>
        <v>0</v>
      </c>
      <c r="BE34" s="272">
        <f t="shared" si="21"/>
        <v>0</v>
      </c>
      <c r="BF34" s="272">
        <f t="shared" si="22"/>
        <v>0</v>
      </c>
      <c r="BG34" s="272">
        <f t="shared" si="23"/>
        <v>0</v>
      </c>
      <c r="BH34" s="272">
        <f t="shared" si="24"/>
        <v>0</v>
      </c>
      <c r="BI34" s="272">
        <f t="shared" si="25"/>
        <v>0</v>
      </c>
      <c r="BJ34" s="299">
        <f t="shared" si="45"/>
        <v>0</v>
      </c>
      <c r="BK34" s="272"/>
      <c r="BL34" s="272"/>
      <c r="BM34" s="272">
        <f>'Calc|Fee Based'!AB33*'Input|Escalations'!$H$20/'Input|Escalations'!$I$20</f>
        <v>0</v>
      </c>
      <c r="BN34" s="272">
        <f>BM34*(1-'Input|Fee Based Mapping'!Z$6)</f>
        <v>0</v>
      </c>
      <c r="BO34" s="272">
        <f>BN34*(1-'Input|Fee Based Mapping'!AA$6)</f>
        <v>0</v>
      </c>
      <c r="BP34" s="272">
        <f>BO34*(1-'Input|Fee Based Mapping'!AB$6)</f>
        <v>0</v>
      </c>
      <c r="BQ34" s="272">
        <f>BP34*(1-'Input|Fee Based Mapping'!AC$6)</f>
        <v>0</v>
      </c>
      <c r="BR34" s="299"/>
      <c r="BS34" s="272"/>
      <c r="BT34" s="272"/>
      <c r="BU34" s="272">
        <f t="shared" si="46"/>
        <v>0</v>
      </c>
      <c r="BV34" s="272">
        <f t="shared" si="26"/>
        <v>0</v>
      </c>
      <c r="BW34" s="272">
        <f t="shared" si="27"/>
        <v>0</v>
      </c>
      <c r="BX34" s="272">
        <f t="shared" si="28"/>
        <v>0</v>
      </c>
      <c r="BY34" s="272">
        <f t="shared" si="29"/>
        <v>0</v>
      </c>
      <c r="BZ34"/>
      <c r="CA34" s="272"/>
      <c r="CB34" s="272"/>
      <c r="CC34" s="272">
        <f t="shared" si="47"/>
        <v>0</v>
      </c>
      <c r="CD34" s="272">
        <f t="shared" si="30"/>
        <v>0</v>
      </c>
      <c r="CE34" s="272">
        <f t="shared" si="31"/>
        <v>0</v>
      </c>
      <c r="CF34" s="272">
        <f t="shared" si="32"/>
        <v>0</v>
      </c>
      <c r="CG34" s="272">
        <f t="shared" si="33"/>
        <v>0</v>
      </c>
      <c r="CH34"/>
      <c r="CI34" s="272"/>
      <c r="CJ34" s="272"/>
      <c r="CK34" s="272">
        <f>'Calc|Fee Based'!AC33*'Input|Escalations'!$H$20/'Input|Escalations'!$I$20</f>
        <v>0</v>
      </c>
      <c r="CL34" s="272">
        <f>CK34*(1-'Input|Fee Based Mapping'!Z$6)</f>
        <v>0</v>
      </c>
      <c r="CM34" s="272">
        <f>CL34*(1-'Input|Fee Based Mapping'!AA$6)</f>
        <v>0</v>
      </c>
      <c r="CN34" s="272">
        <f>CM34*(1-'Input|Fee Based Mapping'!AB$6)</f>
        <v>0</v>
      </c>
      <c r="CO34" s="272">
        <f>CN34*(1-'Input|Fee Based Mapping'!AC$6)</f>
        <v>0</v>
      </c>
      <c r="CP34"/>
      <c r="CQ34" s="272"/>
      <c r="CR34" s="272"/>
      <c r="CS34" s="272">
        <f t="shared" si="48"/>
        <v>0</v>
      </c>
      <c r="CT34" s="272">
        <f t="shared" si="34"/>
        <v>0</v>
      </c>
      <c r="CU34" s="272">
        <f t="shared" si="35"/>
        <v>0</v>
      </c>
      <c r="CV34" s="272">
        <f t="shared" si="36"/>
        <v>0</v>
      </c>
      <c r="CW34" s="272">
        <f t="shared" si="37"/>
        <v>0</v>
      </c>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row>
    <row r="35" spans="1:205" s="1" customFormat="1" ht="12.75" x14ac:dyDescent="0.2">
      <c r="A35" s="258">
        <f t="shared" si="49"/>
        <v>23</v>
      </c>
      <c r="B35" s="259" t="s">
        <v>386</v>
      </c>
      <c r="C35" s="260" t="s">
        <v>447</v>
      </c>
      <c r="D35" s="261" t="s">
        <v>230</v>
      </c>
      <c r="E35" s="261" t="s">
        <v>386</v>
      </c>
      <c r="F35" s="261" t="s">
        <v>478</v>
      </c>
      <c r="G35" s="264"/>
      <c r="H35" s="212">
        <v>0</v>
      </c>
      <c r="I35" s="272">
        <f t="shared" si="38"/>
        <v>0</v>
      </c>
      <c r="J35" s="272">
        <f t="shared" si="38"/>
        <v>0</v>
      </c>
      <c r="K35" s="272">
        <f t="shared" si="38"/>
        <v>0</v>
      </c>
      <c r="L35" s="272">
        <f t="shared" si="56"/>
        <v>0</v>
      </c>
      <c r="M35" s="272">
        <f t="shared" si="39"/>
        <v>0</v>
      </c>
      <c r="N35" s="272">
        <f t="shared" si="39"/>
        <v>0</v>
      </c>
      <c r="O35" s="272">
        <f t="shared" si="39"/>
        <v>0</v>
      </c>
      <c r="P35" s="101"/>
      <c r="Q35" s="272">
        <f>'Input|Fee Based Mapping'!J34</f>
        <v>0</v>
      </c>
      <c r="R35" s="272">
        <f>'Input|Fee Based Mapping'!K34</f>
        <v>0</v>
      </c>
      <c r="S35" s="272">
        <f>'Input|Fee Based Mapping'!Y34</f>
        <v>0</v>
      </c>
      <c r="T35" s="272">
        <f>'Input|Fee Based Mapping'!Z34</f>
        <v>0</v>
      </c>
      <c r="U35" s="272">
        <f>'Input|Fee Based Mapping'!AA34</f>
        <v>0</v>
      </c>
      <c r="V35" s="272">
        <f>'Input|Fee Based Mapping'!AB34</f>
        <v>0</v>
      </c>
      <c r="W35" s="272">
        <f>'Input|Fee Based Mapping'!AC34</f>
        <v>0</v>
      </c>
      <c r="X35" s="101"/>
      <c r="Y35" s="272">
        <f t="shared" si="40"/>
        <v>0</v>
      </c>
      <c r="Z35" s="272">
        <f t="shared" si="12"/>
        <v>0</v>
      </c>
      <c r="AA35" s="272">
        <f t="shared" si="13"/>
        <v>0</v>
      </c>
      <c r="AB35" s="272">
        <f t="shared" si="14"/>
        <v>0</v>
      </c>
      <c r="AC35" s="272">
        <f t="shared" si="15"/>
        <v>0</v>
      </c>
      <c r="AD35" s="272">
        <f t="shared" si="16"/>
        <v>0</v>
      </c>
      <c r="AE35" s="272">
        <f t="shared" si="17"/>
        <v>0</v>
      </c>
      <c r="AF35"/>
      <c r="AG35" s="272">
        <f>Y35/('Input|Escalations'!G$17/'Input|Escalations'!$H$17)</f>
        <v>0</v>
      </c>
      <c r="AH35" s="272">
        <f>Z35/('Input|Escalations'!H$17/'Input|Escalations'!$H$17)</f>
        <v>0</v>
      </c>
      <c r="AI35" s="272">
        <f>AA35/('Input|Escalations'!I$17/'Input|Escalations'!$H$17)</f>
        <v>0</v>
      </c>
      <c r="AJ35" s="272">
        <f>AB35/('Input|Escalations'!J$17/'Input|Escalations'!$H$17)</f>
        <v>0</v>
      </c>
      <c r="AK35" s="272">
        <f>AC35/('Input|Escalations'!K$17/'Input|Escalations'!$H$17)</f>
        <v>0</v>
      </c>
      <c r="AL35" s="272">
        <f>AD35/('Input|Escalations'!L$17/'Input|Escalations'!$H$17)</f>
        <v>0</v>
      </c>
      <c r="AM35" s="272">
        <f>AE35/('Input|Escalations'!M$17/'Input|Escalations'!$H$17)</f>
        <v>0</v>
      </c>
      <c r="AN35" s="263"/>
      <c r="AO35" s="272">
        <f>SUM('Calc|Fee Based'!Z34-'Calc|Fee Based'!V34,'Calc|Fee Based'!AB34:AE34)</f>
        <v>0</v>
      </c>
      <c r="AP35" s="272">
        <f>'Calc|Fee Based'!V34</f>
        <v>0</v>
      </c>
      <c r="AQ35" s="101">
        <f t="shared" si="41"/>
        <v>0</v>
      </c>
      <c r="AR35" s="303">
        <f t="shared" si="42"/>
        <v>0</v>
      </c>
      <c r="AS35" s="303">
        <f t="shared" si="18"/>
        <v>0</v>
      </c>
      <c r="AT35" s="263"/>
      <c r="AU35" s="272">
        <f t="shared" si="43"/>
        <v>0</v>
      </c>
      <c r="AV35" s="272">
        <f t="shared" si="50"/>
        <v>0</v>
      </c>
      <c r="AW35" s="272">
        <f t="shared" si="51"/>
        <v>0</v>
      </c>
      <c r="AX35" s="272">
        <f t="shared" si="52"/>
        <v>0</v>
      </c>
      <c r="AY35" s="272">
        <f t="shared" si="53"/>
        <v>0</v>
      </c>
      <c r="AZ35" s="272">
        <f t="shared" si="54"/>
        <v>0</v>
      </c>
      <c r="BA35" s="272">
        <f t="shared" si="55"/>
        <v>0</v>
      </c>
      <c r="BB35" s="263"/>
      <c r="BC35" s="272">
        <f t="shared" si="44"/>
        <v>0</v>
      </c>
      <c r="BD35" s="272">
        <f t="shared" si="20"/>
        <v>0</v>
      </c>
      <c r="BE35" s="272">
        <f t="shared" si="21"/>
        <v>0</v>
      </c>
      <c r="BF35" s="272">
        <f t="shared" si="22"/>
        <v>0</v>
      </c>
      <c r="BG35" s="272">
        <f t="shared" si="23"/>
        <v>0</v>
      </c>
      <c r="BH35" s="272">
        <f t="shared" si="24"/>
        <v>0</v>
      </c>
      <c r="BI35" s="272">
        <f t="shared" si="25"/>
        <v>0</v>
      </c>
      <c r="BJ35" s="299">
        <f t="shared" si="45"/>
        <v>0</v>
      </c>
      <c r="BK35" s="272"/>
      <c r="BL35" s="272"/>
      <c r="BM35" s="272">
        <f>'Calc|Fee Based'!AB34*'Input|Escalations'!$H$20/'Input|Escalations'!$I$20</f>
        <v>0</v>
      </c>
      <c r="BN35" s="272">
        <f>BM35*(1-'Input|Fee Based Mapping'!Z$6)</f>
        <v>0</v>
      </c>
      <c r="BO35" s="272">
        <f>BN35*(1-'Input|Fee Based Mapping'!AA$6)</f>
        <v>0</v>
      </c>
      <c r="BP35" s="272">
        <f>BO35*(1-'Input|Fee Based Mapping'!AB$6)</f>
        <v>0</v>
      </c>
      <c r="BQ35" s="272">
        <f>BP35*(1-'Input|Fee Based Mapping'!AC$6)</f>
        <v>0</v>
      </c>
      <c r="BR35" s="299"/>
      <c r="BS35" s="272"/>
      <c r="BT35" s="272"/>
      <c r="BU35" s="272">
        <f t="shared" si="46"/>
        <v>0</v>
      </c>
      <c r="BV35" s="272">
        <f t="shared" si="26"/>
        <v>0</v>
      </c>
      <c r="BW35" s="272">
        <f t="shared" si="27"/>
        <v>0</v>
      </c>
      <c r="BX35" s="272">
        <f t="shared" si="28"/>
        <v>0</v>
      </c>
      <c r="BY35" s="272">
        <f t="shared" si="29"/>
        <v>0</v>
      </c>
      <c r="BZ35"/>
      <c r="CA35" s="272"/>
      <c r="CB35" s="272"/>
      <c r="CC35" s="272">
        <f t="shared" si="47"/>
        <v>0</v>
      </c>
      <c r="CD35" s="272">
        <f t="shared" si="30"/>
        <v>0</v>
      </c>
      <c r="CE35" s="272">
        <f t="shared" si="31"/>
        <v>0</v>
      </c>
      <c r="CF35" s="272">
        <f t="shared" si="32"/>
        <v>0</v>
      </c>
      <c r="CG35" s="272">
        <f t="shared" si="33"/>
        <v>0</v>
      </c>
      <c r="CH35"/>
      <c r="CI35" s="272"/>
      <c r="CJ35" s="272"/>
      <c r="CK35" s="272">
        <f>'Calc|Fee Based'!AC34*'Input|Escalations'!$H$20/'Input|Escalations'!$I$20</f>
        <v>0</v>
      </c>
      <c r="CL35" s="272">
        <f>CK35*(1-'Input|Fee Based Mapping'!Z$6)</f>
        <v>0</v>
      </c>
      <c r="CM35" s="272">
        <f>CL35*(1-'Input|Fee Based Mapping'!AA$6)</f>
        <v>0</v>
      </c>
      <c r="CN35" s="272">
        <f>CM35*(1-'Input|Fee Based Mapping'!AB$6)</f>
        <v>0</v>
      </c>
      <c r="CO35" s="272">
        <f>CN35*(1-'Input|Fee Based Mapping'!AC$6)</f>
        <v>0</v>
      </c>
      <c r="CP35"/>
      <c r="CQ35" s="272"/>
      <c r="CR35" s="272"/>
      <c r="CS35" s="272">
        <f t="shared" si="48"/>
        <v>0</v>
      </c>
      <c r="CT35" s="272">
        <f t="shared" si="34"/>
        <v>0</v>
      </c>
      <c r="CU35" s="272">
        <f t="shared" si="35"/>
        <v>0</v>
      </c>
      <c r="CV35" s="272">
        <f t="shared" si="36"/>
        <v>0</v>
      </c>
      <c r="CW35" s="272">
        <f t="shared" si="37"/>
        <v>0</v>
      </c>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row>
    <row r="36" spans="1:205" s="1" customFormat="1" ht="12.75" x14ac:dyDescent="0.2">
      <c r="A36" s="258">
        <f t="shared" si="49"/>
        <v>24</v>
      </c>
      <c r="B36" s="259" t="s">
        <v>387</v>
      </c>
      <c r="C36" s="260" t="s">
        <v>448</v>
      </c>
      <c r="D36" s="261" t="s">
        <v>230</v>
      </c>
      <c r="E36" s="261" t="s">
        <v>511</v>
      </c>
      <c r="F36" s="261" t="s">
        <v>478</v>
      </c>
      <c r="G36" s="264"/>
      <c r="H36" s="212">
        <v>949</v>
      </c>
      <c r="I36" s="272">
        <f t="shared" si="38"/>
        <v>962.19110000000001</v>
      </c>
      <c r="J36" s="272">
        <f t="shared" si="38"/>
        <v>975.46933718000003</v>
      </c>
      <c r="K36" s="272">
        <f t="shared" si="38"/>
        <v>992.28883244587792</v>
      </c>
      <c r="L36" s="272">
        <f t="shared" si="56"/>
        <v>1010.1885547445506</v>
      </c>
      <c r="M36" s="272">
        <f t="shared" si="39"/>
        <v>1028.0220190400889</v>
      </c>
      <c r="N36" s="272">
        <f t="shared" si="39"/>
        <v>1045.8318638114556</v>
      </c>
      <c r="O36" s="272">
        <f t="shared" si="39"/>
        <v>1063.6512557296082</v>
      </c>
      <c r="P36" s="101"/>
      <c r="Q36" s="272">
        <f>'Input|Fee Based Mapping'!J35</f>
        <v>559.26</v>
      </c>
      <c r="R36" s="272">
        <f>'Input|Fee Based Mapping'!K35</f>
        <v>577.01520139205854</v>
      </c>
      <c r="S36" s="272">
        <f>'Input|Fee Based Mapping'!Y35</f>
        <v>654.21129227583151</v>
      </c>
      <c r="T36" s="272">
        <f>'Input|Fee Based Mapping'!Z35</f>
        <v>678.95492102569108</v>
      </c>
      <c r="U36" s="272">
        <f>'Input|Fee Based Mapping'!AA35</f>
        <v>703.59235485582212</v>
      </c>
      <c r="V36" s="272">
        <f>'Input|Fee Based Mapping'!AB35</f>
        <v>729.80309244568662</v>
      </c>
      <c r="W36" s="272">
        <f>'Input|Fee Based Mapping'!AC35</f>
        <v>756.88613792733508</v>
      </c>
      <c r="X36" s="101"/>
      <c r="Y36" s="272">
        <f t="shared" si="40"/>
        <v>538114.99458599999</v>
      </c>
      <c r="Z36" s="272">
        <f t="shared" si="12"/>
        <v>562860.63604469562</v>
      </c>
      <c r="AA36" s="272">
        <f t="shared" si="13"/>
        <v>649166.55938529386</v>
      </c>
      <c r="AB36" s="272">
        <f t="shared" si="14"/>
        <v>685872.49040764337</v>
      </c>
      <c r="AC36" s="272">
        <f t="shared" si="15"/>
        <v>723308.43322005298</v>
      </c>
      <c r="AD36" s="272">
        <f t="shared" si="16"/>
        <v>763251.32838783646</v>
      </c>
      <c r="AE36" s="272">
        <f t="shared" si="17"/>
        <v>805062.8910507434</v>
      </c>
      <c r="AF36"/>
      <c r="AG36" s="272">
        <f>Y36/('Input|Escalations'!G$17/'Input|Escalations'!$H$17)</f>
        <v>551162.60283092153</v>
      </c>
      <c r="AH36" s="272">
        <f>Z36/('Input|Escalations'!H$17/'Input|Escalations'!$H$17)</f>
        <v>562860.63604469562</v>
      </c>
      <c r="AI36" s="272">
        <f>AA36/('Input|Escalations'!I$17/'Input|Escalations'!$H$17)</f>
        <v>626453.49495704053</v>
      </c>
      <c r="AJ36" s="272">
        <f>AB36/('Input|Escalations'!J$17/'Input|Escalations'!$H$17)</f>
        <v>643221.72736615012</v>
      </c>
      <c r="AK36" s="272">
        <f>AC36/('Input|Escalations'!K$17/'Input|Escalations'!$H$17)</f>
        <v>661140.08573219029</v>
      </c>
      <c r="AL36" s="272">
        <f>AD36/('Input|Escalations'!L$17/'Input|Escalations'!$H$17)</f>
        <v>680191.63770766032</v>
      </c>
      <c r="AM36" s="272">
        <f>AE36/('Input|Escalations'!M$17/'Input|Escalations'!$H$17)</f>
        <v>699726.70927886316</v>
      </c>
      <c r="AN36" s="263"/>
      <c r="AO36" s="272">
        <f>SUM('Calc|Fee Based'!Z35-'Calc|Fee Based'!V35,'Calc|Fee Based'!AB35:AE35)</f>
        <v>654.21129227583151</v>
      </c>
      <c r="AP36" s="272">
        <f>'Calc|Fee Based'!V35</f>
        <v>0</v>
      </c>
      <c r="AQ36" s="101">
        <f t="shared" si="41"/>
        <v>0</v>
      </c>
      <c r="AR36" s="303">
        <f t="shared" si="42"/>
        <v>1</v>
      </c>
      <c r="AS36" s="303">
        <f t="shared" si="18"/>
        <v>0</v>
      </c>
      <c r="AT36" s="263"/>
      <c r="AU36" s="272">
        <f t="shared" si="43"/>
        <v>551162.60283092153</v>
      </c>
      <c r="AV36" s="272">
        <f t="shared" si="50"/>
        <v>562860.63604469562</v>
      </c>
      <c r="AW36" s="272">
        <f t="shared" si="51"/>
        <v>626453.49495704053</v>
      </c>
      <c r="AX36" s="272">
        <f t="shared" si="52"/>
        <v>643221.72736615012</v>
      </c>
      <c r="AY36" s="272">
        <f t="shared" si="53"/>
        <v>661140.08573219029</v>
      </c>
      <c r="AZ36" s="272">
        <f t="shared" si="54"/>
        <v>680191.63770766032</v>
      </c>
      <c r="BA36" s="272">
        <f t="shared" si="55"/>
        <v>699726.70927886316</v>
      </c>
      <c r="BB36" s="263"/>
      <c r="BC36" s="272">
        <f t="shared" si="44"/>
        <v>0</v>
      </c>
      <c r="BD36" s="272">
        <f t="shared" si="20"/>
        <v>0</v>
      </c>
      <c r="BE36" s="272">
        <f t="shared" si="21"/>
        <v>0</v>
      </c>
      <c r="BF36" s="272">
        <f t="shared" si="22"/>
        <v>0</v>
      </c>
      <c r="BG36" s="272">
        <f t="shared" si="23"/>
        <v>0</v>
      </c>
      <c r="BH36" s="272">
        <f t="shared" si="24"/>
        <v>0</v>
      </c>
      <c r="BI36" s="272">
        <f t="shared" si="25"/>
        <v>0</v>
      </c>
      <c r="BJ36" s="299">
        <f t="shared" si="45"/>
        <v>0</v>
      </c>
      <c r="BK36" s="272"/>
      <c r="BL36" s="272"/>
      <c r="BM36" s="272">
        <f>'Calc|Fee Based'!AB35*'Input|Escalations'!$H$20/'Input|Escalations'!$I$20</f>
        <v>82.067889778037497</v>
      </c>
      <c r="BN36" s="272">
        <f>BM36*(1-'Input|Fee Based Mapping'!Z$6)</f>
        <v>82.771494347757283</v>
      </c>
      <c r="BO36" s="272">
        <f>BN36*(1-'Input|Fee Based Mapping'!AA$6)</f>
        <v>83.601410849916817</v>
      </c>
      <c r="BP36" s="272">
        <f>BO36*(1-'Input|Fee Based Mapping'!AB$6)</f>
        <v>84.545783381676216</v>
      </c>
      <c r="BQ36" s="272">
        <f>BP36*(1-'Input|Fee Based Mapping'!AC$6)</f>
        <v>85.516856479739118</v>
      </c>
      <c r="BR36" s="299"/>
      <c r="BS36" s="272"/>
      <c r="BT36" s="272"/>
      <c r="BU36" s="272">
        <f t="shared" si="46"/>
        <v>0</v>
      </c>
      <c r="BV36" s="272">
        <f t="shared" si="26"/>
        <v>0</v>
      </c>
      <c r="BW36" s="272">
        <f t="shared" si="27"/>
        <v>0</v>
      </c>
      <c r="BX36" s="272">
        <f t="shared" si="28"/>
        <v>0</v>
      </c>
      <c r="BY36" s="272">
        <f t="shared" si="29"/>
        <v>0</v>
      </c>
      <c r="BZ36"/>
      <c r="CA36" s="272"/>
      <c r="CB36" s="272"/>
      <c r="CC36" s="272">
        <f t="shared" si="47"/>
        <v>81435.050529145825</v>
      </c>
      <c r="CD36" s="272">
        <f t="shared" si="30"/>
        <v>83614.816249207666</v>
      </c>
      <c r="CE36" s="272">
        <f t="shared" si="31"/>
        <v>85944.091176531481</v>
      </c>
      <c r="CF36" s="272">
        <f t="shared" si="32"/>
        <v>88420.674211458027</v>
      </c>
      <c r="CG36" s="272">
        <f t="shared" si="33"/>
        <v>90960.111780723193</v>
      </c>
      <c r="CH36"/>
      <c r="CI36" s="272"/>
      <c r="CJ36" s="272"/>
      <c r="CK36" s="272">
        <f>'Calc|Fee Based'!AC35*'Input|Escalations'!$H$20/'Input|Escalations'!$I$20</f>
        <v>157.20173320025856</v>
      </c>
      <c r="CL36" s="272">
        <f>CK36*(1-'Input|Fee Based Mapping'!Z$6)</f>
        <v>158.54949367206703</v>
      </c>
      <c r="CM36" s="272">
        <f>CL36*(1-'Input|Fee Based Mapping'!AA$6)</f>
        <v>160.13920571296185</v>
      </c>
      <c r="CN36" s="272">
        <f>CM36*(1-'Input|Fee Based Mapping'!AB$6)</f>
        <v>161.94815924132496</v>
      </c>
      <c r="CO36" s="272">
        <f>CN36*(1-'Input|Fee Based Mapping'!AC$6)</f>
        <v>163.80825792903954</v>
      </c>
      <c r="CP36"/>
      <c r="CQ36" s="272"/>
      <c r="CR36" s="272"/>
      <c r="CS36" s="272">
        <f t="shared" si="48"/>
        <v>155989.52429575296</v>
      </c>
      <c r="CT36" s="272">
        <f t="shared" si="34"/>
        <v>160164.88386806566</v>
      </c>
      <c r="CU36" s="272">
        <f t="shared" si="35"/>
        <v>164626.62958451518</v>
      </c>
      <c r="CV36" s="272">
        <f t="shared" si="36"/>
        <v>169370.54522018929</v>
      </c>
      <c r="CW36" s="272">
        <f t="shared" si="37"/>
        <v>174234.85924510247</v>
      </c>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row>
    <row r="37" spans="1:205" s="1" customFormat="1" ht="12.75" x14ac:dyDescent="0.2">
      <c r="A37" s="258">
        <f t="shared" si="49"/>
        <v>25</v>
      </c>
      <c r="B37" s="259" t="s">
        <v>387</v>
      </c>
      <c r="C37" s="260" t="s">
        <v>449</v>
      </c>
      <c r="D37" s="261" t="s">
        <v>231</v>
      </c>
      <c r="E37" s="261" t="s">
        <v>512</v>
      </c>
      <c r="F37" s="261" t="s">
        <v>478</v>
      </c>
      <c r="G37" s="264"/>
      <c r="H37" s="212">
        <v>15</v>
      </c>
      <c r="I37" s="272">
        <f t="shared" si="38"/>
        <v>15.208500000000001</v>
      </c>
      <c r="J37" s="272">
        <f t="shared" si="38"/>
        <v>15.418377300000001</v>
      </c>
      <c r="K37" s="272">
        <f t="shared" si="38"/>
        <v>15.684228120851602</v>
      </c>
      <c r="L37" s="272">
        <f t="shared" si="56"/>
        <v>15.96715313084116</v>
      </c>
      <c r="M37" s="272">
        <f t="shared" si="39"/>
        <v>16.249030859432388</v>
      </c>
      <c r="N37" s="272">
        <f t="shared" si="39"/>
        <v>16.53053525518634</v>
      </c>
      <c r="O37" s="272">
        <f t="shared" si="39"/>
        <v>16.812190554208772</v>
      </c>
      <c r="P37" s="101"/>
      <c r="Q37" s="272">
        <f>'Input|Fee Based Mapping'!J36</f>
        <v>772.78</v>
      </c>
      <c r="R37" s="272">
        <f>'Input|Fee Based Mapping'!K36</f>
        <v>797.31396368729213</v>
      </c>
      <c r="S37" s="272">
        <f>'Input|Fee Based Mapping'!Y36</f>
        <v>1018.9078592653684</v>
      </c>
      <c r="T37" s="272">
        <f>'Input|Fee Based Mapping'!Z36</f>
        <v>1057.4450690287038</v>
      </c>
      <c r="U37" s="272">
        <f>'Input|Fee Based Mapping'!AA36</f>
        <v>1095.8168844620984</v>
      </c>
      <c r="V37" s="272">
        <f>'Input|Fee Based Mapping'!AB36</f>
        <v>1136.6390574248283</v>
      </c>
      <c r="W37" s="272">
        <f>'Input|Fee Based Mapping'!AC36</f>
        <v>1178.8198149566904</v>
      </c>
      <c r="X37" s="101"/>
      <c r="Y37" s="272">
        <f t="shared" si="40"/>
        <v>11752.824630000001</v>
      </c>
      <c r="Z37" s="272">
        <f t="shared" si="12"/>
        <v>12293.287518689171</v>
      </c>
      <c r="AA37" s="272">
        <f t="shared" si="13"/>
        <v>15980.783298846598</v>
      </c>
      <c r="AB37" s="272">
        <f t="shared" si="14"/>
        <v>16884.387344634215</v>
      </c>
      <c r="AC37" s="272">
        <f t="shared" si="15"/>
        <v>17805.962371911693</v>
      </c>
      <c r="AD37" s="272">
        <f t="shared" si="16"/>
        <v>18789.252011182893</v>
      </c>
      <c r="AE37" s="272">
        <f t="shared" si="17"/>
        <v>19818.543358129002</v>
      </c>
      <c r="AF37"/>
      <c r="AG37" s="272">
        <f>Y37/('Input|Escalations'!G$17/'Input|Escalations'!$H$17)</f>
        <v>12037.793926686263</v>
      </c>
      <c r="AH37" s="272">
        <f>Z37/('Input|Escalations'!H$17/'Input|Escalations'!$H$17)</f>
        <v>12293.287518689171</v>
      </c>
      <c r="AI37" s="272">
        <f>AA37/('Input|Escalations'!I$17/'Input|Escalations'!$H$17)</f>
        <v>15421.647041081931</v>
      </c>
      <c r="AJ37" s="272">
        <f>AB37/('Input|Escalations'!J$17/'Input|Escalations'!$H$17)</f>
        <v>15834.437078647054</v>
      </c>
      <c r="AK37" s="272">
        <f>AC37/('Input|Escalations'!K$17/'Input|Escalations'!$H$17)</f>
        <v>16275.540210006608</v>
      </c>
      <c r="AL37" s="272">
        <f>AD37/('Input|Escalations'!L$17/'Input|Escalations'!$H$17)</f>
        <v>16744.53960503859</v>
      </c>
      <c r="AM37" s="272">
        <f>AE37/('Input|Escalations'!M$17/'Input|Escalations'!$H$17)</f>
        <v>17225.441988245857</v>
      </c>
      <c r="AN37" s="263"/>
      <c r="AO37" s="272">
        <f>SUM('Calc|Fee Based'!Z36-'Calc|Fee Based'!V36,'Calc|Fee Based'!AB36:AE36)</f>
        <v>1018.9078592653684</v>
      </c>
      <c r="AP37" s="272">
        <f>'Calc|Fee Based'!V36</f>
        <v>0</v>
      </c>
      <c r="AQ37" s="101">
        <f t="shared" si="41"/>
        <v>0</v>
      </c>
      <c r="AR37" s="303">
        <f t="shared" si="42"/>
        <v>1</v>
      </c>
      <c r="AS37" s="303">
        <f t="shared" si="18"/>
        <v>0</v>
      </c>
      <c r="AT37" s="263"/>
      <c r="AU37" s="272">
        <f t="shared" si="43"/>
        <v>12037.793926686263</v>
      </c>
      <c r="AV37" s="272">
        <f t="shared" si="50"/>
        <v>12293.287518689171</v>
      </c>
      <c r="AW37" s="272">
        <f t="shared" si="51"/>
        <v>15421.647041081931</v>
      </c>
      <c r="AX37" s="272">
        <f t="shared" si="52"/>
        <v>15834.437078647054</v>
      </c>
      <c r="AY37" s="272">
        <f t="shared" si="53"/>
        <v>16275.540210006608</v>
      </c>
      <c r="AZ37" s="272">
        <f t="shared" si="54"/>
        <v>16744.53960503859</v>
      </c>
      <c r="BA37" s="272">
        <f t="shared" si="55"/>
        <v>17225.441988245857</v>
      </c>
      <c r="BB37" s="263"/>
      <c r="BC37" s="272">
        <f t="shared" si="44"/>
        <v>0</v>
      </c>
      <c r="BD37" s="272">
        <f t="shared" si="20"/>
        <v>0</v>
      </c>
      <c r="BE37" s="272">
        <f t="shared" si="21"/>
        <v>0</v>
      </c>
      <c r="BF37" s="272">
        <f t="shared" si="22"/>
        <v>0</v>
      </c>
      <c r="BG37" s="272">
        <f t="shared" si="23"/>
        <v>0</v>
      </c>
      <c r="BH37" s="272">
        <f t="shared" si="24"/>
        <v>0</v>
      </c>
      <c r="BI37" s="272">
        <f t="shared" si="25"/>
        <v>0</v>
      </c>
      <c r="BJ37" s="299">
        <f t="shared" si="45"/>
        <v>0</v>
      </c>
      <c r="BK37" s="272"/>
      <c r="BL37" s="272"/>
      <c r="BM37" s="272">
        <f>'Calc|Fee Based'!AB36*'Input|Escalations'!$H$20/'Input|Escalations'!$I$20</f>
        <v>127.81744808665013</v>
      </c>
      <c r="BN37" s="272">
        <f>BM37*(1-'Input|Fee Based Mapping'!Z$6)</f>
        <v>128.91328399527313</v>
      </c>
      <c r="BO37" s="272">
        <f>BN37*(1-'Input|Fee Based Mapping'!AA$6)</f>
        <v>130.20584567460875</v>
      </c>
      <c r="BP37" s="272">
        <f>BO37*(1-'Input|Fee Based Mapping'!AB$6)</f>
        <v>131.67666803130737</v>
      </c>
      <c r="BQ37" s="272">
        <f>BP37*(1-'Input|Fee Based Mapping'!AC$6)</f>
        <v>133.18907544955215</v>
      </c>
      <c r="BR37" s="299"/>
      <c r="BS37" s="272"/>
      <c r="BT37" s="272"/>
      <c r="BU37" s="272">
        <f t="shared" si="46"/>
        <v>0</v>
      </c>
      <c r="BV37" s="272">
        <f t="shared" si="26"/>
        <v>0</v>
      </c>
      <c r="BW37" s="272">
        <f t="shared" si="27"/>
        <v>0</v>
      </c>
      <c r="BX37" s="272">
        <f t="shared" si="28"/>
        <v>0</v>
      </c>
      <c r="BY37" s="272">
        <f t="shared" si="29"/>
        <v>0</v>
      </c>
      <c r="BZ37"/>
      <c r="CA37" s="272"/>
      <c r="CB37" s="272"/>
      <c r="CC37" s="272">
        <f t="shared" si="47"/>
        <v>2004.7180136161278</v>
      </c>
      <c r="CD37" s="272">
        <f t="shared" si="30"/>
        <v>2058.3781461521412</v>
      </c>
      <c r="CE37" s="272">
        <f t="shared" si="31"/>
        <v>2115.7188044452087</v>
      </c>
      <c r="CF37" s="272">
        <f t="shared" si="32"/>
        <v>2176.6858031769948</v>
      </c>
      <c r="CG37" s="272">
        <f t="shared" si="33"/>
        <v>2239.2001161967601</v>
      </c>
      <c r="CH37"/>
      <c r="CI37" s="272"/>
      <c r="CJ37" s="272"/>
      <c r="CK37" s="272">
        <f>'Calc|Fee Based'!AC36*'Input|Escalations'!$H$20/'Input|Escalations'!$I$20</f>
        <v>244.835396971943</v>
      </c>
      <c r="CL37" s="272">
        <f>CK37*(1-'Input|Fee Based Mapping'!Z$6)</f>
        <v>246.93447987275275</v>
      </c>
      <c r="CM37" s="272">
        <f>CL37*(1-'Input|Fee Based Mapping'!AA$6)</f>
        <v>249.41039264216056</v>
      </c>
      <c r="CN37" s="272">
        <f>CM37*(1-'Input|Fee Based Mapping'!AB$6)</f>
        <v>252.22776523853247</v>
      </c>
      <c r="CO37" s="272">
        <f>CN37*(1-'Input|Fee Based Mapping'!AC$6)</f>
        <v>255.12479437009705</v>
      </c>
      <c r="CP37"/>
      <c r="CQ37" s="272"/>
      <c r="CR37" s="272"/>
      <c r="CS37" s="272">
        <f t="shared" si="48"/>
        <v>3840.0542181672135</v>
      </c>
      <c r="CT37" s="272">
        <f t="shared" si="34"/>
        <v>3942.8406534128576</v>
      </c>
      <c r="CU37" s="272">
        <f t="shared" si="35"/>
        <v>4052.6771667056155</v>
      </c>
      <c r="CV37" s="272">
        <f t="shared" si="36"/>
        <v>4169.4599656124246</v>
      </c>
      <c r="CW37" s="272">
        <f t="shared" si="37"/>
        <v>4289.206658053401</v>
      </c>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row>
    <row r="38" spans="1:205" s="1" customFormat="1" ht="12.75" x14ac:dyDescent="0.2">
      <c r="A38" s="258">
        <f t="shared" si="49"/>
        <v>26</v>
      </c>
      <c r="B38" s="259" t="s">
        <v>388</v>
      </c>
      <c r="C38" s="260" t="s">
        <v>450</v>
      </c>
      <c r="D38" s="261" t="s">
        <v>230</v>
      </c>
      <c r="E38" s="261" t="s">
        <v>388</v>
      </c>
      <c r="F38" s="261" t="s">
        <v>478</v>
      </c>
      <c r="G38" s="264"/>
      <c r="H38" s="212">
        <v>0</v>
      </c>
      <c r="I38" s="272">
        <f t="shared" si="38"/>
        <v>0</v>
      </c>
      <c r="J38" s="272">
        <f t="shared" si="38"/>
        <v>0</v>
      </c>
      <c r="K38" s="272">
        <f t="shared" si="38"/>
        <v>0</v>
      </c>
      <c r="L38" s="272">
        <f t="shared" si="56"/>
        <v>0</v>
      </c>
      <c r="M38" s="272">
        <f t="shared" si="39"/>
        <v>0</v>
      </c>
      <c r="N38" s="272">
        <f t="shared" si="39"/>
        <v>0</v>
      </c>
      <c r="O38" s="272">
        <f t="shared" si="39"/>
        <v>0</v>
      </c>
      <c r="P38" s="101"/>
      <c r="Q38" s="272">
        <f>'Input|Fee Based Mapping'!J37</f>
        <v>0</v>
      </c>
      <c r="R38" s="272">
        <f>'Input|Fee Based Mapping'!K37</f>
        <v>0</v>
      </c>
      <c r="S38" s="272">
        <f>'Input|Fee Based Mapping'!Y37</f>
        <v>0</v>
      </c>
      <c r="T38" s="272">
        <f>'Input|Fee Based Mapping'!Z37</f>
        <v>0</v>
      </c>
      <c r="U38" s="272">
        <f>'Input|Fee Based Mapping'!AA37</f>
        <v>0</v>
      </c>
      <c r="V38" s="272">
        <f>'Input|Fee Based Mapping'!AB37</f>
        <v>0</v>
      </c>
      <c r="W38" s="272">
        <f>'Input|Fee Based Mapping'!AC37</f>
        <v>0</v>
      </c>
      <c r="X38" s="101"/>
      <c r="Y38" s="272">
        <f t="shared" si="40"/>
        <v>0</v>
      </c>
      <c r="Z38" s="272">
        <f t="shared" si="12"/>
        <v>0</v>
      </c>
      <c r="AA38" s="272">
        <f t="shared" si="13"/>
        <v>0</v>
      </c>
      <c r="AB38" s="272">
        <f t="shared" si="14"/>
        <v>0</v>
      </c>
      <c r="AC38" s="272">
        <f t="shared" si="15"/>
        <v>0</v>
      </c>
      <c r="AD38" s="272">
        <f t="shared" si="16"/>
        <v>0</v>
      </c>
      <c r="AE38" s="272">
        <f t="shared" si="17"/>
        <v>0</v>
      </c>
      <c r="AF38"/>
      <c r="AG38" s="272">
        <f>Y38/('Input|Escalations'!G$17/'Input|Escalations'!$H$17)</f>
        <v>0</v>
      </c>
      <c r="AH38" s="272">
        <f>Z38/('Input|Escalations'!H$17/'Input|Escalations'!$H$17)</f>
        <v>0</v>
      </c>
      <c r="AI38" s="272">
        <f>AA38/('Input|Escalations'!I$17/'Input|Escalations'!$H$17)</f>
        <v>0</v>
      </c>
      <c r="AJ38" s="272">
        <f>AB38/('Input|Escalations'!J$17/'Input|Escalations'!$H$17)</f>
        <v>0</v>
      </c>
      <c r="AK38" s="272">
        <f>AC38/('Input|Escalations'!K$17/'Input|Escalations'!$H$17)</f>
        <v>0</v>
      </c>
      <c r="AL38" s="272">
        <f>AD38/('Input|Escalations'!L$17/'Input|Escalations'!$H$17)</f>
        <v>0</v>
      </c>
      <c r="AM38" s="272">
        <f>AE38/('Input|Escalations'!M$17/'Input|Escalations'!$H$17)</f>
        <v>0</v>
      </c>
      <c r="AN38" s="263"/>
      <c r="AO38" s="272">
        <f>SUM('Calc|Fee Based'!Z37-'Calc|Fee Based'!V37,'Calc|Fee Based'!AB37:AE37)</f>
        <v>0</v>
      </c>
      <c r="AP38" s="272">
        <f>'Calc|Fee Based'!V37</f>
        <v>0</v>
      </c>
      <c r="AQ38" s="101">
        <f t="shared" si="41"/>
        <v>0</v>
      </c>
      <c r="AR38" s="303">
        <f t="shared" si="42"/>
        <v>0</v>
      </c>
      <c r="AS38" s="303">
        <f t="shared" si="18"/>
        <v>0</v>
      </c>
      <c r="AT38" s="263"/>
      <c r="AU38" s="272">
        <f t="shared" si="43"/>
        <v>0</v>
      </c>
      <c r="AV38" s="272">
        <f t="shared" si="50"/>
        <v>0</v>
      </c>
      <c r="AW38" s="272">
        <f t="shared" si="51"/>
        <v>0</v>
      </c>
      <c r="AX38" s="272">
        <f t="shared" si="52"/>
        <v>0</v>
      </c>
      <c r="AY38" s="272">
        <f t="shared" si="53"/>
        <v>0</v>
      </c>
      <c r="AZ38" s="272">
        <f t="shared" si="54"/>
        <v>0</v>
      </c>
      <c r="BA38" s="272">
        <f t="shared" si="55"/>
        <v>0</v>
      </c>
      <c r="BB38" s="263"/>
      <c r="BC38" s="272">
        <f t="shared" si="44"/>
        <v>0</v>
      </c>
      <c r="BD38" s="272">
        <f t="shared" si="20"/>
        <v>0</v>
      </c>
      <c r="BE38" s="272">
        <f t="shared" si="21"/>
        <v>0</v>
      </c>
      <c r="BF38" s="272">
        <f t="shared" si="22"/>
        <v>0</v>
      </c>
      <c r="BG38" s="272">
        <f t="shared" si="23"/>
        <v>0</v>
      </c>
      <c r="BH38" s="272">
        <f t="shared" si="24"/>
        <v>0</v>
      </c>
      <c r="BI38" s="272">
        <f t="shared" si="25"/>
        <v>0</v>
      </c>
      <c r="BJ38" s="299">
        <f t="shared" si="45"/>
        <v>0</v>
      </c>
      <c r="BK38" s="272"/>
      <c r="BL38" s="272"/>
      <c r="BM38" s="272">
        <f>'Calc|Fee Based'!AB37*'Input|Escalations'!$H$20/'Input|Escalations'!$I$20</f>
        <v>0</v>
      </c>
      <c r="BN38" s="272">
        <f>BM38*(1-'Input|Fee Based Mapping'!Z$6)</f>
        <v>0</v>
      </c>
      <c r="BO38" s="272">
        <f>BN38*(1-'Input|Fee Based Mapping'!AA$6)</f>
        <v>0</v>
      </c>
      <c r="BP38" s="272">
        <f>BO38*(1-'Input|Fee Based Mapping'!AB$6)</f>
        <v>0</v>
      </c>
      <c r="BQ38" s="272">
        <f>BP38*(1-'Input|Fee Based Mapping'!AC$6)</f>
        <v>0</v>
      </c>
      <c r="BR38" s="299"/>
      <c r="BS38" s="272"/>
      <c r="BT38" s="272"/>
      <c r="BU38" s="272">
        <f t="shared" si="46"/>
        <v>0</v>
      </c>
      <c r="BV38" s="272">
        <f t="shared" si="26"/>
        <v>0</v>
      </c>
      <c r="BW38" s="272">
        <f t="shared" si="27"/>
        <v>0</v>
      </c>
      <c r="BX38" s="272">
        <f t="shared" si="28"/>
        <v>0</v>
      </c>
      <c r="BY38" s="272">
        <f t="shared" si="29"/>
        <v>0</v>
      </c>
      <c r="BZ38"/>
      <c r="CA38" s="272"/>
      <c r="CB38" s="272"/>
      <c r="CC38" s="272">
        <f t="shared" si="47"/>
        <v>0</v>
      </c>
      <c r="CD38" s="272">
        <f t="shared" si="30"/>
        <v>0</v>
      </c>
      <c r="CE38" s="272">
        <f t="shared" si="31"/>
        <v>0</v>
      </c>
      <c r="CF38" s="272">
        <f t="shared" si="32"/>
        <v>0</v>
      </c>
      <c r="CG38" s="272">
        <f t="shared" si="33"/>
        <v>0</v>
      </c>
      <c r="CH38"/>
      <c r="CI38" s="272"/>
      <c r="CJ38" s="272"/>
      <c r="CK38" s="272">
        <f>'Calc|Fee Based'!AC37*'Input|Escalations'!$H$20/'Input|Escalations'!$I$20</f>
        <v>0</v>
      </c>
      <c r="CL38" s="272">
        <f>CK38*(1-'Input|Fee Based Mapping'!Z$6)</f>
        <v>0</v>
      </c>
      <c r="CM38" s="272">
        <f>CL38*(1-'Input|Fee Based Mapping'!AA$6)</f>
        <v>0</v>
      </c>
      <c r="CN38" s="272">
        <f>CM38*(1-'Input|Fee Based Mapping'!AB$6)</f>
        <v>0</v>
      </c>
      <c r="CO38" s="272">
        <f>CN38*(1-'Input|Fee Based Mapping'!AC$6)</f>
        <v>0</v>
      </c>
      <c r="CP38"/>
      <c r="CQ38" s="272"/>
      <c r="CR38" s="272"/>
      <c r="CS38" s="272">
        <f t="shared" si="48"/>
        <v>0</v>
      </c>
      <c r="CT38" s="272">
        <f t="shared" si="34"/>
        <v>0</v>
      </c>
      <c r="CU38" s="272">
        <f t="shared" si="35"/>
        <v>0</v>
      </c>
      <c r="CV38" s="272">
        <f t="shared" si="36"/>
        <v>0</v>
      </c>
      <c r="CW38" s="272">
        <f t="shared" si="37"/>
        <v>0</v>
      </c>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row>
    <row r="39" spans="1:205" s="1" customFormat="1" ht="12.75" x14ac:dyDescent="0.2">
      <c r="A39" s="258">
        <f t="shared" si="49"/>
        <v>27</v>
      </c>
      <c r="B39" s="259" t="s">
        <v>389</v>
      </c>
      <c r="C39" s="260" t="s">
        <v>451</v>
      </c>
      <c r="D39" s="261" t="s">
        <v>230</v>
      </c>
      <c r="E39" s="261" t="s">
        <v>389</v>
      </c>
      <c r="F39" s="261" t="s">
        <v>478</v>
      </c>
      <c r="G39" s="264"/>
      <c r="H39" s="212">
        <v>5973</v>
      </c>
      <c r="I39" s="272">
        <f t="shared" si="38"/>
        <v>6056.0246999999999</v>
      </c>
      <c r="J39" s="272">
        <f t="shared" si="38"/>
        <v>6139.5978408600004</v>
      </c>
      <c r="K39" s="272">
        <f t="shared" si="38"/>
        <v>6245.4596377231073</v>
      </c>
      <c r="L39" s="272">
        <f t="shared" si="56"/>
        <v>6358.1203767009501</v>
      </c>
      <c r="M39" s="272">
        <f t="shared" si="39"/>
        <v>6470.364088225977</v>
      </c>
      <c r="N39" s="272">
        <f t="shared" si="39"/>
        <v>6582.4591386152006</v>
      </c>
      <c r="O39" s="272">
        <f t="shared" si="39"/>
        <v>6694.6142786859327</v>
      </c>
      <c r="P39" s="101"/>
      <c r="Q39" s="272">
        <f>'Input|Fee Based Mapping'!J38</f>
        <v>59.13</v>
      </c>
      <c r="R39" s="272">
        <f>'Input|Fee Based Mapping'!K38</f>
        <v>61.007239670837222</v>
      </c>
      <c r="S39" s="272">
        <f>'Input|Fee Based Mapping'!Y38</f>
        <v>63.818311358111771</v>
      </c>
      <c r="T39" s="272">
        <f>'Input|Fee Based Mapping'!Z38</f>
        <v>66.232052334967719</v>
      </c>
      <c r="U39" s="272">
        <f>'Input|Fee Based Mapping'!AA38</f>
        <v>68.635433997437161</v>
      </c>
      <c r="V39" s="272">
        <f>'Input|Fee Based Mapping'!AB38</f>
        <v>71.192291441179464</v>
      </c>
      <c r="W39" s="272">
        <f>'Input|Fee Based Mapping'!AC38</f>
        <v>73.834242519494097</v>
      </c>
      <c r="X39" s="101"/>
      <c r="Y39" s="272">
        <f t="shared" si="40"/>
        <v>358092.74051100004</v>
      </c>
      <c r="Z39" s="272">
        <f t="shared" si="12"/>
        <v>374559.91695990076</v>
      </c>
      <c r="AA39" s="272">
        <f t="shared" si="13"/>
        <v>398574.68773473322</v>
      </c>
      <c r="AB39" s="272">
        <f t="shared" si="14"/>
        <v>421111.36154168198</v>
      </c>
      <c r="AC39" s="272">
        <f t="shared" si="15"/>
        <v>444096.24731682171</v>
      </c>
      <c r="AD39" s="272">
        <f t="shared" si="16"/>
        <v>468620.34939594846</v>
      </c>
      <c r="AE39" s="272">
        <f t="shared" si="17"/>
        <v>494291.77422696521</v>
      </c>
      <c r="AF39"/>
      <c r="AG39" s="272">
        <f>Y39/('Input|Escalations'!G$17/'Input|Escalations'!$H$17)</f>
        <v>366775.3712507966</v>
      </c>
      <c r="AH39" s="272">
        <f>Z39/('Input|Escalations'!H$17/'Input|Escalations'!$H$17)</f>
        <v>374559.91695990076</v>
      </c>
      <c r="AI39" s="272">
        <f>AA39/('Input|Escalations'!I$17/'Input|Escalations'!$H$17)</f>
        <v>384629.34130382305</v>
      </c>
      <c r="AJ39" s="272">
        <f>AB39/('Input|Escalations'!J$17/'Input|Escalations'!$H$17)</f>
        <v>394924.68523320358</v>
      </c>
      <c r="AK39" s="272">
        <f>AC39/('Input|Escalations'!K$17/'Input|Escalations'!$H$17)</f>
        <v>405926.18244098674</v>
      </c>
      <c r="AL39" s="272">
        <f>AD39/('Input|Escalations'!L$17/'Input|Escalations'!$H$17)</f>
        <v>417623.43682000978</v>
      </c>
      <c r="AM39" s="272">
        <f>AE39/('Input|Escalations'!M$17/'Input|Escalations'!$H$17)</f>
        <v>429617.56211620598</v>
      </c>
      <c r="AN39" s="263"/>
      <c r="AO39" s="272">
        <f>SUM('Calc|Fee Based'!Z38-'Calc|Fee Based'!V38,'Calc|Fee Based'!AB38:AE38)</f>
        <v>63.818311358111771</v>
      </c>
      <c r="AP39" s="272">
        <f>'Calc|Fee Based'!V38</f>
        <v>0</v>
      </c>
      <c r="AQ39" s="101">
        <f t="shared" si="41"/>
        <v>0</v>
      </c>
      <c r="AR39" s="303">
        <f t="shared" si="42"/>
        <v>1</v>
      </c>
      <c r="AS39" s="303">
        <f t="shared" si="18"/>
        <v>0</v>
      </c>
      <c r="AT39" s="263"/>
      <c r="AU39" s="272">
        <f t="shared" si="43"/>
        <v>366775.3712507966</v>
      </c>
      <c r="AV39" s="272">
        <f t="shared" si="50"/>
        <v>374559.91695990076</v>
      </c>
      <c r="AW39" s="272">
        <f t="shared" si="51"/>
        <v>384629.34130382305</v>
      </c>
      <c r="AX39" s="272">
        <f t="shared" si="52"/>
        <v>394924.68523320358</v>
      </c>
      <c r="AY39" s="272">
        <f t="shared" si="53"/>
        <v>405926.18244098674</v>
      </c>
      <c r="AZ39" s="272">
        <f t="shared" si="54"/>
        <v>417623.43682000978</v>
      </c>
      <c r="BA39" s="272">
        <f t="shared" si="55"/>
        <v>429617.56211620598</v>
      </c>
      <c r="BB39" s="263"/>
      <c r="BC39" s="272">
        <f t="shared" si="44"/>
        <v>0</v>
      </c>
      <c r="BD39" s="272">
        <f t="shared" si="20"/>
        <v>0</v>
      </c>
      <c r="BE39" s="272">
        <f t="shared" si="21"/>
        <v>0</v>
      </c>
      <c r="BF39" s="272">
        <f t="shared" si="22"/>
        <v>0</v>
      </c>
      <c r="BG39" s="272">
        <f t="shared" si="23"/>
        <v>0</v>
      </c>
      <c r="BH39" s="272">
        <f t="shared" si="24"/>
        <v>0</v>
      </c>
      <c r="BI39" s="272">
        <f t="shared" si="25"/>
        <v>0</v>
      </c>
      <c r="BJ39" s="299">
        <f t="shared" si="45"/>
        <v>0</v>
      </c>
      <c r="BK39" s="272"/>
      <c r="BL39" s="272"/>
      <c r="BM39" s="272">
        <f>'Calc|Fee Based'!AB38*'Input|Escalations'!$H$20/'Input|Escalations'!$I$20</f>
        <v>8.0057226223324864</v>
      </c>
      <c r="BN39" s="272">
        <f>BM39*(1-'Input|Fee Based Mapping'!Z$6)</f>
        <v>8.0743592478899</v>
      </c>
      <c r="BO39" s="272">
        <f>BN39*(1-'Input|Fee Based Mapping'!AA$6)</f>
        <v>8.15531760241754</v>
      </c>
      <c r="BP39" s="272">
        <f>BO39*(1-'Input|Fee Based Mapping'!AB$6)</f>
        <v>8.2474411425970633</v>
      </c>
      <c r="BQ39" s="272">
        <f>BP39*(1-'Input|Fee Based Mapping'!AC$6)</f>
        <v>8.3421693230111913</v>
      </c>
      <c r="BR39" s="299"/>
      <c r="BS39" s="272"/>
      <c r="BT39" s="272"/>
      <c r="BU39" s="272">
        <f t="shared" si="46"/>
        <v>0</v>
      </c>
      <c r="BV39" s="272">
        <f t="shared" si="26"/>
        <v>0</v>
      </c>
      <c r="BW39" s="272">
        <f t="shared" si="27"/>
        <v>0</v>
      </c>
      <c r="BX39" s="272">
        <f t="shared" si="28"/>
        <v>0</v>
      </c>
      <c r="BY39" s="272">
        <f t="shared" si="29"/>
        <v>0</v>
      </c>
      <c r="BZ39"/>
      <c r="CA39" s="272"/>
      <c r="CB39" s="272"/>
      <c r="CC39" s="272">
        <f t="shared" si="47"/>
        <v>49999.417508584338</v>
      </c>
      <c r="CD39" s="272">
        <f t="shared" si="30"/>
        <v>51337.748062812534</v>
      </c>
      <c r="CE39" s="272">
        <f t="shared" si="31"/>
        <v>52767.874142759625</v>
      </c>
      <c r="CF39" s="272">
        <f t="shared" si="32"/>
        <v>54288.444319279028</v>
      </c>
      <c r="CG39" s="272">
        <f t="shared" si="33"/>
        <v>55847.605865046484</v>
      </c>
      <c r="CH39"/>
      <c r="CI39" s="272"/>
      <c r="CJ39" s="272"/>
      <c r="CK39" s="272">
        <f>'Calc|Fee Based'!AC38*'Input|Escalations'!$H$20/'Input|Escalations'!$I$20</f>
        <v>15.335029024810888</v>
      </c>
      <c r="CL39" s="272">
        <f>CK39*(1-'Input|Fee Based Mapping'!Z$6)</f>
        <v>15.466503058416782</v>
      </c>
      <c r="CM39" s="272">
        <f>CL39*(1-'Input|Fee Based Mapping'!AA$6)</f>
        <v>15.621579467511827</v>
      </c>
      <c r="CN39" s="272">
        <f>CM39*(1-'Input|Fee Based Mapping'!AB$6)</f>
        <v>15.798042883641239</v>
      </c>
      <c r="CO39" s="272">
        <f>CN39*(1-'Input|Fee Based Mapping'!AC$6)</f>
        <v>15.979495510049489</v>
      </c>
      <c r="CP39"/>
      <c r="CQ39" s="272"/>
      <c r="CR39" s="272"/>
      <c r="CS39" s="272">
        <f t="shared" si="48"/>
        <v>95774.304817768745</v>
      </c>
      <c r="CT39" s="272">
        <f t="shared" si="34"/>
        <v>98337.888252027304</v>
      </c>
      <c r="CU39" s="272">
        <f t="shared" si="35"/>
        <v>101077.30678795681</v>
      </c>
      <c r="CV39" s="272">
        <f t="shared" si="36"/>
        <v>103989.9717516591</v>
      </c>
      <c r="CW39" s="272">
        <f t="shared" si="37"/>
        <v>106976.55880777506</v>
      </c>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row>
    <row r="40" spans="1:205" s="1" customFormat="1" ht="12.75" x14ac:dyDescent="0.2">
      <c r="A40" s="258">
        <f t="shared" si="49"/>
        <v>28</v>
      </c>
      <c r="B40" s="259" t="s">
        <v>390</v>
      </c>
      <c r="C40" s="260" t="s">
        <v>452</v>
      </c>
      <c r="D40" s="261" t="s">
        <v>230</v>
      </c>
      <c r="E40" s="261" t="s">
        <v>513</v>
      </c>
      <c r="F40" s="261" t="s">
        <v>478</v>
      </c>
      <c r="G40" s="264"/>
      <c r="H40" s="212">
        <v>329</v>
      </c>
      <c r="I40" s="272">
        <f t="shared" si="38"/>
        <v>333.57310000000001</v>
      </c>
      <c r="J40" s="272">
        <f t="shared" si="38"/>
        <v>338.17640878000003</v>
      </c>
      <c r="K40" s="272">
        <f t="shared" si="38"/>
        <v>344.00740345067845</v>
      </c>
      <c r="L40" s="272">
        <f t="shared" si="56"/>
        <v>350.21289200311611</v>
      </c>
      <c r="M40" s="272">
        <f t="shared" si="39"/>
        <v>356.39541018355038</v>
      </c>
      <c r="N40" s="272">
        <f t="shared" si="39"/>
        <v>362.56973993042044</v>
      </c>
      <c r="O40" s="272">
        <f t="shared" si="39"/>
        <v>368.74737948897911</v>
      </c>
      <c r="P40" s="101"/>
      <c r="Q40" s="272">
        <f>'Input|Fee Based Mapping'!J39</f>
        <v>56.51</v>
      </c>
      <c r="R40" s="272">
        <f>'Input|Fee Based Mapping'!K39</f>
        <v>58.304060777930175</v>
      </c>
      <c r="S40" s="272">
        <f>'Input|Fee Based Mapping'!Y39</f>
        <v>62.016583642744322</v>
      </c>
      <c r="T40" s="272">
        <f>'Input|Fee Based Mapping'!Z39</f>
        <v>64.362179538303536</v>
      </c>
      <c r="U40" s="272">
        <f>'Input|Fee Based Mapping'!AA39</f>
        <v>66.697708585125127</v>
      </c>
      <c r="V40" s="272">
        <f>'Input|Fee Based Mapping'!AB39</f>
        <v>69.182380462960126</v>
      </c>
      <c r="W40" s="272">
        <f>'Input|Fee Based Mapping'!AC39</f>
        <v>71.749743599677032</v>
      </c>
      <c r="X40" s="101"/>
      <c r="Y40" s="272">
        <f t="shared" si="40"/>
        <v>18850.215881</v>
      </c>
      <c r="Z40" s="272">
        <f t="shared" si="12"/>
        <v>19717.05789117128</v>
      </c>
      <c r="AA40" s="272">
        <f t="shared" si="13"/>
        <v>21334.163909822291</v>
      </c>
      <c r="AB40" s="272">
        <f t="shared" si="14"/>
        <v>22540.465031733067</v>
      </c>
      <c r="AC40" s="272">
        <f t="shared" si="15"/>
        <v>23770.757209498581</v>
      </c>
      <c r="AD40" s="272">
        <f t="shared" si="16"/>
        <v>25083.437692222851</v>
      </c>
      <c r="AE40" s="272">
        <f t="shared" si="17"/>
        <v>26457.529931387056</v>
      </c>
      <c r="AF40"/>
      <c r="AG40" s="272">
        <f>Y40/('Input|Escalations'!G$17/'Input|Escalations'!$H$17)</f>
        <v>19307.274752471716</v>
      </c>
      <c r="AH40" s="272">
        <f>Z40/('Input|Escalations'!H$17/'Input|Escalations'!$H$17)</f>
        <v>19717.05789117128</v>
      </c>
      <c r="AI40" s="272">
        <f>AA40/('Input|Escalations'!I$17/'Input|Escalations'!$H$17)</f>
        <v>20587.723366326718</v>
      </c>
      <c r="AJ40" s="272">
        <f>AB40/('Input|Escalations'!J$17/'Input|Escalations'!$H$17)</f>
        <v>21138.793370660715</v>
      </c>
      <c r="AK40" s="272">
        <f>AC40/('Input|Escalations'!K$17/'Input|Escalations'!$H$17)</f>
        <v>21727.661033126285</v>
      </c>
      <c r="AL40" s="272">
        <f>AD40/('Input|Escalations'!L$17/'Input|Escalations'!$H$17)</f>
        <v>22353.769890252337</v>
      </c>
      <c r="AM40" s="272">
        <f>AE40/('Input|Escalations'!M$17/'Input|Escalations'!$H$17)</f>
        <v>22995.769101186415</v>
      </c>
      <c r="AN40" s="263"/>
      <c r="AO40" s="272">
        <f>SUM('Calc|Fee Based'!Z39-'Calc|Fee Based'!V39,'Calc|Fee Based'!AB39:AE39)</f>
        <v>62.016583642744322</v>
      </c>
      <c r="AP40" s="272">
        <f>'Calc|Fee Based'!V39</f>
        <v>0</v>
      </c>
      <c r="AQ40" s="101">
        <f t="shared" si="41"/>
        <v>0</v>
      </c>
      <c r="AR40" s="303">
        <f t="shared" si="42"/>
        <v>1</v>
      </c>
      <c r="AS40" s="303">
        <f t="shared" si="18"/>
        <v>0</v>
      </c>
      <c r="AT40" s="263"/>
      <c r="AU40" s="272">
        <f t="shared" si="43"/>
        <v>19307.274752471716</v>
      </c>
      <c r="AV40" s="272">
        <f t="shared" si="50"/>
        <v>19717.05789117128</v>
      </c>
      <c r="AW40" s="272">
        <f t="shared" si="51"/>
        <v>20587.723366326718</v>
      </c>
      <c r="AX40" s="272">
        <f t="shared" si="52"/>
        <v>21138.793370660715</v>
      </c>
      <c r="AY40" s="272">
        <f t="shared" si="53"/>
        <v>21727.661033126285</v>
      </c>
      <c r="AZ40" s="272">
        <f t="shared" si="54"/>
        <v>22353.769890252337</v>
      </c>
      <c r="BA40" s="272">
        <f t="shared" si="55"/>
        <v>22995.769101186415</v>
      </c>
      <c r="BB40" s="263"/>
      <c r="BC40" s="272">
        <f t="shared" si="44"/>
        <v>0</v>
      </c>
      <c r="BD40" s="272">
        <f t="shared" si="20"/>
        <v>0</v>
      </c>
      <c r="BE40" s="272">
        <f t="shared" si="21"/>
        <v>0</v>
      </c>
      <c r="BF40" s="272">
        <f t="shared" si="22"/>
        <v>0</v>
      </c>
      <c r="BG40" s="272">
        <f t="shared" si="23"/>
        <v>0</v>
      </c>
      <c r="BH40" s="272">
        <f t="shared" si="24"/>
        <v>0</v>
      </c>
      <c r="BI40" s="272">
        <f t="shared" si="25"/>
        <v>0</v>
      </c>
      <c r="BJ40" s="299">
        <f t="shared" si="45"/>
        <v>0</v>
      </c>
      <c r="BK40" s="272"/>
      <c r="BL40" s="272"/>
      <c r="BM40" s="272">
        <f>'Calc|Fee Based'!AB39*'Input|Escalations'!$H$20/'Input|Escalations'!$I$20</f>
        <v>0</v>
      </c>
      <c r="BN40" s="272">
        <f>BM40*(1-'Input|Fee Based Mapping'!Z$6)</f>
        <v>0</v>
      </c>
      <c r="BO40" s="272">
        <f>BN40*(1-'Input|Fee Based Mapping'!AA$6)</f>
        <v>0</v>
      </c>
      <c r="BP40" s="272">
        <f>BO40*(1-'Input|Fee Based Mapping'!AB$6)</f>
        <v>0</v>
      </c>
      <c r="BQ40" s="272">
        <f>BP40*(1-'Input|Fee Based Mapping'!AC$6)</f>
        <v>0</v>
      </c>
      <c r="BR40" s="299"/>
      <c r="BS40" s="272"/>
      <c r="BT40" s="272"/>
      <c r="BU40" s="272">
        <f t="shared" si="46"/>
        <v>0</v>
      </c>
      <c r="BV40" s="272">
        <f t="shared" si="26"/>
        <v>0</v>
      </c>
      <c r="BW40" s="272">
        <f t="shared" si="27"/>
        <v>0</v>
      </c>
      <c r="BX40" s="272">
        <f t="shared" si="28"/>
        <v>0</v>
      </c>
      <c r="BY40" s="272">
        <f t="shared" si="29"/>
        <v>0</v>
      </c>
      <c r="BZ40"/>
      <c r="CA40" s="272"/>
      <c r="CB40" s="272"/>
      <c r="CC40" s="272">
        <f t="shared" si="47"/>
        <v>0</v>
      </c>
      <c r="CD40" s="272">
        <f t="shared" si="30"/>
        <v>0</v>
      </c>
      <c r="CE40" s="272">
        <f t="shared" si="31"/>
        <v>0</v>
      </c>
      <c r="CF40" s="272">
        <f t="shared" si="32"/>
        <v>0</v>
      </c>
      <c r="CG40" s="272">
        <f t="shared" si="33"/>
        <v>0</v>
      </c>
      <c r="CH40"/>
      <c r="CI40" s="272"/>
      <c r="CJ40" s="272"/>
      <c r="CK40" s="272">
        <f>'Calc|Fee Based'!AC39*'Input|Escalations'!$H$20/'Input|Escalations'!$I$20</f>
        <v>0</v>
      </c>
      <c r="CL40" s="272">
        <f>CK40*(1-'Input|Fee Based Mapping'!Z$6)</f>
        <v>0</v>
      </c>
      <c r="CM40" s="272">
        <f>CL40*(1-'Input|Fee Based Mapping'!AA$6)</f>
        <v>0</v>
      </c>
      <c r="CN40" s="272">
        <f>CM40*(1-'Input|Fee Based Mapping'!AB$6)</f>
        <v>0</v>
      </c>
      <c r="CO40" s="272">
        <f>CN40*(1-'Input|Fee Based Mapping'!AC$6)</f>
        <v>0</v>
      </c>
      <c r="CP40"/>
      <c r="CQ40" s="272"/>
      <c r="CR40" s="272"/>
      <c r="CS40" s="272">
        <f t="shared" si="48"/>
        <v>0</v>
      </c>
      <c r="CT40" s="272">
        <f t="shared" si="34"/>
        <v>0</v>
      </c>
      <c r="CU40" s="272">
        <f t="shared" si="35"/>
        <v>0</v>
      </c>
      <c r="CV40" s="272">
        <f t="shared" si="36"/>
        <v>0</v>
      </c>
      <c r="CW40" s="272">
        <f t="shared" si="37"/>
        <v>0</v>
      </c>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row>
    <row r="41" spans="1:205" s="1" customFormat="1" ht="12.75" x14ac:dyDescent="0.2">
      <c r="A41" s="258">
        <f t="shared" si="49"/>
        <v>29</v>
      </c>
      <c r="B41" s="259" t="s">
        <v>391</v>
      </c>
      <c r="C41" s="260" t="s">
        <v>453</v>
      </c>
      <c r="D41" s="261" t="s">
        <v>230</v>
      </c>
      <c r="E41" s="261" t="s">
        <v>514</v>
      </c>
      <c r="F41" s="261" t="s">
        <v>478</v>
      </c>
      <c r="G41" s="264"/>
      <c r="H41" s="212">
        <v>87</v>
      </c>
      <c r="I41" s="272">
        <f t="shared" si="38"/>
        <v>88.209299999999999</v>
      </c>
      <c r="J41" s="272">
        <f t="shared" si="38"/>
        <v>89.426588339999995</v>
      </c>
      <c r="K41" s="272">
        <f t="shared" si="38"/>
        <v>90.968523100939279</v>
      </c>
      <c r="L41" s="272">
        <f t="shared" si="56"/>
        <v>92.609488158878719</v>
      </c>
      <c r="M41" s="272">
        <f t="shared" si="39"/>
        <v>94.244378984707836</v>
      </c>
      <c r="N41" s="272">
        <f t="shared" si="39"/>
        <v>95.87710448008076</v>
      </c>
      <c r="O41" s="272">
        <f t="shared" si="39"/>
        <v>97.510705214410862</v>
      </c>
      <c r="P41" s="101"/>
      <c r="Q41" s="272">
        <f>'Input|Fee Based Mapping'!J40</f>
        <v>609.13</v>
      </c>
      <c r="R41" s="272">
        <f>'Input|Fee Based Mapping'!K40</f>
        <v>628.46845764750674</v>
      </c>
      <c r="S41" s="272">
        <f>'Input|Fee Based Mapping'!Y40</f>
        <v>668.49058490004552</v>
      </c>
      <c r="T41" s="272">
        <f>'Input|Fee Based Mapping'!Z40</f>
        <v>693.77428613057884</v>
      </c>
      <c r="U41" s="272">
        <f>'Input|Fee Based Mapping'!AA40</f>
        <v>718.94947455364309</v>
      </c>
      <c r="V41" s="272">
        <f>'Input|Fee Based Mapping'!AB40</f>
        <v>745.73230681133293</v>
      </c>
      <c r="W41" s="272">
        <f>'Input|Fee Based Mapping'!AC40</f>
        <v>773.40648658881719</v>
      </c>
      <c r="X41" s="101"/>
      <c r="Y41" s="272">
        <f t="shared" si="40"/>
        <v>53730.930909000002</v>
      </c>
      <c r="Z41" s="272">
        <f t="shared" si="12"/>
        <v>56201.790046718306</v>
      </c>
      <c r="AA41" s="272">
        <f t="shared" si="13"/>
        <v>60811.601215240204</v>
      </c>
      <c r="AB41" s="272">
        <f t="shared" si="14"/>
        <v>64250.081536344376</v>
      </c>
      <c r="AC41" s="272">
        <f t="shared" si="15"/>
        <v>67756.946750690098</v>
      </c>
      <c r="AD41" s="272">
        <f t="shared" si="16"/>
        <v>71498.654294321808</v>
      </c>
      <c r="AE41" s="272">
        <f t="shared" si="17"/>
        <v>75415.411924675354</v>
      </c>
      <c r="AF41"/>
      <c r="AG41" s="272">
        <f>Y41/('Input|Escalations'!G$17/'Input|Escalations'!$H$17)</f>
        <v>55033.73819775608</v>
      </c>
      <c r="AH41" s="272">
        <f>Z41/('Input|Escalations'!H$17/'Input|Escalations'!$H$17)</f>
        <v>56201.790046718306</v>
      </c>
      <c r="AI41" s="272">
        <f>AA41/('Input|Escalations'!I$17/'Input|Escalations'!$H$17)</f>
        <v>58683.922584204593</v>
      </c>
      <c r="AJ41" s="272">
        <f>AB41/('Input|Escalations'!J$17/'Input|Escalations'!$H$17)</f>
        <v>60254.710616343546</v>
      </c>
      <c r="AK41" s="272">
        <f>AC41/('Input|Escalations'!K$17/'Input|Escalations'!$H$17)</f>
        <v>61933.238334128633</v>
      </c>
      <c r="AL41" s="272">
        <f>AD41/('Input|Escalations'!L$17/'Input|Escalations'!$H$17)</f>
        <v>63717.919575812986</v>
      </c>
      <c r="AM41" s="272">
        <f>AE41/('Input|Escalations'!M$17/'Input|Escalations'!$H$17)</f>
        <v>65547.89520367657</v>
      </c>
      <c r="AN41" s="263"/>
      <c r="AO41" s="272">
        <f>SUM('Calc|Fee Based'!Z40-'Calc|Fee Based'!V40,'Calc|Fee Based'!AB40:AE40)</f>
        <v>668.49058490004552</v>
      </c>
      <c r="AP41" s="272">
        <f>'Calc|Fee Based'!V40</f>
        <v>0</v>
      </c>
      <c r="AQ41" s="101">
        <f t="shared" si="41"/>
        <v>0</v>
      </c>
      <c r="AR41" s="303">
        <f t="shared" si="42"/>
        <v>1</v>
      </c>
      <c r="AS41" s="303">
        <f t="shared" si="18"/>
        <v>0</v>
      </c>
      <c r="AT41" s="263"/>
      <c r="AU41" s="272">
        <f t="shared" si="43"/>
        <v>55033.73819775608</v>
      </c>
      <c r="AV41" s="272">
        <f t="shared" si="50"/>
        <v>56201.790046718306</v>
      </c>
      <c r="AW41" s="272">
        <f t="shared" si="51"/>
        <v>58683.922584204593</v>
      </c>
      <c r="AX41" s="272">
        <f t="shared" si="52"/>
        <v>60254.710616343546</v>
      </c>
      <c r="AY41" s="272">
        <f t="shared" si="53"/>
        <v>61933.238334128633</v>
      </c>
      <c r="AZ41" s="272">
        <f t="shared" si="54"/>
        <v>63717.919575812986</v>
      </c>
      <c r="BA41" s="272">
        <f t="shared" si="55"/>
        <v>65547.89520367657</v>
      </c>
      <c r="BB41" s="263"/>
      <c r="BC41" s="272">
        <f t="shared" si="44"/>
        <v>0</v>
      </c>
      <c r="BD41" s="272">
        <f t="shared" si="20"/>
        <v>0</v>
      </c>
      <c r="BE41" s="272">
        <f t="shared" si="21"/>
        <v>0</v>
      </c>
      <c r="BF41" s="272">
        <f t="shared" si="22"/>
        <v>0</v>
      </c>
      <c r="BG41" s="272">
        <f t="shared" si="23"/>
        <v>0</v>
      </c>
      <c r="BH41" s="272">
        <f t="shared" si="24"/>
        <v>0</v>
      </c>
      <c r="BI41" s="272">
        <f t="shared" si="25"/>
        <v>0</v>
      </c>
      <c r="BJ41" s="299">
        <f t="shared" si="45"/>
        <v>0</v>
      </c>
      <c r="BK41" s="272"/>
      <c r="BL41" s="272"/>
      <c r="BM41" s="272">
        <f>'Calc|Fee Based'!AB40*'Input|Escalations'!$H$20/'Input|Escalations'!$I$20</f>
        <v>0</v>
      </c>
      <c r="BN41" s="272">
        <f>BM41*(1-'Input|Fee Based Mapping'!Z$6)</f>
        <v>0</v>
      </c>
      <c r="BO41" s="272">
        <f>BN41*(1-'Input|Fee Based Mapping'!AA$6)</f>
        <v>0</v>
      </c>
      <c r="BP41" s="272">
        <f>BO41*(1-'Input|Fee Based Mapping'!AB$6)</f>
        <v>0</v>
      </c>
      <c r="BQ41" s="272">
        <f>BP41*(1-'Input|Fee Based Mapping'!AC$6)</f>
        <v>0</v>
      </c>
      <c r="BR41" s="299"/>
      <c r="BS41" s="272"/>
      <c r="BT41" s="272"/>
      <c r="BU41" s="272">
        <f t="shared" si="46"/>
        <v>0</v>
      </c>
      <c r="BV41" s="272">
        <f t="shared" si="26"/>
        <v>0</v>
      </c>
      <c r="BW41" s="272">
        <f t="shared" si="27"/>
        <v>0</v>
      </c>
      <c r="BX41" s="272">
        <f t="shared" si="28"/>
        <v>0</v>
      </c>
      <c r="BY41" s="272">
        <f t="shared" si="29"/>
        <v>0</v>
      </c>
      <c r="BZ41"/>
      <c r="CA41" s="272"/>
      <c r="CB41" s="272"/>
      <c r="CC41" s="272">
        <f t="shared" si="47"/>
        <v>0</v>
      </c>
      <c r="CD41" s="272">
        <f t="shared" si="30"/>
        <v>0</v>
      </c>
      <c r="CE41" s="272">
        <f t="shared" si="31"/>
        <v>0</v>
      </c>
      <c r="CF41" s="272">
        <f t="shared" si="32"/>
        <v>0</v>
      </c>
      <c r="CG41" s="272">
        <f t="shared" si="33"/>
        <v>0</v>
      </c>
      <c r="CH41"/>
      <c r="CI41" s="272"/>
      <c r="CJ41" s="272"/>
      <c r="CK41" s="272">
        <f>'Calc|Fee Based'!AC40*'Input|Escalations'!$H$20/'Input|Escalations'!$I$20</f>
        <v>0</v>
      </c>
      <c r="CL41" s="272">
        <f>CK41*(1-'Input|Fee Based Mapping'!Z$6)</f>
        <v>0</v>
      </c>
      <c r="CM41" s="272">
        <f>CL41*(1-'Input|Fee Based Mapping'!AA$6)</f>
        <v>0</v>
      </c>
      <c r="CN41" s="272">
        <f>CM41*(1-'Input|Fee Based Mapping'!AB$6)</f>
        <v>0</v>
      </c>
      <c r="CO41" s="272">
        <f>CN41*(1-'Input|Fee Based Mapping'!AC$6)</f>
        <v>0</v>
      </c>
      <c r="CP41"/>
      <c r="CQ41" s="272"/>
      <c r="CR41" s="272"/>
      <c r="CS41" s="272">
        <f t="shared" si="48"/>
        <v>0</v>
      </c>
      <c r="CT41" s="272">
        <f t="shared" si="34"/>
        <v>0</v>
      </c>
      <c r="CU41" s="272">
        <f t="shared" si="35"/>
        <v>0</v>
      </c>
      <c r="CV41" s="272">
        <f t="shared" si="36"/>
        <v>0</v>
      </c>
      <c r="CW41" s="272">
        <f t="shared" si="37"/>
        <v>0</v>
      </c>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row>
    <row r="42" spans="1:205" s="1" customFormat="1" ht="12.75" x14ac:dyDescent="0.2">
      <c r="A42" s="258">
        <f t="shared" si="49"/>
        <v>30</v>
      </c>
      <c r="B42" s="259" t="s">
        <v>391</v>
      </c>
      <c r="C42" s="260" t="s">
        <v>454</v>
      </c>
      <c r="D42" s="261" t="s">
        <v>231</v>
      </c>
      <c r="E42" s="261" t="s">
        <v>515</v>
      </c>
      <c r="F42" s="261" t="s">
        <v>478</v>
      </c>
      <c r="G42" s="264"/>
      <c r="H42" s="212">
        <v>0</v>
      </c>
      <c r="I42" s="272">
        <f t="shared" si="38"/>
        <v>0</v>
      </c>
      <c r="J42" s="272">
        <f t="shared" si="38"/>
        <v>0</v>
      </c>
      <c r="K42" s="272">
        <f t="shared" si="38"/>
        <v>0</v>
      </c>
      <c r="L42" s="272">
        <f t="shared" si="56"/>
        <v>0</v>
      </c>
      <c r="M42" s="272">
        <f t="shared" si="39"/>
        <v>0</v>
      </c>
      <c r="N42" s="272">
        <f t="shared" si="39"/>
        <v>0</v>
      </c>
      <c r="O42" s="272">
        <f t="shared" si="39"/>
        <v>0</v>
      </c>
      <c r="P42" s="101"/>
      <c r="Q42" s="272">
        <f>'Input|Fee Based Mapping'!J41</f>
        <v>826.97</v>
      </c>
      <c r="R42" s="272">
        <f>'Input|Fee Based Mapping'!K41</f>
        <v>853.2243698730299</v>
      </c>
      <c r="S42" s="272">
        <f>'Input|Fee Based Mapping'!Y41</f>
        <v>907.56700909186748</v>
      </c>
      <c r="T42" s="272">
        <f>'Input|Fee Based Mapping'!Z41</f>
        <v>941.89307683745653</v>
      </c>
      <c r="U42" s="272">
        <f>'Input|Fee Based Mapping'!AA41</f>
        <v>976.07182366881386</v>
      </c>
      <c r="V42" s="272">
        <f>'Input|Fee Based Mapping'!AB41</f>
        <v>1012.4331659467388</v>
      </c>
      <c r="W42" s="272">
        <f>'Input|Fee Based Mapping'!AC41</f>
        <v>1050.0046338732129</v>
      </c>
      <c r="X42" s="101"/>
      <c r="Y42" s="272">
        <f t="shared" si="40"/>
        <v>0</v>
      </c>
      <c r="Z42" s="272">
        <f t="shared" si="12"/>
        <v>0</v>
      </c>
      <c r="AA42" s="272">
        <f t="shared" si="13"/>
        <v>0</v>
      </c>
      <c r="AB42" s="272">
        <f t="shared" si="14"/>
        <v>0</v>
      </c>
      <c r="AC42" s="272">
        <f t="shared" si="15"/>
        <v>0</v>
      </c>
      <c r="AD42" s="272">
        <f t="shared" si="16"/>
        <v>0</v>
      </c>
      <c r="AE42" s="272">
        <f t="shared" si="17"/>
        <v>0</v>
      </c>
      <c r="AF42"/>
      <c r="AG42" s="272">
        <f>Y42/('Input|Escalations'!G$17/'Input|Escalations'!$H$17)</f>
        <v>0</v>
      </c>
      <c r="AH42" s="272">
        <f>Z42/('Input|Escalations'!H$17/'Input|Escalations'!$H$17)</f>
        <v>0</v>
      </c>
      <c r="AI42" s="272">
        <f>AA42/('Input|Escalations'!I$17/'Input|Escalations'!$H$17)</f>
        <v>0</v>
      </c>
      <c r="AJ42" s="272">
        <f>AB42/('Input|Escalations'!J$17/'Input|Escalations'!$H$17)</f>
        <v>0</v>
      </c>
      <c r="AK42" s="272">
        <f>AC42/('Input|Escalations'!K$17/'Input|Escalations'!$H$17)</f>
        <v>0</v>
      </c>
      <c r="AL42" s="272">
        <f>AD42/('Input|Escalations'!L$17/'Input|Escalations'!$H$17)</f>
        <v>0</v>
      </c>
      <c r="AM42" s="272">
        <f>AE42/('Input|Escalations'!M$17/'Input|Escalations'!$H$17)</f>
        <v>0</v>
      </c>
      <c r="AN42" s="263"/>
      <c r="AO42" s="272">
        <f>SUM('Calc|Fee Based'!Z41-'Calc|Fee Based'!V41,'Calc|Fee Based'!AB41:AE41)</f>
        <v>907.56700909186748</v>
      </c>
      <c r="AP42" s="272">
        <f>'Calc|Fee Based'!V41</f>
        <v>0</v>
      </c>
      <c r="AQ42" s="101">
        <f t="shared" si="41"/>
        <v>0</v>
      </c>
      <c r="AR42" s="303">
        <f t="shared" si="42"/>
        <v>1</v>
      </c>
      <c r="AS42" s="303">
        <f t="shared" si="18"/>
        <v>0</v>
      </c>
      <c r="AT42" s="263"/>
      <c r="AU42" s="272">
        <f t="shared" si="43"/>
        <v>0</v>
      </c>
      <c r="AV42" s="272">
        <f t="shared" si="50"/>
        <v>0</v>
      </c>
      <c r="AW42" s="272">
        <f t="shared" si="51"/>
        <v>0</v>
      </c>
      <c r="AX42" s="272">
        <f t="shared" si="52"/>
        <v>0</v>
      </c>
      <c r="AY42" s="272">
        <f t="shared" si="53"/>
        <v>0</v>
      </c>
      <c r="AZ42" s="272">
        <f t="shared" si="54"/>
        <v>0</v>
      </c>
      <c r="BA42" s="272">
        <f t="shared" si="55"/>
        <v>0</v>
      </c>
      <c r="BB42" s="263"/>
      <c r="BC42" s="272">
        <f t="shared" si="44"/>
        <v>0</v>
      </c>
      <c r="BD42" s="272">
        <f t="shared" si="20"/>
        <v>0</v>
      </c>
      <c r="BE42" s="272">
        <f t="shared" si="21"/>
        <v>0</v>
      </c>
      <c r="BF42" s="272">
        <f t="shared" si="22"/>
        <v>0</v>
      </c>
      <c r="BG42" s="272">
        <f t="shared" si="23"/>
        <v>0</v>
      </c>
      <c r="BH42" s="272">
        <f t="shared" si="24"/>
        <v>0</v>
      </c>
      <c r="BI42" s="272">
        <f t="shared" si="25"/>
        <v>0</v>
      </c>
      <c r="BJ42" s="299">
        <f t="shared" si="45"/>
        <v>0</v>
      </c>
      <c r="BK42" s="272"/>
      <c r="BL42" s="272"/>
      <c r="BM42" s="272">
        <f>'Calc|Fee Based'!AB41*'Input|Escalations'!$H$20/'Input|Escalations'!$I$20</f>
        <v>0</v>
      </c>
      <c r="BN42" s="272">
        <f>BM42*(1-'Input|Fee Based Mapping'!Z$6)</f>
        <v>0</v>
      </c>
      <c r="BO42" s="272">
        <f>BN42*(1-'Input|Fee Based Mapping'!AA$6)</f>
        <v>0</v>
      </c>
      <c r="BP42" s="272">
        <f>BO42*(1-'Input|Fee Based Mapping'!AB$6)</f>
        <v>0</v>
      </c>
      <c r="BQ42" s="272">
        <f>BP42*(1-'Input|Fee Based Mapping'!AC$6)</f>
        <v>0</v>
      </c>
      <c r="BR42" s="299"/>
      <c r="BS42" s="272"/>
      <c r="BT42" s="272"/>
      <c r="BU42" s="272">
        <f t="shared" si="46"/>
        <v>0</v>
      </c>
      <c r="BV42" s="272">
        <f t="shared" si="26"/>
        <v>0</v>
      </c>
      <c r="BW42" s="272">
        <f t="shared" si="27"/>
        <v>0</v>
      </c>
      <c r="BX42" s="272">
        <f t="shared" si="28"/>
        <v>0</v>
      </c>
      <c r="BY42" s="272">
        <f t="shared" si="29"/>
        <v>0</v>
      </c>
      <c r="BZ42"/>
      <c r="CA42" s="272"/>
      <c r="CB42" s="272"/>
      <c r="CC42" s="272">
        <f t="shared" si="47"/>
        <v>0</v>
      </c>
      <c r="CD42" s="272">
        <f t="shared" si="30"/>
        <v>0</v>
      </c>
      <c r="CE42" s="272">
        <f t="shared" si="31"/>
        <v>0</v>
      </c>
      <c r="CF42" s="272">
        <f t="shared" si="32"/>
        <v>0</v>
      </c>
      <c r="CG42" s="272">
        <f t="shared" si="33"/>
        <v>0</v>
      </c>
      <c r="CH42"/>
      <c r="CI42" s="272"/>
      <c r="CJ42" s="272"/>
      <c r="CK42" s="272">
        <f>'Calc|Fee Based'!AC41*'Input|Escalations'!$H$20/'Input|Escalations'!$I$20</f>
        <v>0</v>
      </c>
      <c r="CL42" s="272">
        <f>CK42*(1-'Input|Fee Based Mapping'!Z$6)</f>
        <v>0</v>
      </c>
      <c r="CM42" s="272">
        <f>CL42*(1-'Input|Fee Based Mapping'!AA$6)</f>
        <v>0</v>
      </c>
      <c r="CN42" s="272">
        <f>CM42*(1-'Input|Fee Based Mapping'!AB$6)</f>
        <v>0</v>
      </c>
      <c r="CO42" s="272">
        <f>CN42*(1-'Input|Fee Based Mapping'!AC$6)</f>
        <v>0</v>
      </c>
      <c r="CP42"/>
      <c r="CQ42" s="272"/>
      <c r="CR42" s="272"/>
      <c r="CS42" s="272">
        <f t="shared" si="48"/>
        <v>0</v>
      </c>
      <c r="CT42" s="272">
        <f t="shared" si="34"/>
        <v>0</v>
      </c>
      <c r="CU42" s="272">
        <f t="shared" si="35"/>
        <v>0</v>
      </c>
      <c r="CV42" s="272">
        <f t="shared" si="36"/>
        <v>0</v>
      </c>
      <c r="CW42" s="272">
        <f t="shared" si="37"/>
        <v>0</v>
      </c>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row>
    <row r="43" spans="1:205" s="1" customFormat="1" ht="12.75" x14ac:dyDescent="0.2">
      <c r="A43" s="258">
        <f t="shared" si="49"/>
        <v>31</v>
      </c>
      <c r="B43" s="259" t="s">
        <v>392</v>
      </c>
      <c r="C43" s="260" t="s">
        <v>455</v>
      </c>
      <c r="D43" s="261" t="s">
        <v>230</v>
      </c>
      <c r="E43" s="261" t="s">
        <v>392</v>
      </c>
      <c r="F43" s="261" t="s">
        <v>478</v>
      </c>
      <c r="G43" s="264"/>
      <c r="H43" s="212">
        <v>0</v>
      </c>
      <c r="I43" s="272">
        <f t="shared" si="38"/>
        <v>0</v>
      </c>
      <c r="J43" s="272">
        <f t="shared" si="38"/>
        <v>0</v>
      </c>
      <c r="K43" s="272">
        <f t="shared" si="38"/>
        <v>0</v>
      </c>
      <c r="L43" s="272">
        <f t="shared" si="56"/>
        <v>0</v>
      </c>
      <c r="M43" s="272">
        <f t="shared" si="39"/>
        <v>0</v>
      </c>
      <c r="N43" s="272">
        <f t="shared" si="39"/>
        <v>0</v>
      </c>
      <c r="O43" s="272">
        <f t="shared" si="39"/>
        <v>0</v>
      </c>
      <c r="P43" s="101"/>
      <c r="Q43" s="272">
        <f>'Input|Fee Based Mapping'!J42</f>
        <v>1.71</v>
      </c>
      <c r="R43" s="272">
        <f>'Input|Fee Based Mapping'!K42</f>
        <v>1.7642885140729179</v>
      </c>
      <c r="S43" s="272">
        <f>'Input|Fee Based Mapping'!Y42</f>
        <v>0</v>
      </c>
      <c r="T43" s="272">
        <f>'Input|Fee Based Mapping'!Z42</f>
        <v>0</v>
      </c>
      <c r="U43" s="272">
        <f>'Input|Fee Based Mapping'!AA42</f>
        <v>0</v>
      </c>
      <c r="V43" s="272">
        <f>'Input|Fee Based Mapping'!AB42</f>
        <v>0</v>
      </c>
      <c r="W43" s="272">
        <f>'Input|Fee Based Mapping'!AC42</f>
        <v>0</v>
      </c>
      <c r="X43" s="101"/>
      <c r="Y43" s="272">
        <f t="shared" si="40"/>
        <v>0</v>
      </c>
      <c r="Z43" s="272">
        <f t="shared" si="12"/>
        <v>0</v>
      </c>
      <c r="AA43" s="272">
        <f t="shared" si="13"/>
        <v>0</v>
      </c>
      <c r="AB43" s="272">
        <f t="shared" si="14"/>
        <v>0</v>
      </c>
      <c r="AC43" s="272">
        <f t="shared" si="15"/>
        <v>0</v>
      </c>
      <c r="AD43" s="272">
        <f t="shared" si="16"/>
        <v>0</v>
      </c>
      <c r="AE43" s="272">
        <f t="shared" si="17"/>
        <v>0</v>
      </c>
      <c r="AF43"/>
      <c r="AG43" s="272">
        <f>Y43/('Input|Escalations'!G$17/'Input|Escalations'!$H$17)</f>
        <v>0</v>
      </c>
      <c r="AH43" s="272">
        <f>Z43/('Input|Escalations'!H$17/'Input|Escalations'!$H$17)</f>
        <v>0</v>
      </c>
      <c r="AI43" s="272">
        <f>AA43/('Input|Escalations'!I$17/'Input|Escalations'!$H$17)</f>
        <v>0</v>
      </c>
      <c r="AJ43" s="272">
        <f>AB43/('Input|Escalations'!J$17/'Input|Escalations'!$H$17)</f>
        <v>0</v>
      </c>
      <c r="AK43" s="272">
        <f>AC43/('Input|Escalations'!K$17/'Input|Escalations'!$H$17)</f>
        <v>0</v>
      </c>
      <c r="AL43" s="272">
        <f>AD43/('Input|Escalations'!L$17/'Input|Escalations'!$H$17)</f>
        <v>0</v>
      </c>
      <c r="AM43" s="272">
        <f>AE43/('Input|Escalations'!M$17/'Input|Escalations'!$H$17)</f>
        <v>0</v>
      </c>
      <c r="AN43" s="263"/>
      <c r="AO43" s="272">
        <f>SUM('Calc|Fee Based'!Z42-'Calc|Fee Based'!V42,'Calc|Fee Based'!AB42:AE42)</f>
        <v>0</v>
      </c>
      <c r="AP43" s="272">
        <f>'Calc|Fee Based'!V42</f>
        <v>0</v>
      </c>
      <c r="AQ43" s="101">
        <f t="shared" si="41"/>
        <v>0</v>
      </c>
      <c r="AR43" s="303">
        <f t="shared" si="42"/>
        <v>0</v>
      </c>
      <c r="AS43" s="303">
        <f t="shared" si="18"/>
        <v>0</v>
      </c>
      <c r="AT43" s="263"/>
      <c r="AU43" s="272">
        <f t="shared" si="43"/>
        <v>0</v>
      </c>
      <c r="AV43" s="272">
        <f t="shared" si="50"/>
        <v>0</v>
      </c>
      <c r="AW43" s="272">
        <f t="shared" si="51"/>
        <v>0</v>
      </c>
      <c r="AX43" s="272">
        <f t="shared" si="52"/>
        <v>0</v>
      </c>
      <c r="AY43" s="272">
        <f t="shared" si="53"/>
        <v>0</v>
      </c>
      <c r="AZ43" s="272">
        <f t="shared" si="54"/>
        <v>0</v>
      </c>
      <c r="BA43" s="272">
        <f t="shared" si="55"/>
        <v>0</v>
      </c>
      <c r="BB43" s="263"/>
      <c r="BC43" s="272">
        <f t="shared" si="44"/>
        <v>0</v>
      </c>
      <c r="BD43" s="272">
        <f t="shared" si="20"/>
        <v>0</v>
      </c>
      <c r="BE43" s="272">
        <f t="shared" si="21"/>
        <v>0</v>
      </c>
      <c r="BF43" s="272">
        <f t="shared" si="22"/>
        <v>0</v>
      </c>
      <c r="BG43" s="272">
        <f t="shared" si="23"/>
        <v>0</v>
      </c>
      <c r="BH43" s="272">
        <f t="shared" si="24"/>
        <v>0</v>
      </c>
      <c r="BI43" s="272">
        <f t="shared" si="25"/>
        <v>0</v>
      </c>
      <c r="BJ43" s="299">
        <f t="shared" si="45"/>
        <v>0</v>
      </c>
      <c r="BK43" s="272"/>
      <c r="BL43" s="272"/>
      <c r="BM43" s="272">
        <f>'Calc|Fee Based'!AB42*'Input|Escalations'!$H$20/'Input|Escalations'!$I$20</f>
        <v>0</v>
      </c>
      <c r="BN43" s="272">
        <f>BM43*(1-'Input|Fee Based Mapping'!Z$6)</f>
        <v>0</v>
      </c>
      <c r="BO43" s="272">
        <f>BN43*(1-'Input|Fee Based Mapping'!AA$6)</f>
        <v>0</v>
      </c>
      <c r="BP43" s="272">
        <f>BO43*(1-'Input|Fee Based Mapping'!AB$6)</f>
        <v>0</v>
      </c>
      <c r="BQ43" s="272">
        <f>BP43*(1-'Input|Fee Based Mapping'!AC$6)</f>
        <v>0</v>
      </c>
      <c r="BR43" s="299"/>
      <c r="BS43" s="272"/>
      <c r="BT43" s="272"/>
      <c r="BU43" s="272">
        <f t="shared" si="46"/>
        <v>0</v>
      </c>
      <c r="BV43" s="272">
        <f t="shared" si="26"/>
        <v>0</v>
      </c>
      <c r="BW43" s="272">
        <f t="shared" si="27"/>
        <v>0</v>
      </c>
      <c r="BX43" s="272">
        <f t="shared" si="28"/>
        <v>0</v>
      </c>
      <c r="BY43" s="272">
        <f t="shared" si="29"/>
        <v>0</v>
      </c>
      <c r="BZ43"/>
      <c r="CA43" s="272"/>
      <c r="CB43" s="272"/>
      <c r="CC43" s="272">
        <f t="shared" si="47"/>
        <v>0</v>
      </c>
      <c r="CD43" s="272">
        <f t="shared" si="30"/>
        <v>0</v>
      </c>
      <c r="CE43" s="272">
        <f t="shared" si="31"/>
        <v>0</v>
      </c>
      <c r="CF43" s="272">
        <f t="shared" si="32"/>
        <v>0</v>
      </c>
      <c r="CG43" s="272">
        <f t="shared" si="33"/>
        <v>0</v>
      </c>
      <c r="CH43"/>
      <c r="CI43" s="272"/>
      <c r="CJ43" s="272"/>
      <c r="CK43" s="272">
        <f>'Calc|Fee Based'!AC42*'Input|Escalations'!$H$20/'Input|Escalations'!$I$20</f>
        <v>0</v>
      </c>
      <c r="CL43" s="272">
        <f>CK43*(1-'Input|Fee Based Mapping'!Z$6)</f>
        <v>0</v>
      </c>
      <c r="CM43" s="272">
        <f>CL43*(1-'Input|Fee Based Mapping'!AA$6)</f>
        <v>0</v>
      </c>
      <c r="CN43" s="272">
        <f>CM43*(1-'Input|Fee Based Mapping'!AB$6)</f>
        <v>0</v>
      </c>
      <c r="CO43" s="272">
        <f>CN43*(1-'Input|Fee Based Mapping'!AC$6)</f>
        <v>0</v>
      </c>
      <c r="CP43"/>
      <c r="CQ43" s="272"/>
      <c r="CR43" s="272"/>
      <c r="CS43" s="272">
        <f t="shared" si="48"/>
        <v>0</v>
      </c>
      <c r="CT43" s="272">
        <f t="shared" si="34"/>
        <v>0</v>
      </c>
      <c r="CU43" s="272">
        <f t="shared" si="35"/>
        <v>0</v>
      </c>
      <c r="CV43" s="272">
        <f t="shared" si="36"/>
        <v>0</v>
      </c>
      <c r="CW43" s="272">
        <f t="shared" si="37"/>
        <v>0</v>
      </c>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row>
    <row r="44" spans="1:205" s="1" customFormat="1" ht="12.75" x14ac:dyDescent="0.2">
      <c r="A44" s="258">
        <f t="shared" si="49"/>
        <v>32</v>
      </c>
      <c r="B44" s="259" t="s">
        <v>393</v>
      </c>
      <c r="C44" s="260" t="s">
        <v>456</v>
      </c>
      <c r="D44" s="261" t="s">
        <v>230</v>
      </c>
      <c r="E44" s="261" t="s">
        <v>393</v>
      </c>
      <c r="F44" s="266" t="s">
        <v>516</v>
      </c>
      <c r="G44" s="264"/>
      <c r="H44" s="212">
        <v>0</v>
      </c>
      <c r="I44" s="272">
        <f t="shared" si="38"/>
        <v>0</v>
      </c>
      <c r="J44" s="272">
        <f t="shared" si="38"/>
        <v>0</v>
      </c>
      <c r="K44" s="272">
        <f t="shared" si="38"/>
        <v>0</v>
      </c>
      <c r="L44" s="272">
        <f t="shared" si="56"/>
        <v>0</v>
      </c>
      <c r="M44" s="272">
        <f t="shared" si="39"/>
        <v>0</v>
      </c>
      <c r="N44" s="272">
        <f t="shared" si="39"/>
        <v>0</v>
      </c>
      <c r="O44" s="272">
        <f t="shared" si="39"/>
        <v>0</v>
      </c>
      <c r="P44" s="101"/>
      <c r="Q44" s="272">
        <f>'Input|Fee Based Mapping'!J43</f>
        <v>19.64</v>
      </c>
      <c r="R44" s="272">
        <f>'Input|Fee Based Mapping'!K43</f>
        <v>20.263524220112345</v>
      </c>
      <c r="S44" s="272">
        <f>'Input|Fee Based Mapping'!Y43</f>
        <v>0</v>
      </c>
      <c r="T44" s="272">
        <f>'Input|Fee Based Mapping'!Z43</f>
        <v>0</v>
      </c>
      <c r="U44" s="272">
        <f>'Input|Fee Based Mapping'!AA43</f>
        <v>0</v>
      </c>
      <c r="V44" s="272">
        <f>'Input|Fee Based Mapping'!AB43</f>
        <v>0</v>
      </c>
      <c r="W44" s="272">
        <f>'Input|Fee Based Mapping'!AC43</f>
        <v>0</v>
      </c>
      <c r="X44" s="101"/>
      <c r="Y44" s="272">
        <f t="shared" si="40"/>
        <v>0</v>
      </c>
      <c r="Z44" s="272">
        <f t="shared" si="12"/>
        <v>0</v>
      </c>
      <c r="AA44" s="272">
        <f t="shared" si="13"/>
        <v>0</v>
      </c>
      <c r="AB44" s="272">
        <f t="shared" si="14"/>
        <v>0</v>
      </c>
      <c r="AC44" s="272">
        <f t="shared" si="15"/>
        <v>0</v>
      </c>
      <c r="AD44" s="272">
        <f t="shared" si="16"/>
        <v>0</v>
      </c>
      <c r="AE44" s="272">
        <f t="shared" si="17"/>
        <v>0</v>
      </c>
      <c r="AF44"/>
      <c r="AG44" s="272">
        <f>Y44/('Input|Escalations'!G$17/'Input|Escalations'!$H$17)</f>
        <v>0</v>
      </c>
      <c r="AH44" s="272">
        <f>Z44/('Input|Escalations'!H$17/'Input|Escalations'!$H$17)</f>
        <v>0</v>
      </c>
      <c r="AI44" s="272">
        <f>AA44/('Input|Escalations'!I$17/'Input|Escalations'!$H$17)</f>
        <v>0</v>
      </c>
      <c r="AJ44" s="272">
        <f>AB44/('Input|Escalations'!J$17/'Input|Escalations'!$H$17)</f>
        <v>0</v>
      </c>
      <c r="AK44" s="272">
        <f>AC44/('Input|Escalations'!K$17/'Input|Escalations'!$H$17)</f>
        <v>0</v>
      </c>
      <c r="AL44" s="272">
        <f>AD44/('Input|Escalations'!L$17/'Input|Escalations'!$H$17)</f>
        <v>0</v>
      </c>
      <c r="AM44" s="272">
        <f>AE44/('Input|Escalations'!M$17/'Input|Escalations'!$H$17)</f>
        <v>0</v>
      </c>
      <c r="AN44" s="263"/>
      <c r="AO44" s="272">
        <f>SUM('Calc|Fee Based'!Z43-'Calc|Fee Based'!V43,'Calc|Fee Based'!AB43:AE43)</f>
        <v>0</v>
      </c>
      <c r="AP44" s="272">
        <f>'Calc|Fee Based'!V43</f>
        <v>0</v>
      </c>
      <c r="AQ44" s="101">
        <f t="shared" si="41"/>
        <v>0</v>
      </c>
      <c r="AR44" s="303">
        <f t="shared" si="42"/>
        <v>0</v>
      </c>
      <c r="AS44" s="303">
        <f t="shared" si="18"/>
        <v>0</v>
      </c>
      <c r="AT44" s="263"/>
      <c r="AU44" s="272">
        <f t="shared" si="43"/>
        <v>0</v>
      </c>
      <c r="AV44" s="272">
        <f t="shared" si="50"/>
        <v>0</v>
      </c>
      <c r="AW44" s="272">
        <f t="shared" si="51"/>
        <v>0</v>
      </c>
      <c r="AX44" s="272">
        <f t="shared" si="52"/>
        <v>0</v>
      </c>
      <c r="AY44" s="272">
        <f t="shared" si="53"/>
        <v>0</v>
      </c>
      <c r="AZ44" s="272">
        <f t="shared" si="54"/>
        <v>0</v>
      </c>
      <c r="BA44" s="272">
        <f t="shared" si="55"/>
        <v>0</v>
      </c>
      <c r="BB44" s="263"/>
      <c r="BC44" s="272">
        <f t="shared" si="44"/>
        <v>0</v>
      </c>
      <c r="BD44" s="272">
        <f t="shared" si="20"/>
        <v>0</v>
      </c>
      <c r="BE44" s="272">
        <f t="shared" si="21"/>
        <v>0</v>
      </c>
      <c r="BF44" s="272">
        <f t="shared" si="22"/>
        <v>0</v>
      </c>
      <c r="BG44" s="272">
        <f t="shared" si="23"/>
        <v>0</v>
      </c>
      <c r="BH44" s="272">
        <f t="shared" si="24"/>
        <v>0</v>
      </c>
      <c r="BI44" s="272">
        <f t="shared" si="25"/>
        <v>0</v>
      </c>
      <c r="BJ44" s="299">
        <f t="shared" si="45"/>
        <v>0</v>
      </c>
      <c r="BK44" s="272"/>
      <c r="BL44" s="272"/>
      <c r="BM44" s="272">
        <f>'Calc|Fee Based'!AB43*'Input|Escalations'!$H$20/'Input|Escalations'!$I$20</f>
        <v>0</v>
      </c>
      <c r="BN44" s="272">
        <f>BM44*(1-'Input|Fee Based Mapping'!Z$6)</f>
        <v>0</v>
      </c>
      <c r="BO44" s="272">
        <f>BN44*(1-'Input|Fee Based Mapping'!AA$6)</f>
        <v>0</v>
      </c>
      <c r="BP44" s="272">
        <f>BO44*(1-'Input|Fee Based Mapping'!AB$6)</f>
        <v>0</v>
      </c>
      <c r="BQ44" s="272">
        <f>BP44*(1-'Input|Fee Based Mapping'!AC$6)</f>
        <v>0</v>
      </c>
      <c r="BR44" s="299"/>
      <c r="BS44" s="272"/>
      <c r="BT44" s="272"/>
      <c r="BU44" s="272">
        <f t="shared" si="46"/>
        <v>0</v>
      </c>
      <c r="BV44" s="272">
        <f t="shared" si="26"/>
        <v>0</v>
      </c>
      <c r="BW44" s="272">
        <f t="shared" si="27"/>
        <v>0</v>
      </c>
      <c r="BX44" s="272">
        <f t="shared" si="28"/>
        <v>0</v>
      </c>
      <c r="BY44" s="272">
        <f t="shared" si="29"/>
        <v>0</v>
      </c>
      <c r="BZ44"/>
      <c r="CA44" s="272"/>
      <c r="CB44" s="272"/>
      <c r="CC44" s="272">
        <f t="shared" si="47"/>
        <v>0</v>
      </c>
      <c r="CD44" s="272">
        <f t="shared" si="30"/>
        <v>0</v>
      </c>
      <c r="CE44" s="272">
        <f t="shared" si="31"/>
        <v>0</v>
      </c>
      <c r="CF44" s="272">
        <f t="shared" si="32"/>
        <v>0</v>
      </c>
      <c r="CG44" s="272">
        <f t="shared" si="33"/>
        <v>0</v>
      </c>
      <c r="CH44"/>
      <c r="CI44" s="272"/>
      <c r="CJ44" s="272"/>
      <c r="CK44" s="272">
        <f>'Calc|Fee Based'!AC43*'Input|Escalations'!$H$20/'Input|Escalations'!$I$20</f>
        <v>0</v>
      </c>
      <c r="CL44" s="272">
        <f>CK44*(1-'Input|Fee Based Mapping'!Z$6)</f>
        <v>0</v>
      </c>
      <c r="CM44" s="272">
        <f>CL44*(1-'Input|Fee Based Mapping'!AA$6)</f>
        <v>0</v>
      </c>
      <c r="CN44" s="272">
        <f>CM44*(1-'Input|Fee Based Mapping'!AB$6)</f>
        <v>0</v>
      </c>
      <c r="CO44" s="272">
        <f>CN44*(1-'Input|Fee Based Mapping'!AC$6)</f>
        <v>0</v>
      </c>
      <c r="CP44"/>
      <c r="CQ44" s="272"/>
      <c r="CR44" s="272"/>
      <c r="CS44" s="272">
        <f t="shared" si="48"/>
        <v>0</v>
      </c>
      <c r="CT44" s="272">
        <f t="shared" si="34"/>
        <v>0</v>
      </c>
      <c r="CU44" s="272">
        <f t="shared" si="35"/>
        <v>0</v>
      </c>
      <c r="CV44" s="272">
        <f t="shared" si="36"/>
        <v>0</v>
      </c>
      <c r="CW44" s="272">
        <f t="shared" si="37"/>
        <v>0</v>
      </c>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row>
    <row r="45" spans="1:205" s="1" customFormat="1" ht="12.75" x14ac:dyDescent="0.2">
      <c r="A45" s="258">
        <f t="shared" si="49"/>
        <v>33</v>
      </c>
      <c r="B45" s="259" t="s">
        <v>394</v>
      </c>
      <c r="C45" s="260" t="s">
        <v>517</v>
      </c>
      <c r="D45" s="261" t="s">
        <v>230</v>
      </c>
      <c r="E45" s="261" t="s">
        <v>518</v>
      </c>
      <c r="F45" s="261" t="s">
        <v>478</v>
      </c>
      <c r="G45" s="264"/>
      <c r="H45" s="212">
        <v>1073</v>
      </c>
      <c r="I45" s="272">
        <f t="shared" si="38"/>
        <v>1087.9147</v>
      </c>
      <c r="J45" s="272">
        <f t="shared" si="38"/>
        <v>1102.9279228600001</v>
      </c>
      <c r="K45" s="272">
        <f t="shared" si="38"/>
        <v>1121.9451182449179</v>
      </c>
      <c r="L45" s="272">
        <f t="shared" si="56"/>
        <v>1142.1836872928377</v>
      </c>
      <c r="M45" s="272">
        <f t="shared" si="39"/>
        <v>1162.3473408113969</v>
      </c>
      <c r="N45" s="272">
        <f t="shared" si="39"/>
        <v>1182.4842885876631</v>
      </c>
      <c r="O45" s="272">
        <f t="shared" si="39"/>
        <v>1202.6320309777343</v>
      </c>
      <c r="P45" s="101"/>
      <c r="Q45" s="272">
        <f>'Input|Fee Based Mapping'!J44</f>
        <v>559.26</v>
      </c>
      <c r="R45" s="272">
        <f>'Input|Fee Based Mapping'!K44</f>
        <v>577.01520139205854</v>
      </c>
      <c r="S45" s="272">
        <f>'Input|Fee Based Mapping'!Y44</f>
        <v>654.21129227583151</v>
      </c>
      <c r="T45" s="272">
        <f>'Input|Fee Based Mapping'!Z44</f>
        <v>678.95492102569108</v>
      </c>
      <c r="U45" s="272">
        <f>'Input|Fee Based Mapping'!AA44</f>
        <v>703.59235485582212</v>
      </c>
      <c r="V45" s="272">
        <f>'Input|Fee Based Mapping'!AB44</f>
        <v>729.80309244568662</v>
      </c>
      <c r="W45" s="272">
        <f>'Input|Fee Based Mapping'!AC44</f>
        <v>756.88613792733508</v>
      </c>
      <c r="X45" s="101"/>
      <c r="Y45" s="272">
        <f t="shared" si="40"/>
        <v>608427.17512200004</v>
      </c>
      <c r="Z45" s="272">
        <f t="shared" si="12"/>
        <v>636406.17752998776</v>
      </c>
      <c r="AA45" s="272">
        <f t="shared" si="13"/>
        <v>733989.16566956835</v>
      </c>
      <c r="AB45" s="272">
        <f t="shared" si="14"/>
        <v>775491.23520274123</v>
      </c>
      <c r="AC45" s="272">
        <f t="shared" si="15"/>
        <v>817818.7026818936</v>
      </c>
      <c r="AD45" s="272">
        <f t="shared" si="16"/>
        <v>862980.69057971425</v>
      </c>
      <c r="AE45" s="272">
        <f t="shared" si="17"/>
        <v>910255.5132744445</v>
      </c>
      <c r="AF45"/>
      <c r="AG45" s="272">
        <f>Y45/('Input|Escalations'!G$17/'Input|Escalations'!$H$17)</f>
        <v>623179.63418079959</v>
      </c>
      <c r="AH45" s="272">
        <f>Z45/('Input|Escalations'!H$17/'Input|Escalations'!$H$17)</f>
        <v>636406.17752998776</v>
      </c>
      <c r="AI45" s="272">
        <f>AA45/('Input|Escalations'!I$17/'Input|Escalations'!$H$17)</f>
        <v>708308.32464584254</v>
      </c>
      <c r="AJ45" s="272">
        <f>AB45/('Input|Escalations'!J$17/'Input|Escalations'!$H$17)</f>
        <v>727267.55897142156</v>
      </c>
      <c r="AK45" s="272">
        <f>AC45/('Input|Escalations'!K$17/'Input|Escalations'!$H$17)</f>
        <v>747527.19914714468</v>
      </c>
      <c r="AL45" s="272">
        <f>AD45/('Input|Escalations'!L$17/'Input|Escalations'!$H$17)</f>
        <v>769068.10037968366</v>
      </c>
      <c r="AM45" s="272">
        <f>AE45/('Input|Escalations'!M$17/'Input|Escalations'!$H$17)</f>
        <v>791155.6997431193</v>
      </c>
      <c r="AN45" s="263"/>
      <c r="AO45" s="272">
        <f>SUM('Calc|Fee Based'!Z44-'Calc|Fee Based'!V44,'Calc|Fee Based'!AB44:AE44)</f>
        <v>654.21129227583151</v>
      </c>
      <c r="AP45" s="272">
        <f>'Calc|Fee Based'!V44</f>
        <v>0</v>
      </c>
      <c r="AQ45" s="101">
        <f t="shared" si="41"/>
        <v>0</v>
      </c>
      <c r="AR45" s="303">
        <f t="shared" si="42"/>
        <v>1</v>
      </c>
      <c r="AS45" s="303">
        <f t="shared" si="18"/>
        <v>0</v>
      </c>
      <c r="AT45" s="263"/>
      <c r="AU45" s="272">
        <f t="shared" si="43"/>
        <v>623179.63418079959</v>
      </c>
      <c r="AV45" s="272">
        <f t="shared" si="50"/>
        <v>636406.17752998776</v>
      </c>
      <c r="AW45" s="272">
        <f t="shared" si="51"/>
        <v>708308.32464584254</v>
      </c>
      <c r="AX45" s="272">
        <f t="shared" si="52"/>
        <v>727267.55897142156</v>
      </c>
      <c r="AY45" s="272">
        <f t="shared" si="53"/>
        <v>747527.19914714468</v>
      </c>
      <c r="AZ45" s="272">
        <f t="shared" si="54"/>
        <v>769068.10037968366</v>
      </c>
      <c r="BA45" s="272">
        <f t="shared" si="55"/>
        <v>791155.6997431193</v>
      </c>
      <c r="BB45" s="263"/>
      <c r="BC45" s="272">
        <f t="shared" si="44"/>
        <v>0</v>
      </c>
      <c r="BD45" s="272">
        <f t="shared" si="20"/>
        <v>0</v>
      </c>
      <c r="BE45" s="272">
        <f t="shared" si="21"/>
        <v>0</v>
      </c>
      <c r="BF45" s="272">
        <f t="shared" si="22"/>
        <v>0</v>
      </c>
      <c r="BG45" s="272">
        <f t="shared" si="23"/>
        <v>0</v>
      </c>
      <c r="BH45" s="272">
        <f t="shared" si="24"/>
        <v>0</v>
      </c>
      <c r="BI45" s="272">
        <f t="shared" si="25"/>
        <v>0</v>
      </c>
      <c r="BJ45" s="299">
        <f t="shared" si="45"/>
        <v>0</v>
      </c>
      <c r="BK45" s="272"/>
      <c r="BL45" s="272"/>
      <c r="BM45" s="272">
        <f>'Calc|Fee Based'!AB44*'Input|Escalations'!$H$20/'Input|Escalations'!$I$20</f>
        <v>82.067889778037497</v>
      </c>
      <c r="BN45" s="272">
        <f>BM45*(1-'Input|Fee Based Mapping'!Z$6)</f>
        <v>82.771494347757283</v>
      </c>
      <c r="BO45" s="272">
        <f>BN45*(1-'Input|Fee Based Mapping'!AA$6)</f>
        <v>83.601410849916817</v>
      </c>
      <c r="BP45" s="272">
        <f>BO45*(1-'Input|Fee Based Mapping'!AB$6)</f>
        <v>84.545783381676216</v>
      </c>
      <c r="BQ45" s="272">
        <f>BP45*(1-'Input|Fee Based Mapping'!AC$6)</f>
        <v>85.516856479739118</v>
      </c>
      <c r="BR45" s="299"/>
      <c r="BS45" s="272"/>
      <c r="BT45" s="272"/>
      <c r="BU45" s="272">
        <f t="shared" si="46"/>
        <v>0</v>
      </c>
      <c r="BV45" s="272">
        <f t="shared" si="26"/>
        <v>0</v>
      </c>
      <c r="BW45" s="272">
        <f t="shared" si="27"/>
        <v>0</v>
      </c>
      <c r="BX45" s="272">
        <f t="shared" si="28"/>
        <v>0</v>
      </c>
      <c r="BY45" s="272">
        <f t="shared" si="29"/>
        <v>0</v>
      </c>
      <c r="BZ45"/>
      <c r="CA45" s="272"/>
      <c r="CB45" s="272"/>
      <c r="CC45" s="272">
        <f t="shared" si="47"/>
        <v>92075.668301131169</v>
      </c>
      <c r="CD45" s="272">
        <f t="shared" si="30"/>
        <v>94540.250616859688</v>
      </c>
      <c r="CE45" s="272">
        <f t="shared" si="31"/>
        <v>97173.877589481868</v>
      </c>
      <c r="CF45" s="272">
        <f t="shared" si="32"/>
        <v>99974.060515168065</v>
      </c>
      <c r="CG45" s="272">
        <f t="shared" si="33"/>
        <v>102845.31079106008</v>
      </c>
      <c r="CH45"/>
      <c r="CI45" s="272"/>
      <c r="CJ45" s="272"/>
      <c r="CK45" s="272">
        <f>'Calc|Fee Based'!AC44*'Input|Escalations'!$H$20/'Input|Escalations'!$I$20</f>
        <v>157.20173320025856</v>
      </c>
      <c r="CL45" s="272">
        <f>CK45*(1-'Input|Fee Based Mapping'!Z$6)</f>
        <v>158.54949367206703</v>
      </c>
      <c r="CM45" s="272">
        <f>CL45*(1-'Input|Fee Based Mapping'!AA$6)</f>
        <v>160.13920571296185</v>
      </c>
      <c r="CN45" s="272">
        <f>CM45*(1-'Input|Fee Based Mapping'!AB$6)</f>
        <v>161.94815924132496</v>
      </c>
      <c r="CO45" s="272">
        <f>CN45*(1-'Input|Fee Based Mapping'!AC$6)</f>
        <v>163.80825792903954</v>
      </c>
      <c r="CP45"/>
      <c r="CQ45" s="272"/>
      <c r="CR45" s="272"/>
      <c r="CS45" s="272">
        <f t="shared" si="48"/>
        <v>176371.71714367013</v>
      </c>
      <c r="CT45" s="272">
        <f t="shared" si="34"/>
        <v>181092.64530077396</v>
      </c>
      <c r="CU45" s="272">
        <f t="shared" si="35"/>
        <v>186137.37992011046</v>
      </c>
      <c r="CV45" s="272">
        <f t="shared" si="36"/>
        <v>191501.15386855972</v>
      </c>
      <c r="CW45" s="272">
        <f t="shared" si="37"/>
        <v>197001.05792412537</v>
      </c>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row>
    <row r="46" spans="1:205" s="1" customFormat="1" ht="12.75" x14ac:dyDescent="0.2">
      <c r="A46" s="258">
        <f t="shared" si="49"/>
        <v>34</v>
      </c>
      <c r="B46" s="259" t="s">
        <v>394</v>
      </c>
      <c r="C46" s="260" t="s">
        <v>519</v>
      </c>
      <c r="D46" s="261" t="s">
        <v>231</v>
      </c>
      <c r="E46" s="261" t="s">
        <v>520</v>
      </c>
      <c r="F46" s="261" t="s">
        <v>478</v>
      </c>
      <c r="G46" s="264"/>
      <c r="H46" s="212">
        <v>0</v>
      </c>
      <c r="I46" s="272">
        <f t="shared" si="38"/>
        <v>0</v>
      </c>
      <c r="J46" s="272">
        <f t="shared" si="38"/>
        <v>0</v>
      </c>
      <c r="K46" s="272">
        <f t="shared" si="38"/>
        <v>0</v>
      </c>
      <c r="L46" s="272">
        <f t="shared" si="56"/>
        <v>0</v>
      </c>
      <c r="M46" s="272">
        <f t="shared" si="39"/>
        <v>0</v>
      </c>
      <c r="N46" s="272">
        <f t="shared" si="39"/>
        <v>0</v>
      </c>
      <c r="O46" s="272">
        <f t="shared" si="39"/>
        <v>0</v>
      </c>
      <c r="P46" s="101"/>
      <c r="Q46" s="272">
        <f>'Input|Fee Based Mapping'!J45</f>
        <v>772.78</v>
      </c>
      <c r="R46" s="272">
        <f>'Input|Fee Based Mapping'!K45</f>
        <v>797.31396368729213</v>
      </c>
      <c r="S46" s="272">
        <f>'Input|Fee Based Mapping'!Y45</f>
        <v>1018.9078592653684</v>
      </c>
      <c r="T46" s="272">
        <f>'Input|Fee Based Mapping'!Z45</f>
        <v>1057.4450690287038</v>
      </c>
      <c r="U46" s="272">
        <f>'Input|Fee Based Mapping'!AA45</f>
        <v>1095.8168844620984</v>
      </c>
      <c r="V46" s="272">
        <f>'Input|Fee Based Mapping'!AB45</f>
        <v>1136.6390574248283</v>
      </c>
      <c r="W46" s="272">
        <f>'Input|Fee Based Mapping'!AC45</f>
        <v>1178.8198149566904</v>
      </c>
      <c r="X46" s="101"/>
      <c r="Y46" s="272">
        <f t="shared" si="40"/>
        <v>0</v>
      </c>
      <c r="Z46" s="272">
        <f t="shared" si="12"/>
        <v>0</v>
      </c>
      <c r="AA46" s="272">
        <f t="shared" si="13"/>
        <v>0</v>
      </c>
      <c r="AB46" s="272">
        <f t="shared" si="14"/>
        <v>0</v>
      </c>
      <c r="AC46" s="272">
        <f t="shared" si="15"/>
        <v>0</v>
      </c>
      <c r="AD46" s="272">
        <f t="shared" si="16"/>
        <v>0</v>
      </c>
      <c r="AE46" s="272">
        <f t="shared" si="17"/>
        <v>0</v>
      </c>
      <c r="AF46"/>
      <c r="AG46" s="272">
        <f>Y46/('Input|Escalations'!G$17/'Input|Escalations'!$H$17)</f>
        <v>0</v>
      </c>
      <c r="AH46" s="272">
        <f>Z46/('Input|Escalations'!H$17/'Input|Escalations'!$H$17)</f>
        <v>0</v>
      </c>
      <c r="AI46" s="272">
        <f>AA46/('Input|Escalations'!I$17/'Input|Escalations'!$H$17)</f>
        <v>0</v>
      </c>
      <c r="AJ46" s="272">
        <f>AB46/('Input|Escalations'!J$17/'Input|Escalations'!$H$17)</f>
        <v>0</v>
      </c>
      <c r="AK46" s="272">
        <f>AC46/('Input|Escalations'!K$17/'Input|Escalations'!$H$17)</f>
        <v>0</v>
      </c>
      <c r="AL46" s="272">
        <f>AD46/('Input|Escalations'!L$17/'Input|Escalations'!$H$17)</f>
        <v>0</v>
      </c>
      <c r="AM46" s="272">
        <f>AE46/('Input|Escalations'!M$17/'Input|Escalations'!$H$17)</f>
        <v>0</v>
      </c>
      <c r="AN46" s="263"/>
      <c r="AO46" s="272">
        <f>SUM('Calc|Fee Based'!Z45-'Calc|Fee Based'!V45,'Calc|Fee Based'!AB45:AE45)</f>
        <v>1018.9078592653684</v>
      </c>
      <c r="AP46" s="272">
        <f>'Calc|Fee Based'!V45</f>
        <v>0</v>
      </c>
      <c r="AQ46" s="101">
        <f t="shared" si="41"/>
        <v>0</v>
      </c>
      <c r="AR46" s="303">
        <f t="shared" si="42"/>
        <v>1</v>
      </c>
      <c r="AS46" s="303">
        <f t="shared" si="18"/>
        <v>0</v>
      </c>
      <c r="AT46" s="263"/>
      <c r="AU46" s="272">
        <f t="shared" si="43"/>
        <v>0</v>
      </c>
      <c r="AV46" s="272">
        <f t="shared" si="50"/>
        <v>0</v>
      </c>
      <c r="AW46" s="272">
        <f t="shared" si="51"/>
        <v>0</v>
      </c>
      <c r="AX46" s="272">
        <f t="shared" si="52"/>
        <v>0</v>
      </c>
      <c r="AY46" s="272">
        <f t="shared" si="53"/>
        <v>0</v>
      </c>
      <c r="AZ46" s="272">
        <f t="shared" si="54"/>
        <v>0</v>
      </c>
      <c r="BA46" s="272">
        <f t="shared" si="55"/>
        <v>0</v>
      </c>
      <c r="BB46" s="263"/>
      <c r="BC46" s="272">
        <f t="shared" si="44"/>
        <v>0</v>
      </c>
      <c r="BD46" s="272">
        <f t="shared" si="20"/>
        <v>0</v>
      </c>
      <c r="BE46" s="272">
        <f t="shared" si="21"/>
        <v>0</v>
      </c>
      <c r="BF46" s="272">
        <f t="shared" si="22"/>
        <v>0</v>
      </c>
      <c r="BG46" s="272">
        <f t="shared" si="23"/>
        <v>0</v>
      </c>
      <c r="BH46" s="272">
        <f t="shared" si="24"/>
        <v>0</v>
      </c>
      <c r="BI46" s="272">
        <f t="shared" si="25"/>
        <v>0</v>
      </c>
      <c r="BJ46" s="299">
        <f t="shared" si="45"/>
        <v>0</v>
      </c>
      <c r="BK46" s="272"/>
      <c r="BL46" s="272"/>
      <c r="BM46" s="272">
        <f>'Calc|Fee Based'!AB45*'Input|Escalations'!$H$20/'Input|Escalations'!$I$20</f>
        <v>127.81744808665013</v>
      </c>
      <c r="BN46" s="272">
        <f>BM46*(1-'Input|Fee Based Mapping'!Z$6)</f>
        <v>128.91328399527313</v>
      </c>
      <c r="BO46" s="272">
        <f>BN46*(1-'Input|Fee Based Mapping'!AA$6)</f>
        <v>130.20584567460875</v>
      </c>
      <c r="BP46" s="272">
        <f>BO46*(1-'Input|Fee Based Mapping'!AB$6)</f>
        <v>131.67666803130737</v>
      </c>
      <c r="BQ46" s="272">
        <f>BP46*(1-'Input|Fee Based Mapping'!AC$6)</f>
        <v>133.18907544955215</v>
      </c>
      <c r="BR46" s="299"/>
      <c r="BS46" s="272"/>
      <c r="BT46" s="272"/>
      <c r="BU46" s="272">
        <f t="shared" si="46"/>
        <v>0</v>
      </c>
      <c r="BV46" s="272">
        <f t="shared" si="26"/>
        <v>0</v>
      </c>
      <c r="BW46" s="272">
        <f t="shared" si="27"/>
        <v>0</v>
      </c>
      <c r="BX46" s="272">
        <f t="shared" si="28"/>
        <v>0</v>
      </c>
      <c r="BY46" s="272">
        <f t="shared" si="29"/>
        <v>0</v>
      </c>
      <c r="BZ46"/>
      <c r="CA46" s="272"/>
      <c r="CB46" s="272"/>
      <c r="CC46" s="272">
        <f t="shared" si="47"/>
        <v>0</v>
      </c>
      <c r="CD46" s="272">
        <f t="shared" si="30"/>
        <v>0</v>
      </c>
      <c r="CE46" s="272">
        <f t="shared" si="31"/>
        <v>0</v>
      </c>
      <c r="CF46" s="272">
        <f t="shared" si="32"/>
        <v>0</v>
      </c>
      <c r="CG46" s="272">
        <f t="shared" si="33"/>
        <v>0</v>
      </c>
      <c r="CH46"/>
      <c r="CI46" s="272"/>
      <c r="CJ46" s="272"/>
      <c r="CK46" s="272">
        <f>'Calc|Fee Based'!AC45*'Input|Escalations'!$H$20/'Input|Escalations'!$I$20</f>
        <v>244.835396971943</v>
      </c>
      <c r="CL46" s="272">
        <f>CK46*(1-'Input|Fee Based Mapping'!Z$6)</f>
        <v>246.93447987275275</v>
      </c>
      <c r="CM46" s="272">
        <f>CL46*(1-'Input|Fee Based Mapping'!AA$6)</f>
        <v>249.41039264216056</v>
      </c>
      <c r="CN46" s="272">
        <f>CM46*(1-'Input|Fee Based Mapping'!AB$6)</f>
        <v>252.22776523853247</v>
      </c>
      <c r="CO46" s="272">
        <f>CN46*(1-'Input|Fee Based Mapping'!AC$6)</f>
        <v>255.12479437009705</v>
      </c>
      <c r="CP46"/>
      <c r="CQ46" s="272"/>
      <c r="CR46" s="272"/>
      <c r="CS46" s="272">
        <f t="shared" si="48"/>
        <v>0</v>
      </c>
      <c r="CT46" s="272">
        <f t="shared" si="34"/>
        <v>0</v>
      </c>
      <c r="CU46" s="272">
        <f t="shared" si="35"/>
        <v>0</v>
      </c>
      <c r="CV46" s="272">
        <f t="shared" si="36"/>
        <v>0</v>
      </c>
      <c r="CW46" s="272">
        <f t="shared" si="37"/>
        <v>0</v>
      </c>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row>
    <row r="47" spans="1:205" s="1" customFormat="1" ht="12.75" x14ac:dyDescent="0.2">
      <c r="A47" s="258">
        <f t="shared" si="49"/>
        <v>35</v>
      </c>
      <c r="B47" s="259" t="s">
        <v>395</v>
      </c>
      <c r="C47" s="260" t="s">
        <v>521</v>
      </c>
      <c r="D47" s="261" t="s">
        <v>230</v>
      </c>
      <c r="E47" s="261" t="s">
        <v>522</v>
      </c>
      <c r="F47" s="261" t="s">
        <v>478</v>
      </c>
      <c r="G47" s="264"/>
      <c r="H47" s="212">
        <v>101</v>
      </c>
      <c r="I47" s="272">
        <f t="shared" si="38"/>
        <v>102.40390000000001</v>
      </c>
      <c r="J47" s="272">
        <f t="shared" si="38"/>
        <v>103.81707382</v>
      </c>
      <c r="K47" s="272">
        <f t="shared" si="38"/>
        <v>105.60713601373411</v>
      </c>
      <c r="L47" s="272">
        <f t="shared" si="56"/>
        <v>107.51216441433047</v>
      </c>
      <c r="M47" s="272">
        <f t="shared" si="39"/>
        <v>109.41014112017807</v>
      </c>
      <c r="N47" s="272">
        <f t="shared" si="39"/>
        <v>111.30560405158802</v>
      </c>
      <c r="O47" s="272">
        <f t="shared" si="39"/>
        <v>113.20208306500572</v>
      </c>
      <c r="P47" s="101"/>
      <c r="Q47" s="272">
        <f>'Input|Fee Based Mapping'!J46</f>
        <v>889.37</v>
      </c>
      <c r="R47" s="272">
        <f>'Input|Fee Based Mapping'!K46</f>
        <v>917.60542442165558</v>
      </c>
      <c r="S47" s="272">
        <f>'Input|Fee Based Mapping'!Y46</f>
        <v>830.27378311067059</v>
      </c>
      <c r="T47" s="272">
        <f>'Input|Fee Based Mapping'!Z46</f>
        <v>861.67646064404767</v>
      </c>
      <c r="U47" s="272">
        <f>'Input|Fee Based Mapping'!AA46</f>
        <v>892.94436389457269</v>
      </c>
      <c r="V47" s="272">
        <f>'Input|Fee Based Mapping'!AB46</f>
        <v>926.20898117311754</v>
      </c>
      <c r="W47" s="272">
        <f>'Input|Fee Based Mapping'!AC46</f>
        <v>960.58066337380592</v>
      </c>
      <c r="X47" s="101"/>
      <c r="Y47" s="272">
        <f t="shared" si="40"/>
        <v>91074.956543000008</v>
      </c>
      <c r="Z47" s="272">
        <f t="shared" si="12"/>
        <v>95263.110084815446</v>
      </c>
      <c r="AA47" s="272">
        <f t="shared" si="13"/>
        <v>87682.836341606162</v>
      </c>
      <c r="AB47" s="272">
        <f t="shared" si="14"/>
        <v>92640.701308721211</v>
      </c>
      <c r="AC47" s="272">
        <f t="shared" si="15"/>
        <v>97697.16886617284</v>
      </c>
      <c r="AD47" s="272">
        <f t="shared" si="16"/>
        <v>103092.25012747977</v>
      </c>
      <c r="AE47" s="272">
        <f t="shared" si="17"/>
        <v>108739.73204587988</v>
      </c>
      <c r="AF47"/>
      <c r="AG47" s="272">
        <f>Y47/('Input|Escalations'!G$17/'Input|Escalations'!$H$17)</f>
        <v>93283.23983904632</v>
      </c>
      <c r="AH47" s="272">
        <f>Z47/('Input|Escalations'!H$17/'Input|Escalations'!$H$17)</f>
        <v>95263.110084815446</v>
      </c>
      <c r="AI47" s="272">
        <f>AA47/('Input|Escalations'!I$17/'Input|Escalations'!$H$17)</f>
        <v>84614.985907405237</v>
      </c>
      <c r="AJ47" s="272">
        <f>AB47/('Input|Escalations'!J$17/'Input|Escalations'!$H$17)</f>
        <v>86879.868712610434</v>
      </c>
      <c r="AK47" s="272">
        <f>AC47/('Input|Escalations'!K$17/'Input|Escalations'!$H$17)</f>
        <v>89300.098869886991</v>
      </c>
      <c r="AL47" s="272">
        <f>AD47/('Input|Escalations'!L$17/'Input|Escalations'!$H$17)</f>
        <v>91873.389329427242</v>
      </c>
      <c r="AM47" s="272">
        <f>AE47/('Input|Escalations'!M$17/'Input|Escalations'!$H$17)</f>
        <v>94511.98871310665</v>
      </c>
      <c r="AN47" s="263"/>
      <c r="AO47" s="272">
        <f>SUM('Calc|Fee Based'!Z46-'Calc|Fee Based'!V46,'Calc|Fee Based'!AB46:AE46)</f>
        <v>743.83190849912444</v>
      </c>
      <c r="AP47" s="272">
        <f>'Calc|Fee Based'!V46</f>
        <v>86.441874611546112</v>
      </c>
      <c r="AQ47" s="101">
        <f t="shared" si="41"/>
        <v>0</v>
      </c>
      <c r="AR47" s="303">
        <f t="shared" si="42"/>
        <v>0.89588750557956143</v>
      </c>
      <c r="AS47" s="303">
        <f t="shared" si="18"/>
        <v>0.10411249442043856</v>
      </c>
      <c r="AT47" s="263"/>
      <c r="AU47" s="272">
        <f t="shared" si="43"/>
        <v>83571.289051783184</v>
      </c>
      <c r="AV47" s="272">
        <f t="shared" si="50"/>
        <v>85345.030067636471</v>
      </c>
      <c r="AW47" s="272">
        <f t="shared" si="51"/>
        <v>75805.508659235027</v>
      </c>
      <c r="AX47" s="272">
        <f t="shared" si="52"/>
        <v>77834.588866020349</v>
      </c>
      <c r="AY47" s="272">
        <f t="shared" si="53"/>
        <v>80002.842824551262</v>
      </c>
      <c r="AZ47" s="272">
        <f t="shared" si="54"/>
        <v>82308.221595480471</v>
      </c>
      <c r="BA47" s="272">
        <f t="shared" si="55"/>
        <v>84672.109815548785</v>
      </c>
      <c r="BB47" s="263"/>
      <c r="BC47" s="272">
        <f t="shared" si="44"/>
        <v>9711.950787263142</v>
      </c>
      <c r="BD47" s="272">
        <f t="shared" si="20"/>
        <v>9918.0800171789724</v>
      </c>
      <c r="BE47" s="272">
        <f t="shared" si="21"/>
        <v>8809.4772481702148</v>
      </c>
      <c r="BF47" s="272">
        <f t="shared" si="22"/>
        <v>9045.2798465900887</v>
      </c>
      <c r="BG47" s="272">
        <f t="shared" si="23"/>
        <v>9297.2560453357219</v>
      </c>
      <c r="BH47" s="272">
        <f t="shared" si="24"/>
        <v>9565.1677339467733</v>
      </c>
      <c r="BI47" s="272">
        <f t="shared" si="25"/>
        <v>9839.8788975578682</v>
      </c>
      <c r="BJ47" s="299">
        <f t="shared" si="45"/>
        <v>0</v>
      </c>
      <c r="BK47" s="272"/>
      <c r="BL47" s="272"/>
      <c r="BM47" s="272">
        <f>'Calc|Fee Based'!AB46*'Input|Escalations'!$H$20/'Input|Escalations'!$I$20</f>
        <v>99.52958307042671</v>
      </c>
      <c r="BN47" s="272">
        <f>BM47*(1-'Input|Fee Based Mapping'!Z$6)</f>
        <v>100.3828945136728</v>
      </c>
      <c r="BO47" s="272">
        <f>BN47*(1-'Input|Fee Based Mapping'!AA$6)</f>
        <v>101.38939344603978</v>
      </c>
      <c r="BP47" s="272">
        <f>BO47*(1-'Input|Fee Based Mapping'!AB$6)</f>
        <v>102.53470136858283</v>
      </c>
      <c r="BQ47" s="272">
        <f>BP47*(1-'Input|Fee Based Mapping'!AC$6)</f>
        <v>103.71239097218432</v>
      </c>
      <c r="BR47" s="299"/>
      <c r="BS47" s="272"/>
      <c r="BT47" s="272"/>
      <c r="BU47" s="272">
        <f t="shared" si="46"/>
        <v>1094.3299912401337</v>
      </c>
      <c r="BV47" s="272">
        <f t="shared" si="26"/>
        <v>1123.6218377588157</v>
      </c>
      <c r="BW47" s="272">
        <f t="shared" si="27"/>
        <v>1154.9227996204631</v>
      </c>
      <c r="BX47" s="272">
        <f t="shared" si="28"/>
        <v>1188.2032982915687</v>
      </c>
      <c r="BY47" s="272">
        <f t="shared" si="29"/>
        <v>1222.3284406580512</v>
      </c>
      <c r="BZ47"/>
      <c r="CA47" s="272"/>
      <c r="CB47" s="272"/>
      <c r="CC47" s="272">
        <f t="shared" si="47"/>
        <v>9416.7042254686658</v>
      </c>
      <c r="CD47" s="272">
        <f t="shared" si="30"/>
        <v>9668.7604215815663</v>
      </c>
      <c r="CE47" s="272">
        <f t="shared" si="31"/>
        <v>9938.1050454000069</v>
      </c>
      <c r="CF47" s="272">
        <f t="shared" si="32"/>
        <v>10224.483573787733</v>
      </c>
      <c r="CG47" s="272">
        <f t="shared" si="33"/>
        <v>10518.130257045508</v>
      </c>
      <c r="CH47"/>
      <c r="CI47" s="272"/>
      <c r="CJ47" s="272"/>
      <c r="CK47" s="272">
        <f>'Calc|Fee Based'!AC46*'Input|Escalations'!$H$20/'Input|Escalations'!$I$20</f>
        <v>190.64975358434734</v>
      </c>
      <c r="CL47" s="272">
        <f>CK47*(1-'Input|Fee Based Mapping'!Z$6)</f>
        <v>192.28427883168465</v>
      </c>
      <c r="CM47" s="272">
        <f>CL47*(1-'Input|Fee Based Mapping'!AA$6)</f>
        <v>194.21223600300016</v>
      </c>
      <c r="CN47" s="272">
        <f>CM47*(1-'Input|Fee Based Mapping'!AB$6)</f>
        <v>196.40608296261746</v>
      </c>
      <c r="CO47" s="272">
        <f>CN47*(1-'Input|Fee Based Mapping'!AC$6)</f>
        <v>198.66195730468718</v>
      </c>
      <c r="CP47"/>
      <c r="CQ47" s="272"/>
      <c r="CR47" s="272"/>
      <c r="CS47" s="272">
        <f t="shared" si="48"/>
        <v>20133.974457767061</v>
      </c>
      <c r="CT47" s="272">
        <f t="shared" si="34"/>
        <v>20672.899000043042</v>
      </c>
      <c r="CU47" s="272">
        <f t="shared" si="35"/>
        <v>21248.788148353575</v>
      </c>
      <c r="CV47" s="272">
        <f t="shared" si="36"/>
        <v>21861.097703560448</v>
      </c>
      <c r="CW47" s="272">
        <f t="shared" si="37"/>
        <v>22488.947392661819</v>
      </c>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row>
    <row r="48" spans="1:205" s="1" customFormat="1" ht="12.75" x14ac:dyDescent="0.2">
      <c r="A48" s="258">
        <f t="shared" si="49"/>
        <v>36</v>
      </c>
      <c r="B48" s="259" t="s">
        <v>395</v>
      </c>
      <c r="C48" s="260" t="s">
        <v>523</v>
      </c>
      <c r="D48" s="261" t="s">
        <v>231</v>
      </c>
      <c r="E48" s="261" t="s">
        <v>524</v>
      </c>
      <c r="F48" s="261" t="s">
        <v>478</v>
      </c>
      <c r="G48" s="264"/>
      <c r="H48" s="212">
        <v>0</v>
      </c>
      <c r="I48" s="272">
        <f t="shared" si="38"/>
        <v>0</v>
      </c>
      <c r="J48" s="272">
        <f t="shared" si="38"/>
        <v>0</v>
      </c>
      <c r="K48" s="272">
        <f t="shared" si="38"/>
        <v>0</v>
      </c>
      <c r="L48" s="272">
        <f t="shared" si="56"/>
        <v>0</v>
      </c>
      <c r="M48" s="272">
        <f t="shared" si="39"/>
        <v>0</v>
      </c>
      <c r="N48" s="272">
        <f t="shared" si="39"/>
        <v>0</v>
      </c>
      <c r="O48" s="272">
        <f t="shared" si="39"/>
        <v>0</v>
      </c>
      <c r="P48" s="101"/>
      <c r="Q48" s="272">
        <f>'Input|Fee Based Mapping'!J47</f>
        <v>1106.1600000000001</v>
      </c>
      <c r="R48" s="272">
        <f>'Input|Fee Based Mapping'!K47</f>
        <v>1141.278001594678</v>
      </c>
      <c r="S48" s="272">
        <f>'Input|Fee Based Mapping'!Y47</f>
        <v>1211.9156797280427</v>
      </c>
      <c r="T48" s="272">
        <f>'Input|Fee Based Mapping'!Z47</f>
        <v>1257.7528458078373</v>
      </c>
      <c r="U48" s="272">
        <f>'Input|Fee Based Mapping'!AA47</f>
        <v>1303.3932875420787</v>
      </c>
      <c r="V48" s="272">
        <f>'Input|Fee Based Mapping'!AB47</f>
        <v>1351.9482486646407</v>
      </c>
      <c r="W48" s="272">
        <f>'Input|Fee Based Mapping'!AC47</f>
        <v>1402.1191458373521</v>
      </c>
      <c r="X48" s="101"/>
      <c r="Y48" s="272">
        <f t="shared" si="40"/>
        <v>0</v>
      </c>
      <c r="Z48" s="272">
        <f t="shared" si="12"/>
        <v>0</v>
      </c>
      <c r="AA48" s="272">
        <f t="shared" si="13"/>
        <v>0</v>
      </c>
      <c r="AB48" s="272">
        <f t="shared" si="14"/>
        <v>0</v>
      </c>
      <c r="AC48" s="272">
        <f t="shared" si="15"/>
        <v>0</v>
      </c>
      <c r="AD48" s="272">
        <f t="shared" si="16"/>
        <v>0</v>
      </c>
      <c r="AE48" s="272">
        <f t="shared" si="17"/>
        <v>0</v>
      </c>
      <c r="AF48"/>
      <c r="AG48" s="272">
        <f>Y48/('Input|Escalations'!G$17/'Input|Escalations'!$H$17)</f>
        <v>0</v>
      </c>
      <c r="AH48" s="272">
        <f>Z48/('Input|Escalations'!H$17/'Input|Escalations'!$H$17)</f>
        <v>0</v>
      </c>
      <c r="AI48" s="272">
        <f>AA48/('Input|Escalations'!I$17/'Input|Escalations'!$H$17)</f>
        <v>0</v>
      </c>
      <c r="AJ48" s="272">
        <f>AB48/('Input|Escalations'!J$17/'Input|Escalations'!$H$17)</f>
        <v>0</v>
      </c>
      <c r="AK48" s="272">
        <f>AC48/('Input|Escalations'!K$17/'Input|Escalations'!$H$17)</f>
        <v>0</v>
      </c>
      <c r="AL48" s="272">
        <f>AD48/('Input|Escalations'!L$17/'Input|Escalations'!$H$17)</f>
        <v>0</v>
      </c>
      <c r="AM48" s="272">
        <f>AE48/('Input|Escalations'!M$17/'Input|Escalations'!$H$17)</f>
        <v>0</v>
      </c>
      <c r="AN48" s="263"/>
      <c r="AO48" s="272">
        <f>SUM('Calc|Fee Based'!Z47-'Calc|Fee Based'!V47,'Calc|Fee Based'!AB47:AE47)</f>
        <v>1125.4738051164968</v>
      </c>
      <c r="AP48" s="272">
        <f>'Calc|Fee Based'!V47</f>
        <v>86.441874611546112</v>
      </c>
      <c r="AQ48" s="101">
        <f t="shared" si="41"/>
        <v>0</v>
      </c>
      <c r="AR48" s="303">
        <f t="shared" si="42"/>
        <v>0.92867335899891656</v>
      </c>
      <c r="AS48" s="303">
        <f t="shared" si="18"/>
        <v>7.1326641001083421E-2</v>
      </c>
      <c r="AT48" s="263"/>
      <c r="AU48" s="272">
        <f t="shared" si="43"/>
        <v>0</v>
      </c>
      <c r="AV48" s="272">
        <f t="shared" si="50"/>
        <v>0</v>
      </c>
      <c r="AW48" s="272">
        <f t="shared" si="51"/>
        <v>0</v>
      </c>
      <c r="AX48" s="272">
        <f t="shared" si="52"/>
        <v>0</v>
      </c>
      <c r="AY48" s="272">
        <f t="shared" si="53"/>
        <v>0</v>
      </c>
      <c r="AZ48" s="272">
        <f t="shared" si="54"/>
        <v>0</v>
      </c>
      <c r="BA48" s="272">
        <f t="shared" si="55"/>
        <v>0</v>
      </c>
      <c r="BB48" s="263"/>
      <c r="BC48" s="272">
        <f t="shared" si="44"/>
        <v>0</v>
      </c>
      <c r="BD48" s="272">
        <f t="shared" si="20"/>
        <v>0</v>
      </c>
      <c r="BE48" s="272">
        <f t="shared" si="21"/>
        <v>0</v>
      </c>
      <c r="BF48" s="272">
        <f t="shared" si="22"/>
        <v>0</v>
      </c>
      <c r="BG48" s="272">
        <f t="shared" si="23"/>
        <v>0</v>
      </c>
      <c r="BH48" s="272">
        <f t="shared" si="24"/>
        <v>0</v>
      </c>
      <c r="BI48" s="272">
        <f t="shared" si="25"/>
        <v>0</v>
      </c>
      <c r="BJ48" s="299">
        <f t="shared" si="45"/>
        <v>0</v>
      </c>
      <c r="BK48" s="272"/>
      <c r="BL48" s="272"/>
      <c r="BM48" s="272">
        <f>'Calc|Fee Based'!AB47*'Input|Escalations'!$H$20/'Input|Escalations'!$I$20</f>
        <v>145.27914137903929</v>
      </c>
      <c r="BN48" s="272">
        <f>BM48*(1-'Input|Fee Based Mapping'!Z$6)</f>
        <v>146.52468416118859</v>
      </c>
      <c r="BO48" s="272">
        <f>BN48*(1-'Input|Fee Based Mapping'!AA$6)</f>
        <v>147.99382827073165</v>
      </c>
      <c r="BP48" s="272">
        <f>BO48*(1-'Input|Fee Based Mapping'!AB$6)</f>
        <v>149.66558601821393</v>
      </c>
      <c r="BQ48" s="272">
        <f>BP48*(1-'Input|Fee Based Mapping'!AC$6)</f>
        <v>151.3846099419973</v>
      </c>
      <c r="BR48" s="299"/>
      <c r="BS48" s="272"/>
      <c r="BT48" s="272"/>
      <c r="BU48" s="272">
        <f t="shared" si="46"/>
        <v>0</v>
      </c>
      <c r="BV48" s="272">
        <f t="shared" si="26"/>
        <v>0</v>
      </c>
      <c r="BW48" s="272">
        <f t="shared" si="27"/>
        <v>0</v>
      </c>
      <c r="BX48" s="272">
        <f t="shared" si="28"/>
        <v>0</v>
      </c>
      <c r="BY48" s="272">
        <f t="shared" si="29"/>
        <v>0</v>
      </c>
      <c r="BZ48"/>
      <c r="CA48" s="272"/>
      <c r="CB48" s="272"/>
      <c r="CC48" s="272">
        <f t="shared" si="47"/>
        <v>0</v>
      </c>
      <c r="CD48" s="272">
        <f t="shared" si="30"/>
        <v>0</v>
      </c>
      <c r="CE48" s="272">
        <f t="shared" si="31"/>
        <v>0</v>
      </c>
      <c r="CF48" s="272">
        <f t="shared" si="32"/>
        <v>0</v>
      </c>
      <c r="CG48" s="272">
        <f t="shared" si="33"/>
        <v>0</v>
      </c>
      <c r="CH48"/>
      <c r="CI48" s="272"/>
      <c r="CJ48" s="272"/>
      <c r="CK48" s="272">
        <f>'Calc|Fee Based'!AC47*'Input|Escalations'!$H$20/'Input|Escalations'!$I$20</f>
        <v>278.2834173560318</v>
      </c>
      <c r="CL48" s="272">
        <f>CK48*(1-'Input|Fee Based Mapping'!Z$6)</f>
        <v>280.66926503237039</v>
      </c>
      <c r="CM48" s="272">
        <f>CL48*(1-'Input|Fee Based Mapping'!AA$6)</f>
        <v>283.48342293219889</v>
      </c>
      <c r="CN48" s="272">
        <f>CM48*(1-'Input|Fee Based Mapping'!AB$6)</f>
        <v>286.68568895982503</v>
      </c>
      <c r="CO48" s="272">
        <f>CN48*(1-'Input|Fee Based Mapping'!AC$6)</f>
        <v>289.97849374574474</v>
      </c>
      <c r="CP48"/>
      <c r="CQ48" s="272"/>
      <c r="CR48" s="272"/>
      <c r="CS48" s="272">
        <f t="shared" si="48"/>
        <v>0</v>
      </c>
      <c r="CT48" s="272">
        <f t="shared" si="34"/>
        <v>0</v>
      </c>
      <c r="CU48" s="272">
        <f t="shared" si="35"/>
        <v>0</v>
      </c>
      <c r="CV48" s="272">
        <f t="shared" si="36"/>
        <v>0</v>
      </c>
      <c r="CW48" s="272">
        <f t="shared" si="37"/>
        <v>0</v>
      </c>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row>
    <row r="49" spans="1:205" s="1" customFormat="1" ht="12.75" x14ac:dyDescent="0.2">
      <c r="A49" s="258">
        <f t="shared" si="49"/>
        <v>37</v>
      </c>
      <c r="B49" s="259"/>
      <c r="C49" s="260"/>
      <c r="D49" s="261"/>
      <c r="E49" s="261"/>
      <c r="F49" s="261"/>
      <c r="G49" s="264"/>
      <c r="H49" s="212"/>
      <c r="I49" s="272">
        <f t="shared" si="38"/>
        <v>0</v>
      </c>
      <c r="J49" s="272">
        <f t="shared" si="38"/>
        <v>0</v>
      </c>
      <c r="K49" s="272">
        <f t="shared" si="38"/>
        <v>0</v>
      </c>
      <c r="L49" s="272">
        <f t="shared" si="56"/>
        <v>0</v>
      </c>
      <c r="M49" s="272">
        <f t="shared" si="39"/>
        <v>0</v>
      </c>
      <c r="N49" s="272">
        <f t="shared" si="39"/>
        <v>0</v>
      </c>
      <c r="O49" s="272">
        <f t="shared" si="39"/>
        <v>0</v>
      </c>
      <c r="P49" s="101"/>
      <c r="Q49" s="272">
        <f>'Input|Fee Based Mapping'!J48</f>
        <v>0</v>
      </c>
      <c r="R49" s="272">
        <f>'Input|Fee Based Mapping'!K48</f>
        <v>0</v>
      </c>
      <c r="S49" s="272">
        <f>'Input|Fee Based Mapping'!Y48</f>
        <v>0</v>
      </c>
      <c r="T49" s="272">
        <f>'Input|Fee Based Mapping'!Z48</f>
        <v>0</v>
      </c>
      <c r="U49" s="272">
        <f>'Input|Fee Based Mapping'!AA48</f>
        <v>0</v>
      </c>
      <c r="V49" s="272">
        <f>'Input|Fee Based Mapping'!AB48</f>
        <v>0</v>
      </c>
      <c r="W49" s="272">
        <f>'Input|Fee Based Mapping'!AC48</f>
        <v>0</v>
      </c>
      <c r="X49" s="101"/>
      <c r="Y49" s="272">
        <f t="shared" si="40"/>
        <v>0</v>
      </c>
      <c r="Z49" s="272">
        <f t="shared" si="12"/>
        <v>0</v>
      </c>
      <c r="AA49" s="272">
        <f t="shared" si="13"/>
        <v>0</v>
      </c>
      <c r="AB49" s="272">
        <f t="shared" si="14"/>
        <v>0</v>
      </c>
      <c r="AC49" s="272">
        <f t="shared" si="15"/>
        <v>0</v>
      </c>
      <c r="AD49" s="272">
        <f t="shared" si="16"/>
        <v>0</v>
      </c>
      <c r="AE49" s="272">
        <f t="shared" si="17"/>
        <v>0</v>
      </c>
      <c r="AF49"/>
      <c r="AG49" s="272">
        <f>Y49/('Input|Escalations'!G$17/'Input|Escalations'!$H$17)</f>
        <v>0</v>
      </c>
      <c r="AH49" s="272">
        <f>Z49/('Input|Escalations'!H$17/'Input|Escalations'!$H$17)</f>
        <v>0</v>
      </c>
      <c r="AI49" s="272">
        <f>AA49/('Input|Escalations'!I$17/'Input|Escalations'!$H$17)</f>
        <v>0</v>
      </c>
      <c r="AJ49" s="272">
        <f>AB49/('Input|Escalations'!J$17/'Input|Escalations'!$H$17)</f>
        <v>0</v>
      </c>
      <c r="AK49" s="272">
        <f>AC49/('Input|Escalations'!K$17/'Input|Escalations'!$H$17)</f>
        <v>0</v>
      </c>
      <c r="AL49" s="272">
        <f>AD49/('Input|Escalations'!L$17/'Input|Escalations'!$H$17)</f>
        <v>0</v>
      </c>
      <c r="AM49" s="272">
        <f>AE49/('Input|Escalations'!M$17/'Input|Escalations'!$H$17)</f>
        <v>0</v>
      </c>
      <c r="AN49" s="263"/>
      <c r="AO49" s="272">
        <f>SUM('Calc|Fee Based'!Z48-'Calc|Fee Based'!V48,'Calc|Fee Based'!AB48:AE48)</f>
        <v>0</v>
      </c>
      <c r="AP49" s="272">
        <f>'Calc|Fee Based'!V48</f>
        <v>0</v>
      </c>
      <c r="AQ49" s="101">
        <f t="shared" si="41"/>
        <v>0</v>
      </c>
      <c r="AR49" s="303">
        <f t="shared" si="42"/>
        <v>0</v>
      </c>
      <c r="AS49" s="303">
        <f t="shared" si="18"/>
        <v>0</v>
      </c>
      <c r="AT49" s="263"/>
      <c r="AU49" s="272">
        <f t="shared" si="43"/>
        <v>0</v>
      </c>
      <c r="AV49" s="272">
        <f t="shared" si="50"/>
        <v>0</v>
      </c>
      <c r="AW49" s="272">
        <f t="shared" si="51"/>
        <v>0</v>
      </c>
      <c r="AX49" s="272">
        <f t="shared" si="52"/>
        <v>0</v>
      </c>
      <c r="AY49" s="272">
        <f t="shared" si="53"/>
        <v>0</v>
      </c>
      <c r="AZ49" s="272">
        <f t="shared" si="54"/>
        <v>0</v>
      </c>
      <c r="BA49" s="272">
        <f t="shared" si="55"/>
        <v>0</v>
      </c>
      <c r="BB49" s="263"/>
      <c r="BC49" s="272">
        <f t="shared" si="44"/>
        <v>0</v>
      </c>
      <c r="BD49" s="272">
        <f t="shared" si="20"/>
        <v>0</v>
      </c>
      <c r="BE49" s="272">
        <f t="shared" si="21"/>
        <v>0</v>
      </c>
      <c r="BF49" s="272">
        <f t="shared" si="22"/>
        <v>0</v>
      </c>
      <c r="BG49" s="272">
        <f t="shared" si="23"/>
        <v>0</v>
      </c>
      <c r="BH49" s="272">
        <f t="shared" si="24"/>
        <v>0</v>
      </c>
      <c r="BI49" s="272">
        <f t="shared" si="25"/>
        <v>0</v>
      </c>
      <c r="BJ49" s="299">
        <f t="shared" si="45"/>
        <v>0</v>
      </c>
      <c r="BK49" s="272"/>
      <c r="BL49" s="272"/>
      <c r="BM49" s="272"/>
      <c r="BN49" s="272"/>
      <c r="BO49" s="272"/>
      <c r="BP49" s="272"/>
      <c r="BQ49" s="272"/>
      <c r="BR49" s="299"/>
      <c r="BS49" s="272"/>
      <c r="BT49" s="272"/>
      <c r="BU49" s="272"/>
      <c r="BV49" s="272"/>
      <c r="BW49" s="272"/>
      <c r="BX49" s="272"/>
      <c r="BY49" s="272"/>
      <c r="BZ49"/>
      <c r="CA49" s="272"/>
      <c r="CB49" s="272"/>
      <c r="CC49" s="272"/>
      <c r="CD49" s="272"/>
      <c r="CE49" s="272"/>
      <c r="CF49" s="272"/>
      <c r="CG49" s="272"/>
      <c r="CH49"/>
      <c r="CI49" s="272"/>
      <c r="CJ49" s="272"/>
      <c r="CK49" s="272"/>
      <c r="CL49" s="272"/>
      <c r="CM49" s="272"/>
      <c r="CN49" s="272"/>
      <c r="CO49" s="272"/>
      <c r="CP49"/>
      <c r="CQ49" s="272"/>
      <c r="CR49" s="272"/>
      <c r="CS49" s="272"/>
      <c r="CT49" s="272"/>
      <c r="CU49" s="272"/>
      <c r="CV49" s="272"/>
      <c r="CW49" s="272"/>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row>
    <row r="50" spans="1:205" s="1" customFormat="1" ht="12.75" x14ac:dyDescent="0.2">
      <c r="A50" s="258">
        <f t="shared" si="49"/>
        <v>38</v>
      </c>
      <c r="B50" s="259"/>
      <c r="C50" s="260"/>
      <c r="D50" s="261"/>
      <c r="E50" s="261"/>
      <c r="F50" s="261"/>
      <c r="G50" s="264"/>
      <c r="H50" s="212"/>
      <c r="I50" s="272">
        <f t="shared" si="38"/>
        <v>0</v>
      </c>
      <c r="J50" s="272">
        <f t="shared" si="38"/>
        <v>0</v>
      </c>
      <c r="K50" s="272">
        <f t="shared" si="38"/>
        <v>0</v>
      </c>
      <c r="L50" s="272">
        <f t="shared" si="56"/>
        <v>0</v>
      </c>
      <c r="M50" s="272">
        <f t="shared" si="39"/>
        <v>0</v>
      </c>
      <c r="N50" s="272">
        <f t="shared" si="39"/>
        <v>0</v>
      </c>
      <c r="O50" s="272">
        <f t="shared" si="39"/>
        <v>0</v>
      </c>
      <c r="P50" s="101"/>
      <c r="Q50" s="272">
        <f>'Input|Fee Based Mapping'!J49</f>
        <v>0</v>
      </c>
      <c r="R50" s="272">
        <f>'Input|Fee Based Mapping'!K49</f>
        <v>0</v>
      </c>
      <c r="S50" s="272">
        <f>'Input|Fee Based Mapping'!Y49</f>
        <v>0</v>
      </c>
      <c r="T50" s="272">
        <f>'Input|Fee Based Mapping'!Z49</f>
        <v>0</v>
      </c>
      <c r="U50" s="272">
        <f>'Input|Fee Based Mapping'!AA49</f>
        <v>0</v>
      </c>
      <c r="V50" s="272">
        <f>'Input|Fee Based Mapping'!AB49</f>
        <v>0</v>
      </c>
      <c r="W50" s="272">
        <f>'Input|Fee Based Mapping'!AC49</f>
        <v>0</v>
      </c>
      <c r="X50" s="101"/>
      <c r="Y50" s="272">
        <f t="shared" si="40"/>
        <v>0</v>
      </c>
      <c r="Z50" s="272">
        <f t="shared" si="12"/>
        <v>0</v>
      </c>
      <c r="AA50" s="272">
        <f t="shared" si="13"/>
        <v>0</v>
      </c>
      <c r="AB50" s="272">
        <f t="shared" si="14"/>
        <v>0</v>
      </c>
      <c r="AC50" s="272">
        <f t="shared" si="15"/>
        <v>0</v>
      </c>
      <c r="AD50" s="272">
        <f t="shared" si="16"/>
        <v>0</v>
      </c>
      <c r="AE50" s="272">
        <f t="shared" si="17"/>
        <v>0</v>
      </c>
      <c r="AF50"/>
      <c r="AG50" s="272">
        <f>Y50/('Input|Escalations'!G$17/'Input|Escalations'!$H$17)</f>
        <v>0</v>
      </c>
      <c r="AH50" s="272">
        <f>Z50/('Input|Escalations'!H$17/'Input|Escalations'!$H$17)</f>
        <v>0</v>
      </c>
      <c r="AI50" s="272">
        <f>AA50/('Input|Escalations'!I$17/'Input|Escalations'!$H$17)</f>
        <v>0</v>
      </c>
      <c r="AJ50" s="272">
        <f>AB50/('Input|Escalations'!J$17/'Input|Escalations'!$H$17)</f>
        <v>0</v>
      </c>
      <c r="AK50" s="272">
        <f>AC50/('Input|Escalations'!K$17/'Input|Escalations'!$H$17)</f>
        <v>0</v>
      </c>
      <c r="AL50" s="272">
        <f>AD50/('Input|Escalations'!L$17/'Input|Escalations'!$H$17)</f>
        <v>0</v>
      </c>
      <c r="AM50" s="272">
        <f>AE50/('Input|Escalations'!M$17/'Input|Escalations'!$H$17)</f>
        <v>0</v>
      </c>
      <c r="AN50" s="263"/>
      <c r="AO50" s="272">
        <f>SUM('Calc|Fee Based'!Z49-'Calc|Fee Based'!V49,'Calc|Fee Based'!AB49:AE49)</f>
        <v>0</v>
      </c>
      <c r="AP50" s="272">
        <f>'Calc|Fee Based'!V49</f>
        <v>0</v>
      </c>
      <c r="AQ50" s="101">
        <f t="shared" si="41"/>
        <v>0</v>
      </c>
      <c r="AR50" s="303">
        <f t="shared" si="42"/>
        <v>0</v>
      </c>
      <c r="AS50" s="303">
        <f t="shared" si="18"/>
        <v>0</v>
      </c>
      <c r="AT50" s="263"/>
      <c r="AU50" s="272">
        <f t="shared" si="43"/>
        <v>0</v>
      </c>
      <c r="AV50" s="272">
        <f t="shared" si="50"/>
        <v>0</v>
      </c>
      <c r="AW50" s="272">
        <f t="shared" si="51"/>
        <v>0</v>
      </c>
      <c r="AX50" s="272">
        <f t="shared" si="52"/>
        <v>0</v>
      </c>
      <c r="AY50" s="272">
        <f t="shared" si="53"/>
        <v>0</v>
      </c>
      <c r="AZ50" s="272">
        <f t="shared" si="54"/>
        <v>0</v>
      </c>
      <c r="BA50" s="272">
        <f t="shared" si="55"/>
        <v>0</v>
      </c>
      <c r="BB50" s="263"/>
      <c r="BC50" s="272">
        <f t="shared" si="44"/>
        <v>0</v>
      </c>
      <c r="BD50" s="272">
        <f t="shared" si="20"/>
        <v>0</v>
      </c>
      <c r="BE50" s="272">
        <f t="shared" si="21"/>
        <v>0</v>
      </c>
      <c r="BF50" s="272">
        <f t="shared" si="22"/>
        <v>0</v>
      </c>
      <c r="BG50" s="272">
        <f t="shared" si="23"/>
        <v>0</v>
      </c>
      <c r="BH50" s="272">
        <f t="shared" si="24"/>
        <v>0</v>
      </c>
      <c r="BI50" s="272">
        <f t="shared" si="25"/>
        <v>0</v>
      </c>
      <c r="BJ50" s="299">
        <f t="shared" si="45"/>
        <v>0</v>
      </c>
      <c r="BK50" s="272"/>
      <c r="BL50" s="272"/>
      <c r="BM50" s="272"/>
      <c r="BN50" s="272"/>
      <c r="BO50" s="272"/>
      <c r="BP50" s="272"/>
      <c r="BQ50" s="272"/>
      <c r="BR50" s="299"/>
      <c r="BS50" s="272"/>
      <c r="BT50" s="272"/>
      <c r="BU50" s="272"/>
      <c r="BV50" s="272"/>
      <c r="BW50" s="272"/>
      <c r="BX50" s="272"/>
      <c r="BY50" s="272"/>
      <c r="BZ50"/>
      <c r="CA50" s="272"/>
      <c r="CB50" s="272"/>
      <c r="CC50" s="272"/>
      <c r="CD50" s="272"/>
      <c r="CE50" s="272"/>
      <c r="CF50" s="272"/>
      <c r="CG50" s="272"/>
      <c r="CH50"/>
      <c r="CI50" s="272"/>
      <c r="CJ50" s="272"/>
      <c r="CK50" s="272"/>
      <c r="CL50" s="272"/>
      <c r="CM50" s="272"/>
      <c r="CN50" s="272"/>
      <c r="CO50" s="272"/>
      <c r="CP50"/>
      <c r="CQ50" s="272"/>
      <c r="CR50" s="272"/>
      <c r="CS50" s="272"/>
      <c r="CT50" s="272"/>
      <c r="CU50" s="272"/>
      <c r="CV50" s="272"/>
      <c r="CW50" s="272"/>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row>
    <row r="51" spans="1:205" s="1" customFormat="1" ht="12.75" x14ac:dyDescent="0.2">
      <c r="A51" s="258">
        <f t="shared" si="49"/>
        <v>39</v>
      </c>
      <c r="B51" s="259"/>
      <c r="C51" s="260"/>
      <c r="D51" s="261"/>
      <c r="E51" s="261"/>
      <c r="F51" s="261"/>
      <c r="G51" s="264"/>
      <c r="H51" s="212"/>
      <c r="I51" s="272">
        <f t="shared" si="38"/>
        <v>0</v>
      </c>
      <c r="J51" s="272">
        <f t="shared" si="38"/>
        <v>0</v>
      </c>
      <c r="K51" s="272">
        <f t="shared" si="38"/>
        <v>0</v>
      </c>
      <c r="L51" s="272">
        <f t="shared" si="56"/>
        <v>0</v>
      </c>
      <c r="M51" s="272">
        <f t="shared" si="39"/>
        <v>0</v>
      </c>
      <c r="N51" s="272">
        <f t="shared" si="39"/>
        <v>0</v>
      </c>
      <c r="O51" s="272">
        <f t="shared" si="39"/>
        <v>0</v>
      </c>
      <c r="P51" s="101"/>
      <c r="Q51" s="272">
        <f>'Input|Fee Based Mapping'!J50</f>
        <v>0</v>
      </c>
      <c r="R51" s="272">
        <f>'Input|Fee Based Mapping'!K50</f>
        <v>0</v>
      </c>
      <c r="S51" s="272">
        <f>'Input|Fee Based Mapping'!Y50</f>
        <v>0</v>
      </c>
      <c r="T51" s="272">
        <f>'Input|Fee Based Mapping'!Z50</f>
        <v>0</v>
      </c>
      <c r="U51" s="272">
        <f>'Input|Fee Based Mapping'!AA50</f>
        <v>0</v>
      </c>
      <c r="V51" s="272">
        <f>'Input|Fee Based Mapping'!AB50</f>
        <v>0</v>
      </c>
      <c r="W51" s="272">
        <f>'Input|Fee Based Mapping'!AC50</f>
        <v>0</v>
      </c>
      <c r="X51" s="101"/>
      <c r="Y51" s="272">
        <f t="shared" si="40"/>
        <v>0</v>
      </c>
      <c r="Z51" s="272">
        <f t="shared" si="12"/>
        <v>0</v>
      </c>
      <c r="AA51" s="272">
        <f t="shared" si="13"/>
        <v>0</v>
      </c>
      <c r="AB51" s="272">
        <f t="shared" si="14"/>
        <v>0</v>
      </c>
      <c r="AC51" s="272">
        <f t="shared" si="15"/>
        <v>0</v>
      </c>
      <c r="AD51" s="272">
        <f t="shared" si="16"/>
        <v>0</v>
      </c>
      <c r="AE51" s="272">
        <f t="shared" si="17"/>
        <v>0</v>
      </c>
      <c r="AF51"/>
      <c r="AG51" s="272">
        <f>Y51/('Input|Escalations'!G$17/'Input|Escalations'!$H$17)</f>
        <v>0</v>
      </c>
      <c r="AH51" s="272">
        <f>Z51/('Input|Escalations'!H$17/'Input|Escalations'!$H$17)</f>
        <v>0</v>
      </c>
      <c r="AI51" s="272">
        <f>AA51/('Input|Escalations'!I$17/'Input|Escalations'!$H$17)</f>
        <v>0</v>
      </c>
      <c r="AJ51" s="272">
        <f>AB51/('Input|Escalations'!J$17/'Input|Escalations'!$H$17)</f>
        <v>0</v>
      </c>
      <c r="AK51" s="272">
        <f>AC51/('Input|Escalations'!K$17/'Input|Escalations'!$H$17)</f>
        <v>0</v>
      </c>
      <c r="AL51" s="272">
        <f>AD51/('Input|Escalations'!L$17/'Input|Escalations'!$H$17)</f>
        <v>0</v>
      </c>
      <c r="AM51" s="272">
        <f>AE51/('Input|Escalations'!M$17/'Input|Escalations'!$H$17)</f>
        <v>0</v>
      </c>
      <c r="AN51" s="263"/>
      <c r="AO51" s="272">
        <f>SUM('Calc|Fee Based'!Z50-'Calc|Fee Based'!V50,'Calc|Fee Based'!AB50:AE50)</f>
        <v>0</v>
      </c>
      <c r="AP51" s="272">
        <f>'Calc|Fee Based'!V50</f>
        <v>0</v>
      </c>
      <c r="AQ51" s="101">
        <f t="shared" si="41"/>
        <v>0</v>
      </c>
      <c r="AR51" s="303">
        <f t="shared" si="42"/>
        <v>0</v>
      </c>
      <c r="AS51" s="303">
        <f t="shared" si="18"/>
        <v>0</v>
      </c>
      <c r="AT51" s="263"/>
      <c r="AU51" s="272">
        <f t="shared" si="43"/>
        <v>0</v>
      </c>
      <c r="AV51" s="272">
        <f t="shared" si="50"/>
        <v>0</v>
      </c>
      <c r="AW51" s="272">
        <f t="shared" si="51"/>
        <v>0</v>
      </c>
      <c r="AX51" s="272">
        <f t="shared" si="52"/>
        <v>0</v>
      </c>
      <c r="AY51" s="272">
        <f t="shared" si="53"/>
        <v>0</v>
      </c>
      <c r="AZ51" s="272">
        <f t="shared" si="54"/>
        <v>0</v>
      </c>
      <c r="BA51" s="272">
        <f t="shared" si="55"/>
        <v>0</v>
      </c>
      <c r="BB51" s="263"/>
      <c r="BC51" s="272">
        <f t="shared" si="44"/>
        <v>0</v>
      </c>
      <c r="BD51" s="272">
        <f t="shared" si="20"/>
        <v>0</v>
      </c>
      <c r="BE51" s="272">
        <f t="shared" si="21"/>
        <v>0</v>
      </c>
      <c r="BF51" s="272">
        <f t="shared" si="22"/>
        <v>0</v>
      </c>
      <c r="BG51" s="272">
        <f t="shared" si="23"/>
        <v>0</v>
      </c>
      <c r="BH51" s="272">
        <f t="shared" si="24"/>
        <v>0</v>
      </c>
      <c r="BI51" s="272">
        <f t="shared" si="25"/>
        <v>0</v>
      </c>
      <c r="BJ51" s="299">
        <f t="shared" si="45"/>
        <v>0</v>
      </c>
      <c r="BK51" s="272"/>
      <c r="BL51" s="272"/>
      <c r="BM51" s="272"/>
      <c r="BN51" s="272"/>
      <c r="BO51" s="272"/>
      <c r="BP51" s="272"/>
      <c r="BQ51" s="272"/>
      <c r="BR51" s="299"/>
      <c r="BS51" s="272"/>
      <c r="BT51" s="272"/>
      <c r="BU51" s="272"/>
      <c r="BV51" s="272"/>
      <c r="BW51" s="272"/>
      <c r="BX51" s="272"/>
      <c r="BY51" s="272"/>
      <c r="BZ51"/>
      <c r="CA51" s="272"/>
      <c r="CB51" s="272"/>
      <c r="CC51" s="272"/>
      <c r="CD51" s="272"/>
      <c r="CE51" s="272"/>
      <c r="CF51" s="272"/>
      <c r="CG51" s="272"/>
      <c r="CH51"/>
      <c r="CI51" s="272"/>
      <c r="CJ51" s="272"/>
      <c r="CK51" s="272"/>
      <c r="CL51" s="272"/>
      <c r="CM51" s="272"/>
      <c r="CN51" s="272"/>
      <c r="CO51" s="272"/>
      <c r="CP51"/>
      <c r="CQ51" s="272"/>
      <c r="CR51" s="272"/>
      <c r="CS51" s="272"/>
      <c r="CT51" s="272"/>
      <c r="CU51" s="272"/>
      <c r="CV51" s="272"/>
      <c r="CW51" s="272"/>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row>
    <row r="52" spans="1:205" s="1" customFormat="1" ht="12.75" x14ac:dyDescent="0.2">
      <c r="A52" s="258">
        <f t="shared" si="49"/>
        <v>40</v>
      </c>
      <c r="B52" s="259"/>
      <c r="C52" s="259"/>
      <c r="D52" s="261"/>
      <c r="E52" s="261"/>
      <c r="F52" s="261"/>
      <c r="G52" s="264"/>
      <c r="H52" s="212"/>
      <c r="I52" s="272">
        <f t="shared" si="38"/>
        <v>0</v>
      </c>
      <c r="J52" s="272">
        <f t="shared" si="38"/>
        <v>0</v>
      </c>
      <c r="K52" s="272">
        <f t="shared" si="38"/>
        <v>0</v>
      </c>
      <c r="L52" s="272">
        <f t="shared" si="56"/>
        <v>0</v>
      </c>
      <c r="M52" s="272">
        <f t="shared" si="39"/>
        <v>0</v>
      </c>
      <c r="N52" s="272">
        <f t="shared" si="39"/>
        <v>0</v>
      </c>
      <c r="O52" s="272">
        <f t="shared" si="39"/>
        <v>0</v>
      </c>
      <c r="P52" s="101"/>
      <c r="Q52" s="272">
        <f>'Input|Fee Based Mapping'!J51</f>
        <v>0</v>
      </c>
      <c r="R52" s="272">
        <f>'Input|Fee Based Mapping'!K51</f>
        <v>0</v>
      </c>
      <c r="S52" s="272">
        <f>'Input|Fee Based Mapping'!Y51</f>
        <v>0</v>
      </c>
      <c r="T52" s="272">
        <f>'Input|Fee Based Mapping'!Z51</f>
        <v>0</v>
      </c>
      <c r="U52" s="272">
        <f>'Input|Fee Based Mapping'!AA51</f>
        <v>0</v>
      </c>
      <c r="V52" s="272">
        <f>'Input|Fee Based Mapping'!AB51</f>
        <v>0</v>
      </c>
      <c r="W52" s="272">
        <f>'Input|Fee Based Mapping'!AC51</f>
        <v>0</v>
      </c>
      <c r="X52" s="101"/>
      <c r="Y52" s="272">
        <f t="shared" si="40"/>
        <v>0</v>
      </c>
      <c r="Z52" s="272">
        <f t="shared" si="12"/>
        <v>0</v>
      </c>
      <c r="AA52" s="272">
        <f t="shared" si="13"/>
        <v>0</v>
      </c>
      <c r="AB52" s="272">
        <f t="shared" si="14"/>
        <v>0</v>
      </c>
      <c r="AC52" s="272">
        <f t="shared" si="15"/>
        <v>0</v>
      </c>
      <c r="AD52" s="272">
        <f t="shared" si="16"/>
        <v>0</v>
      </c>
      <c r="AE52" s="272">
        <f t="shared" si="17"/>
        <v>0</v>
      </c>
      <c r="AF52"/>
      <c r="AG52" s="272">
        <f>Y52/('Input|Escalations'!G$17/'Input|Escalations'!$H$17)</f>
        <v>0</v>
      </c>
      <c r="AH52" s="272">
        <f>Z52/('Input|Escalations'!H$17/'Input|Escalations'!$H$17)</f>
        <v>0</v>
      </c>
      <c r="AI52" s="272">
        <f>AA52/('Input|Escalations'!I$17/'Input|Escalations'!$H$17)</f>
        <v>0</v>
      </c>
      <c r="AJ52" s="272">
        <f>AB52/('Input|Escalations'!J$17/'Input|Escalations'!$H$17)</f>
        <v>0</v>
      </c>
      <c r="AK52" s="272">
        <f>AC52/('Input|Escalations'!K$17/'Input|Escalations'!$H$17)</f>
        <v>0</v>
      </c>
      <c r="AL52" s="272">
        <f>AD52/('Input|Escalations'!L$17/'Input|Escalations'!$H$17)</f>
        <v>0</v>
      </c>
      <c r="AM52" s="272">
        <f>AE52/('Input|Escalations'!M$17/'Input|Escalations'!$H$17)</f>
        <v>0</v>
      </c>
      <c r="AN52" s="263"/>
      <c r="AO52" s="272">
        <f>SUM('Calc|Fee Based'!Z51-'Calc|Fee Based'!V51,'Calc|Fee Based'!AB51:AE51)</f>
        <v>0</v>
      </c>
      <c r="AP52" s="272">
        <f>'Calc|Fee Based'!V51</f>
        <v>0</v>
      </c>
      <c r="AQ52" s="101">
        <f t="shared" si="41"/>
        <v>0</v>
      </c>
      <c r="AR52" s="303">
        <f t="shared" si="42"/>
        <v>0</v>
      </c>
      <c r="AS52" s="303">
        <f t="shared" si="18"/>
        <v>0</v>
      </c>
      <c r="AT52" s="263"/>
      <c r="AU52" s="272">
        <f t="shared" si="43"/>
        <v>0</v>
      </c>
      <c r="AV52" s="272">
        <f t="shared" si="50"/>
        <v>0</v>
      </c>
      <c r="AW52" s="272">
        <f t="shared" si="51"/>
        <v>0</v>
      </c>
      <c r="AX52" s="272">
        <f t="shared" si="52"/>
        <v>0</v>
      </c>
      <c r="AY52" s="272">
        <f t="shared" si="53"/>
        <v>0</v>
      </c>
      <c r="AZ52" s="272">
        <f t="shared" si="54"/>
        <v>0</v>
      </c>
      <c r="BA52" s="272">
        <f t="shared" si="55"/>
        <v>0</v>
      </c>
      <c r="BB52" s="263"/>
      <c r="BC52" s="272">
        <f t="shared" si="44"/>
        <v>0</v>
      </c>
      <c r="BD52" s="272">
        <f t="shared" si="20"/>
        <v>0</v>
      </c>
      <c r="BE52" s="272">
        <f t="shared" si="21"/>
        <v>0</v>
      </c>
      <c r="BF52" s="272">
        <f t="shared" si="22"/>
        <v>0</v>
      </c>
      <c r="BG52" s="272">
        <f t="shared" si="23"/>
        <v>0</v>
      </c>
      <c r="BH52" s="272">
        <f t="shared" si="24"/>
        <v>0</v>
      </c>
      <c r="BI52" s="272">
        <f t="shared" si="25"/>
        <v>0</v>
      </c>
      <c r="BJ52" s="299">
        <f t="shared" si="45"/>
        <v>0</v>
      </c>
      <c r="BK52" s="272"/>
      <c r="BL52" s="272"/>
      <c r="BM52" s="272"/>
      <c r="BN52" s="272"/>
      <c r="BO52" s="272"/>
      <c r="BP52" s="272"/>
      <c r="BQ52" s="272"/>
      <c r="BR52" s="299"/>
      <c r="BS52" s="272"/>
      <c r="BT52" s="272"/>
      <c r="BU52" s="272"/>
      <c r="BV52" s="272"/>
      <c r="BW52" s="272"/>
      <c r="BX52" s="272"/>
      <c r="BY52" s="272"/>
      <c r="BZ52"/>
      <c r="CA52" s="272"/>
      <c r="CB52" s="272"/>
      <c r="CC52" s="272"/>
      <c r="CD52" s="272"/>
      <c r="CE52" s="272"/>
      <c r="CF52" s="272"/>
      <c r="CG52" s="272"/>
      <c r="CH52"/>
      <c r="CI52" s="272"/>
      <c r="CJ52" s="272"/>
      <c r="CK52" s="272"/>
      <c r="CL52" s="272"/>
      <c r="CM52" s="272"/>
      <c r="CN52" s="272"/>
      <c r="CO52" s="272"/>
      <c r="CP52"/>
      <c r="CQ52" s="272"/>
      <c r="CR52" s="272"/>
      <c r="CS52" s="272"/>
      <c r="CT52" s="272"/>
      <c r="CU52" s="272"/>
      <c r="CV52" s="272"/>
      <c r="CW52" s="27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row>
    <row r="53" spans="1:205" s="1" customFormat="1" ht="12.75" x14ac:dyDescent="0.2">
      <c r="A53" s="258">
        <f t="shared" si="49"/>
        <v>41</v>
      </c>
      <c r="B53" s="259"/>
      <c r="C53" s="259"/>
      <c r="D53" s="261"/>
      <c r="E53" s="261"/>
      <c r="F53" s="261"/>
      <c r="G53" s="264"/>
      <c r="H53" s="212"/>
      <c r="I53" s="272">
        <f t="shared" si="38"/>
        <v>0</v>
      </c>
      <c r="J53" s="272">
        <f t="shared" si="38"/>
        <v>0</v>
      </c>
      <c r="K53" s="272">
        <f t="shared" si="38"/>
        <v>0</v>
      </c>
      <c r="L53" s="272">
        <f t="shared" si="56"/>
        <v>0</v>
      </c>
      <c r="M53" s="272">
        <f t="shared" si="39"/>
        <v>0</v>
      </c>
      <c r="N53" s="272">
        <f t="shared" si="39"/>
        <v>0</v>
      </c>
      <c r="O53" s="272">
        <f t="shared" si="39"/>
        <v>0</v>
      </c>
      <c r="P53" s="101"/>
      <c r="Q53" s="272">
        <f>'Input|Fee Based Mapping'!J52</f>
        <v>0</v>
      </c>
      <c r="R53" s="272">
        <f>'Input|Fee Based Mapping'!K52</f>
        <v>0</v>
      </c>
      <c r="S53" s="272">
        <f>'Input|Fee Based Mapping'!Y52</f>
        <v>0</v>
      </c>
      <c r="T53" s="272">
        <f>'Input|Fee Based Mapping'!Z52</f>
        <v>0</v>
      </c>
      <c r="U53" s="272">
        <f>'Input|Fee Based Mapping'!AA52</f>
        <v>0</v>
      </c>
      <c r="V53" s="272">
        <f>'Input|Fee Based Mapping'!AB52</f>
        <v>0</v>
      </c>
      <c r="W53" s="272">
        <f>'Input|Fee Based Mapping'!AC52</f>
        <v>0</v>
      </c>
      <c r="X53" s="101"/>
      <c r="Y53" s="272">
        <f t="shared" si="40"/>
        <v>0</v>
      </c>
      <c r="Z53" s="272">
        <f t="shared" si="12"/>
        <v>0</v>
      </c>
      <c r="AA53" s="272">
        <f t="shared" si="13"/>
        <v>0</v>
      </c>
      <c r="AB53" s="272">
        <f t="shared" si="14"/>
        <v>0</v>
      </c>
      <c r="AC53" s="272">
        <f t="shared" si="15"/>
        <v>0</v>
      </c>
      <c r="AD53" s="272">
        <f t="shared" si="16"/>
        <v>0</v>
      </c>
      <c r="AE53" s="272">
        <f t="shared" si="17"/>
        <v>0</v>
      </c>
      <c r="AF53"/>
      <c r="AG53" s="272">
        <f>Y53/('Input|Escalations'!G$17/'Input|Escalations'!$H$17)</f>
        <v>0</v>
      </c>
      <c r="AH53" s="272">
        <f>Z53/('Input|Escalations'!H$17/'Input|Escalations'!$H$17)</f>
        <v>0</v>
      </c>
      <c r="AI53" s="272">
        <f>AA53/('Input|Escalations'!I$17/'Input|Escalations'!$H$17)</f>
        <v>0</v>
      </c>
      <c r="AJ53" s="272">
        <f>AB53/('Input|Escalations'!J$17/'Input|Escalations'!$H$17)</f>
        <v>0</v>
      </c>
      <c r="AK53" s="272">
        <f>AC53/('Input|Escalations'!K$17/'Input|Escalations'!$H$17)</f>
        <v>0</v>
      </c>
      <c r="AL53" s="272">
        <f>AD53/('Input|Escalations'!L$17/'Input|Escalations'!$H$17)</f>
        <v>0</v>
      </c>
      <c r="AM53" s="272">
        <f>AE53/('Input|Escalations'!M$17/'Input|Escalations'!$H$17)</f>
        <v>0</v>
      </c>
      <c r="AN53" s="263"/>
      <c r="AO53" s="272">
        <f>SUM('Calc|Fee Based'!Z52-'Calc|Fee Based'!V52,'Calc|Fee Based'!AB52:AE52)</f>
        <v>0</v>
      </c>
      <c r="AP53" s="272">
        <f>'Calc|Fee Based'!V52</f>
        <v>0</v>
      </c>
      <c r="AQ53" s="101">
        <f t="shared" si="41"/>
        <v>0</v>
      </c>
      <c r="AR53" s="303">
        <f t="shared" si="42"/>
        <v>0</v>
      </c>
      <c r="AS53" s="303">
        <f t="shared" si="18"/>
        <v>0</v>
      </c>
      <c r="AT53" s="263"/>
      <c r="AU53" s="272">
        <f t="shared" si="43"/>
        <v>0</v>
      </c>
      <c r="AV53" s="272">
        <f t="shared" si="50"/>
        <v>0</v>
      </c>
      <c r="AW53" s="272">
        <f t="shared" si="51"/>
        <v>0</v>
      </c>
      <c r="AX53" s="272">
        <f t="shared" si="52"/>
        <v>0</v>
      </c>
      <c r="AY53" s="272">
        <f t="shared" si="53"/>
        <v>0</v>
      </c>
      <c r="AZ53" s="272">
        <f t="shared" si="54"/>
        <v>0</v>
      </c>
      <c r="BA53" s="272">
        <f t="shared" si="55"/>
        <v>0</v>
      </c>
      <c r="BB53" s="263"/>
      <c r="BC53" s="272">
        <f t="shared" si="44"/>
        <v>0</v>
      </c>
      <c r="BD53" s="272">
        <f t="shared" si="20"/>
        <v>0</v>
      </c>
      <c r="BE53" s="272">
        <f t="shared" si="21"/>
        <v>0</v>
      </c>
      <c r="BF53" s="272">
        <f t="shared" si="22"/>
        <v>0</v>
      </c>
      <c r="BG53" s="272">
        <f t="shared" si="23"/>
        <v>0</v>
      </c>
      <c r="BH53" s="272">
        <f t="shared" si="24"/>
        <v>0</v>
      </c>
      <c r="BI53" s="272">
        <f t="shared" si="25"/>
        <v>0</v>
      </c>
      <c r="BJ53" s="299">
        <f t="shared" si="45"/>
        <v>0</v>
      </c>
      <c r="BK53" s="272"/>
      <c r="BL53" s="272"/>
      <c r="BM53" s="272"/>
      <c r="BN53" s="272"/>
      <c r="BO53" s="272"/>
      <c r="BP53" s="272"/>
      <c r="BQ53" s="272"/>
      <c r="BR53" s="299"/>
      <c r="BS53" s="272"/>
      <c r="BT53" s="272"/>
      <c r="BU53" s="272"/>
      <c r="BV53" s="272"/>
      <c r="BW53" s="272"/>
      <c r="BX53" s="272"/>
      <c r="BY53" s="272"/>
      <c r="BZ53"/>
      <c r="CA53" s="272"/>
      <c r="CB53" s="272"/>
      <c r="CC53" s="272"/>
      <c r="CD53" s="272"/>
      <c r="CE53" s="272"/>
      <c r="CF53" s="272"/>
      <c r="CG53" s="272"/>
      <c r="CH53"/>
      <c r="CI53" s="272"/>
      <c r="CJ53" s="272"/>
      <c r="CK53" s="272"/>
      <c r="CL53" s="272"/>
      <c r="CM53" s="272"/>
      <c r="CN53" s="272"/>
      <c r="CO53" s="272"/>
      <c r="CP53"/>
      <c r="CQ53" s="272"/>
      <c r="CR53" s="272"/>
      <c r="CS53" s="272"/>
      <c r="CT53" s="272"/>
      <c r="CU53" s="272"/>
      <c r="CV53" s="272"/>
      <c r="CW53" s="272"/>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row>
    <row r="54" spans="1:205" s="1" customFormat="1" ht="12.75" x14ac:dyDescent="0.2">
      <c r="A54" s="258">
        <f t="shared" si="49"/>
        <v>42</v>
      </c>
      <c r="B54" s="259"/>
      <c r="C54" s="259"/>
      <c r="D54" s="261"/>
      <c r="E54" s="261"/>
      <c r="F54" s="261"/>
      <c r="G54" s="264"/>
      <c r="H54" s="212"/>
      <c r="I54" s="272">
        <f t="shared" si="38"/>
        <v>0</v>
      </c>
      <c r="J54" s="272">
        <f t="shared" si="38"/>
        <v>0</v>
      </c>
      <c r="K54" s="272">
        <f t="shared" si="38"/>
        <v>0</v>
      </c>
      <c r="L54" s="272">
        <f t="shared" si="56"/>
        <v>0</v>
      </c>
      <c r="M54" s="272">
        <f t="shared" si="39"/>
        <v>0</v>
      </c>
      <c r="N54" s="272">
        <f t="shared" si="39"/>
        <v>0</v>
      </c>
      <c r="O54" s="272">
        <f t="shared" si="39"/>
        <v>0</v>
      </c>
      <c r="P54" s="101"/>
      <c r="Q54" s="272">
        <f>'Input|Fee Based Mapping'!J53</f>
        <v>0</v>
      </c>
      <c r="R54" s="272">
        <f>'Input|Fee Based Mapping'!K53</f>
        <v>0</v>
      </c>
      <c r="S54" s="272">
        <f>'Input|Fee Based Mapping'!Y53</f>
        <v>0</v>
      </c>
      <c r="T54" s="272">
        <f>'Input|Fee Based Mapping'!Z53</f>
        <v>0</v>
      </c>
      <c r="U54" s="272">
        <f>'Input|Fee Based Mapping'!AA53</f>
        <v>0</v>
      </c>
      <c r="V54" s="272">
        <f>'Input|Fee Based Mapping'!AB53</f>
        <v>0</v>
      </c>
      <c r="W54" s="272">
        <f>'Input|Fee Based Mapping'!AC53</f>
        <v>0</v>
      </c>
      <c r="X54" s="101"/>
      <c r="Y54" s="272">
        <f t="shared" si="40"/>
        <v>0</v>
      </c>
      <c r="Z54" s="272">
        <f t="shared" si="12"/>
        <v>0</v>
      </c>
      <c r="AA54" s="272">
        <f t="shared" si="13"/>
        <v>0</v>
      </c>
      <c r="AB54" s="272">
        <f t="shared" si="14"/>
        <v>0</v>
      </c>
      <c r="AC54" s="272">
        <f t="shared" si="15"/>
        <v>0</v>
      </c>
      <c r="AD54" s="272">
        <f t="shared" si="16"/>
        <v>0</v>
      </c>
      <c r="AE54" s="272">
        <f t="shared" si="17"/>
        <v>0</v>
      </c>
      <c r="AF54"/>
      <c r="AG54" s="272">
        <f>Y54/('Input|Escalations'!G$17/'Input|Escalations'!$H$17)</f>
        <v>0</v>
      </c>
      <c r="AH54" s="272">
        <f>Z54/('Input|Escalations'!H$17/'Input|Escalations'!$H$17)</f>
        <v>0</v>
      </c>
      <c r="AI54" s="272">
        <f>AA54/('Input|Escalations'!I$17/'Input|Escalations'!$H$17)</f>
        <v>0</v>
      </c>
      <c r="AJ54" s="272">
        <f>AB54/('Input|Escalations'!J$17/'Input|Escalations'!$H$17)</f>
        <v>0</v>
      </c>
      <c r="AK54" s="272">
        <f>AC54/('Input|Escalations'!K$17/'Input|Escalations'!$H$17)</f>
        <v>0</v>
      </c>
      <c r="AL54" s="272">
        <f>AD54/('Input|Escalations'!L$17/'Input|Escalations'!$H$17)</f>
        <v>0</v>
      </c>
      <c r="AM54" s="272">
        <f>AE54/('Input|Escalations'!M$17/'Input|Escalations'!$H$17)</f>
        <v>0</v>
      </c>
      <c r="AN54" s="263"/>
      <c r="AO54" s="272">
        <f>SUM('Calc|Fee Based'!Z53-'Calc|Fee Based'!V53,'Calc|Fee Based'!AB53:AE53)</f>
        <v>0</v>
      </c>
      <c r="AP54" s="272">
        <f>'Calc|Fee Based'!V53</f>
        <v>0</v>
      </c>
      <c r="AQ54" s="101">
        <f t="shared" si="41"/>
        <v>0</v>
      </c>
      <c r="AR54" s="303">
        <f t="shared" si="42"/>
        <v>0</v>
      </c>
      <c r="AS54" s="303">
        <f t="shared" si="18"/>
        <v>0</v>
      </c>
      <c r="AT54" s="263"/>
      <c r="AU54" s="272">
        <f t="shared" si="43"/>
        <v>0</v>
      </c>
      <c r="AV54" s="272">
        <f t="shared" si="50"/>
        <v>0</v>
      </c>
      <c r="AW54" s="272">
        <f t="shared" si="51"/>
        <v>0</v>
      </c>
      <c r="AX54" s="272">
        <f t="shared" si="52"/>
        <v>0</v>
      </c>
      <c r="AY54" s="272">
        <f t="shared" si="53"/>
        <v>0</v>
      </c>
      <c r="AZ54" s="272">
        <f t="shared" si="54"/>
        <v>0</v>
      </c>
      <c r="BA54" s="272">
        <f t="shared" si="55"/>
        <v>0</v>
      </c>
      <c r="BB54" s="263"/>
      <c r="BC54" s="272">
        <f t="shared" si="44"/>
        <v>0</v>
      </c>
      <c r="BD54" s="272">
        <f t="shared" si="20"/>
        <v>0</v>
      </c>
      <c r="BE54" s="272">
        <f t="shared" si="21"/>
        <v>0</v>
      </c>
      <c r="BF54" s="272">
        <f t="shared" si="22"/>
        <v>0</v>
      </c>
      <c r="BG54" s="272">
        <f t="shared" si="23"/>
        <v>0</v>
      </c>
      <c r="BH54" s="272">
        <f t="shared" si="24"/>
        <v>0</v>
      </c>
      <c r="BI54" s="272">
        <f t="shared" si="25"/>
        <v>0</v>
      </c>
      <c r="BJ54" s="299">
        <f t="shared" si="45"/>
        <v>0</v>
      </c>
      <c r="BK54" s="272"/>
      <c r="BL54" s="272"/>
      <c r="BM54" s="272"/>
      <c r="BN54" s="272"/>
      <c r="BO54" s="272"/>
      <c r="BP54" s="272"/>
      <c r="BQ54" s="272"/>
      <c r="BR54" s="299"/>
      <c r="BS54" s="272"/>
      <c r="BT54" s="272"/>
      <c r="BU54" s="272"/>
      <c r="BV54" s="272"/>
      <c r="BW54" s="272"/>
      <c r="BX54" s="272"/>
      <c r="BY54" s="272"/>
      <c r="BZ54"/>
      <c r="CA54" s="272"/>
      <c r="CB54" s="272"/>
      <c r="CC54" s="272"/>
      <c r="CD54" s="272"/>
      <c r="CE54" s="272"/>
      <c r="CF54" s="272"/>
      <c r="CG54" s="272"/>
      <c r="CH54"/>
      <c r="CI54" s="272"/>
      <c r="CJ54" s="272"/>
      <c r="CK54" s="272"/>
      <c r="CL54" s="272"/>
      <c r="CM54" s="272"/>
      <c r="CN54" s="272"/>
      <c r="CO54" s="272"/>
      <c r="CP54"/>
      <c r="CQ54" s="272"/>
      <c r="CR54" s="272"/>
      <c r="CS54" s="272"/>
      <c r="CT54" s="272"/>
      <c r="CU54" s="272"/>
      <c r="CV54" s="272"/>
      <c r="CW54" s="272"/>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row>
    <row r="55" spans="1:205" s="1" customFormat="1" ht="12.75" x14ac:dyDescent="0.2">
      <c r="A55" s="258">
        <f t="shared" si="49"/>
        <v>43</v>
      </c>
      <c r="B55" s="259"/>
      <c r="C55" s="259"/>
      <c r="D55" s="261"/>
      <c r="E55" s="261"/>
      <c r="F55" s="261"/>
      <c r="G55" s="264"/>
      <c r="H55" s="212"/>
      <c r="I55" s="272">
        <f t="shared" si="38"/>
        <v>0</v>
      </c>
      <c r="J55" s="272">
        <f t="shared" si="38"/>
        <v>0</v>
      </c>
      <c r="K55" s="272">
        <f t="shared" si="38"/>
        <v>0</v>
      </c>
      <c r="L55" s="272">
        <f t="shared" si="56"/>
        <v>0</v>
      </c>
      <c r="M55" s="272">
        <f t="shared" si="39"/>
        <v>0</v>
      </c>
      <c r="N55" s="272">
        <f t="shared" si="39"/>
        <v>0</v>
      </c>
      <c r="O55" s="272">
        <f t="shared" si="39"/>
        <v>0</v>
      </c>
      <c r="P55" s="101"/>
      <c r="Q55" s="272">
        <f>'Input|Fee Based Mapping'!J54</f>
        <v>0</v>
      </c>
      <c r="R55" s="272">
        <f>'Input|Fee Based Mapping'!K54</f>
        <v>0</v>
      </c>
      <c r="S55" s="272">
        <f>'Input|Fee Based Mapping'!Y54</f>
        <v>0</v>
      </c>
      <c r="T55" s="272">
        <f>'Input|Fee Based Mapping'!Z54</f>
        <v>0</v>
      </c>
      <c r="U55" s="272">
        <f>'Input|Fee Based Mapping'!AA54</f>
        <v>0</v>
      </c>
      <c r="V55" s="272">
        <f>'Input|Fee Based Mapping'!AB54</f>
        <v>0</v>
      </c>
      <c r="W55" s="272">
        <f>'Input|Fee Based Mapping'!AC54</f>
        <v>0</v>
      </c>
      <c r="X55" s="101"/>
      <c r="Y55" s="272">
        <f t="shared" si="40"/>
        <v>0</v>
      </c>
      <c r="Z55" s="272">
        <f t="shared" si="12"/>
        <v>0</v>
      </c>
      <c r="AA55" s="272">
        <f t="shared" si="13"/>
        <v>0</v>
      </c>
      <c r="AB55" s="272">
        <f t="shared" si="14"/>
        <v>0</v>
      </c>
      <c r="AC55" s="272">
        <f t="shared" si="15"/>
        <v>0</v>
      </c>
      <c r="AD55" s="272">
        <f t="shared" si="16"/>
        <v>0</v>
      </c>
      <c r="AE55" s="272">
        <f t="shared" si="17"/>
        <v>0</v>
      </c>
      <c r="AF55"/>
      <c r="AG55" s="272">
        <f>Y55/('Input|Escalations'!G$17/'Input|Escalations'!$H$17)</f>
        <v>0</v>
      </c>
      <c r="AH55" s="272">
        <f>Z55/('Input|Escalations'!H$17/'Input|Escalations'!$H$17)</f>
        <v>0</v>
      </c>
      <c r="AI55" s="272">
        <f>AA55/('Input|Escalations'!I$17/'Input|Escalations'!$H$17)</f>
        <v>0</v>
      </c>
      <c r="AJ55" s="272">
        <f>AB55/('Input|Escalations'!J$17/'Input|Escalations'!$H$17)</f>
        <v>0</v>
      </c>
      <c r="AK55" s="272">
        <f>AC55/('Input|Escalations'!K$17/'Input|Escalations'!$H$17)</f>
        <v>0</v>
      </c>
      <c r="AL55" s="272">
        <f>AD55/('Input|Escalations'!L$17/'Input|Escalations'!$H$17)</f>
        <v>0</v>
      </c>
      <c r="AM55" s="272">
        <f>AE55/('Input|Escalations'!M$17/'Input|Escalations'!$H$17)</f>
        <v>0</v>
      </c>
      <c r="AN55" s="263"/>
      <c r="AO55" s="272">
        <f>SUM('Calc|Fee Based'!Z54-'Calc|Fee Based'!V54,'Calc|Fee Based'!AB54:AE54)</f>
        <v>0</v>
      </c>
      <c r="AP55" s="272">
        <f>'Calc|Fee Based'!V54</f>
        <v>0</v>
      </c>
      <c r="AQ55" s="101">
        <f t="shared" si="41"/>
        <v>0</v>
      </c>
      <c r="AR55" s="303">
        <f t="shared" si="42"/>
        <v>0</v>
      </c>
      <c r="AS55" s="303">
        <f t="shared" si="18"/>
        <v>0</v>
      </c>
      <c r="AT55" s="263"/>
      <c r="AU55" s="272">
        <f t="shared" si="43"/>
        <v>0</v>
      </c>
      <c r="AV55" s="272">
        <f t="shared" si="50"/>
        <v>0</v>
      </c>
      <c r="AW55" s="272">
        <f t="shared" si="51"/>
        <v>0</v>
      </c>
      <c r="AX55" s="272">
        <f t="shared" si="52"/>
        <v>0</v>
      </c>
      <c r="AY55" s="272">
        <f t="shared" si="53"/>
        <v>0</v>
      </c>
      <c r="AZ55" s="272">
        <f t="shared" si="54"/>
        <v>0</v>
      </c>
      <c r="BA55" s="272">
        <f t="shared" si="55"/>
        <v>0</v>
      </c>
      <c r="BB55" s="263"/>
      <c r="BC55" s="272">
        <f t="shared" si="44"/>
        <v>0</v>
      </c>
      <c r="BD55" s="272">
        <f t="shared" si="20"/>
        <v>0</v>
      </c>
      <c r="BE55" s="272">
        <f t="shared" si="21"/>
        <v>0</v>
      </c>
      <c r="BF55" s="272">
        <f t="shared" si="22"/>
        <v>0</v>
      </c>
      <c r="BG55" s="272">
        <f t="shared" si="23"/>
        <v>0</v>
      </c>
      <c r="BH55" s="272">
        <f t="shared" si="24"/>
        <v>0</v>
      </c>
      <c r="BI55" s="272">
        <f t="shared" si="25"/>
        <v>0</v>
      </c>
      <c r="BJ55" s="299">
        <f t="shared" si="45"/>
        <v>0</v>
      </c>
      <c r="BK55" s="272"/>
      <c r="BL55" s="272"/>
      <c r="BM55" s="272"/>
      <c r="BN55" s="272"/>
      <c r="BO55" s="272"/>
      <c r="BP55" s="272"/>
      <c r="BQ55" s="272"/>
      <c r="BR55" s="299"/>
      <c r="BS55" s="272"/>
      <c r="BT55" s="272"/>
      <c r="BU55" s="272"/>
      <c r="BV55" s="272"/>
      <c r="BW55" s="272"/>
      <c r="BX55" s="272"/>
      <c r="BY55" s="272"/>
      <c r="BZ55"/>
      <c r="CA55" s="272"/>
      <c r="CB55" s="272"/>
      <c r="CC55" s="272"/>
      <c r="CD55" s="272"/>
      <c r="CE55" s="272"/>
      <c r="CF55" s="272"/>
      <c r="CG55" s="272"/>
      <c r="CH55"/>
      <c r="CI55" s="272"/>
      <c r="CJ55" s="272"/>
      <c r="CK55" s="272"/>
      <c r="CL55" s="272"/>
      <c r="CM55" s="272"/>
      <c r="CN55" s="272"/>
      <c r="CO55" s="272"/>
      <c r="CP55"/>
      <c r="CQ55" s="272"/>
      <c r="CR55" s="272"/>
      <c r="CS55" s="272"/>
      <c r="CT55" s="272"/>
      <c r="CU55" s="272"/>
      <c r="CV55" s="272"/>
      <c r="CW55" s="272"/>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row>
    <row r="56" spans="1:205" s="1" customFormat="1" ht="12.75" x14ac:dyDescent="0.2">
      <c r="A56" s="258">
        <f t="shared" si="49"/>
        <v>44</v>
      </c>
      <c r="B56" s="259"/>
      <c r="C56" s="259"/>
      <c r="D56" s="261"/>
      <c r="E56" s="261"/>
      <c r="F56" s="261"/>
      <c r="G56" s="264"/>
      <c r="H56" s="212"/>
      <c r="I56" s="272">
        <f t="shared" si="38"/>
        <v>0</v>
      </c>
      <c r="J56" s="272">
        <f t="shared" si="38"/>
        <v>0</v>
      </c>
      <c r="K56" s="272">
        <f t="shared" si="38"/>
        <v>0</v>
      </c>
      <c r="L56" s="272">
        <f t="shared" si="56"/>
        <v>0</v>
      </c>
      <c r="M56" s="272">
        <f t="shared" si="39"/>
        <v>0</v>
      </c>
      <c r="N56" s="272">
        <f t="shared" si="39"/>
        <v>0</v>
      </c>
      <c r="O56" s="272">
        <f t="shared" si="39"/>
        <v>0</v>
      </c>
      <c r="P56" s="101"/>
      <c r="Q56" s="272">
        <f>'Input|Fee Based Mapping'!J55</f>
        <v>0</v>
      </c>
      <c r="R56" s="272">
        <f>'Input|Fee Based Mapping'!K55</f>
        <v>0</v>
      </c>
      <c r="S56" s="272">
        <f>'Input|Fee Based Mapping'!Y55</f>
        <v>0</v>
      </c>
      <c r="T56" s="272">
        <f>'Input|Fee Based Mapping'!Z55</f>
        <v>0</v>
      </c>
      <c r="U56" s="272">
        <f>'Input|Fee Based Mapping'!AA55</f>
        <v>0</v>
      </c>
      <c r="V56" s="272">
        <f>'Input|Fee Based Mapping'!AB55</f>
        <v>0</v>
      </c>
      <c r="W56" s="272">
        <f>'Input|Fee Based Mapping'!AC55</f>
        <v>0</v>
      </c>
      <c r="X56" s="101"/>
      <c r="Y56" s="272">
        <f t="shared" si="40"/>
        <v>0</v>
      </c>
      <c r="Z56" s="272">
        <f t="shared" si="12"/>
        <v>0</v>
      </c>
      <c r="AA56" s="272">
        <f t="shared" si="13"/>
        <v>0</v>
      </c>
      <c r="AB56" s="272">
        <f t="shared" si="14"/>
        <v>0</v>
      </c>
      <c r="AC56" s="272">
        <f t="shared" si="15"/>
        <v>0</v>
      </c>
      <c r="AD56" s="272">
        <f t="shared" si="16"/>
        <v>0</v>
      </c>
      <c r="AE56" s="272">
        <f t="shared" si="17"/>
        <v>0</v>
      </c>
      <c r="AF56"/>
      <c r="AG56" s="272">
        <f>Y56/('Input|Escalations'!G$17/'Input|Escalations'!$H$17)</f>
        <v>0</v>
      </c>
      <c r="AH56" s="272">
        <f>Z56/('Input|Escalations'!H$17/'Input|Escalations'!$H$17)</f>
        <v>0</v>
      </c>
      <c r="AI56" s="272">
        <f>AA56/('Input|Escalations'!I$17/'Input|Escalations'!$H$17)</f>
        <v>0</v>
      </c>
      <c r="AJ56" s="272">
        <f>AB56/('Input|Escalations'!J$17/'Input|Escalations'!$H$17)</f>
        <v>0</v>
      </c>
      <c r="AK56" s="272">
        <f>AC56/('Input|Escalations'!K$17/'Input|Escalations'!$H$17)</f>
        <v>0</v>
      </c>
      <c r="AL56" s="272">
        <f>AD56/('Input|Escalations'!L$17/'Input|Escalations'!$H$17)</f>
        <v>0</v>
      </c>
      <c r="AM56" s="272">
        <f>AE56/('Input|Escalations'!M$17/'Input|Escalations'!$H$17)</f>
        <v>0</v>
      </c>
      <c r="AN56" s="263"/>
      <c r="AO56" s="272">
        <f>SUM('Calc|Fee Based'!Z55-'Calc|Fee Based'!V55,'Calc|Fee Based'!AB55:AE55)</f>
        <v>0</v>
      </c>
      <c r="AP56" s="272">
        <f>'Calc|Fee Based'!V55</f>
        <v>0</v>
      </c>
      <c r="AQ56" s="101">
        <f t="shared" si="41"/>
        <v>0</v>
      </c>
      <c r="AR56" s="303">
        <f t="shared" si="42"/>
        <v>0</v>
      </c>
      <c r="AS56" s="303">
        <f t="shared" si="18"/>
        <v>0</v>
      </c>
      <c r="AT56" s="263"/>
      <c r="AU56" s="272">
        <f t="shared" si="43"/>
        <v>0</v>
      </c>
      <c r="AV56" s="272">
        <f t="shared" si="50"/>
        <v>0</v>
      </c>
      <c r="AW56" s="272">
        <f t="shared" si="51"/>
        <v>0</v>
      </c>
      <c r="AX56" s="272">
        <f t="shared" si="52"/>
        <v>0</v>
      </c>
      <c r="AY56" s="272">
        <f t="shared" si="53"/>
        <v>0</v>
      </c>
      <c r="AZ56" s="272">
        <f t="shared" si="54"/>
        <v>0</v>
      </c>
      <c r="BA56" s="272">
        <f t="shared" si="55"/>
        <v>0</v>
      </c>
      <c r="BB56" s="263"/>
      <c r="BC56" s="272">
        <f t="shared" si="44"/>
        <v>0</v>
      </c>
      <c r="BD56" s="272">
        <f t="shared" si="20"/>
        <v>0</v>
      </c>
      <c r="BE56" s="272">
        <f t="shared" si="21"/>
        <v>0</v>
      </c>
      <c r="BF56" s="272">
        <f t="shared" si="22"/>
        <v>0</v>
      </c>
      <c r="BG56" s="272">
        <f t="shared" si="23"/>
        <v>0</v>
      </c>
      <c r="BH56" s="272">
        <f t="shared" si="24"/>
        <v>0</v>
      </c>
      <c r="BI56" s="272">
        <f t="shared" si="25"/>
        <v>0</v>
      </c>
      <c r="BJ56" s="299">
        <f t="shared" si="45"/>
        <v>0</v>
      </c>
      <c r="BK56" s="272"/>
      <c r="BL56" s="272"/>
      <c r="BM56" s="272"/>
      <c r="BN56" s="272"/>
      <c r="BO56" s="272"/>
      <c r="BP56" s="272"/>
      <c r="BQ56" s="272"/>
      <c r="BR56" s="299"/>
      <c r="BS56" s="272"/>
      <c r="BT56" s="272"/>
      <c r="BU56" s="272"/>
      <c r="BV56" s="272"/>
      <c r="BW56" s="272"/>
      <c r="BX56" s="272"/>
      <c r="BY56" s="272"/>
      <c r="BZ56"/>
      <c r="CA56" s="272"/>
      <c r="CB56" s="272"/>
      <c r="CC56" s="272"/>
      <c r="CD56" s="272"/>
      <c r="CE56" s="272"/>
      <c r="CF56" s="272"/>
      <c r="CG56" s="272"/>
      <c r="CH56"/>
      <c r="CI56" s="272"/>
      <c r="CJ56" s="272"/>
      <c r="CK56" s="272"/>
      <c r="CL56" s="272"/>
      <c r="CM56" s="272"/>
      <c r="CN56" s="272"/>
      <c r="CO56" s="272"/>
      <c r="CP56"/>
      <c r="CQ56" s="272"/>
      <c r="CR56" s="272"/>
      <c r="CS56" s="272"/>
      <c r="CT56" s="272"/>
      <c r="CU56" s="272"/>
      <c r="CV56" s="272"/>
      <c r="CW56" s="272"/>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row>
    <row r="57" spans="1:205" s="1" customFormat="1" ht="12.75" x14ac:dyDescent="0.2">
      <c r="A57" s="258">
        <f t="shared" si="49"/>
        <v>45</v>
      </c>
      <c r="B57" s="259"/>
      <c r="C57" s="259"/>
      <c r="D57" s="261"/>
      <c r="E57" s="261"/>
      <c r="F57" s="261"/>
      <c r="G57" s="264"/>
      <c r="H57" s="212"/>
      <c r="I57" s="272">
        <f t="shared" si="38"/>
        <v>0</v>
      </c>
      <c r="J57" s="272">
        <f t="shared" si="38"/>
        <v>0</v>
      </c>
      <c r="K57" s="272">
        <f t="shared" si="38"/>
        <v>0</v>
      </c>
      <c r="L57" s="272">
        <f t="shared" si="56"/>
        <v>0</v>
      </c>
      <c r="M57" s="272">
        <f t="shared" si="39"/>
        <v>0</v>
      </c>
      <c r="N57" s="272">
        <f t="shared" si="39"/>
        <v>0</v>
      </c>
      <c r="O57" s="272">
        <f t="shared" si="39"/>
        <v>0</v>
      </c>
      <c r="P57" s="101"/>
      <c r="Q57" s="272">
        <f>'Input|Fee Based Mapping'!J56</f>
        <v>0</v>
      </c>
      <c r="R57" s="272">
        <f>'Input|Fee Based Mapping'!K56</f>
        <v>0</v>
      </c>
      <c r="S57" s="272">
        <f>'Input|Fee Based Mapping'!Y56</f>
        <v>0</v>
      </c>
      <c r="T57" s="272">
        <f>'Input|Fee Based Mapping'!Z56</f>
        <v>0</v>
      </c>
      <c r="U57" s="272">
        <f>'Input|Fee Based Mapping'!AA56</f>
        <v>0</v>
      </c>
      <c r="V57" s="272">
        <f>'Input|Fee Based Mapping'!AB56</f>
        <v>0</v>
      </c>
      <c r="W57" s="272">
        <f>'Input|Fee Based Mapping'!AC56</f>
        <v>0</v>
      </c>
      <c r="X57" s="101"/>
      <c r="Y57" s="272">
        <f t="shared" si="40"/>
        <v>0</v>
      </c>
      <c r="Z57" s="272">
        <f t="shared" si="12"/>
        <v>0</v>
      </c>
      <c r="AA57" s="272">
        <f t="shared" si="13"/>
        <v>0</v>
      </c>
      <c r="AB57" s="272">
        <f t="shared" si="14"/>
        <v>0</v>
      </c>
      <c r="AC57" s="272">
        <f t="shared" si="15"/>
        <v>0</v>
      </c>
      <c r="AD57" s="272">
        <f t="shared" si="16"/>
        <v>0</v>
      </c>
      <c r="AE57" s="272">
        <f t="shared" si="17"/>
        <v>0</v>
      </c>
      <c r="AF57"/>
      <c r="AG57" s="272">
        <f>Y57/('Input|Escalations'!G$17/'Input|Escalations'!$H$17)</f>
        <v>0</v>
      </c>
      <c r="AH57" s="272">
        <f>Z57/('Input|Escalations'!H$17/'Input|Escalations'!$H$17)</f>
        <v>0</v>
      </c>
      <c r="AI57" s="272">
        <f>AA57/('Input|Escalations'!I$17/'Input|Escalations'!$H$17)</f>
        <v>0</v>
      </c>
      <c r="AJ57" s="272">
        <f>AB57/('Input|Escalations'!J$17/'Input|Escalations'!$H$17)</f>
        <v>0</v>
      </c>
      <c r="AK57" s="272">
        <f>AC57/('Input|Escalations'!K$17/'Input|Escalations'!$H$17)</f>
        <v>0</v>
      </c>
      <c r="AL57" s="272">
        <f>AD57/('Input|Escalations'!L$17/'Input|Escalations'!$H$17)</f>
        <v>0</v>
      </c>
      <c r="AM57" s="272">
        <f>AE57/('Input|Escalations'!M$17/'Input|Escalations'!$H$17)</f>
        <v>0</v>
      </c>
      <c r="AN57" s="263"/>
      <c r="AO57" s="272">
        <f>SUM('Calc|Fee Based'!Z56-'Calc|Fee Based'!V56,'Calc|Fee Based'!AB56:AE56)</f>
        <v>0</v>
      </c>
      <c r="AP57" s="272">
        <f>'Calc|Fee Based'!V56</f>
        <v>0</v>
      </c>
      <c r="AQ57" s="101">
        <f t="shared" si="41"/>
        <v>0</v>
      </c>
      <c r="AR57" s="303">
        <f t="shared" si="42"/>
        <v>0</v>
      </c>
      <c r="AS57" s="303">
        <f t="shared" si="18"/>
        <v>0</v>
      </c>
      <c r="AT57" s="263"/>
      <c r="AU57" s="272">
        <f t="shared" si="43"/>
        <v>0</v>
      </c>
      <c r="AV57" s="272">
        <f t="shared" si="50"/>
        <v>0</v>
      </c>
      <c r="AW57" s="272">
        <f t="shared" si="51"/>
        <v>0</v>
      </c>
      <c r="AX57" s="272">
        <f t="shared" si="52"/>
        <v>0</v>
      </c>
      <c r="AY57" s="272">
        <f t="shared" si="53"/>
        <v>0</v>
      </c>
      <c r="AZ57" s="272">
        <f t="shared" si="54"/>
        <v>0</v>
      </c>
      <c r="BA57" s="272">
        <f t="shared" si="55"/>
        <v>0</v>
      </c>
      <c r="BB57" s="263"/>
      <c r="BC57" s="272">
        <f t="shared" si="44"/>
        <v>0</v>
      </c>
      <c r="BD57" s="272">
        <f t="shared" si="20"/>
        <v>0</v>
      </c>
      <c r="BE57" s="272">
        <f t="shared" si="21"/>
        <v>0</v>
      </c>
      <c r="BF57" s="272">
        <f t="shared" si="22"/>
        <v>0</v>
      </c>
      <c r="BG57" s="272">
        <f t="shared" si="23"/>
        <v>0</v>
      </c>
      <c r="BH57" s="272">
        <f t="shared" si="24"/>
        <v>0</v>
      </c>
      <c r="BI57" s="272">
        <f t="shared" si="25"/>
        <v>0</v>
      </c>
      <c r="BJ57" s="299">
        <f t="shared" si="45"/>
        <v>0</v>
      </c>
      <c r="BK57" s="272"/>
      <c r="BL57" s="272"/>
      <c r="BM57" s="272"/>
      <c r="BN57" s="272"/>
      <c r="BO57" s="272"/>
      <c r="BP57" s="272"/>
      <c r="BQ57" s="272"/>
      <c r="BR57" s="299"/>
      <c r="BS57" s="272"/>
      <c r="BT57" s="272"/>
      <c r="BU57" s="272"/>
      <c r="BV57" s="272"/>
      <c r="BW57" s="272"/>
      <c r="BX57" s="272"/>
      <c r="BY57" s="272"/>
      <c r="BZ57"/>
      <c r="CA57" s="272"/>
      <c r="CB57" s="272"/>
      <c r="CC57" s="272"/>
      <c r="CD57" s="272"/>
      <c r="CE57" s="272"/>
      <c r="CF57" s="272"/>
      <c r="CG57" s="272"/>
      <c r="CH57"/>
      <c r="CI57" s="272"/>
      <c r="CJ57" s="272"/>
      <c r="CK57" s="272"/>
      <c r="CL57" s="272"/>
      <c r="CM57" s="272"/>
      <c r="CN57" s="272"/>
      <c r="CO57" s="272"/>
      <c r="CP57"/>
      <c r="CQ57" s="272"/>
      <c r="CR57" s="272"/>
      <c r="CS57" s="272"/>
      <c r="CT57" s="272"/>
      <c r="CU57" s="272"/>
      <c r="CV57" s="272"/>
      <c r="CW57" s="272"/>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row>
    <row r="58" spans="1:205" s="1" customFormat="1" ht="12.75" x14ac:dyDescent="0.2">
      <c r="A58" s="258">
        <f t="shared" si="49"/>
        <v>46</v>
      </c>
      <c r="B58" s="260"/>
      <c r="C58" s="260"/>
      <c r="D58" s="261"/>
      <c r="E58" s="261"/>
      <c r="F58" s="261"/>
      <c r="G58" s="264"/>
      <c r="H58" s="212"/>
      <c r="I58" s="272">
        <f t="shared" si="38"/>
        <v>0</v>
      </c>
      <c r="J58" s="272">
        <f t="shared" si="38"/>
        <v>0</v>
      </c>
      <c r="K58" s="272">
        <f t="shared" si="38"/>
        <v>0</v>
      </c>
      <c r="L58" s="272">
        <f t="shared" si="56"/>
        <v>0</v>
      </c>
      <c r="M58" s="272">
        <f t="shared" si="39"/>
        <v>0</v>
      </c>
      <c r="N58" s="272">
        <f t="shared" si="39"/>
        <v>0</v>
      </c>
      <c r="O58" s="272">
        <f t="shared" si="39"/>
        <v>0</v>
      </c>
      <c r="P58" s="101"/>
      <c r="Q58" s="272">
        <f>'Input|Fee Based Mapping'!J57</f>
        <v>0</v>
      </c>
      <c r="R58" s="272">
        <f>'Input|Fee Based Mapping'!K57</f>
        <v>0</v>
      </c>
      <c r="S58" s="272">
        <f>'Input|Fee Based Mapping'!Y57</f>
        <v>0</v>
      </c>
      <c r="T58" s="272">
        <f>'Input|Fee Based Mapping'!Z57</f>
        <v>0</v>
      </c>
      <c r="U58" s="272">
        <f>'Input|Fee Based Mapping'!AA57</f>
        <v>0</v>
      </c>
      <c r="V58" s="272">
        <f>'Input|Fee Based Mapping'!AB57</f>
        <v>0</v>
      </c>
      <c r="W58" s="272">
        <f>'Input|Fee Based Mapping'!AC57</f>
        <v>0</v>
      </c>
      <c r="X58" s="101"/>
      <c r="Y58" s="272">
        <f t="shared" si="40"/>
        <v>0</v>
      </c>
      <c r="Z58" s="272">
        <f t="shared" si="12"/>
        <v>0</v>
      </c>
      <c r="AA58" s="272">
        <f t="shared" si="13"/>
        <v>0</v>
      </c>
      <c r="AB58" s="272">
        <f t="shared" si="14"/>
        <v>0</v>
      </c>
      <c r="AC58" s="272">
        <f t="shared" si="15"/>
        <v>0</v>
      </c>
      <c r="AD58" s="272">
        <f t="shared" si="16"/>
        <v>0</v>
      </c>
      <c r="AE58" s="272">
        <f t="shared" si="17"/>
        <v>0</v>
      </c>
      <c r="AF58"/>
      <c r="AG58" s="272">
        <f>Y58/('Input|Escalations'!G$17/'Input|Escalations'!$H$17)</f>
        <v>0</v>
      </c>
      <c r="AH58" s="272">
        <f>Z58/('Input|Escalations'!H$17/'Input|Escalations'!$H$17)</f>
        <v>0</v>
      </c>
      <c r="AI58" s="272">
        <f>AA58/('Input|Escalations'!I$17/'Input|Escalations'!$H$17)</f>
        <v>0</v>
      </c>
      <c r="AJ58" s="272">
        <f>AB58/('Input|Escalations'!J$17/'Input|Escalations'!$H$17)</f>
        <v>0</v>
      </c>
      <c r="AK58" s="272">
        <f>AC58/('Input|Escalations'!K$17/'Input|Escalations'!$H$17)</f>
        <v>0</v>
      </c>
      <c r="AL58" s="272">
        <f>AD58/('Input|Escalations'!L$17/'Input|Escalations'!$H$17)</f>
        <v>0</v>
      </c>
      <c r="AM58" s="272">
        <f>AE58/('Input|Escalations'!M$17/'Input|Escalations'!$H$17)</f>
        <v>0</v>
      </c>
      <c r="AN58" s="263"/>
      <c r="AO58" s="272">
        <f>SUM('Calc|Fee Based'!Z57-'Calc|Fee Based'!V57,'Calc|Fee Based'!AB57:AE57)</f>
        <v>0</v>
      </c>
      <c r="AP58" s="272">
        <f>'Calc|Fee Based'!V57</f>
        <v>0</v>
      </c>
      <c r="AQ58" s="101">
        <f t="shared" si="41"/>
        <v>0</v>
      </c>
      <c r="AR58" s="303">
        <f t="shared" si="42"/>
        <v>0</v>
      </c>
      <c r="AS58" s="303">
        <f t="shared" si="18"/>
        <v>0</v>
      </c>
      <c r="AT58" s="263"/>
      <c r="AU58" s="272">
        <f t="shared" si="43"/>
        <v>0</v>
      </c>
      <c r="AV58" s="272">
        <f t="shared" si="50"/>
        <v>0</v>
      </c>
      <c r="AW58" s="272">
        <f t="shared" si="51"/>
        <v>0</v>
      </c>
      <c r="AX58" s="272">
        <f t="shared" si="52"/>
        <v>0</v>
      </c>
      <c r="AY58" s="272">
        <f t="shared" si="53"/>
        <v>0</v>
      </c>
      <c r="AZ58" s="272">
        <f t="shared" si="54"/>
        <v>0</v>
      </c>
      <c r="BA58" s="272">
        <f t="shared" si="55"/>
        <v>0</v>
      </c>
      <c r="BB58" s="263"/>
      <c r="BC58" s="272">
        <f t="shared" si="44"/>
        <v>0</v>
      </c>
      <c r="BD58" s="272">
        <f t="shared" si="20"/>
        <v>0</v>
      </c>
      <c r="BE58" s="272">
        <f t="shared" si="21"/>
        <v>0</v>
      </c>
      <c r="BF58" s="272">
        <f t="shared" si="22"/>
        <v>0</v>
      </c>
      <c r="BG58" s="272">
        <f t="shared" si="23"/>
        <v>0</v>
      </c>
      <c r="BH58" s="272">
        <f t="shared" si="24"/>
        <v>0</v>
      </c>
      <c r="BI58" s="272">
        <f t="shared" si="25"/>
        <v>0</v>
      </c>
      <c r="BJ58" s="299">
        <f t="shared" si="45"/>
        <v>0</v>
      </c>
      <c r="BK58" s="272"/>
      <c r="BL58" s="272"/>
      <c r="BM58" s="272"/>
      <c r="BN58" s="272"/>
      <c r="BO58" s="272"/>
      <c r="BP58" s="272"/>
      <c r="BQ58" s="272"/>
      <c r="BR58" s="299"/>
      <c r="BS58" s="272"/>
      <c r="BT58" s="272"/>
      <c r="BU58" s="272"/>
      <c r="BV58" s="272"/>
      <c r="BW58" s="272"/>
      <c r="BX58" s="272"/>
      <c r="BY58" s="272"/>
      <c r="BZ58"/>
      <c r="CA58" s="272"/>
      <c r="CB58" s="272"/>
      <c r="CC58" s="272"/>
      <c r="CD58" s="272"/>
      <c r="CE58" s="272"/>
      <c r="CF58" s="272"/>
      <c r="CG58" s="272"/>
      <c r="CH58"/>
      <c r="CI58" s="272"/>
      <c r="CJ58" s="272"/>
      <c r="CK58" s="272"/>
      <c r="CL58" s="272"/>
      <c r="CM58" s="272"/>
      <c r="CN58" s="272"/>
      <c r="CO58" s="272"/>
      <c r="CP58"/>
      <c r="CQ58" s="272"/>
      <c r="CR58" s="272"/>
      <c r="CS58" s="272"/>
      <c r="CT58" s="272"/>
      <c r="CU58" s="272"/>
      <c r="CV58" s="272"/>
      <c r="CW58" s="272"/>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row>
    <row r="59" spans="1:205" s="1" customFormat="1" ht="12.75" x14ac:dyDescent="0.2">
      <c r="A59" s="258">
        <f t="shared" si="49"/>
        <v>47</v>
      </c>
      <c r="B59" s="260"/>
      <c r="C59" s="260"/>
      <c r="D59" s="261"/>
      <c r="E59" s="261"/>
      <c r="F59" s="261"/>
      <c r="G59" s="264"/>
      <c r="H59" s="212"/>
      <c r="I59" s="272">
        <f t="shared" si="38"/>
        <v>0</v>
      </c>
      <c r="J59" s="272">
        <f t="shared" si="38"/>
        <v>0</v>
      </c>
      <c r="K59" s="272">
        <f t="shared" si="38"/>
        <v>0</v>
      </c>
      <c r="L59" s="272">
        <f t="shared" si="56"/>
        <v>0</v>
      </c>
      <c r="M59" s="272">
        <f t="shared" si="39"/>
        <v>0</v>
      </c>
      <c r="N59" s="272">
        <f t="shared" si="39"/>
        <v>0</v>
      </c>
      <c r="O59" s="272">
        <f t="shared" si="39"/>
        <v>0</v>
      </c>
      <c r="P59" s="101"/>
      <c r="Q59" s="272">
        <f>'Input|Fee Based Mapping'!J58</f>
        <v>0</v>
      </c>
      <c r="R59" s="272">
        <f>'Input|Fee Based Mapping'!K58</f>
        <v>0</v>
      </c>
      <c r="S59" s="272">
        <f>'Input|Fee Based Mapping'!Y58</f>
        <v>0</v>
      </c>
      <c r="T59" s="272">
        <f>'Input|Fee Based Mapping'!Z58</f>
        <v>0</v>
      </c>
      <c r="U59" s="272">
        <f>'Input|Fee Based Mapping'!AA58</f>
        <v>0</v>
      </c>
      <c r="V59" s="272">
        <f>'Input|Fee Based Mapping'!AB58</f>
        <v>0</v>
      </c>
      <c r="W59" s="272">
        <f>'Input|Fee Based Mapping'!AC58</f>
        <v>0</v>
      </c>
      <c r="X59" s="101"/>
      <c r="Y59" s="272">
        <f t="shared" si="40"/>
        <v>0</v>
      </c>
      <c r="Z59" s="272">
        <f t="shared" si="12"/>
        <v>0</v>
      </c>
      <c r="AA59" s="272">
        <f t="shared" si="13"/>
        <v>0</v>
      </c>
      <c r="AB59" s="272">
        <f t="shared" si="14"/>
        <v>0</v>
      </c>
      <c r="AC59" s="272">
        <f t="shared" si="15"/>
        <v>0</v>
      </c>
      <c r="AD59" s="272">
        <f t="shared" si="16"/>
        <v>0</v>
      </c>
      <c r="AE59" s="272">
        <f t="shared" si="17"/>
        <v>0</v>
      </c>
      <c r="AF59"/>
      <c r="AG59" s="272">
        <f>Y59/('Input|Escalations'!G$17/'Input|Escalations'!$H$17)</f>
        <v>0</v>
      </c>
      <c r="AH59" s="272">
        <f>Z59/('Input|Escalations'!H$17/'Input|Escalations'!$H$17)</f>
        <v>0</v>
      </c>
      <c r="AI59" s="272">
        <f>AA59/('Input|Escalations'!I$17/'Input|Escalations'!$H$17)</f>
        <v>0</v>
      </c>
      <c r="AJ59" s="272">
        <f>AB59/('Input|Escalations'!J$17/'Input|Escalations'!$H$17)</f>
        <v>0</v>
      </c>
      <c r="AK59" s="272">
        <f>AC59/('Input|Escalations'!K$17/'Input|Escalations'!$H$17)</f>
        <v>0</v>
      </c>
      <c r="AL59" s="272">
        <f>AD59/('Input|Escalations'!L$17/'Input|Escalations'!$H$17)</f>
        <v>0</v>
      </c>
      <c r="AM59" s="272">
        <f>AE59/('Input|Escalations'!M$17/'Input|Escalations'!$H$17)</f>
        <v>0</v>
      </c>
      <c r="AN59" s="263"/>
      <c r="AO59" s="272">
        <f>SUM('Calc|Fee Based'!Z58-'Calc|Fee Based'!V58,'Calc|Fee Based'!AB58:AE58)</f>
        <v>0</v>
      </c>
      <c r="AP59" s="272">
        <f>'Calc|Fee Based'!V58</f>
        <v>0</v>
      </c>
      <c r="AQ59" s="101">
        <f t="shared" si="41"/>
        <v>0</v>
      </c>
      <c r="AR59" s="303">
        <f t="shared" si="42"/>
        <v>0</v>
      </c>
      <c r="AS59" s="303">
        <f t="shared" si="18"/>
        <v>0</v>
      </c>
      <c r="AT59" s="263"/>
      <c r="AU59" s="272">
        <f t="shared" si="43"/>
        <v>0</v>
      </c>
      <c r="AV59" s="272">
        <f t="shared" si="50"/>
        <v>0</v>
      </c>
      <c r="AW59" s="272">
        <f t="shared" si="51"/>
        <v>0</v>
      </c>
      <c r="AX59" s="272">
        <f t="shared" si="52"/>
        <v>0</v>
      </c>
      <c r="AY59" s="272">
        <f t="shared" si="53"/>
        <v>0</v>
      </c>
      <c r="AZ59" s="272">
        <f t="shared" si="54"/>
        <v>0</v>
      </c>
      <c r="BA59" s="272">
        <f t="shared" si="55"/>
        <v>0</v>
      </c>
      <c r="BB59" s="263"/>
      <c r="BC59" s="272">
        <f t="shared" si="44"/>
        <v>0</v>
      </c>
      <c r="BD59" s="272">
        <f t="shared" si="20"/>
        <v>0</v>
      </c>
      <c r="BE59" s="272">
        <f t="shared" si="21"/>
        <v>0</v>
      </c>
      <c r="BF59" s="272">
        <f t="shared" si="22"/>
        <v>0</v>
      </c>
      <c r="BG59" s="272">
        <f t="shared" si="23"/>
        <v>0</v>
      </c>
      <c r="BH59" s="272">
        <f t="shared" si="24"/>
        <v>0</v>
      </c>
      <c r="BI59" s="272">
        <f t="shared" si="25"/>
        <v>0</v>
      </c>
      <c r="BJ59" s="299">
        <f t="shared" si="45"/>
        <v>0</v>
      </c>
      <c r="BK59" s="272"/>
      <c r="BL59" s="272"/>
      <c r="BM59" s="272"/>
      <c r="BN59" s="272"/>
      <c r="BO59" s="272"/>
      <c r="BP59" s="272"/>
      <c r="BQ59" s="272"/>
      <c r="BR59" s="299"/>
      <c r="BS59" s="272"/>
      <c r="BT59" s="272"/>
      <c r="BU59" s="272"/>
      <c r="BV59" s="272"/>
      <c r="BW59" s="272"/>
      <c r="BX59" s="272"/>
      <c r="BY59" s="272"/>
      <c r="BZ59"/>
      <c r="CA59" s="272"/>
      <c r="CB59" s="272"/>
      <c r="CC59" s="272"/>
      <c r="CD59" s="272"/>
      <c r="CE59" s="272"/>
      <c r="CF59" s="272"/>
      <c r="CG59" s="272"/>
      <c r="CH59"/>
      <c r="CI59" s="272"/>
      <c r="CJ59" s="272"/>
      <c r="CK59" s="272"/>
      <c r="CL59" s="272"/>
      <c r="CM59" s="272"/>
      <c r="CN59" s="272"/>
      <c r="CO59" s="272"/>
      <c r="CP59"/>
      <c r="CQ59" s="272"/>
      <c r="CR59" s="272"/>
      <c r="CS59" s="272"/>
      <c r="CT59" s="272"/>
      <c r="CU59" s="272"/>
      <c r="CV59" s="272"/>
      <c r="CW59" s="272"/>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row>
    <row r="60" spans="1:205" s="1" customFormat="1" ht="12.75" x14ac:dyDescent="0.2">
      <c r="A60" s="258">
        <f t="shared" si="49"/>
        <v>48</v>
      </c>
      <c r="B60" s="260"/>
      <c r="C60" s="260"/>
      <c r="D60" s="261"/>
      <c r="E60" s="261"/>
      <c r="F60" s="261"/>
      <c r="G60" s="264"/>
      <c r="H60" s="212"/>
      <c r="I60" s="272">
        <f t="shared" si="38"/>
        <v>0</v>
      </c>
      <c r="J60" s="272">
        <f t="shared" si="38"/>
        <v>0</v>
      </c>
      <c r="K60" s="272">
        <f t="shared" si="38"/>
        <v>0</v>
      </c>
      <c r="L60" s="272">
        <f t="shared" si="56"/>
        <v>0</v>
      </c>
      <c r="M60" s="272">
        <f t="shared" si="39"/>
        <v>0</v>
      </c>
      <c r="N60" s="272">
        <f t="shared" si="39"/>
        <v>0</v>
      </c>
      <c r="O60" s="272">
        <f t="shared" si="39"/>
        <v>0</v>
      </c>
      <c r="P60" s="101"/>
      <c r="Q60" s="272">
        <f>'Input|Fee Based Mapping'!J59</f>
        <v>0</v>
      </c>
      <c r="R60" s="272">
        <f>'Input|Fee Based Mapping'!K59</f>
        <v>0</v>
      </c>
      <c r="S60" s="272">
        <f>'Input|Fee Based Mapping'!Y59</f>
        <v>0</v>
      </c>
      <c r="T60" s="272">
        <f>'Input|Fee Based Mapping'!Z59</f>
        <v>0</v>
      </c>
      <c r="U60" s="272">
        <f>'Input|Fee Based Mapping'!AA59</f>
        <v>0</v>
      </c>
      <c r="V60" s="272">
        <f>'Input|Fee Based Mapping'!AB59</f>
        <v>0</v>
      </c>
      <c r="W60" s="272">
        <f>'Input|Fee Based Mapping'!AC59</f>
        <v>0</v>
      </c>
      <c r="X60" s="101"/>
      <c r="Y60" s="272">
        <f t="shared" si="40"/>
        <v>0</v>
      </c>
      <c r="Z60" s="272">
        <f t="shared" si="12"/>
        <v>0</v>
      </c>
      <c r="AA60" s="272">
        <f t="shared" si="13"/>
        <v>0</v>
      </c>
      <c r="AB60" s="272">
        <f t="shared" si="14"/>
        <v>0</v>
      </c>
      <c r="AC60" s="272">
        <f t="shared" si="15"/>
        <v>0</v>
      </c>
      <c r="AD60" s="272">
        <f t="shared" si="16"/>
        <v>0</v>
      </c>
      <c r="AE60" s="272">
        <f t="shared" si="17"/>
        <v>0</v>
      </c>
      <c r="AF60"/>
      <c r="AG60" s="272">
        <f>Y60/('Input|Escalations'!G$17/'Input|Escalations'!$H$17)</f>
        <v>0</v>
      </c>
      <c r="AH60" s="272">
        <f>Z60/('Input|Escalations'!H$17/'Input|Escalations'!$H$17)</f>
        <v>0</v>
      </c>
      <c r="AI60" s="272">
        <f>AA60/('Input|Escalations'!I$17/'Input|Escalations'!$H$17)</f>
        <v>0</v>
      </c>
      <c r="AJ60" s="272">
        <f>AB60/('Input|Escalations'!J$17/'Input|Escalations'!$H$17)</f>
        <v>0</v>
      </c>
      <c r="AK60" s="272">
        <f>AC60/('Input|Escalations'!K$17/'Input|Escalations'!$H$17)</f>
        <v>0</v>
      </c>
      <c r="AL60" s="272">
        <f>AD60/('Input|Escalations'!L$17/'Input|Escalations'!$H$17)</f>
        <v>0</v>
      </c>
      <c r="AM60" s="272">
        <f>AE60/('Input|Escalations'!M$17/'Input|Escalations'!$H$17)</f>
        <v>0</v>
      </c>
      <c r="AN60" s="263"/>
      <c r="AO60" s="272">
        <f>SUM('Calc|Fee Based'!Z59-'Calc|Fee Based'!V59,'Calc|Fee Based'!AB59:AE59)</f>
        <v>0</v>
      </c>
      <c r="AP60" s="272">
        <f>'Calc|Fee Based'!V59</f>
        <v>0</v>
      </c>
      <c r="AQ60" s="101">
        <f t="shared" si="41"/>
        <v>0</v>
      </c>
      <c r="AR60" s="303">
        <f t="shared" si="42"/>
        <v>0</v>
      </c>
      <c r="AS60" s="303">
        <f t="shared" si="18"/>
        <v>0</v>
      </c>
      <c r="AT60" s="263"/>
      <c r="AU60" s="272">
        <f t="shared" si="43"/>
        <v>0</v>
      </c>
      <c r="AV60" s="272">
        <f t="shared" si="50"/>
        <v>0</v>
      </c>
      <c r="AW60" s="272">
        <f t="shared" si="51"/>
        <v>0</v>
      </c>
      <c r="AX60" s="272">
        <f t="shared" si="52"/>
        <v>0</v>
      </c>
      <c r="AY60" s="272">
        <f t="shared" si="53"/>
        <v>0</v>
      </c>
      <c r="AZ60" s="272">
        <f t="shared" si="54"/>
        <v>0</v>
      </c>
      <c r="BA60" s="272">
        <f t="shared" si="55"/>
        <v>0</v>
      </c>
      <c r="BB60" s="263"/>
      <c r="BC60" s="272">
        <f t="shared" si="44"/>
        <v>0</v>
      </c>
      <c r="BD60" s="272">
        <f t="shared" si="20"/>
        <v>0</v>
      </c>
      <c r="BE60" s="272">
        <f t="shared" si="21"/>
        <v>0</v>
      </c>
      <c r="BF60" s="272">
        <f t="shared" si="22"/>
        <v>0</v>
      </c>
      <c r="BG60" s="272">
        <f t="shared" si="23"/>
        <v>0</v>
      </c>
      <c r="BH60" s="272">
        <f t="shared" si="24"/>
        <v>0</v>
      </c>
      <c r="BI60" s="272">
        <f t="shared" si="25"/>
        <v>0</v>
      </c>
      <c r="BJ60" s="299">
        <f t="shared" si="45"/>
        <v>0</v>
      </c>
      <c r="BK60" s="272"/>
      <c r="BL60" s="272"/>
      <c r="BM60" s="272"/>
      <c r="BN60" s="272"/>
      <c r="BO60" s="272"/>
      <c r="BP60" s="272"/>
      <c r="BQ60" s="272"/>
      <c r="BR60" s="299"/>
      <c r="BS60" s="272"/>
      <c r="BT60" s="272"/>
      <c r="BU60" s="272"/>
      <c r="BV60" s="272"/>
      <c r="BW60" s="272"/>
      <c r="BX60" s="272"/>
      <c r="BY60" s="272"/>
      <c r="BZ60"/>
      <c r="CA60" s="272"/>
      <c r="CB60" s="272"/>
      <c r="CC60" s="272"/>
      <c r="CD60" s="272"/>
      <c r="CE60" s="272"/>
      <c r="CF60" s="272"/>
      <c r="CG60" s="272"/>
      <c r="CH60"/>
      <c r="CI60" s="272"/>
      <c r="CJ60" s="272"/>
      <c r="CK60" s="272"/>
      <c r="CL60" s="272"/>
      <c r="CM60" s="272"/>
      <c r="CN60" s="272"/>
      <c r="CO60" s="272"/>
      <c r="CP60"/>
      <c r="CQ60" s="272"/>
      <c r="CR60" s="272"/>
      <c r="CS60" s="272"/>
      <c r="CT60" s="272"/>
      <c r="CU60" s="272"/>
      <c r="CV60" s="272"/>
      <c r="CW60" s="272"/>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row>
    <row r="61" spans="1:205" s="1" customFormat="1" ht="12.75" x14ac:dyDescent="0.2">
      <c r="A61" s="258">
        <f t="shared" si="49"/>
        <v>49</v>
      </c>
      <c r="B61" s="260"/>
      <c r="C61" s="260"/>
      <c r="D61" s="261"/>
      <c r="E61" s="261"/>
      <c r="F61" s="261"/>
      <c r="G61" s="264"/>
      <c r="H61" s="212"/>
      <c r="I61" s="272">
        <f t="shared" si="38"/>
        <v>0</v>
      </c>
      <c r="J61" s="272">
        <f t="shared" si="38"/>
        <v>0</v>
      </c>
      <c r="K61" s="272">
        <f t="shared" si="38"/>
        <v>0</v>
      </c>
      <c r="L61" s="272">
        <f t="shared" si="56"/>
        <v>0</v>
      </c>
      <c r="M61" s="272">
        <f t="shared" si="39"/>
        <v>0</v>
      </c>
      <c r="N61" s="272">
        <f t="shared" si="39"/>
        <v>0</v>
      </c>
      <c r="O61" s="272">
        <f t="shared" si="39"/>
        <v>0</v>
      </c>
      <c r="P61" s="101"/>
      <c r="Q61" s="272">
        <f>'Input|Fee Based Mapping'!J60</f>
        <v>0</v>
      </c>
      <c r="R61" s="272">
        <f>'Input|Fee Based Mapping'!K60</f>
        <v>0</v>
      </c>
      <c r="S61" s="272">
        <f>'Input|Fee Based Mapping'!Y60</f>
        <v>0</v>
      </c>
      <c r="T61" s="272">
        <f>'Input|Fee Based Mapping'!Z60</f>
        <v>0</v>
      </c>
      <c r="U61" s="272">
        <f>'Input|Fee Based Mapping'!AA60</f>
        <v>0</v>
      </c>
      <c r="V61" s="272">
        <f>'Input|Fee Based Mapping'!AB60</f>
        <v>0</v>
      </c>
      <c r="W61" s="272">
        <f>'Input|Fee Based Mapping'!AC60</f>
        <v>0</v>
      </c>
      <c r="X61" s="101"/>
      <c r="Y61" s="272">
        <f t="shared" si="40"/>
        <v>0</v>
      </c>
      <c r="Z61" s="272">
        <f t="shared" si="12"/>
        <v>0</v>
      </c>
      <c r="AA61" s="272">
        <f t="shared" si="13"/>
        <v>0</v>
      </c>
      <c r="AB61" s="272">
        <f t="shared" si="14"/>
        <v>0</v>
      </c>
      <c r="AC61" s="272">
        <f t="shared" si="15"/>
        <v>0</v>
      </c>
      <c r="AD61" s="272">
        <f t="shared" si="16"/>
        <v>0</v>
      </c>
      <c r="AE61" s="272">
        <f t="shared" si="17"/>
        <v>0</v>
      </c>
      <c r="AF61"/>
      <c r="AG61" s="272">
        <f>Y61/('Input|Escalations'!G$17/'Input|Escalations'!$H$17)</f>
        <v>0</v>
      </c>
      <c r="AH61" s="272">
        <f>Z61/('Input|Escalations'!H$17/'Input|Escalations'!$H$17)</f>
        <v>0</v>
      </c>
      <c r="AI61" s="272">
        <f>AA61/('Input|Escalations'!I$17/'Input|Escalations'!$H$17)</f>
        <v>0</v>
      </c>
      <c r="AJ61" s="272">
        <f>AB61/('Input|Escalations'!J$17/'Input|Escalations'!$H$17)</f>
        <v>0</v>
      </c>
      <c r="AK61" s="272">
        <f>AC61/('Input|Escalations'!K$17/'Input|Escalations'!$H$17)</f>
        <v>0</v>
      </c>
      <c r="AL61" s="272">
        <f>AD61/('Input|Escalations'!L$17/'Input|Escalations'!$H$17)</f>
        <v>0</v>
      </c>
      <c r="AM61" s="272">
        <f>AE61/('Input|Escalations'!M$17/'Input|Escalations'!$H$17)</f>
        <v>0</v>
      </c>
      <c r="AN61" s="263"/>
      <c r="AO61" s="272">
        <f>SUM('Calc|Fee Based'!Z60-'Calc|Fee Based'!V60,'Calc|Fee Based'!AB60:AE60)</f>
        <v>0</v>
      </c>
      <c r="AP61" s="272">
        <f>'Calc|Fee Based'!V60</f>
        <v>0</v>
      </c>
      <c r="AQ61" s="101">
        <f t="shared" si="41"/>
        <v>0</v>
      </c>
      <c r="AR61" s="303">
        <f t="shared" si="42"/>
        <v>0</v>
      </c>
      <c r="AS61" s="303">
        <f t="shared" si="18"/>
        <v>0</v>
      </c>
      <c r="AT61" s="263"/>
      <c r="AU61" s="272">
        <f t="shared" si="43"/>
        <v>0</v>
      </c>
      <c r="AV61" s="272">
        <f t="shared" si="50"/>
        <v>0</v>
      </c>
      <c r="AW61" s="272">
        <f t="shared" si="51"/>
        <v>0</v>
      </c>
      <c r="AX61" s="272">
        <f t="shared" si="52"/>
        <v>0</v>
      </c>
      <c r="AY61" s="272">
        <f t="shared" si="53"/>
        <v>0</v>
      </c>
      <c r="AZ61" s="272">
        <f t="shared" si="54"/>
        <v>0</v>
      </c>
      <c r="BA61" s="272">
        <f t="shared" si="55"/>
        <v>0</v>
      </c>
      <c r="BB61" s="263"/>
      <c r="BC61" s="272">
        <f t="shared" si="44"/>
        <v>0</v>
      </c>
      <c r="BD61" s="272">
        <f t="shared" si="20"/>
        <v>0</v>
      </c>
      <c r="BE61" s="272">
        <f t="shared" si="21"/>
        <v>0</v>
      </c>
      <c r="BF61" s="272">
        <f t="shared" si="22"/>
        <v>0</v>
      </c>
      <c r="BG61" s="272">
        <f t="shared" si="23"/>
        <v>0</v>
      </c>
      <c r="BH61" s="272">
        <f t="shared" si="24"/>
        <v>0</v>
      </c>
      <c r="BI61" s="272">
        <f t="shared" si="25"/>
        <v>0</v>
      </c>
      <c r="BJ61" s="299">
        <f t="shared" si="45"/>
        <v>0</v>
      </c>
      <c r="BK61" s="272"/>
      <c r="BL61" s="272"/>
      <c r="BM61" s="272"/>
      <c r="BN61" s="272"/>
      <c r="BO61" s="272"/>
      <c r="BP61" s="272"/>
      <c r="BQ61" s="272"/>
      <c r="BR61" s="299"/>
      <c r="BS61" s="272"/>
      <c r="BT61" s="272"/>
      <c r="BU61" s="272"/>
      <c r="BV61" s="272"/>
      <c r="BW61" s="272"/>
      <c r="BX61" s="272"/>
      <c r="BY61" s="272"/>
      <c r="BZ61"/>
      <c r="CA61" s="272"/>
      <c r="CB61" s="272"/>
      <c r="CC61" s="272"/>
      <c r="CD61" s="272"/>
      <c r="CE61" s="272"/>
      <c r="CF61" s="272"/>
      <c r="CG61" s="272"/>
      <c r="CH61"/>
      <c r="CI61" s="272"/>
      <c r="CJ61" s="272"/>
      <c r="CK61" s="272"/>
      <c r="CL61" s="272"/>
      <c r="CM61" s="272"/>
      <c r="CN61" s="272"/>
      <c r="CO61" s="272"/>
      <c r="CP61"/>
      <c r="CQ61" s="272"/>
      <c r="CR61" s="272"/>
      <c r="CS61" s="272"/>
      <c r="CT61" s="272"/>
      <c r="CU61" s="272"/>
      <c r="CV61" s="272"/>
      <c r="CW61" s="272"/>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row>
    <row r="62" spans="1:205" s="1" customFormat="1" ht="12.75" x14ac:dyDescent="0.2">
      <c r="A62" s="258">
        <f t="shared" si="49"/>
        <v>50</v>
      </c>
      <c r="B62" s="260"/>
      <c r="C62" s="261"/>
      <c r="D62" s="261"/>
      <c r="E62" s="261"/>
      <c r="F62" s="261"/>
      <c r="G62" s="264"/>
      <c r="H62" s="212"/>
      <c r="I62" s="272">
        <f t="shared" si="38"/>
        <v>0</v>
      </c>
      <c r="J62" s="272">
        <f t="shared" si="38"/>
        <v>0</v>
      </c>
      <c r="K62" s="272">
        <f t="shared" si="38"/>
        <v>0</v>
      </c>
      <c r="L62" s="272">
        <f t="shared" si="56"/>
        <v>0</v>
      </c>
      <c r="M62" s="272">
        <f t="shared" si="39"/>
        <v>0</v>
      </c>
      <c r="N62" s="272">
        <f t="shared" si="39"/>
        <v>0</v>
      </c>
      <c r="O62" s="272">
        <f t="shared" si="39"/>
        <v>0</v>
      </c>
      <c r="P62" s="101"/>
      <c r="Q62" s="272">
        <f>'Input|Fee Based Mapping'!J61</f>
        <v>0</v>
      </c>
      <c r="R62" s="272">
        <f>'Input|Fee Based Mapping'!K61</f>
        <v>0</v>
      </c>
      <c r="S62" s="272">
        <f>'Input|Fee Based Mapping'!Y61</f>
        <v>0</v>
      </c>
      <c r="T62" s="272">
        <f>'Input|Fee Based Mapping'!Z61</f>
        <v>0</v>
      </c>
      <c r="U62" s="272">
        <f>'Input|Fee Based Mapping'!AA61</f>
        <v>0</v>
      </c>
      <c r="V62" s="272">
        <f>'Input|Fee Based Mapping'!AB61</f>
        <v>0</v>
      </c>
      <c r="W62" s="272">
        <f>'Input|Fee Based Mapping'!AC61</f>
        <v>0</v>
      </c>
      <c r="X62" s="101"/>
      <c r="Y62" s="272">
        <f t="shared" si="40"/>
        <v>0</v>
      </c>
      <c r="Z62" s="272">
        <f t="shared" si="12"/>
        <v>0</v>
      </c>
      <c r="AA62" s="272">
        <f t="shared" si="13"/>
        <v>0</v>
      </c>
      <c r="AB62" s="272">
        <f t="shared" si="14"/>
        <v>0</v>
      </c>
      <c r="AC62" s="272">
        <f t="shared" si="15"/>
        <v>0</v>
      </c>
      <c r="AD62" s="272">
        <f t="shared" si="16"/>
        <v>0</v>
      </c>
      <c r="AE62" s="272">
        <f t="shared" si="17"/>
        <v>0</v>
      </c>
      <c r="AF62"/>
      <c r="AG62" s="272">
        <f>Y62/('Input|Escalations'!G$17/'Input|Escalations'!$H$17)</f>
        <v>0</v>
      </c>
      <c r="AH62" s="272">
        <f>Z62/('Input|Escalations'!H$17/'Input|Escalations'!$H$17)</f>
        <v>0</v>
      </c>
      <c r="AI62" s="272">
        <f>AA62/('Input|Escalations'!I$17/'Input|Escalations'!$H$17)</f>
        <v>0</v>
      </c>
      <c r="AJ62" s="272">
        <f>AB62/('Input|Escalations'!J$17/'Input|Escalations'!$H$17)</f>
        <v>0</v>
      </c>
      <c r="AK62" s="272">
        <f>AC62/('Input|Escalations'!K$17/'Input|Escalations'!$H$17)</f>
        <v>0</v>
      </c>
      <c r="AL62" s="272">
        <f>AD62/('Input|Escalations'!L$17/'Input|Escalations'!$H$17)</f>
        <v>0</v>
      </c>
      <c r="AM62" s="272">
        <f>AE62/('Input|Escalations'!M$17/'Input|Escalations'!$H$17)</f>
        <v>0</v>
      </c>
      <c r="AO62" s="272">
        <f>SUM('Calc|Fee Based'!Z61-'Calc|Fee Based'!V61,'Calc|Fee Based'!AB61:AE61)</f>
        <v>0</v>
      </c>
      <c r="AP62" s="272">
        <f>'Calc|Fee Based'!V61</f>
        <v>0</v>
      </c>
      <c r="AQ62" s="101">
        <f t="shared" si="41"/>
        <v>0</v>
      </c>
      <c r="AR62" s="303">
        <f t="shared" si="42"/>
        <v>0</v>
      </c>
      <c r="AS62" s="303">
        <f t="shared" si="18"/>
        <v>0</v>
      </c>
      <c r="AU62" s="272">
        <f t="shared" si="43"/>
        <v>0</v>
      </c>
      <c r="AV62" s="272">
        <f t="shared" si="50"/>
        <v>0</v>
      </c>
      <c r="AW62" s="272">
        <f t="shared" si="51"/>
        <v>0</v>
      </c>
      <c r="AX62" s="272">
        <f t="shared" si="52"/>
        <v>0</v>
      </c>
      <c r="AY62" s="272">
        <f t="shared" si="53"/>
        <v>0</v>
      </c>
      <c r="AZ62" s="272">
        <f t="shared" si="54"/>
        <v>0</v>
      </c>
      <c r="BA62" s="272">
        <f t="shared" si="55"/>
        <v>0</v>
      </c>
      <c r="BC62" s="272">
        <f t="shared" si="44"/>
        <v>0</v>
      </c>
      <c r="BD62" s="272">
        <f t="shared" si="20"/>
        <v>0</v>
      </c>
      <c r="BE62" s="272">
        <f t="shared" si="21"/>
        <v>0</v>
      </c>
      <c r="BF62" s="272">
        <f t="shared" si="22"/>
        <v>0</v>
      </c>
      <c r="BG62" s="272">
        <f t="shared" si="23"/>
        <v>0</v>
      </c>
      <c r="BH62" s="272">
        <f t="shared" si="24"/>
        <v>0</v>
      </c>
      <c r="BI62" s="272">
        <f t="shared" si="25"/>
        <v>0</v>
      </c>
      <c r="BJ62" s="299">
        <f t="shared" si="45"/>
        <v>0</v>
      </c>
      <c r="BK62" s="272"/>
      <c r="BL62" s="272"/>
      <c r="BM62" s="272"/>
      <c r="BN62" s="272"/>
      <c r="BO62" s="272"/>
      <c r="BP62" s="272"/>
      <c r="BQ62" s="272"/>
      <c r="BR62" s="299"/>
      <c r="BS62" s="272"/>
      <c r="BT62" s="272"/>
      <c r="BU62" s="272"/>
      <c r="BV62" s="272"/>
      <c r="BW62" s="272"/>
      <c r="BX62" s="272"/>
      <c r="BY62" s="272"/>
      <c r="BZ62"/>
      <c r="CA62" s="272"/>
      <c r="CB62" s="272"/>
      <c r="CC62" s="272"/>
      <c r="CD62" s="272"/>
      <c r="CE62" s="272"/>
      <c r="CF62" s="272"/>
      <c r="CG62" s="272"/>
      <c r="CH62"/>
      <c r="CI62" s="272"/>
      <c r="CJ62" s="272"/>
      <c r="CK62" s="272"/>
      <c r="CL62" s="272"/>
      <c r="CM62" s="272"/>
      <c r="CN62" s="272"/>
      <c r="CO62" s="272"/>
      <c r="CP62"/>
      <c r="CQ62" s="272"/>
      <c r="CR62" s="272"/>
      <c r="CS62" s="272"/>
      <c r="CT62" s="272"/>
      <c r="CU62" s="272"/>
      <c r="CV62" s="272"/>
      <c r="CW62" s="27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row>
    <row r="63" spans="1:205" s="1" customFormat="1" ht="12.75" x14ac:dyDescent="0.2">
      <c r="A63" s="258">
        <f t="shared" si="49"/>
        <v>51</v>
      </c>
      <c r="B63" s="260"/>
      <c r="C63" s="261"/>
      <c r="D63" s="261"/>
      <c r="E63" s="261"/>
      <c r="F63" s="261"/>
      <c r="G63" s="264"/>
      <c r="H63" s="212"/>
      <c r="I63" s="272">
        <f t="shared" si="38"/>
        <v>0</v>
      </c>
      <c r="J63" s="272">
        <f t="shared" si="38"/>
        <v>0</v>
      </c>
      <c r="K63" s="272">
        <f t="shared" si="38"/>
        <v>0</v>
      </c>
      <c r="L63" s="272">
        <f t="shared" si="56"/>
        <v>0</v>
      </c>
      <c r="M63" s="272">
        <f t="shared" si="39"/>
        <v>0</v>
      </c>
      <c r="N63" s="272">
        <f t="shared" si="39"/>
        <v>0</v>
      </c>
      <c r="O63" s="272">
        <f t="shared" si="39"/>
        <v>0</v>
      </c>
      <c r="P63" s="101"/>
      <c r="Q63" s="272">
        <f>'Input|Fee Based Mapping'!J62</f>
        <v>0</v>
      </c>
      <c r="R63" s="272">
        <f>'Input|Fee Based Mapping'!K62</f>
        <v>0</v>
      </c>
      <c r="S63" s="272">
        <f>'Input|Fee Based Mapping'!Y62</f>
        <v>0</v>
      </c>
      <c r="T63" s="272">
        <f>'Input|Fee Based Mapping'!Z62</f>
        <v>0</v>
      </c>
      <c r="U63" s="272">
        <f>'Input|Fee Based Mapping'!AA62</f>
        <v>0</v>
      </c>
      <c r="V63" s="272">
        <f>'Input|Fee Based Mapping'!AB62</f>
        <v>0</v>
      </c>
      <c r="W63" s="272">
        <f>'Input|Fee Based Mapping'!AC62</f>
        <v>0</v>
      </c>
      <c r="X63" s="101"/>
      <c r="Y63" s="272">
        <f t="shared" si="40"/>
        <v>0</v>
      </c>
      <c r="Z63" s="272">
        <f t="shared" si="12"/>
        <v>0</v>
      </c>
      <c r="AA63" s="272">
        <f t="shared" si="13"/>
        <v>0</v>
      </c>
      <c r="AB63" s="272">
        <f t="shared" si="14"/>
        <v>0</v>
      </c>
      <c r="AC63" s="272">
        <f t="shared" si="15"/>
        <v>0</v>
      </c>
      <c r="AD63" s="272">
        <f t="shared" si="16"/>
        <v>0</v>
      </c>
      <c r="AE63" s="272">
        <f t="shared" si="17"/>
        <v>0</v>
      </c>
      <c r="AF63"/>
      <c r="AG63" s="272">
        <f>Y63/('Input|Escalations'!G$17/'Input|Escalations'!$H$17)</f>
        <v>0</v>
      </c>
      <c r="AH63" s="272">
        <f>Z63/('Input|Escalations'!H$17/'Input|Escalations'!$H$17)</f>
        <v>0</v>
      </c>
      <c r="AI63" s="272">
        <f>AA63/('Input|Escalations'!I$17/'Input|Escalations'!$H$17)</f>
        <v>0</v>
      </c>
      <c r="AJ63" s="272">
        <f>AB63/('Input|Escalations'!J$17/'Input|Escalations'!$H$17)</f>
        <v>0</v>
      </c>
      <c r="AK63" s="272">
        <f>AC63/('Input|Escalations'!K$17/'Input|Escalations'!$H$17)</f>
        <v>0</v>
      </c>
      <c r="AL63" s="272">
        <f>AD63/('Input|Escalations'!L$17/'Input|Escalations'!$H$17)</f>
        <v>0</v>
      </c>
      <c r="AM63" s="272">
        <f>AE63/('Input|Escalations'!M$17/'Input|Escalations'!$H$17)</f>
        <v>0</v>
      </c>
      <c r="AO63" s="272">
        <f>SUM('Calc|Fee Based'!Z62-'Calc|Fee Based'!V62,'Calc|Fee Based'!AB62:AE62)</f>
        <v>0</v>
      </c>
      <c r="AP63" s="272">
        <f>'Calc|Fee Based'!V62</f>
        <v>0</v>
      </c>
      <c r="AQ63" s="101">
        <f t="shared" si="41"/>
        <v>0</v>
      </c>
      <c r="AR63" s="303">
        <f t="shared" si="42"/>
        <v>0</v>
      </c>
      <c r="AS63" s="303">
        <f t="shared" si="18"/>
        <v>0</v>
      </c>
      <c r="AU63" s="272">
        <f t="shared" si="43"/>
        <v>0</v>
      </c>
      <c r="AV63" s="272">
        <f t="shared" si="50"/>
        <v>0</v>
      </c>
      <c r="AW63" s="272">
        <f t="shared" si="51"/>
        <v>0</v>
      </c>
      <c r="AX63" s="272">
        <f t="shared" si="52"/>
        <v>0</v>
      </c>
      <c r="AY63" s="272">
        <f t="shared" si="53"/>
        <v>0</v>
      </c>
      <c r="AZ63" s="272">
        <f t="shared" si="54"/>
        <v>0</v>
      </c>
      <c r="BA63" s="272">
        <f t="shared" si="55"/>
        <v>0</v>
      </c>
      <c r="BC63" s="272">
        <f t="shared" si="44"/>
        <v>0</v>
      </c>
      <c r="BD63" s="272">
        <f t="shared" si="20"/>
        <v>0</v>
      </c>
      <c r="BE63" s="272">
        <f t="shared" si="21"/>
        <v>0</v>
      </c>
      <c r="BF63" s="272">
        <f t="shared" si="22"/>
        <v>0</v>
      </c>
      <c r="BG63" s="272">
        <f t="shared" si="23"/>
        <v>0</v>
      </c>
      <c r="BH63" s="272">
        <f t="shared" si="24"/>
        <v>0</v>
      </c>
      <c r="BI63" s="272">
        <f t="shared" si="25"/>
        <v>0</v>
      </c>
      <c r="BJ63" s="299">
        <f t="shared" si="45"/>
        <v>0</v>
      </c>
      <c r="BK63" s="272"/>
      <c r="BL63" s="272"/>
      <c r="BM63" s="272"/>
      <c r="BN63" s="272"/>
      <c r="BO63" s="272"/>
      <c r="BP63" s="272"/>
      <c r="BQ63" s="272"/>
      <c r="BR63" s="299"/>
      <c r="BS63" s="272"/>
      <c r="BT63" s="272"/>
      <c r="BU63" s="272"/>
      <c r="BV63" s="272"/>
      <c r="BW63" s="272"/>
      <c r="BX63" s="272"/>
      <c r="BY63" s="272"/>
      <c r="BZ63"/>
      <c r="CA63" s="272"/>
      <c r="CB63" s="272"/>
      <c r="CC63" s="272"/>
      <c r="CD63" s="272"/>
      <c r="CE63" s="272"/>
      <c r="CF63" s="272"/>
      <c r="CG63" s="272"/>
      <c r="CH63"/>
      <c r="CI63" s="272"/>
      <c r="CJ63" s="272"/>
      <c r="CK63" s="272"/>
      <c r="CL63" s="272"/>
      <c r="CM63" s="272"/>
      <c r="CN63" s="272"/>
      <c r="CO63" s="272"/>
      <c r="CP63"/>
      <c r="CQ63" s="272"/>
      <c r="CR63" s="272"/>
      <c r="CS63" s="272"/>
      <c r="CT63" s="272"/>
      <c r="CU63" s="272"/>
      <c r="CV63" s="272"/>
      <c r="CW63" s="272"/>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row>
    <row r="64" spans="1:205" s="1" customFormat="1" ht="12.75" x14ac:dyDescent="0.2">
      <c r="A64" s="258">
        <f t="shared" si="49"/>
        <v>52</v>
      </c>
      <c r="B64" s="260"/>
      <c r="C64" s="261"/>
      <c r="D64" s="261"/>
      <c r="E64" s="261"/>
      <c r="F64" s="261"/>
      <c r="G64" s="264"/>
      <c r="H64" s="212"/>
      <c r="I64" s="272">
        <f t="shared" si="38"/>
        <v>0</v>
      </c>
      <c r="J64" s="272">
        <f t="shared" si="38"/>
        <v>0</v>
      </c>
      <c r="K64" s="272">
        <f t="shared" si="38"/>
        <v>0</v>
      </c>
      <c r="L64" s="272">
        <f t="shared" si="56"/>
        <v>0</v>
      </c>
      <c r="M64" s="272">
        <f t="shared" si="39"/>
        <v>0</v>
      </c>
      <c r="N64" s="272">
        <f t="shared" si="39"/>
        <v>0</v>
      </c>
      <c r="O64" s="272">
        <f t="shared" si="39"/>
        <v>0</v>
      </c>
      <c r="P64" s="101"/>
      <c r="Q64" s="272">
        <f>'Input|Fee Based Mapping'!J63</f>
        <v>0</v>
      </c>
      <c r="R64" s="272">
        <f>'Input|Fee Based Mapping'!K63</f>
        <v>0</v>
      </c>
      <c r="S64" s="272">
        <f>'Input|Fee Based Mapping'!Y63</f>
        <v>0</v>
      </c>
      <c r="T64" s="272">
        <f>'Input|Fee Based Mapping'!Z63</f>
        <v>0</v>
      </c>
      <c r="U64" s="272">
        <f>'Input|Fee Based Mapping'!AA63</f>
        <v>0</v>
      </c>
      <c r="V64" s="272">
        <f>'Input|Fee Based Mapping'!AB63</f>
        <v>0</v>
      </c>
      <c r="W64" s="272">
        <f>'Input|Fee Based Mapping'!AC63</f>
        <v>0</v>
      </c>
      <c r="X64" s="101"/>
      <c r="Y64" s="272">
        <f t="shared" si="40"/>
        <v>0</v>
      </c>
      <c r="Z64" s="272">
        <f t="shared" si="12"/>
        <v>0</v>
      </c>
      <c r="AA64" s="272">
        <f t="shared" si="13"/>
        <v>0</v>
      </c>
      <c r="AB64" s="272">
        <f t="shared" si="14"/>
        <v>0</v>
      </c>
      <c r="AC64" s="272">
        <f t="shared" si="15"/>
        <v>0</v>
      </c>
      <c r="AD64" s="272">
        <f t="shared" si="16"/>
        <v>0</v>
      </c>
      <c r="AE64" s="272">
        <f t="shared" si="17"/>
        <v>0</v>
      </c>
      <c r="AF64"/>
      <c r="AG64" s="272">
        <f>Y64/('Input|Escalations'!G$17/'Input|Escalations'!$H$17)</f>
        <v>0</v>
      </c>
      <c r="AH64" s="272">
        <f>Z64/('Input|Escalations'!H$17/'Input|Escalations'!$H$17)</f>
        <v>0</v>
      </c>
      <c r="AI64" s="272">
        <f>AA64/('Input|Escalations'!I$17/'Input|Escalations'!$H$17)</f>
        <v>0</v>
      </c>
      <c r="AJ64" s="272">
        <f>AB64/('Input|Escalations'!J$17/'Input|Escalations'!$H$17)</f>
        <v>0</v>
      </c>
      <c r="AK64" s="272">
        <f>AC64/('Input|Escalations'!K$17/'Input|Escalations'!$H$17)</f>
        <v>0</v>
      </c>
      <c r="AL64" s="272">
        <f>AD64/('Input|Escalations'!L$17/'Input|Escalations'!$H$17)</f>
        <v>0</v>
      </c>
      <c r="AM64" s="272">
        <f>AE64/('Input|Escalations'!M$17/'Input|Escalations'!$H$17)</f>
        <v>0</v>
      </c>
      <c r="AO64" s="272">
        <f>SUM('Calc|Fee Based'!Z63-'Calc|Fee Based'!V63,'Calc|Fee Based'!AB63:AE63)</f>
        <v>0</v>
      </c>
      <c r="AP64" s="272">
        <f>'Calc|Fee Based'!V63</f>
        <v>0</v>
      </c>
      <c r="AQ64" s="101">
        <f t="shared" si="41"/>
        <v>0</v>
      </c>
      <c r="AR64" s="303">
        <f t="shared" si="42"/>
        <v>0</v>
      </c>
      <c r="AS64" s="303">
        <f t="shared" si="18"/>
        <v>0</v>
      </c>
      <c r="AU64" s="272">
        <f t="shared" si="43"/>
        <v>0</v>
      </c>
      <c r="AV64" s="272">
        <f t="shared" si="50"/>
        <v>0</v>
      </c>
      <c r="AW64" s="272">
        <f t="shared" si="51"/>
        <v>0</v>
      </c>
      <c r="AX64" s="272">
        <f t="shared" si="52"/>
        <v>0</v>
      </c>
      <c r="AY64" s="272">
        <f t="shared" si="53"/>
        <v>0</v>
      </c>
      <c r="AZ64" s="272">
        <f t="shared" si="54"/>
        <v>0</v>
      </c>
      <c r="BA64" s="272">
        <f t="shared" si="55"/>
        <v>0</v>
      </c>
      <c r="BC64" s="272">
        <f t="shared" si="44"/>
        <v>0</v>
      </c>
      <c r="BD64" s="272">
        <f t="shared" si="20"/>
        <v>0</v>
      </c>
      <c r="BE64" s="272">
        <f t="shared" si="21"/>
        <v>0</v>
      </c>
      <c r="BF64" s="272">
        <f t="shared" si="22"/>
        <v>0</v>
      </c>
      <c r="BG64" s="272">
        <f t="shared" si="23"/>
        <v>0</v>
      </c>
      <c r="BH64" s="272">
        <f t="shared" si="24"/>
        <v>0</v>
      </c>
      <c r="BI64" s="272">
        <f t="shared" si="25"/>
        <v>0</v>
      </c>
      <c r="BJ64" s="299">
        <f t="shared" si="45"/>
        <v>0</v>
      </c>
      <c r="BK64" s="272"/>
      <c r="BL64" s="272"/>
      <c r="BM64" s="272"/>
      <c r="BN64" s="272"/>
      <c r="BO64" s="272"/>
      <c r="BP64" s="272"/>
      <c r="BQ64" s="272"/>
      <c r="BR64" s="299"/>
      <c r="BS64" s="272"/>
      <c r="BT64" s="272"/>
      <c r="BU64" s="272"/>
      <c r="BV64" s="272"/>
      <c r="BW64" s="272"/>
      <c r="BX64" s="272"/>
      <c r="BY64" s="272"/>
      <c r="BZ64"/>
      <c r="CA64" s="272"/>
      <c r="CB64" s="272"/>
      <c r="CC64" s="272"/>
      <c r="CD64" s="272"/>
      <c r="CE64" s="272"/>
      <c r="CF64" s="272"/>
      <c r="CG64" s="272"/>
      <c r="CH64"/>
      <c r="CI64" s="272"/>
      <c r="CJ64" s="272"/>
      <c r="CK64" s="272"/>
      <c r="CL64" s="272"/>
      <c r="CM64" s="272"/>
      <c r="CN64" s="272"/>
      <c r="CO64" s="272"/>
      <c r="CP64"/>
      <c r="CQ64" s="272"/>
      <c r="CR64" s="272"/>
      <c r="CS64" s="272"/>
      <c r="CT64" s="272"/>
      <c r="CU64" s="272"/>
      <c r="CV64" s="272"/>
      <c r="CW64" s="272"/>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row>
    <row r="65" spans="1:206" s="1" customFormat="1" ht="12.75" x14ac:dyDescent="0.2">
      <c r="A65" s="258">
        <f t="shared" si="49"/>
        <v>53</v>
      </c>
      <c r="B65" s="260"/>
      <c r="C65" s="261"/>
      <c r="D65" s="261"/>
      <c r="E65" s="261"/>
      <c r="F65" s="261"/>
      <c r="G65" s="264"/>
      <c r="H65" s="212"/>
      <c r="I65" s="272">
        <f t="shared" si="38"/>
        <v>0</v>
      </c>
      <c r="J65" s="272">
        <f t="shared" si="38"/>
        <v>0</v>
      </c>
      <c r="K65" s="272">
        <f t="shared" si="38"/>
        <v>0</v>
      </c>
      <c r="L65" s="272">
        <f t="shared" si="56"/>
        <v>0</v>
      </c>
      <c r="M65" s="272">
        <f t="shared" si="39"/>
        <v>0</v>
      </c>
      <c r="N65" s="272">
        <f t="shared" si="39"/>
        <v>0</v>
      </c>
      <c r="O65" s="272">
        <f t="shared" si="39"/>
        <v>0</v>
      </c>
      <c r="P65" s="101"/>
      <c r="Q65" s="272">
        <f>'Input|Fee Based Mapping'!J64</f>
        <v>0</v>
      </c>
      <c r="R65" s="272">
        <f>'Input|Fee Based Mapping'!K64</f>
        <v>0</v>
      </c>
      <c r="S65" s="272">
        <f>'Input|Fee Based Mapping'!Y64</f>
        <v>0</v>
      </c>
      <c r="T65" s="272">
        <f>'Input|Fee Based Mapping'!Z64</f>
        <v>0</v>
      </c>
      <c r="U65" s="272">
        <f>'Input|Fee Based Mapping'!AA64</f>
        <v>0</v>
      </c>
      <c r="V65" s="272">
        <f>'Input|Fee Based Mapping'!AB64</f>
        <v>0</v>
      </c>
      <c r="W65" s="272">
        <f>'Input|Fee Based Mapping'!AC64</f>
        <v>0</v>
      </c>
      <c r="X65" s="101"/>
      <c r="Y65" s="272">
        <f t="shared" si="40"/>
        <v>0</v>
      </c>
      <c r="Z65" s="272">
        <f t="shared" si="12"/>
        <v>0</v>
      </c>
      <c r="AA65" s="272">
        <f t="shared" si="13"/>
        <v>0</v>
      </c>
      <c r="AB65" s="272">
        <f t="shared" si="14"/>
        <v>0</v>
      </c>
      <c r="AC65" s="272">
        <f t="shared" si="15"/>
        <v>0</v>
      </c>
      <c r="AD65" s="272">
        <f t="shared" si="16"/>
        <v>0</v>
      </c>
      <c r="AE65" s="272">
        <f t="shared" si="17"/>
        <v>0</v>
      </c>
      <c r="AF65"/>
      <c r="AG65" s="272">
        <f>Y65/('Input|Escalations'!G$17/'Input|Escalations'!$H$17)</f>
        <v>0</v>
      </c>
      <c r="AH65" s="272">
        <f>Z65/('Input|Escalations'!H$17/'Input|Escalations'!$H$17)</f>
        <v>0</v>
      </c>
      <c r="AI65" s="272">
        <f>AA65/('Input|Escalations'!I$17/'Input|Escalations'!$H$17)</f>
        <v>0</v>
      </c>
      <c r="AJ65" s="272">
        <f>AB65/('Input|Escalations'!J$17/'Input|Escalations'!$H$17)</f>
        <v>0</v>
      </c>
      <c r="AK65" s="272">
        <f>AC65/('Input|Escalations'!K$17/'Input|Escalations'!$H$17)</f>
        <v>0</v>
      </c>
      <c r="AL65" s="272">
        <f>AD65/('Input|Escalations'!L$17/'Input|Escalations'!$H$17)</f>
        <v>0</v>
      </c>
      <c r="AM65" s="272">
        <f>AE65/('Input|Escalations'!M$17/'Input|Escalations'!$H$17)</f>
        <v>0</v>
      </c>
      <c r="AO65" s="272">
        <f>SUM('Calc|Fee Based'!Z64-'Calc|Fee Based'!V64,'Calc|Fee Based'!AB64:AE64)</f>
        <v>0</v>
      </c>
      <c r="AP65" s="272">
        <f>'Calc|Fee Based'!V64</f>
        <v>0</v>
      </c>
      <c r="AQ65" s="101">
        <f t="shared" si="41"/>
        <v>0</v>
      </c>
      <c r="AR65" s="303">
        <f t="shared" si="42"/>
        <v>0</v>
      </c>
      <c r="AS65" s="303">
        <f t="shared" si="18"/>
        <v>0</v>
      </c>
      <c r="AU65" s="272">
        <f t="shared" si="43"/>
        <v>0</v>
      </c>
      <c r="AV65" s="272">
        <f t="shared" si="50"/>
        <v>0</v>
      </c>
      <c r="AW65" s="272">
        <f t="shared" si="51"/>
        <v>0</v>
      </c>
      <c r="AX65" s="272">
        <f t="shared" si="52"/>
        <v>0</v>
      </c>
      <c r="AY65" s="272">
        <f t="shared" si="53"/>
        <v>0</v>
      </c>
      <c r="AZ65" s="272">
        <f t="shared" si="54"/>
        <v>0</v>
      </c>
      <c r="BA65" s="272">
        <f t="shared" si="55"/>
        <v>0</v>
      </c>
      <c r="BC65" s="272">
        <f t="shared" si="44"/>
        <v>0</v>
      </c>
      <c r="BD65" s="272">
        <f t="shared" si="20"/>
        <v>0</v>
      </c>
      <c r="BE65" s="272">
        <f t="shared" si="21"/>
        <v>0</v>
      </c>
      <c r="BF65" s="272">
        <f t="shared" si="22"/>
        <v>0</v>
      </c>
      <c r="BG65" s="272">
        <f t="shared" si="23"/>
        <v>0</v>
      </c>
      <c r="BH65" s="272">
        <f t="shared" si="24"/>
        <v>0</v>
      </c>
      <c r="BI65" s="272">
        <f t="shared" si="25"/>
        <v>0</v>
      </c>
      <c r="BJ65" s="299">
        <f t="shared" si="45"/>
        <v>0</v>
      </c>
      <c r="BK65" s="272"/>
      <c r="BL65" s="272"/>
      <c r="BM65" s="272"/>
      <c r="BN65" s="272"/>
      <c r="BO65" s="272"/>
      <c r="BP65" s="272"/>
      <c r="BQ65" s="272"/>
      <c r="BR65" s="299"/>
      <c r="BS65" s="272"/>
      <c r="BT65" s="272"/>
      <c r="BU65" s="272"/>
      <c r="BV65" s="272"/>
      <c r="BW65" s="272"/>
      <c r="BX65" s="272"/>
      <c r="BY65" s="272"/>
      <c r="BZ65"/>
      <c r="CA65" s="272"/>
      <c r="CB65" s="272"/>
      <c r="CC65" s="272"/>
      <c r="CD65" s="272"/>
      <c r="CE65" s="272"/>
      <c r="CF65" s="272"/>
      <c r="CG65" s="272"/>
      <c r="CH65"/>
      <c r="CI65" s="272"/>
      <c r="CJ65" s="272"/>
      <c r="CK65" s="272"/>
      <c r="CL65" s="272"/>
      <c r="CM65" s="272"/>
      <c r="CN65" s="272"/>
      <c r="CO65" s="272"/>
      <c r="CP65"/>
      <c r="CQ65" s="272"/>
      <c r="CR65" s="272"/>
      <c r="CS65" s="272"/>
      <c r="CT65" s="272"/>
      <c r="CU65" s="272"/>
      <c r="CV65" s="272"/>
      <c r="CW65" s="272"/>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row>
    <row r="66" spans="1:206" s="1" customFormat="1" ht="12.75" x14ac:dyDescent="0.2">
      <c r="A66" s="258">
        <f t="shared" si="49"/>
        <v>54</v>
      </c>
      <c r="B66" s="260"/>
      <c r="C66" s="261"/>
      <c r="D66" s="261"/>
      <c r="E66" s="261"/>
      <c r="F66" s="261"/>
      <c r="G66" s="264"/>
      <c r="H66" s="212"/>
      <c r="I66" s="272">
        <f t="shared" si="38"/>
        <v>0</v>
      </c>
      <c r="J66" s="272">
        <f t="shared" si="38"/>
        <v>0</v>
      </c>
      <c r="K66" s="272">
        <f t="shared" si="38"/>
        <v>0</v>
      </c>
      <c r="L66" s="272">
        <f t="shared" si="56"/>
        <v>0</v>
      </c>
      <c r="M66" s="272">
        <f t="shared" si="39"/>
        <v>0</v>
      </c>
      <c r="N66" s="272">
        <f t="shared" si="39"/>
        <v>0</v>
      </c>
      <c r="O66" s="272">
        <f t="shared" si="39"/>
        <v>0</v>
      </c>
      <c r="P66" s="101"/>
      <c r="Q66" s="272">
        <f>'Input|Fee Based Mapping'!J65</f>
        <v>0</v>
      </c>
      <c r="R66" s="272">
        <f>'Input|Fee Based Mapping'!K65</f>
        <v>0</v>
      </c>
      <c r="S66" s="272">
        <f>'Input|Fee Based Mapping'!Y65</f>
        <v>0</v>
      </c>
      <c r="T66" s="272">
        <f>'Input|Fee Based Mapping'!Z65</f>
        <v>0</v>
      </c>
      <c r="U66" s="272">
        <f>'Input|Fee Based Mapping'!AA65</f>
        <v>0</v>
      </c>
      <c r="V66" s="272">
        <f>'Input|Fee Based Mapping'!AB65</f>
        <v>0</v>
      </c>
      <c r="W66" s="272">
        <f>'Input|Fee Based Mapping'!AC65</f>
        <v>0</v>
      </c>
      <c r="X66" s="101"/>
      <c r="Y66" s="272">
        <f t="shared" si="40"/>
        <v>0</v>
      </c>
      <c r="Z66" s="272">
        <f t="shared" si="12"/>
        <v>0</v>
      </c>
      <c r="AA66" s="272">
        <f t="shared" si="13"/>
        <v>0</v>
      </c>
      <c r="AB66" s="272">
        <f t="shared" si="14"/>
        <v>0</v>
      </c>
      <c r="AC66" s="272">
        <f t="shared" si="15"/>
        <v>0</v>
      </c>
      <c r="AD66" s="272">
        <f t="shared" si="16"/>
        <v>0</v>
      </c>
      <c r="AE66" s="272">
        <f t="shared" si="17"/>
        <v>0</v>
      </c>
      <c r="AF66"/>
      <c r="AG66" s="272">
        <f>Y66/('Input|Escalations'!G$17/'Input|Escalations'!$H$17)</f>
        <v>0</v>
      </c>
      <c r="AH66" s="272">
        <f>Z66/('Input|Escalations'!H$17/'Input|Escalations'!$H$17)</f>
        <v>0</v>
      </c>
      <c r="AI66" s="272">
        <f>AA66/('Input|Escalations'!I$17/'Input|Escalations'!$H$17)</f>
        <v>0</v>
      </c>
      <c r="AJ66" s="272">
        <f>AB66/('Input|Escalations'!J$17/'Input|Escalations'!$H$17)</f>
        <v>0</v>
      </c>
      <c r="AK66" s="272">
        <f>AC66/('Input|Escalations'!K$17/'Input|Escalations'!$H$17)</f>
        <v>0</v>
      </c>
      <c r="AL66" s="272">
        <f>AD66/('Input|Escalations'!L$17/'Input|Escalations'!$H$17)</f>
        <v>0</v>
      </c>
      <c r="AM66" s="272">
        <f>AE66/('Input|Escalations'!M$17/'Input|Escalations'!$H$17)</f>
        <v>0</v>
      </c>
      <c r="AO66" s="272">
        <f>SUM('Calc|Fee Based'!Z65-'Calc|Fee Based'!V65,'Calc|Fee Based'!AB65:AE65)</f>
        <v>0</v>
      </c>
      <c r="AP66" s="272">
        <f>'Calc|Fee Based'!V65</f>
        <v>0</v>
      </c>
      <c r="AQ66" s="101">
        <f t="shared" si="41"/>
        <v>0</v>
      </c>
      <c r="AR66" s="303">
        <f t="shared" si="42"/>
        <v>0</v>
      </c>
      <c r="AS66" s="303">
        <f t="shared" si="18"/>
        <v>0</v>
      </c>
      <c r="AU66" s="272">
        <f t="shared" si="43"/>
        <v>0</v>
      </c>
      <c r="AV66" s="272">
        <f t="shared" si="50"/>
        <v>0</v>
      </c>
      <c r="AW66" s="272">
        <f t="shared" si="51"/>
        <v>0</v>
      </c>
      <c r="AX66" s="272">
        <f t="shared" si="52"/>
        <v>0</v>
      </c>
      <c r="AY66" s="272">
        <f t="shared" si="53"/>
        <v>0</v>
      </c>
      <c r="AZ66" s="272">
        <f t="shared" si="54"/>
        <v>0</v>
      </c>
      <c r="BA66" s="272">
        <f t="shared" si="55"/>
        <v>0</v>
      </c>
      <c r="BC66" s="272">
        <f t="shared" si="44"/>
        <v>0</v>
      </c>
      <c r="BD66" s="272">
        <f t="shared" si="20"/>
        <v>0</v>
      </c>
      <c r="BE66" s="272">
        <f t="shared" si="21"/>
        <v>0</v>
      </c>
      <c r="BF66" s="272">
        <f t="shared" si="22"/>
        <v>0</v>
      </c>
      <c r="BG66" s="272">
        <f t="shared" si="23"/>
        <v>0</v>
      </c>
      <c r="BH66" s="272">
        <f t="shared" si="24"/>
        <v>0</v>
      </c>
      <c r="BI66" s="272">
        <f t="shared" si="25"/>
        <v>0</v>
      </c>
      <c r="BJ66" s="299">
        <f t="shared" si="45"/>
        <v>0</v>
      </c>
      <c r="BK66" s="272"/>
      <c r="BL66" s="272"/>
      <c r="BM66" s="272"/>
      <c r="BN66" s="272"/>
      <c r="BO66" s="272"/>
      <c r="BP66" s="272"/>
      <c r="BQ66" s="272"/>
      <c r="BR66" s="299"/>
      <c r="BS66" s="272"/>
      <c r="BT66" s="272"/>
      <c r="BU66" s="272"/>
      <c r="BV66" s="272"/>
      <c r="BW66" s="272"/>
      <c r="BX66" s="272"/>
      <c r="BY66" s="272"/>
      <c r="BZ66"/>
      <c r="CA66" s="272"/>
      <c r="CB66" s="272"/>
      <c r="CC66" s="272"/>
      <c r="CD66" s="272"/>
      <c r="CE66" s="272"/>
      <c r="CF66" s="272"/>
      <c r="CG66" s="272"/>
      <c r="CH66"/>
      <c r="CI66" s="272"/>
      <c r="CJ66" s="272"/>
      <c r="CK66" s="272"/>
      <c r="CL66" s="272"/>
      <c r="CM66" s="272"/>
      <c r="CN66" s="272"/>
      <c r="CO66" s="272"/>
      <c r="CP66"/>
      <c r="CQ66" s="272"/>
      <c r="CR66" s="272"/>
      <c r="CS66" s="272"/>
      <c r="CT66" s="272"/>
      <c r="CU66" s="272"/>
      <c r="CV66" s="272"/>
      <c r="CW66" s="272"/>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row>
    <row r="67" spans="1:206" s="1" customFormat="1" ht="12.75" x14ac:dyDescent="0.2">
      <c r="A67" s="258">
        <f t="shared" si="49"/>
        <v>55</v>
      </c>
      <c r="B67" s="260"/>
      <c r="C67" s="261"/>
      <c r="D67" s="261"/>
      <c r="E67" s="261"/>
      <c r="F67" s="261"/>
      <c r="G67" s="264"/>
      <c r="H67" s="212"/>
      <c r="I67" s="272">
        <f t="shared" si="38"/>
        <v>0</v>
      </c>
      <c r="J67" s="272">
        <f t="shared" si="38"/>
        <v>0</v>
      </c>
      <c r="K67" s="272">
        <f t="shared" si="38"/>
        <v>0</v>
      </c>
      <c r="L67" s="272">
        <f t="shared" si="56"/>
        <v>0</v>
      </c>
      <c r="M67" s="272">
        <f t="shared" si="39"/>
        <v>0</v>
      </c>
      <c r="N67" s="272">
        <f t="shared" si="39"/>
        <v>0</v>
      </c>
      <c r="O67" s="272">
        <f t="shared" si="39"/>
        <v>0</v>
      </c>
      <c r="P67" s="101"/>
      <c r="Q67" s="272">
        <f>'Input|Fee Based Mapping'!J66</f>
        <v>0</v>
      </c>
      <c r="R67" s="272">
        <f>'Input|Fee Based Mapping'!K66</f>
        <v>0</v>
      </c>
      <c r="S67" s="272">
        <f>'Input|Fee Based Mapping'!Y66</f>
        <v>0</v>
      </c>
      <c r="T67" s="272">
        <f>'Input|Fee Based Mapping'!Z66</f>
        <v>0</v>
      </c>
      <c r="U67" s="272">
        <f>'Input|Fee Based Mapping'!AA66</f>
        <v>0</v>
      </c>
      <c r="V67" s="272">
        <f>'Input|Fee Based Mapping'!AB66</f>
        <v>0</v>
      </c>
      <c r="W67" s="272">
        <f>'Input|Fee Based Mapping'!AC66</f>
        <v>0</v>
      </c>
      <c r="X67" s="101"/>
      <c r="Y67" s="272">
        <f t="shared" si="40"/>
        <v>0</v>
      </c>
      <c r="Z67" s="272">
        <f t="shared" si="12"/>
        <v>0</v>
      </c>
      <c r="AA67" s="272">
        <f t="shared" si="13"/>
        <v>0</v>
      </c>
      <c r="AB67" s="272">
        <f t="shared" si="14"/>
        <v>0</v>
      </c>
      <c r="AC67" s="272">
        <f t="shared" si="15"/>
        <v>0</v>
      </c>
      <c r="AD67" s="272">
        <f t="shared" si="16"/>
        <v>0</v>
      </c>
      <c r="AE67" s="272">
        <f t="shared" si="17"/>
        <v>0</v>
      </c>
      <c r="AF67"/>
      <c r="AG67" s="272">
        <f>Y67/('Input|Escalations'!G$17/'Input|Escalations'!$H$17)</f>
        <v>0</v>
      </c>
      <c r="AH67" s="272">
        <f>Z67/('Input|Escalations'!H$17/'Input|Escalations'!$H$17)</f>
        <v>0</v>
      </c>
      <c r="AI67" s="272">
        <f>AA67/('Input|Escalations'!I$17/'Input|Escalations'!$H$17)</f>
        <v>0</v>
      </c>
      <c r="AJ67" s="272">
        <f>AB67/('Input|Escalations'!J$17/'Input|Escalations'!$H$17)</f>
        <v>0</v>
      </c>
      <c r="AK67" s="272">
        <f>AC67/('Input|Escalations'!K$17/'Input|Escalations'!$H$17)</f>
        <v>0</v>
      </c>
      <c r="AL67" s="272">
        <f>AD67/('Input|Escalations'!L$17/'Input|Escalations'!$H$17)</f>
        <v>0</v>
      </c>
      <c r="AM67" s="272">
        <f>AE67/('Input|Escalations'!M$17/'Input|Escalations'!$H$17)</f>
        <v>0</v>
      </c>
      <c r="AO67" s="272">
        <f>SUM('Calc|Fee Based'!Z66-'Calc|Fee Based'!V66,'Calc|Fee Based'!AB66:AE66)</f>
        <v>0</v>
      </c>
      <c r="AP67" s="272">
        <f>'Calc|Fee Based'!V66</f>
        <v>0</v>
      </c>
      <c r="AQ67" s="101">
        <f t="shared" si="41"/>
        <v>0</v>
      </c>
      <c r="AR67" s="303">
        <f t="shared" si="42"/>
        <v>0</v>
      </c>
      <c r="AS67" s="303">
        <f t="shared" si="18"/>
        <v>0</v>
      </c>
      <c r="AU67" s="272">
        <f t="shared" si="43"/>
        <v>0</v>
      </c>
      <c r="AV67" s="272">
        <f t="shared" si="50"/>
        <v>0</v>
      </c>
      <c r="AW67" s="272">
        <f t="shared" si="51"/>
        <v>0</v>
      </c>
      <c r="AX67" s="272">
        <f t="shared" si="52"/>
        <v>0</v>
      </c>
      <c r="AY67" s="272">
        <f t="shared" si="53"/>
        <v>0</v>
      </c>
      <c r="AZ67" s="272">
        <f t="shared" si="54"/>
        <v>0</v>
      </c>
      <c r="BA67" s="272">
        <f t="shared" si="55"/>
        <v>0</v>
      </c>
      <c r="BC67" s="272">
        <f t="shared" si="44"/>
        <v>0</v>
      </c>
      <c r="BD67" s="272">
        <f t="shared" si="20"/>
        <v>0</v>
      </c>
      <c r="BE67" s="272">
        <f t="shared" si="21"/>
        <v>0</v>
      </c>
      <c r="BF67" s="272">
        <f t="shared" si="22"/>
        <v>0</v>
      </c>
      <c r="BG67" s="272">
        <f t="shared" si="23"/>
        <v>0</v>
      </c>
      <c r="BH67" s="272">
        <f t="shared" si="24"/>
        <v>0</v>
      </c>
      <c r="BI67" s="272">
        <f t="shared" si="25"/>
        <v>0</v>
      </c>
      <c r="BJ67" s="299">
        <f t="shared" si="45"/>
        <v>0</v>
      </c>
      <c r="BK67" s="272"/>
      <c r="BL67" s="272"/>
      <c r="BM67" s="272"/>
      <c r="BN67" s="272"/>
      <c r="BO67" s="272"/>
      <c r="BP67" s="272"/>
      <c r="BQ67" s="272"/>
      <c r="BR67" s="299"/>
      <c r="BS67" s="272"/>
      <c r="BT67" s="272"/>
      <c r="BU67" s="272"/>
      <c r="BV67" s="272"/>
      <c r="BW67" s="272"/>
      <c r="BX67" s="272"/>
      <c r="BY67" s="272"/>
      <c r="BZ67"/>
      <c r="CA67" s="272"/>
      <c r="CB67" s="272"/>
      <c r="CC67" s="272"/>
      <c r="CD67" s="272"/>
      <c r="CE67" s="272"/>
      <c r="CF67" s="272"/>
      <c r="CG67" s="272"/>
      <c r="CH67"/>
      <c r="CI67" s="272"/>
      <c r="CJ67" s="272"/>
      <c r="CK67" s="272"/>
      <c r="CL67" s="272"/>
      <c r="CM67" s="272"/>
      <c r="CN67" s="272"/>
      <c r="CO67" s="272"/>
      <c r="CP67"/>
      <c r="CQ67" s="272"/>
      <c r="CR67" s="272"/>
      <c r="CS67" s="272"/>
      <c r="CT67" s="272"/>
      <c r="CU67" s="272"/>
      <c r="CV67" s="272"/>
      <c r="CW67" s="272"/>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row>
    <row r="68" spans="1:206" s="1" customFormat="1" ht="12.75" x14ac:dyDescent="0.2">
      <c r="A68" s="258">
        <f t="shared" si="49"/>
        <v>56</v>
      </c>
      <c r="B68" s="260"/>
      <c r="C68" s="261"/>
      <c r="D68" s="261"/>
      <c r="E68" s="261"/>
      <c r="F68" s="261"/>
      <c r="G68" s="264"/>
      <c r="H68" s="212"/>
      <c r="I68" s="272">
        <f t="shared" si="38"/>
        <v>0</v>
      </c>
      <c r="J68" s="272">
        <f t="shared" si="38"/>
        <v>0</v>
      </c>
      <c r="K68" s="272">
        <f t="shared" si="38"/>
        <v>0</v>
      </c>
      <c r="L68" s="272">
        <f t="shared" si="56"/>
        <v>0</v>
      </c>
      <c r="M68" s="272">
        <f t="shared" si="39"/>
        <v>0</v>
      </c>
      <c r="N68" s="272">
        <f t="shared" si="39"/>
        <v>0</v>
      </c>
      <c r="O68" s="272">
        <f t="shared" si="39"/>
        <v>0</v>
      </c>
      <c r="P68" s="101"/>
      <c r="Q68" s="272">
        <f>'Input|Fee Based Mapping'!J67</f>
        <v>0</v>
      </c>
      <c r="R68" s="272">
        <f>'Input|Fee Based Mapping'!K67</f>
        <v>0</v>
      </c>
      <c r="S68" s="272">
        <f>'Input|Fee Based Mapping'!Y67</f>
        <v>0</v>
      </c>
      <c r="T68" s="272">
        <f>'Input|Fee Based Mapping'!Z67</f>
        <v>0</v>
      </c>
      <c r="U68" s="272">
        <f>'Input|Fee Based Mapping'!AA67</f>
        <v>0</v>
      </c>
      <c r="V68" s="272">
        <f>'Input|Fee Based Mapping'!AB67</f>
        <v>0</v>
      </c>
      <c r="W68" s="272">
        <f>'Input|Fee Based Mapping'!AC67</f>
        <v>0</v>
      </c>
      <c r="X68" s="101"/>
      <c r="Y68" s="272">
        <f t="shared" si="40"/>
        <v>0</v>
      </c>
      <c r="Z68" s="272">
        <f t="shared" si="12"/>
        <v>0</v>
      </c>
      <c r="AA68" s="272">
        <f t="shared" si="13"/>
        <v>0</v>
      </c>
      <c r="AB68" s="272">
        <f t="shared" si="14"/>
        <v>0</v>
      </c>
      <c r="AC68" s="272">
        <f t="shared" si="15"/>
        <v>0</v>
      </c>
      <c r="AD68" s="272">
        <f t="shared" si="16"/>
        <v>0</v>
      </c>
      <c r="AE68" s="272">
        <f t="shared" si="17"/>
        <v>0</v>
      </c>
      <c r="AF68"/>
      <c r="AG68" s="272">
        <f>Y68/('Input|Escalations'!G$17/'Input|Escalations'!$H$17)</f>
        <v>0</v>
      </c>
      <c r="AH68" s="272">
        <f>Z68/('Input|Escalations'!H$17/'Input|Escalations'!$H$17)</f>
        <v>0</v>
      </c>
      <c r="AI68" s="272">
        <f>AA68/('Input|Escalations'!I$17/'Input|Escalations'!$H$17)</f>
        <v>0</v>
      </c>
      <c r="AJ68" s="272">
        <f>AB68/('Input|Escalations'!J$17/'Input|Escalations'!$H$17)</f>
        <v>0</v>
      </c>
      <c r="AK68" s="272">
        <f>AC68/('Input|Escalations'!K$17/'Input|Escalations'!$H$17)</f>
        <v>0</v>
      </c>
      <c r="AL68" s="272">
        <f>AD68/('Input|Escalations'!L$17/'Input|Escalations'!$H$17)</f>
        <v>0</v>
      </c>
      <c r="AM68" s="272">
        <f>AE68/('Input|Escalations'!M$17/'Input|Escalations'!$H$17)</f>
        <v>0</v>
      </c>
      <c r="AO68" s="272">
        <f>SUM('Calc|Fee Based'!Z67-'Calc|Fee Based'!V67,'Calc|Fee Based'!AB67:AE67)</f>
        <v>0</v>
      </c>
      <c r="AP68" s="272">
        <f>'Calc|Fee Based'!V67</f>
        <v>0</v>
      </c>
      <c r="AQ68" s="101">
        <f t="shared" si="41"/>
        <v>0</v>
      </c>
      <c r="AR68" s="303">
        <f t="shared" si="42"/>
        <v>0</v>
      </c>
      <c r="AS68" s="303">
        <f t="shared" si="18"/>
        <v>0</v>
      </c>
      <c r="AU68" s="272">
        <f t="shared" si="43"/>
        <v>0</v>
      </c>
      <c r="AV68" s="272">
        <f t="shared" si="50"/>
        <v>0</v>
      </c>
      <c r="AW68" s="272">
        <f t="shared" si="51"/>
        <v>0</v>
      </c>
      <c r="AX68" s="272">
        <f t="shared" si="52"/>
        <v>0</v>
      </c>
      <c r="AY68" s="272">
        <f t="shared" si="53"/>
        <v>0</v>
      </c>
      <c r="AZ68" s="272">
        <f t="shared" si="54"/>
        <v>0</v>
      </c>
      <c r="BA68" s="272">
        <f t="shared" si="55"/>
        <v>0</v>
      </c>
      <c r="BC68" s="272">
        <f t="shared" si="44"/>
        <v>0</v>
      </c>
      <c r="BD68" s="272">
        <f t="shared" si="20"/>
        <v>0</v>
      </c>
      <c r="BE68" s="272">
        <f t="shared" si="21"/>
        <v>0</v>
      </c>
      <c r="BF68" s="272">
        <f t="shared" si="22"/>
        <v>0</v>
      </c>
      <c r="BG68" s="272">
        <f t="shared" si="23"/>
        <v>0</v>
      </c>
      <c r="BH68" s="272">
        <f t="shared" si="24"/>
        <v>0</v>
      </c>
      <c r="BI68" s="272">
        <f t="shared" si="25"/>
        <v>0</v>
      </c>
      <c r="BJ68" s="299">
        <f t="shared" si="45"/>
        <v>0</v>
      </c>
      <c r="BK68" s="272"/>
      <c r="BL68" s="272"/>
      <c r="BM68" s="272"/>
      <c r="BN68" s="272"/>
      <c r="BO68" s="272"/>
      <c r="BP68" s="272"/>
      <c r="BQ68" s="272"/>
      <c r="BR68" s="299"/>
      <c r="BS68" s="272"/>
      <c r="BT68" s="272"/>
      <c r="BU68" s="272"/>
      <c r="BV68" s="272"/>
      <c r="BW68" s="272"/>
      <c r="BX68" s="272"/>
      <c r="BY68" s="272"/>
      <c r="BZ68"/>
      <c r="CA68" s="272"/>
      <c r="CB68" s="272"/>
      <c r="CC68" s="272"/>
      <c r="CD68" s="272"/>
      <c r="CE68" s="272"/>
      <c r="CF68" s="272"/>
      <c r="CG68" s="272"/>
      <c r="CH68"/>
      <c r="CI68" s="272"/>
      <c r="CJ68" s="272"/>
      <c r="CK68" s="272"/>
      <c r="CL68" s="272"/>
      <c r="CM68" s="272"/>
      <c r="CN68" s="272"/>
      <c r="CO68" s="272"/>
      <c r="CP68"/>
      <c r="CQ68" s="272"/>
      <c r="CR68" s="272"/>
      <c r="CS68" s="272"/>
      <c r="CT68" s="272"/>
      <c r="CU68" s="272"/>
      <c r="CV68" s="272"/>
      <c r="CW68" s="272"/>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row>
    <row r="69" spans="1:206" s="1" customFormat="1" ht="12.75" x14ac:dyDescent="0.2">
      <c r="A69" s="258">
        <f t="shared" si="49"/>
        <v>57</v>
      </c>
      <c r="B69" s="260"/>
      <c r="C69" s="261"/>
      <c r="D69" s="261"/>
      <c r="E69" s="261"/>
      <c r="F69" s="261"/>
      <c r="G69" s="264"/>
      <c r="H69" s="212"/>
      <c r="I69" s="272">
        <f t="shared" si="38"/>
        <v>0</v>
      </c>
      <c r="J69" s="272">
        <f t="shared" si="38"/>
        <v>0</v>
      </c>
      <c r="K69" s="272">
        <f t="shared" si="38"/>
        <v>0</v>
      </c>
      <c r="L69" s="272">
        <f t="shared" si="56"/>
        <v>0</v>
      </c>
      <c r="M69" s="272">
        <f t="shared" si="39"/>
        <v>0</v>
      </c>
      <c r="N69" s="272">
        <f t="shared" si="39"/>
        <v>0</v>
      </c>
      <c r="O69" s="272">
        <f t="shared" si="39"/>
        <v>0</v>
      </c>
      <c r="P69" s="101"/>
      <c r="Q69" s="272">
        <f>'Input|Fee Based Mapping'!J68</f>
        <v>0</v>
      </c>
      <c r="R69" s="272">
        <f>'Input|Fee Based Mapping'!K68</f>
        <v>0</v>
      </c>
      <c r="S69" s="272">
        <f>'Input|Fee Based Mapping'!Y68</f>
        <v>0</v>
      </c>
      <c r="T69" s="272">
        <f>'Input|Fee Based Mapping'!Z68</f>
        <v>0</v>
      </c>
      <c r="U69" s="272">
        <f>'Input|Fee Based Mapping'!AA68</f>
        <v>0</v>
      </c>
      <c r="V69" s="272">
        <f>'Input|Fee Based Mapping'!AB68</f>
        <v>0</v>
      </c>
      <c r="W69" s="272">
        <f>'Input|Fee Based Mapping'!AC68</f>
        <v>0</v>
      </c>
      <c r="X69" s="101"/>
      <c r="Y69" s="272">
        <f t="shared" si="40"/>
        <v>0</v>
      </c>
      <c r="Z69" s="272">
        <f t="shared" si="12"/>
        <v>0</v>
      </c>
      <c r="AA69" s="272">
        <f t="shared" si="13"/>
        <v>0</v>
      </c>
      <c r="AB69" s="272">
        <f t="shared" si="14"/>
        <v>0</v>
      </c>
      <c r="AC69" s="272">
        <f t="shared" si="15"/>
        <v>0</v>
      </c>
      <c r="AD69" s="272">
        <f t="shared" si="16"/>
        <v>0</v>
      </c>
      <c r="AE69" s="272">
        <f t="shared" si="17"/>
        <v>0</v>
      </c>
      <c r="AF69"/>
      <c r="AG69" s="272">
        <f>Y69/('Input|Escalations'!G$17/'Input|Escalations'!$H$17)</f>
        <v>0</v>
      </c>
      <c r="AH69" s="272">
        <f>Z69/('Input|Escalations'!H$17/'Input|Escalations'!$H$17)</f>
        <v>0</v>
      </c>
      <c r="AI69" s="272">
        <f>AA69/('Input|Escalations'!I$17/'Input|Escalations'!$H$17)</f>
        <v>0</v>
      </c>
      <c r="AJ69" s="272">
        <f>AB69/('Input|Escalations'!J$17/'Input|Escalations'!$H$17)</f>
        <v>0</v>
      </c>
      <c r="AK69" s="272">
        <f>AC69/('Input|Escalations'!K$17/'Input|Escalations'!$H$17)</f>
        <v>0</v>
      </c>
      <c r="AL69" s="272">
        <f>AD69/('Input|Escalations'!L$17/'Input|Escalations'!$H$17)</f>
        <v>0</v>
      </c>
      <c r="AM69" s="272">
        <f>AE69/('Input|Escalations'!M$17/'Input|Escalations'!$H$17)</f>
        <v>0</v>
      </c>
      <c r="AO69" s="272">
        <f>SUM('Calc|Fee Based'!Z68-'Calc|Fee Based'!V68,'Calc|Fee Based'!AB68:AE68)</f>
        <v>0</v>
      </c>
      <c r="AP69" s="272">
        <f>'Calc|Fee Based'!V68</f>
        <v>0</v>
      </c>
      <c r="AQ69" s="101">
        <f t="shared" si="41"/>
        <v>0</v>
      </c>
      <c r="AR69" s="303">
        <f t="shared" si="42"/>
        <v>0</v>
      </c>
      <c r="AS69" s="303">
        <f t="shared" si="18"/>
        <v>0</v>
      </c>
      <c r="AU69" s="272">
        <f t="shared" si="43"/>
        <v>0</v>
      </c>
      <c r="AV69" s="272">
        <f t="shared" si="50"/>
        <v>0</v>
      </c>
      <c r="AW69" s="272">
        <f t="shared" si="51"/>
        <v>0</v>
      </c>
      <c r="AX69" s="272">
        <f t="shared" si="52"/>
        <v>0</v>
      </c>
      <c r="AY69" s="272">
        <f t="shared" si="53"/>
        <v>0</v>
      </c>
      <c r="AZ69" s="272">
        <f t="shared" si="54"/>
        <v>0</v>
      </c>
      <c r="BA69" s="272">
        <f t="shared" si="55"/>
        <v>0</v>
      </c>
      <c r="BC69" s="272">
        <f t="shared" si="44"/>
        <v>0</v>
      </c>
      <c r="BD69" s="272">
        <f t="shared" si="20"/>
        <v>0</v>
      </c>
      <c r="BE69" s="272">
        <f t="shared" si="21"/>
        <v>0</v>
      </c>
      <c r="BF69" s="272">
        <f t="shared" si="22"/>
        <v>0</v>
      </c>
      <c r="BG69" s="272">
        <f t="shared" si="23"/>
        <v>0</v>
      </c>
      <c r="BH69" s="272">
        <f t="shared" si="24"/>
        <v>0</v>
      </c>
      <c r="BI69" s="272">
        <f t="shared" si="25"/>
        <v>0</v>
      </c>
      <c r="BJ69" s="299">
        <f t="shared" si="45"/>
        <v>0</v>
      </c>
      <c r="BK69" s="272"/>
      <c r="BL69" s="272"/>
      <c r="BM69" s="272"/>
      <c r="BN69" s="272"/>
      <c r="BO69" s="272"/>
      <c r="BP69" s="272"/>
      <c r="BQ69" s="272"/>
      <c r="BR69" s="299"/>
      <c r="BS69" s="272"/>
      <c r="BT69" s="272"/>
      <c r="BU69" s="272"/>
      <c r="BV69" s="272"/>
      <c r="BW69" s="272"/>
      <c r="BX69" s="272"/>
      <c r="BY69" s="272"/>
      <c r="BZ69"/>
      <c r="CA69" s="272"/>
      <c r="CB69" s="272"/>
      <c r="CC69" s="272"/>
      <c r="CD69" s="272"/>
      <c r="CE69" s="272"/>
      <c r="CF69" s="272"/>
      <c r="CG69" s="272"/>
      <c r="CH69"/>
      <c r="CI69" s="272"/>
      <c r="CJ69" s="272"/>
      <c r="CK69" s="272"/>
      <c r="CL69" s="272"/>
      <c r="CM69" s="272"/>
      <c r="CN69" s="272"/>
      <c r="CO69" s="272"/>
      <c r="CP69"/>
      <c r="CQ69" s="272"/>
      <c r="CR69" s="272"/>
      <c r="CS69" s="272"/>
      <c r="CT69" s="272"/>
      <c r="CU69" s="272"/>
      <c r="CV69" s="272"/>
      <c r="CW69" s="272"/>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row>
    <row r="70" spans="1:206" s="1" customFormat="1" ht="12.75" x14ac:dyDescent="0.2">
      <c r="A70" s="258">
        <f t="shared" si="49"/>
        <v>58</v>
      </c>
      <c r="B70" s="260"/>
      <c r="C70" s="261"/>
      <c r="D70" s="261"/>
      <c r="E70" s="261"/>
      <c r="F70" s="261"/>
      <c r="G70" s="264"/>
      <c r="H70" s="212"/>
      <c r="I70" s="272">
        <f t="shared" si="38"/>
        <v>0</v>
      </c>
      <c r="J70" s="272">
        <f t="shared" si="38"/>
        <v>0</v>
      </c>
      <c r="K70" s="272">
        <f t="shared" si="38"/>
        <v>0</v>
      </c>
      <c r="L70" s="272">
        <f t="shared" si="56"/>
        <v>0</v>
      </c>
      <c r="M70" s="272">
        <f t="shared" si="39"/>
        <v>0</v>
      </c>
      <c r="N70" s="272">
        <f t="shared" si="39"/>
        <v>0</v>
      </c>
      <c r="O70" s="272">
        <f t="shared" si="39"/>
        <v>0</v>
      </c>
      <c r="P70" s="101"/>
      <c r="Q70" s="272">
        <f>'Input|Fee Based Mapping'!J69</f>
        <v>0</v>
      </c>
      <c r="R70" s="272">
        <f>'Input|Fee Based Mapping'!K69</f>
        <v>0</v>
      </c>
      <c r="S70" s="272">
        <f>'Input|Fee Based Mapping'!Y69</f>
        <v>0</v>
      </c>
      <c r="T70" s="272">
        <f>'Input|Fee Based Mapping'!Z69</f>
        <v>0</v>
      </c>
      <c r="U70" s="272">
        <f>'Input|Fee Based Mapping'!AA69</f>
        <v>0</v>
      </c>
      <c r="V70" s="272">
        <f>'Input|Fee Based Mapping'!AB69</f>
        <v>0</v>
      </c>
      <c r="W70" s="272">
        <f>'Input|Fee Based Mapping'!AC69</f>
        <v>0</v>
      </c>
      <c r="X70" s="101"/>
      <c r="Y70" s="272">
        <f t="shared" si="40"/>
        <v>0</v>
      </c>
      <c r="Z70" s="272">
        <f t="shared" si="12"/>
        <v>0</v>
      </c>
      <c r="AA70" s="272">
        <f t="shared" si="13"/>
        <v>0</v>
      </c>
      <c r="AB70" s="272">
        <f t="shared" si="14"/>
        <v>0</v>
      </c>
      <c r="AC70" s="272">
        <f t="shared" si="15"/>
        <v>0</v>
      </c>
      <c r="AD70" s="272">
        <f t="shared" si="16"/>
        <v>0</v>
      </c>
      <c r="AE70" s="272">
        <f t="shared" si="17"/>
        <v>0</v>
      </c>
      <c r="AF70"/>
      <c r="AG70" s="272">
        <f>Y70/('Input|Escalations'!G$17/'Input|Escalations'!$H$17)</f>
        <v>0</v>
      </c>
      <c r="AH70" s="272">
        <f>Z70/('Input|Escalations'!H$17/'Input|Escalations'!$H$17)</f>
        <v>0</v>
      </c>
      <c r="AI70" s="272">
        <f>AA70/('Input|Escalations'!I$17/'Input|Escalations'!$H$17)</f>
        <v>0</v>
      </c>
      <c r="AJ70" s="272">
        <f>AB70/('Input|Escalations'!J$17/'Input|Escalations'!$H$17)</f>
        <v>0</v>
      </c>
      <c r="AK70" s="272">
        <f>AC70/('Input|Escalations'!K$17/'Input|Escalations'!$H$17)</f>
        <v>0</v>
      </c>
      <c r="AL70" s="272">
        <f>AD70/('Input|Escalations'!L$17/'Input|Escalations'!$H$17)</f>
        <v>0</v>
      </c>
      <c r="AM70" s="272">
        <f>AE70/('Input|Escalations'!M$17/'Input|Escalations'!$H$17)</f>
        <v>0</v>
      </c>
      <c r="AO70" s="272">
        <f>SUM('Calc|Fee Based'!Z69-'Calc|Fee Based'!V69,'Calc|Fee Based'!AB69:AE69)</f>
        <v>0</v>
      </c>
      <c r="AP70" s="272">
        <f>'Calc|Fee Based'!V69</f>
        <v>0</v>
      </c>
      <c r="AQ70" s="101">
        <f t="shared" si="41"/>
        <v>0</v>
      </c>
      <c r="AR70" s="303">
        <f t="shared" si="42"/>
        <v>0</v>
      </c>
      <c r="AS70" s="303">
        <f t="shared" si="18"/>
        <v>0</v>
      </c>
      <c r="AU70" s="272">
        <f t="shared" si="43"/>
        <v>0</v>
      </c>
      <c r="AV70" s="272">
        <f t="shared" si="50"/>
        <v>0</v>
      </c>
      <c r="AW70" s="272">
        <f t="shared" si="51"/>
        <v>0</v>
      </c>
      <c r="AX70" s="272">
        <f t="shared" si="52"/>
        <v>0</v>
      </c>
      <c r="AY70" s="272">
        <f t="shared" si="53"/>
        <v>0</v>
      </c>
      <c r="AZ70" s="272">
        <f t="shared" si="54"/>
        <v>0</v>
      </c>
      <c r="BA70" s="272">
        <f t="shared" si="55"/>
        <v>0</v>
      </c>
      <c r="BC70" s="272">
        <f t="shared" si="44"/>
        <v>0</v>
      </c>
      <c r="BD70" s="272">
        <f t="shared" si="20"/>
        <v>0</v>
      </c>
      <c r="BE70" s="272">
        <f t="shared" si="21"/>
        <v>0</v>
      </c>
      <c r="BF70" s="272">
        <f t="shared" si="22"/>
        <v>0</v>
      </c>
      <c r="BG70" s="272">
        <f t="shared" si="23"/>
        <v>0</v>
      </c>
      <c r="BH70" s="272">
        <f t="shared" si="24"/>
        <v>0</v>
      </c>
      <c r="BI70" s="272">
        <f t="shared" si="25"/>
        <v>0</v>
      </c>
      <c r="BJ70" s="299">
        <f t="shared" si="45"/>
        <v>0</v>
      </c>
      <c r="BK70" s="272"/>
      <c r="BL70" s="272"/>
      <c r="BM70" s="272"/>
      <c r="BN70" s="272"/>
      <c r="BO70" s="272"/>
      <c r="BP70" s="272"/>
      <c r="BQ70" s="272"/>
      <c r="BR70" s="299"/>
      <c r="BS70" s="272"/>
      <c r="BT70" s="272"/>
      <c r="BU70" s="272"/>
      <c r="BV70" s="272"/>
      <c r="BW70" s="272"/>
      <c r="BX70" s="272"/>
      <c r="BY70" s="272"/>
      <c r="BZ70"/>
      <c r="CA70" s="272"/>
      <c r="CB70" s="272"/>
      <c r="CC70" s="272"/>
      <c r="CD70" s="272"/>
      <c r="CE70" s="272"/>
      <c r="CF70" s="272"/>
      <c r="CG70" s="272"/>
      <c r="CH70"/>
      <c r="CI70" s="272"/>
      <c r="CJ70" s="272"/>
      <c r="CK70" s="272"/>
      <c r="CL70" s="272"/>
      <c r="CM70" s="272"/>
      <c r="CN70" s="272"/>
      <c r="CO70" s="272"/>
      <c r="CP70"/>
      <c r="CQ70" s="272"/>
      <c r="CR70" s="272"/>
      <c r="CS70" s="272"/>
      <c r="CT70" s="272"/>
      <c r="CU70" s="272"/>
      <c r="CV70" s="272"/>
      <c r="CW70" s="272"/>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row>
    <row r="71" spans="1:206" s="1" customFormat="1" ht="12.75" x14ac:dyDescent="0.2">
      <c r="A71" s="258">
        <f t="shared" si="49"/>
        <v>59</v>
      </c>
      <c r="B71" s="260"/>
      <c r="C71" s="261"/>
      <c r="D71" s="261"/>
      <c r="E71" s="261"/>
      <c r="F71" s="261"/>
      <c r="G71" s="264"/>
      <c r="H71" s="212"/>
      <c r="I71" s="272">
        <f t="shared" si="38"/>
        <v>0</v>
      </c>
      <c r="J71" s="272">
        <f t="shared" si="38"/>
        <v>0</v>
      </c>
      <c r="K71" s="272">
        <f t="shared" si="38"/>
        <v>0</v>
      </c>
      <c r="L71" s="272">
        <f t="shared" si="56"/>
        <v>0</v>
      </c>
      <c r="M71" s="272">
        <f t="shared" si="39"/>
        <v>0</v>
      </c>
      <c r="N71" s="272">
        <f t="shared" si="39"/>
        <v>0</v>
      </c>
      <c r="O71" s="272">
        <f t="shared" si="39"/>
        <v>0</v>
      </c>
      <c r="P71" s="101"/>
      <c r="Q71" s="272">
        <f>'Input|Fee Based Mapping'!J70</f>
        <v>0</v>
      </c>
      <c r="R71" s="272">
        <f>'Input|Fee Based Mapping'!K70</f>
        <v>0</v>
      </c>
      <c r="S71" s="272">
        <f>'Input|Fee Based Mapping'!Y70</f>
        <v>0</v>
      </c>
      <c r="T71" s="272">
        <f>'Input|Fee Based Mapping'!Z70</f>
        <v>0</v>
      </c>
      <c r="U71" s="272">
        <f>'Input|Fee Based Mapping'!AA70</f>
        <v>0</v>
      </c>
      <c r="V71" s="272">
        <f>'Input|Fee Based Mapping'!AB70</f>
        <v>0</v>
      </c>
      <c r="W71" s="272">
        <f>'Input|Fee Based Mapping'!AC70</f>
        <v>0</v>
      </c>
      <c r="X71" s="101"/>
      <c r="Y71" s="272">
        <f t="shared" si="40"/>
        <v>0</v>
      </c>
      <c r="Z71" s="272">
        <f t="shared" si="12"/>
        <v>0</v>
      </c>
      <c r="AA71" s="272">
        <f t="shared" si="13"/>
        <v>0</v>
      </c>
      <c r="AB71" s="272">
        <f t="shared" si="14"/>
        <v>0</v>
      </c>
      <c r="AC71" s="272">
        <f t="shared" si="15"/>
        <v>0</v>
      </c>
      <c r="AD71" s="272">
        <f t="shared" si="16"/>
        <v>0</v>
      </c>
      <c r="AE71" s="272">
        <f t="shared" si="17"/>
        <v>0</v>
      </c>
      <c r="AF71"/>
      <c r="AG71" s="272">
        <f>Y71/('Input|Escalations'!G$17/'Input|Escalations'!$H$17)</f>
        <v>0</v>
      </c>
      <c r="AH71" s="272">
        <f>Z71/('Input|Escalations'!H$17/'Input|Escalations'!$H$17)</f>
        <v>0</v>
      </c>
      <c r="AI71" s="272">
        <f>AA71/('Input|Escalations'!I$17/'Input|Escalations'!$H$17)</f>
        <v>0</v>
      </c>
      <c r="AJ71" s="272">
        <f>AB71/('Input|Escalations'!J$17/'Input|Escalations'!$H$17)</f>
        <v>0</v>
      </c>
      <c r="AK71" s="272">
        <f>AC71/('Input|Escalations'!K$17/'Input|Escalations'!$H$17)</f>
        <v>0</v>
      </c>
      <c r="AL71" s="272">
        <f>AD71/('Input|Escalations'!L$17/'Input|Escalations'!$H$17)</f>
        <v>0</v>
      </c>
      <c r="AM71" s="272">
        <f>AE71/('Input|Escalations'!M$17/'Input|Escalations'!$H$17)</f>
        <v>0</v>
      </c>
      <c r="AO71" s="272">
        <f>SUM('Calc|Fee Based'!Z70-'Calc|Fee Based'!V70,'Calc|Fee Based'!AB70:AE70)</f>
        <v>0</v>
      </c>
      <c r="AP71" s="272">
        <f>'Calc|Fee Based'!V70</f>
        <v>0</v>
      </c>
      <c r="AQ71" s="101">
        <f t="shared" si="41"/>
        <v>0</v>
      </c>
      <c r="AR71" s="303">
        <f t="shared" si="42"/>
        <v>0</v>
      </c>
      <c r="AS71" s="303">
        <f t="shared" si="18"/>
        <v>0</v>
      </c>
      <c r="AU71" s="272">
        <f t="shared" si="43"/>
        <v>0</v>
      </c>
      <c r="AV71" s="272">
        <f t="shared" si="50"/>
        <v>0</v>
      </c>
      <c r="AW71" s="272">
        <f t="shared" si="51"/>
        <v>0</v>
      </c>
      <c r="AX71" s="272">
        <f t="shared" si="52"/>
        <v>0</v>
      </c>
      <c r="AY71" s="272">
        <f t="shared" si="53"/>
        <v>0</v>
      </c>
      <c r="AZ71" s="272">
        <f t="shared" si="54"/>
        <v>0</v>
      </c>
      <c r="BA71" s="272">
        <f t="shared" si="55"/>
        <v>0</v>
      </c>
      <c r="BC71" s="272">
        <f t="shared" si="44"/>
        <v>0</v>
      </c>
      <c r="BD71" s="272">
        <f t="shared" si="20"/>
        <v>0</v>
      </c>
      <c r="BE71" s="272">
        <f t="shared" si="21"/>
        <v>0</v>
      </c>
      <c r="BF71" s="272">
        <f t="shared" si="22"/>
        <v>0</v>
      </c>
      <c r="BG71" s="272">
        <f t="shared" si="23"/>
        <v>0</v>
      </c>
      <c r="BH71" s="272">
        <f t="shared" si="24"/>
        <v>0</v>
      </c>
      <c r="BI71" s="272">
        <f t="shared" si="25"/>
        <v>0</v>
      </c>
      <c r="BJ71" s="299">
        <f t="shared" si="45"/>
        <v>0</v>
      </c>
      <c r="BK71" s="272"/>
      <c r="BL71" s="272"/>
      <c r="BM71" s="272"/>
      <c r="BN71" s="272"/>
      <c r="BO71" s="272"/>
      <c r="BP71" s="272"/>
      <c r="BQ71" s="272"/>
      <c r="BR71" s="299"/>
      <c r="BS71" s="272"/>
      <c r="BT71" s="272"/>
      <c r="BU71" s="272"/>
      <c r="BV71" s="272"/>
      <c r="BW71" s="272"/>
      <c r="BX71" s="272"/>
      <c r="BY71" s="272"/>
      <c r="BZ71"/>
      <c r="CA71" s="272"/>
      <c r="CB71" s="272"/>
      <c r="CC71" s="272"/>
      <c r="CD71" s="272"/>
      <c r="CE71" s="272"/>
      <c r="CF71" s="272"/>
      <c r="CG71" s="272"/>
      <c r="CH71"/>
      <c r="CI71" s="272"/>
      <c r="CJ71" s="272"/>
      <c r="CK71" s="272"/>
      <c r="CL71" s="272"/>
      <c r="CM71" s="272"/>
      <c r="CN71" s="272"/>
      <c r="CO71" s="272"/>
      <c r="CP71"/>
      <c r="CQ71" s="272"/>
      <c r="CR71" s="272"/>
      <c r="CS71" s="272"/>
      <c r="CT71" s="272"/>
      <c r="CU71" s="272"/>
      <c r="CV71" s="272"/>
      <c r="CW71" s="272"/>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row>
    <row r="72" spans="1:206" s="1" customFormat="1" ht="12.75" x14ac:dyDescent="0.2">
      <c r="A72" s="258">
        <f t="shared" si="49"/>
        <v>60</v>
      </c>
      <c r="B72" s="260"/>
      <c r="C72" s="261"/>
      <c r="D72" s="261"/>
      <c r="E72" s="261"/>
      <c r="F72" s="261"/>
      <c r="G72" s="264"/>
      <c r="H72" s="212"/>
      <c r="I72" s="272">
        <f t="shared" si="38"/>
        <v>0</v>
      </c>
      <c r="J72" s="272">
        <f t="shared" si="38"/>
        <v>0</v>
      </c>
      <c r="K72" s="272">
        <f t="shared" si="38"/>
        <v>0</v>
      </c>
      <c r="L72" s="272">
        <f t="shared" si="56"/>
        <v>0</v>
      </c>
      <c r="M72" s="272">
        <f t="shared" si="39"/>
        <v>0</v>
      </c>
      <c r="N72" s="272">
        <f t="shared" si="39"/>
        <v>0</v>
      </c>
      <c r="O72" s="272">
        <f t="shared" si="39"/>
        <v>0</v>
      </c>
      <c r="P72" s="101"/>
      <c r="Q72" s="272">
        <f>'Input|Fee Based Mapping'!J71</f>
        <v>0</v>
      </c>
      <c r="R72" s="272">
        <f>'Input|Fee Based Mapping'!K71</f>
        <v>0</v>
      </c>
      <c r="S72" s="272">
        <f>'Input|Fee Based Mapping'!Y71</f>
        <v>0</v>
      </c>
      <c r="T72" s="272">
        <f>'Input|Fee Based Mapping'!Z71</f>
        <v>0</v>
      </c>
      <c r="U72" s="272">
        <f>'Input|Fee Based Mapping'!AA71</f>
        <v>0</v>
      </c>
      <c r="V72" s="272">
        <f>'Input|Fee Based Mapping'!AB71</f>
        <v>0</v>
      </c>
      <c r="W72" s="272">
        <f>'Input|Fee Based Mapping'!AC71</f>
        <v>0</v>
      </c>
      <c r="X72" s="101"/>
      <c r="Y72" s="272">
        <f t="shared" si="40"/>
        <v>0</v>
      </c>
      <c r="Z72" s="272">
        <f t="shared" si="12"/>
        <v>0</v>
      </c>
      <c r="AA72" s="272">
        <f t="shared" si="13"/>
        <v>0</v>
      </c>
      <c r="AB72" s="272">
        <f t="shared" si="14"/>
        <v>0</v>
      </c>
      <c r="AC72" s="272">
        <f t="shared" si="15"/>
        <v>0</v>
      </c>
      <c r="AD72" s="272">
        <f t="shared" si="16"/>
        <v>0</v>
      </c>
      <c r="AE72" s="272">
        <f t="shared" si="17"/>
        <v>0</v>
      </c>
      <c r="AF72"/>
      <c r="AG72" s="272">
        <f>Y72/('Input|Escalations'!G$17/'Input|Escalations'!$H$17)</f>
        <v>0</v>
      </c>
      <c r="AH72" s="272">
        <f>Z72/('Input|Escalations'!H$17/'Input|Escalations'!$H$17)</f>
        <v>0</v>
      </c>
      <c r="AI72" s="272">
        <f>AA72/('Input|Escalations'!I$17/'Input|Escalations'!$H$17)</f>
        <v>0</v>
      </c>
      <c r="AJ72" s="272">
        <f>AB72/('Input|Escalations'!J$17/'Input|Escalations'!$H$17)</f>
        <v>0</v>
      </c>
      <c r="AK72" s="272">
        <f>AC72/('Input|Escalations'!K$17/'Input|Escalations'!$H$17)</f>
        <v>0</v>
      </c>
      <c r="AL72" s="272">
        <f>AD72/('Input|Escalations'!L$17/'Input|Escalations'!$H$17)</f>
        <v>0</v>
      </c>
      <c r="AM72" s="272">
        <f>AE72/('Input|Escalations'!M$17/'Input|Escalations'!$H$17)</f>
        <v>0</v>
      </c>
      <c r="AO72" s="272">
        <f>SUM('Calc|Fee Based'!Z71-'Calc|Fee Based'!V71,'Calc|Fee Based'!AB71:AE71)</f>
        <v>0</v>
      </c>
      <c r="AP72" s="272">
        <f>'Calc|Fee Based'!V71</f>
        <v>0</v>
      </c>
      <c r="AQ72" s="101">
        <f t="shared" si="41"/>
        <v>0</v>
      </c>
      <c r="AR72" s="303">
        <f t="shared" si="42"/>
        <v>0</v>
      </c>
      <c r="AS72" s="303">
        <f t="shared" si="18"/>
        <v>0</v>
      </c>
      <c r="AU72" s="272">
        <f t="shared" si="43"/>
        <v>0</v>
      </c>
      <c r="AV72" s="272">
        <f t="shared" si="50"/>
        <v>0</v>
      </c>
      <c r="AW72" s="272">
        <f t="shared" si="51"/>
        <v>0</v>
      </c>
      <c r="AX72" s="272">
        <f t="shared" si="52"/>
        <v>0</v>
      </c>
      <c r="AY72" s="272">
        <f t="shared" si="53"/>
        <v>0</v>
      </c>
      <c r="AZ72" s="272">
        <f t="shared" si="54"/>
        <v>0</v>
      </c>
      <c r="BA72" s="272">
        <f t="shared" si="55"/>
        <v>0</v>
      </c>
      <c r="BC72" s="272">
        <f t="shared" si="44"/>
        <v>0</v>
      </c>
      <c r="BD72" s="272">
        <f t="shared" si="20"/>
        <v>0</v>
      </c>
      <c r="BE72" s="272">
        <f t="shared" si="21"/>
        <v>0</v>
      </c>
      <c r="BF72" s="272">
        <f t="shared" si="22"/>
        <v>0</v>
      </c>
      <c r="BG72" s="272">
        <f t="shared" si="23"/>
        <v>0</v>
      </c>
      <c r="BH72" s="272">
        <f t="shared" si="24"/>
        <v>0</v>
      </c>
      <c r="BI72" s="272">
        <f t="shared" si="25"/>
        <v>0</v>
      </c>
      <c r="BJ72" s="299">
        <f t="shared" si="45"/>
        <v>0</v>
      </c>
      <c r="BK72" s="272"/>
      <c r="BL72" s="272"/>
      <c r="BM72" s="272"/>
      <c r="BN72" s="272"/>
      <c r="BO72" s="272"/>
      <c r="BP72" s="272"/>
      <c r="BQ72" s="272"/>
      <c r="BR72" s="299"/>
      <c r="BS72" s="272"/>
      <c r="BT72" s="272"/>
      <c r="BU72" s="272"/>
      <c r="BV72" s="272"/>
      <c r="BW72" s="272"/>
      <c r="BX72" s="272"/>
      <c r="BY72" s="272"/>
      <c r="BZ72"/>
      <c r="CA72" s="272"/>
      <c r="CB72" s="272"/>
      <c r="CC72" s="272"/>
      <c r="CD72" s="272"/>
      <c r="CE72" s="272"/>
      <c r="CF72" s="272"/>
      <c r="CG72" s="272"/>
      <c r="CH72"/>
      <c r="CI72" s="272"/>
      <c r="CJ72" s="272"/>
      <c r="CK72" s="272"/>
      <c r="CL72" s="272"/>
      <c r="CM72" s="272"/>
      <c r="CN72" s="272"/>
      <c r="CO72" s="272"/>
      <c r="CP72"/>
      <c r="CQ72" s="272"/>
      <c r="CR72" s="272"/>
      <c r="CS72" s="272"/>
      <c r="CT72" s="272"/>
      <c r="CU72" s="272"/>
      <c r="CV72" s="272"/>
      <c r="CW72" s="2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row>
    <row r="73" spans="1:206" ht="12.75" x14ac:dyDescent="0.2">
      <c r="G73" s="2"/>
      <c r="Q73" s="2"/>
      <c r="R73" s="2"/>
      <c r="S73" s="2"/>
      <c r="T73" s="2"/>
      <c r="U73" s="2"/>
      <c r="V73" s="2"/>
      <c r="W73" s="2"/>
      <c r="Y73" s="2"/>
      <c r="Z73" s="2"/>
      <c r="AA73" s="2"/>
      <c r="AB73" s="2"/>
      <c r="AC73" s="2"/>
      <c r="AD73" s="2"/>
      <c r="AE73" s="2"/>
      <c r="AL73" s="5"/>
      <c r="AM73" s="5"/>
      <c r="AN73"/>
      <c r="AO73"/>
      <c r="AP73"/>
      <c r="AQ73"/>
      <c r="AR73"/>
      <c r="AS73"/>
      <c r="AT73"/>
      <c r="AU73"/>
      <c r="AV73"/>
      <c r="AW73"/>
      <c r="AX73"/>
      <c r="AY73"/>
      <c r="AZ73"/>
      <c r="BA73"/>
      <c r="BB73"/>
      <c r="BC73"/>
      <c r="BD73"/>
      <c r="BE73"/>
      <c r="BF73"/>
      <c r="BG73"/>
      <c r="BH73"/>
      <c r="BI73"/>
      <c r="BY73"/>
      <c r="CG73"/>
      <c r="CW73"/>
      <c r="GX73"/>
    </row>
    <row r="74" spans="1:206" ht="12.75" x14ac:dyDescent="0.2">
      <c r="G74" s="2"/>
      <c r="I74" s="273"/>
      <c r="Q74" s="274"/>
      <c r="R74" s="274"/>
      <c r="S74" s="274"/>
      <c r="T74" s="274"/>
      <c r="U74" s="274"/>
      <c r="V74" s="274"/>
      <c r="W74" s="274"/>
      <c r="Y74" s="274">
        <f t="shared" ref="Y74:AM74" si="57">SUM(Y13:Y72)</f>
        <v>10278712.632281952</v>
      </c>
      <c r="Z74" s="274">
        <f t="shared" si="57"/>
        <v>10751387.320804801</v>
      </c>
      <c r="AA74" s="274">
        <f t="shared" si="57"/>
        <v>12789867.458521768</v>
      </c>
      <c r="AB74" s="274">
        <f t="shared" si="57"/>
        <v>13513047.027663531</v>
      </c>
      <c r="AC74" s="274">
        <f t="shared" si="57"/>
        <v>14250609.275492344</v>
      </c>
      <c r="AD74" s="274">
        <f t="shared" si="57"/>
        <v>15037563.451920232</v>
      </c>
      <c r="AE74" s="274">
        <f t="shared" si="57"/>
        <v>15861334.080522286</v>
      </c>
      <c r="AF74" s="273"/>
      <c r="AG74" s="274">
        <f t="shared" si="57"/>
        <v>10527939.316238828</v>
      </c>
      <c r="AH74" s="274">
        <f t="shared" si="57"/>
        <v>10751387.320804801</v>
      </c>
      <c r="AI74" s="274">
        <f t="shared" si="57"/>
        <v>12342375.086318709</v>
      </c>
      <c r="AJ74" s="274">
        <f t="shared" si="57"/>
        <v>12672742.488837525</v>
      </c>
      <c r="AK74" s="274">
        <f t="shared" si="57"/>
        <v>13025769.651532037</v>
      </c>
      <c r="AL74" s="274">
        <f t="shared" si="57"/>
        <v>13401122.973607244</v>
      </c>
      <c r="AM74" s="274">
        <f t="shared" si="57"/>
        <v>13786002.589749221</v>
      </c>
      <c r="AN74"/>
      <c r="AO74" s="274"/>
      <c r="AP74" s="274"/>
      <c r="AQ74"/>
      <c r="AR74"/>
      <c r="AS74"/>
      <c r="AT74"/>
      <c r="AU74" s="274">
        <f t="shared" ref="AU74:BI74" si="58">SUM(AU13:AU72)</f>
        <v>9621213.2285652775</v>
      </c>
      <c r="AV74" s="274">
        <f t="shared" si="58"/>
        <v>9825416.6185022499</v>
      </c>
      <c r="AW74" s="274">
        <f t="shared" si="58"/>
        <v>11225868.628709473</v>
      </c>
      <c r="AX74" s="274">
        <f t="shared" si="58"/>
        <v>11526350.588943787</v>
      </c>
      <c r="AY74" s="274">
        <f t="shared" si="58"/>
        <v>11847442.479528733</v>
      </c>
      <c r="AZ74" s="274">
        <f t="shared" si="58"/>
        <v>12188840.877608266</v>
      </c>
      <c r="BA74" s="274">
        <f t="shared" si="58"/>
        <v>12538903.809455741</v>
      </c>
      <c r="BB74"/>
      <c r="BC74" s="274">
        <f t="shared" si="58"/>
        <v>906726.08767354675</v>
      </c>
      <c r="BD74" s="274">
        <f t="shared" si="58"/>
        <v>925970.70230255194</v>
      </c>
      <c r="BE74" s="274">
        <f t="shared" si="58"/>
        <v>1116506.4576092374</v>
      </c>
      <c r="BF74" s="274">
        <f t="shared" si="58"/>
        <v>1146391.8998937397</v>
      </c>
      <c r="BG74" s="274">
        <f t="shared" si="58"/>
        <v>1178327.1720033039</v>
      </c>
      <c r="BH74" s="274">
        <f t="shared" si="58"/>
        <v>1212282.0959989771</v>
      </c>
      <c r="BI74" s="274">
        <f t="shared" si="58"/>
        <v>1247098.7802934789</v>
      </c>
      <c r="BJ74" s="381"/>
      <c r="BK74" s="274"/>
      <c r="BL74" s="274"/>
      <c r="BM74" s="274"/>
      <c r="BN74" s="274"/>
      <c r="BO74" s="274"/>
      <c r="BP74" s="274"/>
      <c r="BQ74" s="274"/>
      <c r="BR74" s="299"/>
      <c r="BS74" s="274">
        <f t="shared" ref="BS74:BY74" si="59">SUM(BS13:BS72)</f>
        <v>0</v>
      </c>
      <c r="BT74" s="274">
        <f t="shared" si="59"/>
        <v>0</v>
      </c>
      <c r="BU74" s="274">
        <f t="shared" si="59"/>
        <v>138694.55219137445</v>
      </c>
      <c r="BV74" s="274">
        <f t="shared" si="59"/>
        <v>142406.97857855877</v>
      </c>
      <c r="BW74" s="274">
        <f t="shared" si="59"/>
        <v>146374.03871883763</v>
      </c>
      <c r="BX74" s="274">
        <f t="shared" si="59"/>
        <v>150591.98385133262</v>
      </c>
      <c r="BY74" s="274">
        <f t="shared" si="59"/>
        <v>154916.9784844621</v>
      </c>
      <c r="CA74" s="274">
        <f t="shared" ref="CA74:CG74" si="60">SUM(CA13:CA72)</f>
        <v>0</v>
      </c>
      <c r="CB74" s="274">
        <f t="shared" si="60"/>
        <v>0</v>
      </c>
      <c r="CC74" s="274">
        <f t="shared" si="60"/>
        <v>1374384.5875578222</v>
      </c>
      <c r="CD74" s="274">
        <f t="shared" si="60"/>
        <v>1411172.6338680247</v>
      </c>
      <c r="CE74" s="274">
        <f t="shared" si="60"/>
        <v>1450483.9566890621</v>
      </c>
      <c r="CF74" s="274">
        <f t="shared" si="60"/>
        <v>1492281.4079203596</v>
      </c>
      <c r="CG74" s="274">
        <f t="shared" si="60"/>
        <v>1535139.6591719401</v>
      </c>
      <c r="CI74" s="274"/>
      <c r="CJ74" s="274"/>
      <c r="CK74" s="274"/>
      <c r="CL74" s="274"/>
      <c r="CM74" s="274"/>
      <c r="CN74" s="274"/>
      <c r="CO74" s="274"/>
      <c r="CQ74" s="274">
        <f t="shared" ref="CQ74:CW74" si="61">SUM(CQ13:CQ72)</f>
        <v>0</v>
      </c>
      <c r="CR74" s="274">
        <f t="shared" si="61"/>
        <v>0</v>
      </c>
      <c r="CS74" s="274">
        <f t="shared" si="61"/>
        <v>2898315.8197566401</v>
      </c>
      <c r="CT74" s="274">
        <f t="shared" si="61"/>
        <v>2975894.8158862907</v>
      </c>
      <c r="CU74" s="274">
        <f t="shared" si="61"/>
        <v>3058794.9224934429</v>
      </c>
      <c r="CV74" s="274">
        <f t="shared" si="61"/>
        <v>3146937.8012959748</v>
      </c>
      <c r="CW74" s="274">
        <f t="shared" si="61"/>
        <v>3237317.7056794236</v>
      </c>
      <c r="GX74"/>
    </row>
    <row r="75" spans="1:206" ht="12.75" x14ac:dyDescent="0.2">
      <c r="G75" s="2"/>
      <c r="AH75" s="273"/>
      <c r="AI75" s="273"/>
      <c r="AJ75" s="273"/>
      <c r="AK75" s="273"/>
      <c r="AL75" s="273"/>
      <c r="AM75" s="273"/>
      <c r="AN75"/>
      <c r="AO75"/>
      <c r="AP75"/>
      <c r="AQ75"/>
      <c r="AR75"/>
      <c r="AS75"/>
      <c r="AT75"/>
      <c r="AU75"/>
      <c r="AV75"/>
      <c r="AW75"/>
      <c r="AX75"/>
      <c r="AY75"/>
      <c r="AZ75"/>
      <c r="BA75"/>
      <c r="BB75"/>
      <c r="BC75"/>
      <c r="BD75"/>
      <c r="BE75"/>
      <c r="BF75"/>
      <c r="BG75"/>
      <c r="BH75"/>
      <c r="BI75"/>
      <c r="BY75"/>
      <c r="CG75"/>
      <c r="CW75"/>
      <c r="GX75"/>
    </row>
    <row r="76" spans="1:206" ht="12.75" x14ac:dyDescent="0.2">
      <c r="G76" s="2"/>
      <c r="AL76" s="5"/>
      <c r="AM76" s="5"/>
      <c r="AN76"/>
      <c r="AO76"/>
      <c r="AP76"/>
      <c r="AQ76"/>
      <c r="AR76"/>
      <c r="AS76"/>
      <c r="AT76"/>
      <c r="AU76"/>
      <c r="AV76"/>
      <c r="AW76"/>
      <c r="AX76"/>
      <c r="AY76"/>
      <c r="AZ76"/>
      <c r="BA76"/>
      <c r="BB76"/>
      <c r="BC76"/>
      <c r="BD76"/>
      <c r="BE76"/>
      <c r="BF76"/>
      <c r="BG76"/>
      <c r="BH76"/>
      <c r="BI76"/>
      <c r="BY76"/>
      <c r="CG76"/>
      <c r="CW76"/>
      <c r="GX76"/>
    </row>
    <row r="77" spans="1:206" ht="12.75" x14ac:dyDescent="0.2">
      <c r="G77" s="2"/>
      <c r="AL77" s="5"/>
      <c r="AM77" s="5"/>
      <c r="AN77"/>
      <c r="AO77"/>
      <c r="AP77"/>
      <c r="AQ77"/>
      <c r="AR77"/>
      <c r="AS77"/>
      <c r="AT77"/>
      <c r="AU77"/>
      <c r="AV77"/>
      <c r="AW77"/>
      <c r="AX77"/>
      <c r="AY77"/>
      <c r="AZ77"/>
      <c r="BA77"/>
      <c r="BB77"/>
      <c r="BC77"/>
      <c r="BD77"/>
      <c r="BE77"/>
      <c r="BF77"/>
      <c r="BG77"/>
      <c r="BH77"/>
      <c r="BI77"/>
      <c r="BY77"/>
      <c r="CG77"/>
      <c r="CW77"/>
      <c r="GX77"/>
    </row>
    <row r="78" spans="1:206" ht="12.75" x14ac:dyDescent="0.2"/>
    <row r="79" spans="1:206" ht="12.75" x14ac:dyDescent="0.2"/>
    <row r="80" spans="1:206"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sheetData>
  <mergeCells count="12">
    <mergeCell ref="AO10:AS10"/>
    <mergeCell ref="AU10:BA10"/>
    <mergeCell ref="BC10:BI10"/>
    <mergeCell ref="H10:O10"/>
    <mergeCell ref="Y10:AE10"/>
    <mergeCell ref="AG10:AM10"/>
    <mergeCell ref="Q10:W10"/>
    <mergeCell ref="CQ10:CW10"/>
    <mergeCell ref="CI10:CO10"/>
    <mergeCell ref="BK10:BQ10"/>
    <mergeCell ref="BS10:BY10"/>
    <mergeCell ref="CA10:CG10"/>
  </mergeCells>
  <conditionalFormatting sqref="G64:G70">
    <cfRule type="colorScale" priority="19">
      <colorScale>
        <cfvo type="min"/>
        <cfvo type="percentile" val="50"/>
        <cfvo type="max"/>
        <color rgb="FFF8696B"/>
        <color rgb="FFFCFCFF"/>
        <color rgb="FF63BE7B"/>
      </colorScale>
    </cfRule>
  </conditionalFormatting>
  <conditionalFormatting sqref="I1">
    <cfRule type="cellIs" dxfId="89" priority="15" operator="equal">
      <formula>"Check"</formula>
    </cfRule>
    <cfRule type="cellIs" dxfId="88" priority="16"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7" id="{5E2B59B8-A561-4ACF-8B34-E621E4F47B5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I11:O11</xm:sqref>
        </x14:conditionalFormatting>
        <x14:conditionalFormatting xmlns:xm="http://schemas.microsoft.com/office/excel/2006/main">
          <x14:cfRule type="iconSet" priority="11" id="{CC238EB3-64AE-4155-A944-25D605C8FA2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P18:P72 X18:X72</xm:sqref>
        </x14:conditionalFormatting>
        <x14:conditionalFormatting xmlns:xm="http://schemas.microsoft.com/office/excel/2006/main">
          <x14:cfRule type="iconSet" priority="10" id="{108231D7-B739-4C84-9CF0-D1BEBFD3C23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P63:P72 X63:X72</xm:sqref>
        </x14:conditionalFormatting>
        <x14:conditionalFormatting xmlns:xm="http://schemas.microsoft.com/office/excel/2006/main">
          <x14:cfRule type="iconSet" priority="6" id="{FABF10C4-ED4E-45F4-8B15-91039AAC95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Q11:W11</xm:sqref>
        </x14:conditionalFormatting>
        <x14:conditionalFormatting xmlns:xm="http://schemas.microsoft.com/office/excel/2006/main">
          <x14:cfRule type="iconSet" priority="8" id="{C84920F5-5813-4CC9-B3FA-0F5F33DF65E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Y11:AE11</xm:sqref>
        </x14:conditionalFormatting>
        <x14:conditionalFormatting xmlns:xm="http://schemas.microsoft.com/office/excel/2006/main">
          <x14:cfRule type="iconSet" priority="7" id="{A8829D83-B2A7-45D9-9B38-E9B1D0E83F1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AG11:AM11</xm:sqref>
        </x14:conditionalFormatting>
        <x14:conditionalFormatting xmlns:xm="http://schemas.microsoft.com/office/excel/2006/main">
          <x14:cfRule type="iconSet" priority="5" id="{0F841C1F-0CA9-4BB9-B46F-FCE642AB1A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AQ13:AQ72</xm:sqref>
        </x14:conditionalFormatting>
        <x14:conditionalFormatting xmlns:xm="http://schemas.microsoft.com/office/excel/2006/main">
          <x14:cfRule type="iconSet" priority="4" id="{D3FE4FCB-0D61-4BAF-B78E-968193B68B2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BJ13:BJ72 BR13:BR72</xm:sqref>
        </x14:conditionalFormatting>
        <x14:conditionalFormatting xmlns:xm="http://schemas.microsoft.com/office/excel/2006/main">
          <x14:cfRule type="iconSet" priority="3" id="{617DDDB5-A02C-4A03-8E2D-44751814A62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BJ74 BR74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AE11DE6-B1A5-44F4-987E-DAF7B7C10388}">
          <x14:formula1>
            <xm:f>'Input|Labour Rates'!$B$100:$B$149</xm:f>
          </x14:formula1>
          <xm:sqref>B13:B72</xm:sqref>
        </x14:dataValidation>
        <x14:dataValidation type="list" allowBlank="1" showInputMessage="1" showErrorMessage="1" xr:uid="{196A95A2-8BEA-4033-9E1C-BB3D568C93BE}">
          <x14:formula1>
            <xm:f>'Input|Setup'!$B$25:$B$27</xm:f>
          </x14:formula1>
          <xm:sqref>D13:D72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48F87-A0ED-4787-BA8B-29E9D90D864B}">
  <sheetPr codeName="Sheet39">
    <tabColor theme="8" tint="0.79998168889431442"/>
  </sheetPr>
  <dimension ref="A1:AQ99"/>
  <sheetViews>
    <sheetView showGridLines="0" zoomScale="80" zoomScaleNormal="80" workbookViewId="0">
      <selection activeCell="G7" sqref="G7"/>
    </sheetView>
  </sheetViews>
  <sheetFormatPr defaultColWidth="8.7109375" defaultRowHeight="12.75" outlineLevelCol="1" x14ac:dyDescent="0.2"/>
  <cols>
    <col min="1" max="1" width="5.5703125" style="16" customWidth="1"/>
    <col min="2" max="2" width="43.85546875" style="8" customWidth="1"/>
    <col min="3" max="3" width="14.5703125" style="17" customWidth="1"/>
    <col min="4" max="4" width="15.5703125" style="17" customWidth="1"/>
    <col min="5" max="5" width="14.7109375" style="17" customWidth="1"/>
    <col min="6" max="6" width="14.140625" style="17" customWidth="1"/>
    <col min="7" max="7" width="10.5703125" customWidth="1"/>
    <col min="8" max="13" width="10.5703125" style="2" customWidth="1"/>
    <col min="14" max="16" width="10.5703125" style="2" customWidth="1" outlineLevel="1"/>
    <col min="17" max="17" width="10.5703125" style="2" customWidth="1"/>
    <col min="18" max="20" width="10.5703125" style="2" customWidth="1" outlineLevel="1"/>
    <col min="21" max="31" width="10.5703125" style="2" customWidth="1"/>
    <col min="32" max="34" width="15.7109375" style="2" customWidth="1"/>
    <col min="35" max="35" width="15.7109375" style="19" customWidth="1"/>
    <col min="36" max="36" width="2.5703125" style="19" customWidth="1"/>
    <col min="37" max="39" width="2.5703125" style="19" customWidth="1" outlineLevel="1"/>
    <col min="40" max="40" width="85.28515625" style="19" customWidth="1"/>
    <col min="41" max="41" width="2.5703125" style="19" customWidth="1"/>
    <col min="42" max="42" width="7.140625" style="19" customWidth="1"/>
    <col min="43" max="209" width="8.7109375" customWidth="1"/>
  </cols>
  <sheetData>
    <row r="1" spans="1:42" s="27" customFormat="1" ht="24.95" customHeight="1" x14ac:dyDescent="0.2">
      <c r="B1" s="35" t="str">
        <f>IFERROR(Index!B1,"")</f>
        <v>Jemena Electricity Networks – Alternative Control Services Forecast model</v>
      </c>
      <c r="C1" s="28"/>
      <c r="D1" s="28" t="s">
        <v>115</v>
      </c>
      <c r="E1" s="382" t="s">
        <v>116</v>
      </c>
      <c r="F1" s="389"/>
      <c r="G1" s="28"/>
      <c r="H1" s="28"/>
      <c r="I1" s="217" t="s">
        <v>117</v>
      </c>
      <c r="J1" s="122">
        <f>'Model Validation'!C11</f>
        <v>0</v>
      </c>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row>
    <row r="2" spans="1:42" s="38" customFormat="1" ht="24.95" customHeight="1" x14ac:dyDescent="0.2">
      <c r="B2" s="35" t="str">
        <f ca="1">IFERROR(MID(CELL("filename",A1),FIND("]",CELL("filename",A1))+1,255),"")</f>
        <v>Input|Tax Recovery</v>
      </c>
      <c r="C2" s="28"/>
      <c r="D2" s="28"/>
      <c r="E2" s="383" t="s">
        <v>118</v>
      </c>
      <c r="F2" s="390"/>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row>
    <row r="3" spans="1:42" x14ac:dyDescent="0.2">
      <c r="A3" s="9"/>
      <c r="B3" s="6"/>
      <c r="C3" s="10"/>
      <c r="D3" s="10"/>
      <c r="E3" s="376"/>
      <c r="F3" s="376"/>
      <c r="G3" s="5"/>
      <c r="H3" s="5"/>
      <c r="I3" s="5"/>
      <c r="J3" s="5"/>
      <c r="K3" s="5"/>
      <c r="L3" s="5"/>
      <c r="M3" s="5"/>
      <c r="N3" s="5"/>
      <c r="O3" s="5"/>
      <c r="P3" s="5"/>
      <c r="Q3" s="5"/>
      <c r="R3" s="5"/>
      <c r="S3" s="5"/>
      <c r="T3" s="5"/>
      <c r="U3" s="5"/>
      <c r="V3" s="5"/>
      <c r="W3" s="5"/>
      <c r="X3" s="5"/>
      <c r="Y3" s="5"/>
      <c r="Z3" s="5"/>
      <c r="AA3" s="5"/>
      <c r="AB3" s="5"/>
      <c r="AC3" s="5"/>
      <c r="AD3" s="5"/>
      <c r="AE3" s="5"/>
      <c r="AF3" s="10"/>
      <c r="AG3" s="10"/>
      <c r="AH3" s="10"/>
      <c r="AI3" s="10"/>
      <c r="AJ3" s="10"/>
      <c r="AK3" s="10"/>
      <c r="AL3" s="10"/>
      <c r="AM3" s="10"/>
      <c r="AN3"/>
      <c r="AO3"/>
      <c r="AP3"/>
    </row>
    <row r="4" spans="1:42" ht="15" x14ac:dyDescent="0.25">
      <c r="A4" s="134"/>
      <c r="B4" s="22" t="s">
        <v>539</v>
      </c>
      <c r="C4" s="21"/>
      <c r="D4" s="21"/>
      <c r="E4" s="384"/>
      <c r="F4" s="384"/>
      <c r="G4" s="21"/>
      <c r="H4" s="21"/>
      <c r="I4" s="21"/>
      <c r="J4" s="21"/>
      <c r="K4" s="21"/>
      <c r="L4" s="21"/>
      <c r="M4" s="21"/>
      <c r="N4" s="21"/>
      <c r="O4" s="21"/>
      <c r="P4" s="21"/>
      <c r="Q4" s="21"/>
      <c r="R4" s="21"/>
      <c r="S4" s="21"/>
      <c r="T4" s="21"/>
      <c r="U4" s="21"/>
      <c r="V4" s="21"/>
      <c r="W4" s="21"/>
      <c r="X4" s="21"/>
      <c r="Y4" s="21"/>
      <c r="Z4" s="21"/>
      <c r="AA4" s="21"/>
      <c r="AB4" s="21"/>
      <c r="AC4" s="21"/>
      <c r="AD4" s="21"/>
      <c r="AE4" s="21"/>
      <c r="AF4"/>
      <c r="AG4"/>
      <c r="AH4"/>
      <c r="AI4"/>
      <c r="AJ4"/>
      <c r="AK4"/>
      <c r="AL4"/>
      <c r="AM4"/>
      <c r="AN4"/>
      <c r="AO4"/>
      <c r="AP4"/>
    </row>
    <row r="5" spans="1:42" x14ac:dyDescent="0.2">
      <c r="A5" s="5"/>
      <c r="B5" s="5"/>
      <c r="C5" s="5"/>
      <c r="D5" s="5"/>
      <c r="E5" s="385"/>
      <c r="F5" s="385"/>
      <c r="G5" s="5"/>
      <c r="H5" s="5"/>
      <c r="I5" s="5"/>
      <c r="J5" s="5"/>
      <c r="K5" s="5"/>
      <c r="L5" s="5"/>
      <c r="M5" s="5"/>
      <c r="N5" s="5"/>
      <c r="O5" s="5"/>
      <c r="P5" s="5"/>
      <c r="Q5" s="5"/>
      <c r="R5" s="5"/>
      <c r="S5" s="5"/>
      <c r="T5" s="5"/>
      <c r="U5" s="5"/>
      <c r="V5" s="5"/>
      <c r="W5" s="5"/>
      <c r="X5" s="5"/>
      <c r="Y5" s="5"/>
      <c r="Z5" s="5"/>
      <c r="AA5" s="5"/>
      <c r="AB5" s="5"/>
      <c r="AC5" s="5"/>
      <c r="AD5" s="5"/>
      <c r="AE5" s="5"/>
      <c r="AF5"/>
      <c r="AG5"/>
      <c r="AH5"/>
      <c r="AI5"/>
      <c r="AJ5"/>
      <c r="AK5"/>
      <c r="AL5"/>
      <c r="AM5"/>
      <c r="AN5"/>
      <c r="AO5"/>
      <c r="AP5"/>
    </row>
    <row r="6" spans="1:42" x14ac:dyDescent="0.2">
      <c r="A6" s="5"/>
      <c r="B6" s="33" t="s">
        <v>540</v>
      </c>
      <c r="C6" s="34" t="s">
        <v>541</v>
      </c>
      <c r="D6" s="34" t="s">
        <v>296</v>
      </c>
      <c r="E6" s="386" t="s">
        <v>542</v>
      </c>
      <c r="F6" s="386" t="s">
        <v>543</v>
      </c>
      <c r="G6" s="34" t="s">
        <v>116</v>
      </c>
      <c r="H6" s="5"/>
      <c r="I6" s="34" t="s">
        <v>544</v>
      </c>
      <c r="J6" s="5"/>
      <c r="K6" s="5"/>
      <c r="L6" s="5"/>
      <c r="M6" s="5"/>
      <c r="N6" s="5"/>
      <c r="O6" s="5"/>
      <c r="P6" s="5"/>
      <c r="Q6" s="5"/>
      <c r="R6" s="5"/>
      <c r="S6" s="5"/>
      <c r="T6" s="5"/>
      <c r="U6" s="5"/>
      <c r="V6" s="5"/>
      <c r="W6" s="5"/>
      <c r="X6" s="5"/>
      <c r="Y6" s="5"/>
      <c r="Z6" s="5"/>
      <c r="AA6" s="5"/>
      <c r="AB6" s="5"/>
      <c r="AC6" s="5"/>
      <c r="AD6" s="5"/>
      <c r="AE6" s="5"/>
      <c r="AF6"/>
      <c r="AG6"/>
      <c r="AH6"/>
      <c r="AI6"/>
      <c r="AJ6"/>
      <c r="AK6"/>
      <c r="AL6"/>
      <c r="AM6"/>
      <c r="AN6"/>
      <c r="AO6"/>
      <c r="AP6"/>
    </row>
    <row r="7" spans="1:42" s="213" customFormat="1" ht="11.25" x14ac:dyDescent="0.2">
      <c r="A7" s="410"/>
      <c r="B7" s="211" t="s">
        <v>545</v>
      </c>
      <c r="C7" s="387" t="s">
        <v>546</v>
      </c>
      <c r="D7" s="212" t="s">
        <v>547</v>
      </c>
      <c r="E7" s="387" t="s">
        <v>548</v>
      </c>
      <c r="F7" s="387" t="s">
        <v>549</v>
      </c>
      <c r="G7" s="498">
        <v>6.1735348036915577E-2</v>
      </c>
      <c r="H7" s="410"/>
      <c r="I7" s="532"/>
      <c r="J7" s="533"/>
      <c r="K7" s="533"/>
      <c r="L7" s="533"/>
      <c r="M7" s="534"/>
      <c r="N7" s="410"/>
      <c r="O7" s="410"/>
      <c r="P7" s="410"/>
      <c r="Q7" s="410"/>
      <c r="R7" s="410"/>
      <c r="S7" s="410"/>
      <c r="T7" s="410"/>
      <c r="U7" s="410"/>
      <c r="V7" s="410"/>
      <c r="W7" s="410"/>
      <c r="X7" s="410"/>
      <c r="Y7" s="410"/>
      <c r="Z7" s="410"/>
      <c r="AA7" s="410"/>
      <c r="AB7" s="410"/>
      <c r="AC7" s="410"/>
      <c r="AD7" s="410"/>
      <c r="AE7" s="410"/>
      <c r="AF7" s="416"/>
      <c r="AG7" s="416"/>
      <c r="AH7" s="416"/>
      <c r="AI7" s="416"/>
      <c r="AJ7" s="416"/>
      <c r="AK7" s="416"/>
      <c r="AL7" s="416"/>
      <c r="AM7" s="416"/>
      <c r="AN7" s="416"/>
      <c r="AO7" s="416"/>
      <c r="AP7" s="416"/>
    </row>
    <row r="8" spans="1:42" s="213" customFormat="1" ht="11.25" x14ac:dyDescent="0.2">
      <c r="A8" s="410"/>
      <c r="B8" s="211" t="s">
        <v>550</v>
      </c>
      <c r="C8" s="212" t="s">
        <v>551</v>
      </c>
      <c r="D8" s="212" t="s">
        <v>217</v>
      </c>
      <c r="E8" s="387" t="s">
        <v>548</v>
      </c>
      <c r="F8" s="387" t="s">
        <v>549</v>
      </c>
      <c r="G8" s="212">
        <v>15</v>
      </c>
      <c r="H8" s="410"/>
      <c r="I8" s="535"/>
      <c r="J8" s="536"/>
      <c r="K8" s="536"/>
      <c r="L8" s="536"/>
      <c r="M8" s="537"/>
      <c r="N8" s="410"/>
      <c r="O8" s="410"/>
      <c r="P8" s="410"/>
      <c r="Q8" s="410"/>
      <c r="R8" s="410"/>
      <c r="S8" s="410"/>
      <c r="T8" s="410"/>
      <c r="U8" s="410"/>
      <c r="V8" s="410"/>
      <c r="W8" s="410"/>
      <c r="X8" s="410"/>
      <c r="Y8" s="410"/>
      <c r="Z8" s="410"/>
      <c r="AA8" s="410"/>
      <c r="AB8" s="410"/>
      <c r="AC8" s="410"/>
      <c r="AD8" s="410"/>
      <c r="AE8" s="410"/>
      <c r="AF8" s="416"/>
      <c r="AG8" s="416"/>
      <c r="AH8" s="416"/>
      <c r="AI8" s="416"/>
      <c r="AJ8" s="416"/>
      <c r="AK8" s="416"/>
      <c r="AL8" s="416"/>
      <c r="AM8" s="416"/>
      <c r="AN8" s="416"/>
      <c r="AO8" s="416"/>
      <c r="AP8" s="416"/>
    </row>
    <row r="9" spans="1:42" s="213" customFormat="1" ht="11.25" x14ac:dyDescent="0.2">
      <c r="A9" s="410"/>
      <c r="B9" s="211" t="s">
        <v>552</v>
      </c>
      <c r="C9" s="212" t="s">
        <v>553</v>
      </c>
      <c r="D9" s="212" t="s">
        <v>554</v>
      </c>
      <c r="E9" s="387" t="s">
        <v>548</v>
      </c>
      <c r="F9" s="387" t="s">
        <v>555</v>
      </c>
      <c r="G9" s="214">
        <v>100</v>
      </c>
      <c r="H9" s="410"/>
      <c r="I9" s="535"/>
      <c r="J9" s="536"/>
      <c r="K9" s="536"/>
      <c r="L9" s="536"/>
      <c r="M9" s="537"/>
      <c r="N9" s="410"/>
      <c r="O9" s="410"/>
      <c r="P9" s="410"/>
      <c r="Q9" s="410"/>
      <c r="R9" s="410"/>
      <c r="S9" s="410"/>
      <c r="T9" s="410"/>
      <c r="U9" s="410"/>
      <c r="V9" s="410"/>
      <c r="W9" s="410"/>
      <c r="X9" s="410"/>
      <c r="Y9" s="410"/>
      <c r="Z9" s="410"/>
      <c r="AA9" s="410"/>
      <c r="AB9" s="410"/>
      <c r="AC9" s="410"/>
      <c r="AD9" s="410"/>
      <c r="AE9" s="410"/>
      <c r="AF9" s="416"/>
      <c r="AG9" s="416"/>
      <c r="AH9" s="416"/>
      <c r="AI9" s="416"/>
      <c r="AJ9" s="416"/>
      <c r="AK9" s="416"/>
      <c r="AL9" s="416"/>
      <c r="AM9" s="416"/>
      <c r="AN9" s="416"/>
      <c r="AO9" s="416"/>
      <c r="AP9" s="416"/>
    </row>
    <row r="10" spans="1:42" s="213" customFormat="1" ht="11.25" x14ac:dyDescent="0.2">
      <c r="A10" s="410"/>
      <c r="B10" s="211" t="s">
        <v>556</v>
      </c>
      <c r="C10" s="212" t="s">
        <v>546</v>
      </c>
      <c r="D10" s="212" t="s">
        <v>547</v>
      </c>
      <c r="E10" s="387" t="s">
        <v>548</v>
      </c>
      <c r="F10" s="387" t="s">
        <v>549</v>
      </c>
      <c r="G10" s="414">
        <v>0.3</v>
      </c>
      <c r="H10" s="410"/>
      <c r="I10" s="535"/>
      <c r="J10" s="536"/>
      <c r="K10" s="536"/>
      <c r="L10" s="536"/>
      <c r="M10" s="537"/>
      <c r="N10" s="416"/>
      <c r="O10" s="410"/>
      <c r="P10" s="410"/>
      <c r="Q10" s="410"/>
      <c r="R10" s="410"/>
      <c r="S10" s="410"/>
      <c r="T10" s="410"/>
      <c r="U10" s="410"/>
      <c r="V10" s="410"/>
      <c r="W10" s="410"/>
      <c r="X10" s="410"/>
      <c r="Y10" s="410"/>
      <c r="Z10" s="410"/>
      <c r="AA10" s="410"/>
      <c r="AB10" s="410"/>
      <c r="AC10" s="410"/>
      <c r="AD10" s="410"/>
      <c r="AE10" s="410"/>
      <c r="AF10" s="416"/>
      <c r="AG10" s="416"/>
      <c r="AH10" s="416"/>
      <c r="AI10" s="416"/>
      <c r="AJ10" s="416"/>
      <c r="AK10" s="416"/>
      <c r="AL10" s="416"/>
      <c r="AM10" s="416"/>
      <c r="AN10" s="416"/>
      <c r="AO10" s="416"/>
      <c r="AP10" s="416"/>
    </row>
    <row r="11" spans="1:42" s="213" customFormat="1" ht="11.25" x14ac:dyDescent="0.2">
      <c r="A11" s="410"/>
      <c r="B11" s="211" t="s">
        <v>557</v>
      </c>
      <c r="C11" s="212" t="s">
        <v>551</v>
      </c>
      <c r="D11" s="212" t="s">
        <v>547</v>
      </c>
      <c r="E11" s="387" t="s">
        <v>548</v>
      </c>
      <c r="F11" s="387" t="s">
        <v>549</v>
      </c>
      <c r="G11" s="428">
        <f>200%/G8</f>
        <v>0.13333333333333333</v>
      </c>
      <c r="H11" s="410"/>
      <c r="I11" s="535"/>
      <c r="J11" s="536"/>
      <c r="K11" s="536"/>
      <c r="L11" s="536"/>
      <c r="M11" s="537"/>
      <c r="N11" s="416"/>
      <c r="O11" s="410"/>
      <c r="P11" s="410"/>
      <c r="Q11" s="410"/>
      <c r="R11" s="410"/>
      <c r="S11" s="410"/>
      <c r="T11" s="410"/>
      <c r="U11" s="410"/>
      <c r="V11" s="410"/>
      <c r="W11" s="410"/>
      <c r="X11" s="410"/>
      <c r="Y11" s="410"/>
      <c r="Z11" s="410"/>
      <c r="AA11" s="410"/>
      <c r="AB11" s="410"/>
      <c r="AC11" s="410"/>
      <c r="AD11" s="410"/>
      <c r="AE11" s="410"/>
      <c r="AF11" s="416"/>
      <c r="AG11" s="416"/>
      <c r="AH11" s="416"/>
      <c r="AI11" s="416"/>
      <c r="AJ11" s="416"/>
      <c r="AK11" s="416"/>
      <c r="AL11" s="416"/>
      <c r="AM11" s="416"/>
      <c r="AN11" s="416"/>
      <c r="AO11" s="416"/>
      <c r="AP11" s="416"/>
    </row>
    <row r="12" spans="1:42" s="213" customFormat="1" ht="11.25" x14ac:dyDescent="0.2">
      <c r="A12" s="410"/>
      <c r="B12" s="211" t="s">
        <v>558</v>
      </c>
      <c r="C12" s="212" t="s">
        <v>546</v>
      </c>
      <c r="D12" s="212" t="s">
        <v>547</v>
      </c>
      <c r="E12" s="387" t="s">
        <v>548</v>
      </c>
      <c r="F12" s="387" t="s">
        <v>549</v>
      </c>
      <c r="G12" s="414">
        <v>0.56999999999999995</v>
      </c>
      <c r="H12" s="410"/>
      <c r="I12" s="538"/>
      <c r="J12" s="539"/>
      <c r="K12" s="539"/>
      <c r="L12" s="539"/>
      <c r="M12" s="540"/>
      <c r="N12" s="416"/>
      <c r="O12" s="410"/>
      <c r="P12" s="410"/>
      <c r="Q12" s="410"/>
      <c r="R12" s="410"/>
      <c r="S12" s="410"/>
      <c r="T12" s="410"/>
      <c r="U12" s="410"/>
      <c r="V12" s="410"/>
      <c r="W12" s="410"/>
      <c r="X12" s="410"/>
      <c r="Y12" s="410"/>
      <c r="Z12" s="410"/>
      <c r="AA12" s="410"/>
      <c r="AB12" s="410"/>
      <c r="AC12" s="410"/>
      <c r="AD12" s="410"/>
      <c r="AE12" s="410"/>
      <c r="AF12" s="416"/>
      <c r="AG12" s="416"/>
      <c r="AH12" s="416"/>
      <c r="AI12" s="416"/>
      <c r="AJ12" s="416"/>
      <c r="AK12" s="416"/>
      <c r="AL12" s="416"/>
      <c r="AM12" s="416"/>
      <c r="AN12" s="416"/>
      <c r="AO12" s="416"/>
      <c r="AP12" s="416"/>
    </row>
    <row r="13" spans="1:42" x14ac:dyDescent="0.2">
      <c r="A13" s="5"/>
      <c r="B13" s="5"/>
      <c r="C13" s="5"/>
      <c r="D13" s="5"/>
      <c r="E13" s="385"/>
      <c r="F13" s="385"/>
      <c r="G13" s="5"/>
      <c r="H13" s="5"/>
      <c r="I13" s="5"/>
      <c r="J13" s="5"/>
      <c r="K13" s="5"/>
      <c r="L13"/>
      <c r="M13"/>
      <c r="N13"/>
      <c r="O13"/>
      <c r="P13"/>
      <c r="Q13"/>
      <c r="R13"/>
      <c r="S13"/>
      <c r="T13"/>
      <c r="U13"/>
      <c r="V13"/>
      <c r="W13"/>
      <c r="X13"/>
      <c r="Y13"/>
      <c r="Z13"/>
      <c r="AA13"/>
      <c r="AB13"/>
      <c r="AC13"/>
      <c r="AD13"/>
      <c r="AE13"/>
      <c r="AF13"/>
      <c r="AG13"/>
      <c r="AH13"/>
      <c r="AI13"/>
      <c r="AJ13"/>
      <c r="AK13"/>
      <c r="AL13"/>
      <c r="AM13"/>
      <c r="AN13"/>
      <c r="AO13"/>
      <c r="AP13"/>
    </row>
    <row r="14" spans="1:42" ht="15" x14ac:dyDescent="0.25">
      <c r="A14" s="134"/>
      <c r="B14" s="22" t="s">
        <v>559</v>
      </c>
      <c r="C14" s="22"/>
      <c r="D14" s="22"/>
      <c r="E14" s="388"/>
      <c r="F14" s="388"/>
      <c r="G14" s="22"/>
      <c r="H14" s="22"/>
      <c r="I14" s="22"/>
      <c r="J14" s="21"/>
      <c r="K14" s="21"/>
      <c r="L14" s="21"/>
      <c r="M14" s="21"/>
      <c r="N14" s="21"/>
      <c r="O14" s="21"/>
      <c r="P14" s="21"/>
      <c r="Q14" s="21"/>
      <c r="R14" s="21"/>
      <c r="S14" s="21"/>
      <c r="T14" s="21"/>
      <c r="U14" s="21"/>
      <c r="V14" s="21"/>
      <c r="W14" s="21"/>
      <c r="X14" s="21"/>
      <c r="Y14" s="21"/>
      <c r="Z14" s="21"/>
      <c r="AA14" s="21"/>
      <c r="AB14" s="21"/>
      <c r="AC14" s="21"/>
      <c r="AD14" s="21"/>
      <c r="AE14" s="21"/>
      <c r="AF14"/>
      <c r="AG14"/>
      <c r="AH14"/>
      <c r="AI14"/>
      <c r="AJ14"/>
      <c r="AK14"/>
      <c r="AL14"/>
      <c r="AM14"/>
      <c r="AN14"/>
      <c r="AO14"/>
      <c r="AP14"/>
    </row>
    <row r="15" spans="1:42" x14ac:dyDescent="0.2">
      <c r="A15" s="5"/>
      <c r="B15" s="5"/>
      <c r="C15" s="5"/>
      <c r="D15" s="5"/>
      <c r="E15" s="385"/>
      <c r="F15" s="385"/>
      <c r="G15" s="5"/>
      <c r="H15" s="5"/>
      <c r="I15" s="5"/>
      <c r="J15" s="5"/>
      <c r="K15" s="5"/>
      <c r="L15" s="5"/>
      <c r="M15" s="5"/>
      <c r="N15" s="5"/>
      <c r="O15" s="5"/>
      <c r="P15" s="5"/>
      <c r="Q15" s="5"/>
      <c r="R15" s="5"/>
      <c r="S15" s="5"/>
      <c r="T15" s="5"/>
      <c r="U15" s="5"/>
      <c r="V15" s="5"/>
      <c r="W15" s="5"/>
      <c r="X15" s="5"/>
      <c r="Y15" s="5"/>
      <c r="Z15" s="5"/>
      <c r="AA15" s="5"/>
      <c r="AB15" s="5"/>
      <c r="AC15" s="5"/>
      <c r="AD15" s="5"/>
      <c r="AE15" s="5"/>
      <c r="AF15"/>
      <c r="AG15"/>
      <c r="AH15"/>
      <c r="AI15"/>
      <c r="AJ15"/>
      <c r="AK15"/>
      <c r="AL15"/>
      <c r="AM15"/>
      <c r="AN15"/>
      <c r="AO15"/>
      <c r="AP15"/>
    </row>
    <row r="16" spans="1:42" x14ac:dyDescent="0.2">
      <c r="A16" s="5"/>
      <c r="B16" s="83" t="s">
        <v>560</v>
      </c>
      <c r="C16" s="34" t="s">
        <v>541</v>
      </c>
      <c r="D16" s="34" t="s">
        <v>296</v>
      </c>
      <c r="E16" s="386" t="s">
        <v>542</v>
      </c>
      <c r="F16" s="386" t="s">
        <v>543</v>
      </c>
      <c r="G16" s="34">
        <v>1</v>
      </c>
      <c r="H16" s="34">
        <f>G16+1</f>
        <v>2</v>
      </c>
      <c r="I16" s="34">
        <f t="shared" ref="I16:AE16" si="0">H16+1</f>
        <v>3</v>
      </c>
      <c r="J16" s="34">
        <f t="shared" si="0"/>
        <v>4</v>
      </c>
      <c r="K16" s="34">
        <f t="shared" si="0"/>
        <v>5</v>
      </c>
      <c r="L16" s="34">
        <f t="shared" si="0"/>
        <v>6</v>
      </c>
      <c r="M16" s="34">
        <f t="shared" si="0"/>
        <v>7</v>
      </c>
      <c r="N16" s="34">
        <f t="shared" si="0"/>
        <v>8</v>
      </c>
      <c r="O16" s="34">
        <f t="shared" si="0"/>
        <v>9</v>
      </c>
      <c r="P16" s="34">
        <f t="shared" si="0"/>
        <v>10</v>
      </c>
      <c r="Q16" s="34">
        <f t="shared" si="0"/>
        <v>11</v>
      </c>
      <c r="R16" s="34">
        <f t="shared" si="0"/>
        <v>12</v>
      </c>
      <c r="S16" s="34">
        <f t="shared" si="0"/>
        <v>13</v>
      </c>
      <c r="T16" s="34">
        <f t="shared" si="0"/>
        <v>14</v>
      </c>
      <c r="U16" s="34">
        <f t="shared" si="0"/>
        <v>15</v>
      </c>
      <c r="V16" s="34">
        <f t="shared" si="0"/>
        <v>16</v>
      </c>
      <c r="W16" s="34">
        <f t="shared" si="0"/>
        <v>17</v>
      </c>
      <c r="X16" s="34">
        <f t="shared" si="0"/>
        <v>18</v>
      </c>
      <c r="Y16" s="34">
        <f t="shared" si="0"/>
        <v>19</v>
      </c>
      <c r="Z16" s="34">
        <f t="shared" si="0"/>
        <v>20</v>
      </c>
      <c r="AA16" s="34">
        <f t="shared" si="0"/>
        <v>21</v>
      </c>
      <c r="AB16" s="34">
        <f t="shared" si="0"/>
        <v>22</v>
      </c>
      <c r="AC16" s="34">
        <f t="shared" si="0"/>
        <v>23</v>
      </c>
      <c r="AD16" s="34">
        <f t="shared" si="0"/>
        <v>24</v>
      </c>
      <c r="AE16" s="34">
        <f t="shared" si="0"/>
        <v>25</v>
      </c>
      <c r="AF16"/>
      <c r="AG16"/>
      <c r="AH16"/>
      <c r="AI16"/>
      <c r="AJ16"/>
      <c r="AK16"/>
      <c r="AL16"/>
      <c r="AM16"/>
      <c r="AN16"/>
      <c r="AO16"/>
      <c r="AP16"/>
    </row>
    <row r="17" spans="1:42" s="213" customFormat="1" ht="11.25" x14ac:dyDescent="0.2">
      <c r="A17" s="410"/>
      <c r="B17" s="211" t="s">
        <v>561</v>
      </c>
      <c r="C17" s="212" t="s">
        <v>562</v>
      </c>
      <c r="D17" s="212" t="s">
        <v>563</v>
      </c>
      <c r="E17" s="387" t="s">
        <v>564</v>
      </c>
      <c r="F17" s="387" t="s">
        <v>555</v>
      </c>
      <c r="G17" s="215">
        <f t="shared" ref="G17:AE17" si="1">IF(G$42=1,$G$9,0)</f>
        <v>100</v>
      </c>
      <c r="H17" s="215">
        <f t="shared" si="1"/>
        <v>0</v>
      </c>
      <c r="I17" s="215">
        <f t="shared" si="1"/>
        <v>0</v>
      </c>
      <c r="J17" s="215">
        <f t="shared" si="1"/>
        <v>0</v>
      </c>
      <c r="K17" s="215">
        <f t="shared" si="1"/>
        <v>0</v>
      </c>
      <c r="L17" s="215">
        <f t="shared" si="1"/>
        <v>0</v>
      </c>
      <c r="M17" s="215">
        <f t="shared" si="1"/>
        <v>0</v>
      </c>
      <c r="N17" s="215">
        <f t="shared" si="1"/>
        <v>0</v>
      </c>
      <c r="O17" s="215">
        <f t="shared" si="1"/>
        <v>0</v>
      </c>
      <c r="P17" s="215">
        <f t="shared" si="1"/>
        <v>0</v>
      </c>
      <c r="Q17" s="215">
        <f t="shared" si="1"/>
        <v>0</v>
      </c>
      <c r="R17" s="215">
        <f t="shared" si="1"/>
        <v>0</v>
      </c>
      <c r="S17" s="215">
        <f t="shared" si="1"/>
        <v>0</v>
      </c>
      <c r="T17" s="215">
        <f t="shared" si="1"/>
        <v>0</v>
      </c>
      <c r="U17" s="215">
        <f t="shared" si="1"/>
        <v>0</v>
      </c>
      <c r="V17" s="215">
        <f t="shared" si="1"/>
        <v>0</v>
      </c>
      <c r="W17" s="215">
        <f t="shared" si="1"/>
        <v>0</v>
      </c>
      <c r="X17" s="215">
        <f t="shared" si="1"/>
        <v>0</v>
      </c>
      <c r="Y17" s="215">
        <f t="shared" si="1"/>
        <v>0</v>
      </c>
      <c r="Z17" s="215">
        <f t="shared" si="1"/>
        <v>0</v>
      </c>
      <c r="AA17" s="215">
        <f t="shared" si="1"/>
        <v>0</v>
      </c>
      <c r="AB17" s="215">
        <f t="shared" si="1"/>
        <v>0</v>
      </c>
      <c r="AC17" s="215">
        <f t="shared" si="1"/>
        <v>0</v>
      </c>
      <c r="AD17" s="215">
        <f t="shared" si="1"/>
        <v>0</v>
      </c>
      <c r="AE17" s="215">
        <f t="shared" si="1"/>
        <v>0</v>
      </c>
      <c r="AF17" s="416"/>
      <c r="AG17" s="416"/>
      <c r="AH17" s="416"/>
      <c r="AI17" s="416"/>
      <c r="AJ17" s="416"/>
      <c r="AK17" s="416"/>
      <c r="AL17" s="416"/>
      <c r="AM17" s="416"/>
      <c r="AN17" s="416"/>
      <c r="AO17" s="416"/>
      <c r="AP17" s="416"/>
    </row>
    <row r="18" spans="1:42" s="213" customFormat="1" ht="11.25" x14ac:dyDescent="0.2">
      <c r="A18" s="410"/>
      <c r="B18" s="211" t="s">
        <v>565</v>
      </c>
      <c r="C18" s="212" t="s">
        <v>566</v>
      </c>
      <c r="D18" s="212" t="s">
        <v>563</v>
      </c>
      <c r="E18" s="387" t="s">
        <v>564</v>
      </c>
      <c r="F18" s="387" t="s">
        <v>555</v>
      </c>
      <c r="G18" s="215">
        <f>G9*G11/2</f>
        <v>6.666666666666667</v>
      </c>
      <c r="H18" s="215">
        <f>(H16&lt;=$G$8)*IF(H16=$G$8,$G$9-SUM($G$18:G18),$G$11*($G$9-SUM($G$18:G18)))</f>
        <v>12.444444444444443</v>
      </c>
      <c r="I18" s="215">
        <f>(I16&lt;=$G$8)*IF(I16=$G$8,$G$9-SUM($G$18:H18),$G$11*($G$9-SUM($G$18:H18)))</f>
        <v>10.785185185185185</v>
      </c>
      <c r="J18" s="215">
        <f>(J16&lt;=$G$8)*IF(J16=$G$8,$G$9-SUM($G$18:I18),$G$11*($G$9-SUM($G$18:I18)))</f>
        <v>9.3471604938271593</v>
      </c>
      <c r="K18" s="215">
        <f>(K16&lt;=$G$8)*IF(K16=$G$8,$G$9-SUM($G$18:J18),$G$11*($G$9-SUM($G$18:J18)))</f>
        <v>8.1008724279835391</v>
      </c>
      <c r="L18" s="215">
        <f>(L16&lt;=$G$8)*IF(L16=$G$8,$G$9-SUM($G$18:K18),$G$11*($G$9-SUM($G$18:K18)))</f>
        <v>7.0207561042524009</v>
      </c>
      <c r="M18" s="215">
        <f>(M16&lt;=$G$8)*IF(M16=$G$8,$G$9-SUM($G$18:L18),$G$11*($G$9-SUM($G$18:L18)))</f>
        <v>6.0846552903520807</v>
      </c>
      <c r="N18" s="215">
        <f>(N16&lt;=$G$8)*IF(N16=$G$8,$G$9-SUM($G$18:M18),$G$11*($G$9-SUM($G$18:M18)))</f>
        <v>5.2733679183051372</v>
      </c>
      <c r="O18" s="215">
        <f>(O16&lt;=$G$8)*IF(O16=$G$8,$G$9-SUM($G$18:N18),$G$11*($G$9-SUM($G$18:N18)))</f>
        <v>4.5702521958644526</v>
      </c>
      <c r="P18" s="215">
        <f>(P16&lt;=$G$8)*IF(P16=$G$8,$G$9-SUM($G$18:O18),$G$11*($G$9-SUM($G$18:O18)))</f>
        <v>3.9608852364158582</v>
      </c>
      <c r="Q18" s="215">
        <f>(Q16&lt;=$G$8)*IF(Q16=$G$8,$G$9-SUM($G$18:P18),$G$11*($G$9-SUM($G$18:P18)))</f>
        <v>3.4327672048937434</v>
      </c>
      <c r="R18" s="215">
        <f>(R16&lt;=$G$8)*IF(R16=$G$8,$G$9-SUM($G$18:Q18),$G$11*($G$9-SUM($G$18:Q18)))</f>
        <v>2.9750649109079101</v>
      </c>
      <c r="S18" s="215">
        <f>(S16&lt;=$G$8)*IF(S16=$G$8,$G$9-SUM($G$18:R18),$G$11*($G$9-SUM($G$18:R18)))</f>
        <v>2.5783895894535229</v>
      </c>
      <c r="T18" s="215">
        <f>(T16&lt;=$G$8)*IF(T16=$G$8,$G$9-SUM($G$18:S18),$G$11*($G$9-SUM($G$18:S18)))</f>
        <v>2.2346043108597202</v>
      </c>
      <c r="U18" s="215">
        <f>(U16&lt;=$G$8)*IF(U16=$G$8,$G$9-SUM($G$18:T18),$G$11*($G$9-SUM($G$18:T18)))</f>
        <v>14.524928020588177</v>
      </c>
      <c r="V18" s="215">
        <f>(V16&lt;=$G$8)*IF(V16=$G$8,$G$9-SUM($G$18:U18),$G$11*($G$9-SUM($G$18:U18)))</f>
        <v>0</v>
      </c>
      <c r="W18" s="215">
        <f>(W16&lt;=$G$8)*IF(W16=$G$8,$G$9-SUM($G$18:V18),$G$11*($G$9-SUM($G$18:V18)))</f>
        <v>0</v>
      </c>
      <c r="X18" s="215">
        <f>(X16&lt;=$G$8)*IF(X16=$G$8,$G$9-SUM($G$18:W18),$G$11*($G$9-SUM($G$18:W18)))</f>
        <v>0</v>
      </c>
      <c r="Y18" s="215">
        <f>(Y16&lt;=$G$8)*IF(Y16=$G$8,$G$9-SUM($G$18:X18),$G$11*($G$9-SUM($G$18:X18)))</f>
        <v>0</v>
      </c>
      <c r="Z18" s="215">
        <f>(Z16&lt;=$G$8)*IF(Z16=$G$8,$G$9-SUM($G$18:Y18),$G$11*($G$9-SUM($G$18:Y18)))</f>
        <v>0</v>
      </c>
      <c r="AA18" s="215">
        <f>(AA16&lt;=$G$8)*IF(AA16=$G$8,$G$9-SUM($G$18:Z18),$G$11*($G$9-SUM($G$18:Z18)))</f>
        <v>0</v>
      </c>
      <c r="AB18" s="215">
        <f>(AB16&lt;=$G$8)*IF(AB16=$G$8,$G$9-SUM($G$18:AA18),$G$11*($G$9-SUM($G$18:AA18)))</f>
        <v>0</v>
      </c>
      <c r="AC18" s="215">
        <f>(AC16&lt;=$G$8)*IF(AC16=$G$8,$G$9-SUM($G$18:AB18),$G$11*($G$9-SUM($G$18:AB18)))</f>
        <v>0</v>
      </c>
      <c r="AD18" s="215">
        <f>(AD16&lt;=$G$8)*IF(AD16=$G$8,$G$9-SUM($G$18:AC18),$G$11*($G$9-SUM($G$18:AC18)))</f>
        <v>0</v>
      </c>
      <c r="AE18" s="215">
        <f>(AE16&lt;=$G$8)*IF(AE16=$G$8,$G$9-SUM($G$18:AD18),$G$11*($G$9-SUM($G$18:AD18)))</f>
        <v>0</v>
      </c>
      <c r="AF18" s="416"/>
      <c r="AG18" s="416"/>
      <c r="AH18" s="416"/>
      <c r="AI18" s="416"/>
      <c r="AJ18" s="416"/>
      <c r="AK18" s="416"/>
      <c r="AL18" s="416"/>
      <c r="AM18" s="416"/>
      <c r="AN18" s="416"/>
      <c r="AO18" s="416"/>
      <c r="AP18" s="416"/>
    </row>
    <row r="19" spans="1:42" s="213" customFormat="1" ht="11.25" x14ac:dyDescent="0.2">
      <c r="A19" s="410"/>
      <c r="B19" s="211" t="s">
        <v>561</v>
      </c>
      <c r="C19" s="212" t="s">
        <v>566</v>
      </c>
      <c r="D19" s="212" t="s">
        <v>563</v>
      </c>
      <c r="E19" s="387" t="s">
        <v>564</v>
      </c>
      <c r="F19" s="387" t="s">
        <v>555</v>
      </c>
      <c r="G19" s="215">
        <f>G17-G18</f>
        <v>93.333333333333329</v>
      </c>
      <c r="H19" s="215">
        <f>H17-H18</f>
        <v>-12.444444444444443</v>
      </c>
      <c r="I19" s="215">
        <f t="shared" ref="I19:AE19" si="2">I17-I18</f>
        <v>-10.785185185185185</v>
      </c>
      <c r="J19" s="215">
        <f t="shared" si="2"/>
        <v>-9.3471604938271593</v>
      </c>
      <c r="K19" s="215">
        <f t="shared" si="2"/>
        <v>-8.1008724279835391</v>
      </c>
      <c r="L19" s="215">
        <f t="shared" si="2"/>
        <v>-7.0207561042524009</v>
      </c>
      <c r="M19" s="215">
        <f t="shared" si="2"/>
        <v>-6.0846552903520807</v>
      </c>
      <c r="N19" s="215">
        <f t="shared" si="2"/>
        <v>-5.2733679183051372</v>
      </c>
      <c r="O19" s="215">
        <f t="shared" si="2"/>
        <v>-4.5702521958644526</v>
      </c>
      <c r="P19" s="215">
        <f t="shared" si="2"/>
        <v>-3.9608852364158582</v>
      </c>
      <c r="Q19" s="215">
        <f t="shared" si="2"/>
        <v>-3.4327672048937434</v>
      </c>
      <c r="R19" s="215">
        <f t="shared" si="2"/>
        <v>-2.9750649109079101</v>
      </c>
      <c r="S19" s="215">
        <f t="shared" si="2"/>
        <v>-2.5783895894535229</v>
      </c>
      <c r="T19" s="215">
        <f t="shared" si="2"/>
        <v>-2.2346043108597202</v>
      </c>
      <c r="U19" s="215">
        <f t="shared" si="2"/>
        <v>-14.524928020588177</v>
      </c>
      <c r="V19" s="215">
        <f t="shared" si="2"/>
        <v>0</v>
      </c>
      <c r="W19" s="215">
        <f t="shared" si="2"/>
        <v>0</v>
      </c>
      <c r="X19" s="215">
        <f t="shared" si="2"/>
        <v>0</v>
      </c>
      <c r="Y19" s="215">
        <f t="shared" si="2"/>
        <v>0</v>
      </c>
      <c r="Z19" s="215">
        <f t="shared" si="2"/>
        <v>0</v>
      </c>
      <c r="AA19" s="215">
        <f t="shared" si="2"/>
        <v>0</v>
      </c>
      <c r="AB19" s="215">
        <f t="shared" si="2"/>
        <v>0</v>
      </c>
      <c r="AC19" s="215">
        <f t="shared" si="2"/>
        <v>0</v>
      </c>
      <c r="AD19" s="215">
        <f t="shared" si="2"/>
        <v>0</v>
      </c>
      <c r="AE19" s="215">
        <f t="shared" si="2"/>
        <v>0</v>
      </c>
      <c r="AF19" s="416"/>
      <c r="AG19" s="416"/>
      <c r="AH19" s="416"/>
      <c r="AI19" s="416"/>
      <c r="AJ19" s="416"/>
      <c r="AK19" s="416"/>
      <c r="AL19" s="416"/>
      <c r="AM19" s="416"/>
      <c r="AN19" s="416"/>
      <c r="AO19" s="416"/>
      <c r="AP19" s="416"/>
    </row>
    <row r="20" spans="1:42" s="213" customFormat="1" ht="11.25" x14ac:dyDescent="0.2">
      <c r="A20" s="416"/>
      <c r="B20" s="211" t="s">
        <v>567</v>
      </c>
      <c r="C20" s="212" t="s">
        <v>566</v>
      </c>
      <c r="D20" s="212" t="s">
        <v>563</v>
      </c>
      <c r="E20" s="387" t="s">
        <v>564</v>
      </c>
      <c r="F20" s="387" t="s">
        <v>555</v>
      </c>
      <c r="G20" s="215">
        <f>G19*$G$10</f>
        <v>27.999999999999996</v>
      </c>
      <c r="H20" s="215">
        <f>H19*$G$10</f>
        <v>-3.7333333333333325</v>
      </c>
      <c r="I20" s="215">
        <f t="shared" ref="I20:AE20" si="3">I19*$G$10</f>
        <v>-3.2355555555555555</v>
      </c>
      <c r="J20" s="215">
        <f t="shared" si="3"/>
        <v>-2.8041481481481476</v>
      </c>
      <c r="K20" s="215">
        <f t="shared" si="3"/>
        <v>-2.4302617283950618</v>
      </c>
      <c r="L20" s="215">
        <f t="shared" si="3"/>
        <v>-2.1062268312757202</v>
      </c>
      <c r="M20" s="215">
        <f t="shared" si="3"/>
        <v>-1.8253965871056241</v>
      </c>
      <c r="N20" s="215">
        <f t="shared" si="3"/>
        <v>-1.5820103754915411</v>
      </c>
      <c r="O20" s="215">
        <f t="shared" si="3"/>
        <v>-1.3710756587593358</v>
      </c>
      <c r="P20" s="215">
        <f t="shared" si="3"/>
        <v>-1.1882655709247574</v>
      </c>
      <c r="Q20" s="215">
        <f t="shared" si="3"/>
        <v>-1.0298301614681229</v>
      </c>
      <c r="R20" s="215">
        <f t="shared" si="3"/>
        <v>-0.89251947327237302</v>
      </c>
      <c r="S20" s="215">
        <f t="shared" si="3"/>
        <v>-0.77351687683605685</v>
      </c>
      <c r="T20" s="215">
        <f t="shared" si="3"/>
        <v>-0.67038129325791607</v>
      </c>
      <c r="U20" s="215">
        <f t="shared" si="3"/>
        <v>-4.3574784061764529</v>
      </c>
      <c r="V20" s="215">
        <f t="shared" si="3"/>
        <v>0</v>
      </c>
      <c r="W20" s="215">
        <f t="shared" si="3"/>
        <v>0</v>
      </c>
      <c r="X20" s="215">
        <f t="shared" si="3"/>
        <v>0</v>
      </c>
      <c r="Y20" s="215">
        <f t="shared" si="3"/>
        <v>0</v>
      </c>
      <c r="Z20" s="215">
        <f t="shared" si="3"/>
        <v>0</v>
      </c>
      <c r="AA20" s="215">
        <f t="shared" si="3"/>
        <v>0</v>
      </c>
      <c r="AB20" s="215">
        <f t="shared" si="3"/>
        <v>0</v>
      </c>
      <c r="AC20" s="215">
        <f t="shared" si="3"/>
        <v>0</v>
      </c>
      <c r="AD20" s="215">
        <f t="shared" si="3"/>
        <v>0</v>
      </c>
      <c r="AE20" s="215">
        <f t="shared" si="3"/>
        <v>0</v>
      </c>
      <c r="AF20" s="416"/>
      <c r="AG20" s="416"/>
      <c r="AH20" s="416"/>
      <c r="AI20" s="416"/>
      <c r="AJ20" s="416"/>
      <c r="AK20" s="416"/>
      <c r="AL20" s="416"/>
      <c r="AM20" s="416"/>
      <c r="AN20" s="416"/>
      <c r="AO20" s="416"/>
      <c r="AP20" s="416"/>
    </row>
    <row r="21" spans="1:42" s="213" customFormat="1" ht="11.25" x14ac:dyDescent="0.2">
      <c r="A21" s="416"/>
      <c r="B21" s="211" t="s">
        <v>568</v>
      </c>
      <c r="C21" s="212" t="s">
        <v>566</v>
      </c>
      <c r="D21" s="212" t="s">
        <v>569</v>
      </c>
      <c r="E21" s="387" t="s">
        <v>548</v>
      </c>
      <c r="F21" s="387" t="s">
        <v>555</v>
      </c>
      <c r="G21" s="216">
        <f>1/((1+$G$7)^(G16-0.5))</f>
        <v>0.97049178109064171</v>
      </c>
      <c r="H21" s="216">
        <f>1/((1+$G$7)^(H16-0.5))</f>
        <v>0.91406185438303644</v>
      </c>
      <c r="I21" s="216">
        <f t="shared" ref="I21:AE21" si="4">1/((1+$G$7)^(I16-0.5))</f>
        <v>0.86091308542480149</v>
      </c>
      <c r="J21" s="216">
        <f t="shared" si="4"/>
        <v>0.81085468899248536</v>
      </c>
      <c r="K21" s="216">
        <f t="shared" si="4"/>
        <v>0.76370697320354519</v>
      </c>
      <c r="L21" s="216">
        <f t="shared" si="4"/>
        <v>0.71930069448624201</v>
      </c>
      <c r="M21" s="216">
        <f t="shared" si="4"/>
        <v>0.67747645005526602</v>
      </c>
      <c r="N21" s="216">
        <f t="shared" si="4"/>
        <v>0.63808410571229346</v>
      </c>
      <c r="O21" s="216">
        <f t="shared" si="4"/>
        <v>0.60098225691748175</v>
      </c>
      <c r="P21" s="216">
        <f t="shared" si="4"/>
        <v>0.5660377211973413</v>
      </c>
      <c r="Q21" s="216">
        <f t="shared" si="4"/>
        <v>0.53312506006690918</v>
      </c>
      <c r="R21" s="216">
        <f t="shared" si="4"/>
        <v>0.50212612875009299</v>
      </c>
      <c r="S21" s="216">
        <f t="shared" si="4"/>
        <v>0.47292965208184301</v>
      </c>
      <c r="T21" s="216">
        <f t="shared" si="4"/>
        <v>0.44543082506978915</v>
      </c>
      <c r="U21" s="216">
        <f t="shared" si="4"/>
        <v>0.41953093668150332</v>
      </c>
      <c r="V21" s="216">
        <f t="shared" si="4"/>
        <v>0.39513701550691582</v>
      </c>
      <c r="W21" s="216">
        <f t="shared" si="4"/>
        <v>0.37216149602393872</v>
      </c>
      <c r="X21" s="216">
        <f t="shared" si="4"/>
        <v>0.35052190426931046</v>
      </c>
      <c r="Y21" s="216">
        <f t="shared" si="4"/>
        <v>0.33014056178632861</v>
      </c>
      <c r="Z21" s="216">
        <f t="shared" si="4"/>
        <v>0.31094430678675106</v>
      </c>
      <c r="AA21" s="216">
        <f t="shared" si="4"/>
        <v>0.29286423152593372</v>
      </c>
      <c r="AB21" s="216">
        <f t="shared" si="4"/>
        <v>0.27583543494847557</v>
      </c>
      <c r="AC21" s="216">
        <f t="shared" si="4"/>
        <v>0.25979678971645676</v>
      </c>
      <c r="AD21" s="216">
        <f t="shared" si="4"/>
        <v>0.24469072278398307</v>
      </c>
      <c r="AE21" s="216">
        <f t="shared" si="4"/>
        <v>0.2304630087303785</v>
      </c>
      <c r="AF21" s="416"/>
      <c r="AG21" s="416"/>
      <c r="AH21" s="416"/>
      <c r="AI21" s="416"/>
      <c r="AJ21" s="416"/>
      <c r="AK21" s="416"/>
      <c r="AL21" s="416"/>
      <c r="AM21" s="416"/>
      <c r="AN21" s="416"/>
      <c r="AO21" s="416"/>
      <c r="AP21" s="416"/>
    </row>
    <row r="22" spans="1:42" x14ac:dyDescent="0.2">
      <c r="A22"/>
      <c r="B22"/>
      <c r="C22"/>
      <c r="D22"/>
      <c r="E22"/>
      <c r="F22"/>
      <c r="H22"/>
      <c r="I22"/>
      <c r="J22"/>
      <c r="K22"/>
      <c r="L22"/>
      <c r="M22"/>
      <c r="N22"/>
      <c r="O22"/>
      <c r="P22"/>
      <c r="Q22"/>
      <c r="R22"/>
      <c r="S22"/>
      <c r="T22"/>
      <c r="U22"/>
      <c r="V22"/>
      <c r="W22"/>
      <c r="X22"/>
      <c r="Y22"/>
      <c r="Z22"/>
      <c r="AA22"/>
      <c r="AB22"/>
      <c r="AC22"/>
      <c r="AD22"/>
      <c r="AE22"/>
      <c r="AF22"/>
      <c r="AG22"/>
      <c r="AH22"/>
      <c r="AI22"/>
      <c r="AJ22"/>
      <c r="AK22"/>
      <c r="AL22"/>
      <c r="AM22"/>
      <c r="AN22"/>
      <c r="AO22"/>
      <c r="AP22"/>
    </row>
    <row r="23" spans="1:42" x14ac:dyDescent="0.2">
      <c r="A23"/>
      <c r="B23" s="83" t="s">
        <v>570</v>
      </c>
      <c r="C23" s="34" t="s">
        <v>541</v>
      </c>
      <c r="D23" s="34" t="s">
        <v>296</v>
      </c>
      <c r="E23" s="386" t="s">
        <v>542</v>
      </c>
      <c r="F23" s="386" t="s">
        <v>543</v>
      </c>
      <c r="G23" s="34" t="s">
        <v>571</v>
      </c>
      <c r="H23"/>
      <c r="I23"/>
      <c r="J23"/>
      <c r="K23"/>
      <c r="L23"/>
      <c r="M23"/>
      <c r="N23"/>
      <c r="O23"/>
      <c r="P23"/>
      <c r="Q23"/>
      <c r="R23"/>
      <c r="S23"/>
      <c r="T23"/>
      <c r="U23"/>
      <c r="V23"/>
      <c r="W23"/>
      <c r="X23"/>
      <c r="Y23"/>
      <c r="Z23"/>
      <c r="AA23"/>
      <c r="AB23"/>
      <c r="AC23"/>
      <c r="AD23"/>
      <c r="AE23"/>
      <c r="AF23"/>
      <c r="AG23"/>
      <c r="AH23"/>
      <c r="AI23"/>
      <c r="AJ23"/>
      <c r="AK23"/>
      <c r="AL23"/>
      <c r="AM23"/>
      <c r="AN23"/>
      <c r="AO23"/>
      <c r="AP23"/>
    </row>
    <row r="24" spans="1:42" s="213" customFormat="1" ht="11.25" x14ac:dyDescent="0.2">
      <c r="A24" s="416"/>
      <c r="B24" s="211" t="s">
        <v>572</v>
      </c>
      <c r="C24" s="212" t="s">
        <v>566</v>
      </c>
      <c r="D24" s="212" t="s">
        <v>563</v>
      </c>
      <c r="E24" s="387" t="s">
        <v>564</v>
      </c>
      <c r="F24" s="387" t="s">
        <v>555</v>
      </c>
      <c r="G24" s="215">
        <f>SUMPRODUCT(G20:AE20,G21:AE21)*(1-G12)</f>
        <v>3.4823725919721191</v>
      </c>
      <c r="H24" s="416"/>
      <c r="I24" s="416"/>
      <c r="J24" s="416"/>
      <c r="K24" s="416"/>
      <c r="L24" s="416"/>
      <c r="M24" s="416"/>
      <c r="N24" s="416"/>
      <c r="O24" s="416"/>
      <c r="P24" s="416"/>
      <c r="Q24" s="416"/>
      <c r="R24" s="416"/>
      <c r="S24" s="416"/>
      <c r="T24" s="416"/>
      <c r="U24" s="416"/>
      <c r="V24" s="416"/>
      <c r="W24" s="416"/>
      <c r="X24" s="416"/>
      <c r="Y24" s="416"/>
      <c r="Z24" s="416"/>
      <c r="AA24" s="416"/>
      <c r="AB24" s="416"/>
      <c r="AC24" s="416"/>
      <c r="AD24" s="416"/>
      <c r="AE24" s="416"/>
      <c r="AF24" s="416"/>
      <c r="AG24" s="416"/>
      <c r="AH24" s="416"/>
      <c r="AI24" s="416"/>
      <c r="AJ24" s="416"/>
      <c r="AK24" s="416"/>
      <c r="AL24" s="416"/>
      <c r="AM24" s="416"/>
      <c r="AN24" s="416"/>
      <c r="AO24" s="416"/>
      <c r="AP24" s="416"/>
    </row>
    <row r="25" spans="1:42" s="213" customFormat="1" ht="11.25" x14ac:dyDescent="0.2">
      <c r="A25" s="416"/>
      <c r="B25" s="211" t="s">
        <v>573</v>
      </c>
      <c r="C25" s="212" t="s">
        <v>566</v>
      </c>
      <c r="D25" s="212" t="s">
        <v>563</v>
      </c>
      <c r="E25" s="387" t="s">
        <v>564</v>
      </c>
      <c r="F25" s="387" t="s">
        <v>555</v>
      </c>
      <c r="G25" s="215">
        <f>G24*G10/(1-G10*(1-G12))</f>
        <v>1.1994394691063555</v>
      </c>
      <c r="H25" s="416"/>
      <c r="I25" s="416"/>
      <c r="J25" s="416"/>
      <c r="K25" s="416"/>
      <c r="L25" s="416"/>
      <c r="M25" s="416"/>
      <c r="N25" s="416"/>
      <c r="O25" s="416"/>
      <c r="P25" s="416"/>
      <c r="Q25" s="416"/>
      <c r="R25" s="416"/>
      <c r="S25" s="416"/>
      <c r="T25" s="416"/>
      <c r="U25" s="416"/>
      <c r="V25" s="416"/>
      <c r="W25" s="416"/>
      <c r="X25" s="416"/>
      <c r="Y25" s="416"/>
      <c r="Z25" s="416"/>
      <c r="AA25" s="416"/>
      <c r="AB25" s="416"/>
      <c r="AC25" s="416"/>
      <c r="AD25" s="416"/>
      <c r="AE25" s="416"/>
      <c r="AF25" s="416"/>
      <c r="AG25" s="416"/>
      <c r="AH25" s="416"/>
      <c r="AI25" s="416"/>
      <c r="AJ25" s="416"/>
      <c r="AK25" s="416"/>
      <c r="AL25" s="416"/>
      <c r="AM25" s="416"/>
      <c r="AN25" s="416"/>
      <c r="AO25" s="416"/>
      <c r="AP25" s="416"/>
    </row>
    <row r="26" spans="1:42" s="213" customFormat="1" ht="11.25" x14ac:dyDescent="0.2">
      <c r="A26" s="416"/>
      <c r="B26" s="211" t="s">
        <v>574</v>
      </c>
      <c r="C26" s="212" t="s">
        <v>566</v>
      </c>
      <c r="D26" s="212" t="s">
        <v>563</v>
      </c>
      <c r="E26" s="387" t="s">
        <v>564</v>
      </c>
      <c r="F26" s="387" t="s">
        <v>555</v>
      </c>
      <c r="G26" s="215">
        <f>G25/(1+$G$7)^0.5</f>
        <v>1.1640461466834406</v>
      </c>
      <c r="H26" s="416"/>
      <c r="I26" s="416"/>
      <c r="J26" s="416"/>
      <c r="K26" s="416"/>
      <c r="L26" s="416"/>
      <c r="M26" s="416"/>
      <c r="N26" s="416"/>
      <c r="O26" s="416"/>
      <c r="P26" s="416"/>
      <c r="Q26" s="416"/>
      <c r="R26" s="416"/>
      <c r="S26" s="416"/>
      <c r="T26" s="416"/>
      <c r="U26" s="416"/>
      <c r="V26" s="416"/>
      <c r="W26" s="416"/>
      <c r="X26" s="416"/>
      <c r="Y26" s="416"/>
      <c r="Z26" s="416"/>
      <c r="AA26" s="416"/>
      <c r="AB26" s="416"/>
      <c r="AC26" s="416"/>
      <c r="AD26" s="416"/>
      <c r="AE26" s="416"/>
      <c r="AF26" s="416"/>
      <c r="AG26" s="416"/>
      <c r="AH26" s="416"/>
      <c r="AI26" s="416"/>
      <c r="AJ26" s="416"/>
      <c r="AK26" s="416"/>
      <c r="AL26" s="416"/>
      <c r="AM26" s="416"/>
      <c r="AN26" s="416"/>
      <c r="AO26" s="416"/>
      <c r="AP26" s="416"/>
    </row>
    <row r="27" spans="1:42" s="213" customFormat="1" ht="11.25" x14ac:dyDescent="0.2">
      <c r="A27" s="416"/>
      <c r="B27" s="211" t="s">
        <v>575</v>
      </c>
      <c r="C27" s="212" t="s">
        <v>566</v>
      </c>
      <c r="D27" s="212" t="s">
        <v>563</v>
      </c>
      <c r="E27" s="387" t="s">
        <v>564</v>
      </c>
      <c r="F27" s="387" t="s">
        <v>555</v>
      </c>
      <c r="G27" s="215">
        <f>G24+G26</f>
        <v>4.6464187386555595</v>
      </c>
      <c r="H27" s="416"/>
      <c r="I27" s="416"/>
      <c r="J27" s="416"/>
      <c r="K27" s="416"/>
      <c r="L27" s="416"/>
      <c r="M27" s="416"/>
      <c r="N27" s="416"/>
      <c r="O27" s="416"/>
      <c r="P27" s="416"/>
      <c r="Q27" s="416"/>
      <c r="R27" s="416"/>
      <c r="S27" s="416"/>
      <c r="T27" s="416"/>
      <c r="U27" s="416"/>
      <c r="V27" s="416"/>
      <c r="W27" s="416"/>
      <c r="X27" s="416"/>
      <c r="Y27" s="416"/>
      <c r="Z27" s="416"/>
      <c r="AA27" s="416"/>
      <c r="AB27" s="416"/>
      <c r="AC27" s="416"/>
      <c r="AD27" s="416"/>
      <c r="AE27" s="416"/>
      <c r="AF27" s="416"/>
      <c r="AG27" s="416"/>
      <c r="AH27" s="416"/>
      <c r="AI27" s="416"/>
      <c r="AJ27" s="416"/>
      <c r="AK27" s="416"/>
      <c r="AL27" s="416"/>
      <c r="AM27" s="416"/>
      <c r="AN27" s="416"/>
      <c r="AO27" s="416"/>
      <c r="AP27" s="416"/>
    </row>
    <row r="28" spans="1:42" s="213" customFormat="1" ht="11.25" x14ac:dyDescent="0.2">
      <c r="A28" s="416"/>
      <c r="B28" s="211" t="s">
        <v>323</v>
      </c>
      <c r="C28" s="212" t="s">
        <v>566</v>
      </c>
      <c r="D28" s="212" t="s">
        <v>9</v>
      </c>
      <c r="E28" s="387" t="s">
        <v>549</v>
      </c>
      <c r="F28" s="387" t="s">
        <v>549</v>
      </c>
      <c r="G28" s="424">
        <f>G27/$G$9</f>
        <v>4.6464187386555597E-2</v>
      </c>
      <c r="H28" s="416"/>
      <c r="I28" s="416"/>
      <c r="J28" s="416"/>
      <c r="K28" s="416"/>
      <c r="L28" s="416"/>
      <c r="M28" s="416"/>
      <c r="N28" s="416"/>
      <c r="O28" s="416"/>
      <c r="P28" s="416"/>
      <c r="Q28" s="416"/>
      <c r="R28" s="416"/>
      <c r="S28" s="416"/>
      <c r="T28" s="416"/>
      <c r="U28" s="416"/>
      <c r="V28" s="416"/>
      <c r="W28" s="416"/>
      <c r="X28" s="416"/>
      <c r="Y28" s="416"/>
      <c r="Z28" s="416"/>
      <c r="AA28" s="416"/>
      <c r="AB28" s="416"/>
      <c r="AC28" s="416"/>
      <c r="AD28" s="416"/>
      <c r="AE28" s="416"/>
      <c r="AF28" s="416"/>
      <c r="AG28" s="416"/>
      <c r="AH28" s="416"/>
      <c r="AI28" s="416"/>
      <c r="AJ28" s="416"/>
      <c r="AK28" s="416"/>
      <c r="AL28" s="416"/>
      <c r="AM28" s="416"/>
      <c r="AN28" s="416"/>
      <c r="AO28" s="416"/>
      <c r="AP28" s="416"/>
    </row>
    <row r="29" spans="1:42" x14ac:dyDescent="0.2">
      <c r="A29"/>
      <c r="B29"/>
      <c r="C29"/>
      <c r="D29"/>
      <c r="E29"/>
      <c r="F29"/>
      <c r="H29"/>
      <c r="I29"/>
      <c r="J29"/>
      <c r="K29"/>
      <c r="L29"/>
      <c r="M29"/>
      <c r="N29"/>
      <c r="O29"/>
      <c r="P29"/>
      <c r="Q29"/>
      <c r="R29"/>
      <c r="S29"/>
      <c r="T29"/>
      <c r="U29"/>
      <c r="V29"/>
      <c r="W29"/>
      <c r="X29"/>
      <c r="Y29"/>
      <c r="Z29"/>
      <c r="AA29"/>
      <c r="AB29"/>
      <c r="AC29"/>
      <c r="AD29"/>
      <c r="AE29"/>
      <c r="AF29"/>
      <c r="AG29"/>
      <c r="AH29"/>
      <c r="AI29"/>
      <c r="AJ29"/>
      <c r="AK29"/>
      <c r="AL29"/>
      <c r="AM29"/>
      <c r="AN29"/>
      <c r="AO29"/>
      <c r="AP29"/>
    </row>
    <row r="30" spans="1:42" ht="15" x14ac:dyDescent="0.25">
      <c r="A30" s="134"/>
      <c r="B30" s="22" t="s">
        <v>576</v>
      </c>
      <c r="C30" s="21"/>
      <c r="D30" s="21"/>
      <c r="E30" s="384"/>
      <c r="F30" s="384"/>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c r="AG30"/>
      <c r="AH30"/>
      <c r="AI30"/>
      <c r="AJ30"/>
      <c r="AK30"/>
      <c r="AL30"/>
      <c r="AM30"/>
      <c r="AN30"/>
      <c r="AO30"/>
      <c r="AP30"/>
    </row>
    <row r="31" spans="1:42" x14ac:dyDescent="0.2">
      <c r="A31" s="5"/>
      <c r="B31" s="5"/>
      <c r="C31" s="5"/>
      <c r="D31" s="5"/>
      <c r="E31" s="385"/>
      <c r="F31" s="385"/>
      <c r="G31" s="5"/>
      <c r="H31" s="5"/>
      <c r="I31" s="5"/>
      <c r="J31" s="5"/>
      <c r="K31" s="5"/>
      <c r="L31" s="5"/>
      <c r="M31" s="5"/>
      <c r="N31" s="5"/>
      <c r="O31" s="5"/>
      <c r="P31" s="5"/>
      <c r="Q31" s="5"/>
      <c r="R31" s="5"/>
      <c r="S31" s="5"/>
      <c r="T31" s="5"/>
      <c r="U31" s="5"/>
      <c r="V31" s="5"/>
      <c r="W31" s="5"/>
      <c r="X31" s="5"/>
      <c r="Y31" s="5"/>
      <c r="Z31" s="5"/>
      <c r="AA31" s="5"/>
      <c r="AB31" s="5"/>
      <c r="AC31" s="5"/>
      <c r="AD31" s="5"/>
      <c r="AE31" s="5"/>
      <c r="AF31"/>
      <c r="AG31"/>
      <c r="AH31"/>
      <c r="AI31"/>
      <c r="AJ31"/>
      <c r="AK31"/>
      <c r="AL31"/>
      <c r="AM31"/>
      <c r="AN31"/>
      <c r="AO31"/>
      <c r="AP31"/>
    </row>
    <row r="32" spans="1:42" x14ac:dyDescent="0.2">
      <c r="A32" s="5"/>
      <c r="B32" s="33" t="s">
        <v>540</v>
      </c>
      <c r="C32" s="34" t="s">
        <v>541</v>
      </c>
      <c r="D32" s="34" t="s">
        <v>296</v>
      </c>
      <c r="E32" s="386" t="s">
        <v>542</v>
      </c>
      <c r="F32" s="386" t="s">
        <v>543</v>
      </c>
      <c r="G32" s="34" t="s">
        <v>116</v>
      </c>
      <c r="H32" s="5"/>
      <c r="I32" s="34" t="s">
        <v>544</v>
      </c>
      <c r="J32" s="5"/>
      <c r="K32" s="5"/>
      <c r="L32" s="5"/>
      <c r="M32" s="5"/>
      <c r="N32" s="5"/>
      <c r="O32" s="5"/>
      <c r="P32" s="5"/>
      <c r="Q32" s="5"/>
      <c r="R32" s="5"/>
      <c r="S32" s="5"/>
      <c r="T32" s="5"/>
      <c r="U32" s="5"/>
      <c r="V32" s="5"/>
      <c r="W32" s="5"/>
      <c r="X32" s="5"/>
      <c r="Y32" s="5"/>
      <c r="Z32" s="5"/>
      <c r="AA32" s="5"/>
      <c r="AB32" s="5"/>
      <c r="AC32" s="5"/>
      <c r="AD32" s="5"/>
      <c r="AE32" s="5"/>
      <c r="AF32"/>
      <c r="AG32"/>
      <c r="AH32"/>
      <c r="AI32"/>
      <c r="AJ32"/>
      <c r="AK32"/>
      <c r="AL32"/>
      <c r="AM32"/>
      <c r="AN32"/>
      <c r="AO32"/>
      <c r="AP32"/>
    </row>
    <row r="33" spans="1:42" s="213" customFormat="1" ht="11.25" x14ac:dyDescent="0.2">
      <c r="A33" s="410"/>
      <c r="B33" s="211" t="s">
        <v>545</v>
      </c>
      <c r="C33" s="387" t="s">
        <v>546</v>
      </c>
      <c r="D33" s="212" t="s">
        <v>547</v>
      </c>
      <c r="E33" s="387" t="s">
        <v>548</v>
      </c>
      <c r="F33" s="387" t="s">
        <v>549</v>
      </c>
      <c r="G33" s="398">
        <v>5.1299999999999998E-2</v>
      </c>
      <c r="H33" s="410"/>
      <c r="I33" s="532"/>
      <c r="J33" s="533"/>
      <c r="K33" s="533"/>
      <c r="L33" s="533"/>
      <c r="M33" s="534"/>
      <c r="N33" s="410"/>
      <c r="O33" s="410"/>
      <c r="P33" s="410"/>
      <c r="Q33" s="410"/>
      <c r="R33" s="410"/>
      <c r="S33" s="410"/>
      <c r="T33" s="410"/>
      <c r="U33" s="410"/>
      <c r="V33" s="410"/>
      <c r="W33" s="410"/>
      <c r="X33" s="410"/>
      <c r="Y33" s="410"/>
      <c r="Z33" s="410"/>
      <c r="AA33" s="410"/>
      <c r="AB33" s="410"/>
      <c r="AC33" s="410"/>
      <c r="AD33" s="410"/>
      <c r="AE33" s="410"/>
      <c r="AF33" s="416"/>
      <c r="AG33" s="416"/>
      <c r="AH33" s="416"/>
      <c r="AI33" s="416"/>
      <c r="AJ33" s="416"/>
      <c r="AK33" s="416"/>
      <c r="AL33" s="416"/>
      <c r="AM33" s="416"/>
      <c r="AN33" s="416"/>
      <c r="AO33" s="416"/>
      <c r="AP33" s="416"/>
    </row>
    <row r="34" spans="1:42" s="213" customFormat="1" ht="11.25" x14ac:dyDescent="0.2">
      <c r="A34" s="410"/>
      <c r="B34" s="211" t="s">
        <v>550</v>
      </c>
      <c r="C34" s="387" t="s">
        <v>551</v>
      </c>
      <c r="D34" s="212" t="s">
        <v>217</v>
      </c>
      <c r="E34" s="387" t="s">
        <v>548</v>
      </c>
      <c r="F34" s="387" t="s">
        <v>549</v>
      </c>
      <c r="G34" s="387">
        <v>15</v>
      </c>
      <c r="H34" s="410"/>
      <c r="I34" s="535"/>
      <c r="J34" s="536"/>
      <c r="K34" s="536"/>
      <c r="L34" s="536"/>
      <c r="M34" s="537"/>
      <c r="N34" s="410"/>
      <c r="O34" s="410"/>
      <c r="P34" s="410"/>
      <c r="Q34" s="410"/>
      <c r="R34" s="410"/>
      <c r="S34" s="410"/>
      <c r="T34" s="410"/>
      <c r="U34" s="410"/>
      <c r="V34" s="410"/>
      <c r="W34" s="410"/>
      <c r="X34" s="410"/>
      <c r="Y34" s="410"/>
      <c r="Z34" s="410"/>
      <c r="AA34" s="410"/>
      <c r="AB34" s="410"/>
      <c r="AC34" s="410"/>
      <c r="AD34" s="410"/>
      <c r="AE34" s="410"/>
      <c r="AF34" s="416"/>
      <c r="AG34" s="416"/>
      <c r="AH34" s="416"/>
      <c r="AI34" s="416"/>
      <c r="AJ34" s="416"/>
      <c r="AK34" s="416"/>
      <c r="AL34" s="416"/>
      <c r="AM34" s="416"/>
      <c r="AN34" s="416"/>
      <c r="AO34" s="416"/>
      <c r="AP34" s="416"/>
    </row>
    <row r="35" spans="1:42" s="213" customFormat="1" ht="11.25" x14ac:dyDescent="0.2">
      <c r="A35" s="410"/>
      <c r="B35" s="211" t="s">
        <v>552</v>
      </c>
      <c r="C35" s="387" t="s">
        <v>553</v>
      </c>
      <c r="D35" s="212" t="s">
        <v>554</v>
      </c>
      <c r="E35" s="387" t="s">
        <v>548</v>
      </c>
      <c r="F35" s="387" t="s">
        <v>555</v>
      </c>
      <c r="G35" s="399">
        <v>100</v>
      </c>
      <c r="H35" s="410"/>
      <c r="I35" s="535"/>
      <c r="J35" s="536"/>
      <c r="K35" s="536"/>
      <c r="L35" s="536"/>
      <c r="M35" s="537"/>
      <c r="N35" s="410"/>
      <c r="O35" s="410"/>
      <c r="P35" s="410"/>
      <c r="Q35" s="410"/>
      <c r="R35" s="410"/>
      <c r="S35" s="410"/>
      <c r="T35" s="410"/>
      <c r="U35" s="410"/>
      <c r="V35" s="410"/>
      <c r="W35" s="410"/>
      <c r="X35" s="410"/>
      <c r="Y35" s="410"/>
      <c r="Z35" s="410"/>
      <c r="AA35" s="410"/>
      <c r="AB35" s="410"/>
      <c r="AC35" s="410"/>
      <c r="AD35" s="410"/>
      <c r="AE35" s="410"/>
      <c r="AF35" s="416"/>
      <c r="AG35" s="416"/>
      <c r="AH35" s="416"/>
      <c r="AI35" s="416"/>
      <c r="AJ35" s="416"/>
      <c r="AK35" s="416"/>
      <c r="AL35" s="416"/>
      <c r="AM35" s="416"/>
      <c r="AN35" s="416"/>
      <c r="AO35" s="416"/>
      <c r="AP35" s="416"/>
    </row>
    <row r="36" spans="1:42" s="213" customFormat="1" ht="11.25" x14ac:dyDescent="0.2">
      <c r="A36" s="410"/>
      <c r="B36" s="211" t="s">
        <v>556</v>
      </c>
      <c r="C36" s="387" t="s">
        <v>546</v>
      </c>
      <c r="D36" s="212" t="s">
        <v>547</v>
      </c>
      <c r="E36" s="387" t="s">
        <v>548</v>
      </c>
      <c r="F36" s="387" t="s">
        <v>549</v>
      </c>
      <c r="G36" s="398">
        <v>0.3</v>
      </c>
      <c r="H36" s="410"/>
      <c r="I36" s="535"/>
      <c r="J36" s="536"/>
      <c r="K36" s="536"/>
      <c r="L36" s="536"/>
      <c r="M36" s="537"/>
      <c r="N36" s="410"/>
      <c r="O36" s="410"/>
      <c r="P36" s="410"/>
      <c r="Q36" s="410"/>
      <c r="R36" s="410"/>
      <c r="S36" s="410"/>
      <c r="T36" s="410"/>
      <c r="U36" s="410"/>
      <c r="V36" s="410"/>
      <c r="W36" s="410"/>
      <c r="X36" s="410"/>
      <c r="Y36" s="410"/>
      <c r="Z36" s="410"/>
      <c r="AA36" s="410"/>
      <c r="AB36" s="410"/>
      <c r="AC36" s="410"/>
      <c r="AD36" s="410"/>
      <c r="AE36" s="410"/>
      <c r="AF36" s="416"/>
      <c r="AG36" s="416"/>
      <c r="AH36" s="416"/>
      <c r="AI36" s="416"/>
      <c r="AJ36" s="416"/>
      <c r="AK36" s="416"/>
      <c r="AL36" s="416"/>
      <c r="AM36" s="416"/>
      <c r="AN36" s="416"/>
      <c r="AO36" s="416"/>
      <c r="AP36" s="416"/>
    </row>
    <row r="37" spans="1:42" s="213" customFormat="1" ht="11.25" x14ac:dyDescent="0.2">
      <c r="A37" s="410"/>
      <c r="B37" s="211" t="s">
        <v>557</v>
      </c>
      <c r="C37" s="387" t="s">
        <v>551</v>
      </c>
      <c r="D37" s="212" t="s">
        <v>547</v>
      </c>
      <c r="E37" s="387" t="s">
        <v>548</v>
      </c>
      <c r="F37" s="387" t="s">
        <v>549</v>
      </c>
      <c r="G37" s="398">
        <v>0.375</v>
      </c>
      <c r="H37" s="410"/>
      <c r="I37" s="535"/>
      <c r="J37" s="536"/>
      <c r="K37" s="536"/>
      <c r="L37" s="536"/>
      <c r="M37" s="537"/>
      <c r="N37" s="410"/>
      <c r="O37" s="410"/>
      <c r="P37" s="410"/>
      <c r="Q37" s="410"/>
      <c r="R37" s="410"/>
      <c r="S37" s="410"/>
      <c r="T37" s="410"/>
      <c r="U37" s="410"/>
      <c r="V37" s="410"/>
      <c r="W37" s="410"/>
      <c r="X37" s="410"/>
      <c r="Y37" s="410"/>
      <c r="Z37" s="410"/>
      <c r="AA37" s="410"/>
      <c r="AB37" s="410"/>
      <c r="AC37" s="410"/>
      <c r="AD37" s="410"/>
      <c r="AE37" s="410"/>
      <c r="AF37" s="416"/>
      <c r="AG37" s="416"/>
      <c r="AH37" s="416"/>
      <c r="AI37" s="416"/>
      <c r="AJ37" s="416"/>
      <c r="AK37" s="416"/>
      <c r="AL37" s="416"/>
      <c r="AM37" s="416"/>
      <c r="AN37" s="416"/>
      <c r="AO37" s="416"/>
      <c r="AP37" s="416"/>
    </row>
    <row r="38" spans="1:42" s="213" customFormat="1" ht="11.25" x14ac:dyDescent="0.2">
      <c r="A38" s="410"/>
      <c r="B38" s="211" t="s">
        <v>558</v>
      </c>
      <c r="C38" s="387" t="s">
        <v>546</v>
      </c>
      <c r="D38" s="212" t="s">
        <v>547</v>
      </c>
      <c r="E38" s="387" t="s">
        <v>548</v>
      </c>
      <c r="F38" s="387" t="s">
        <v>549</v>
      </c>
      <c r="G38" s="398">
        <v>0.56999999999999995</v>
      </c>
      <c r="H38" s="410"/>
      <c r="I38" s="538"/>
      <c r="J38" s="539"/>
      <c r="K38" s="539"/>
      <c r="L38" s="539"/>
      <c r="M38" s="540"/>
      <c r="N38" s="410"/>
      <c r="O38" s="410"/>
      <c r="P38" s="410"/>
      <c r="Q38" s="410"/>
      <c r="R38" s="410"/>
      <c r="S38" s="410"/>
      <c r="T38" s="410"/>
      <c r="U38" s="410"/>
      <c r="V38" s="410"/>
      <c r="W38" s="410"/>
      <c r="X38" s="410"/>
      <c r="Y38" s="410"/>
      <c r="Z38" s="410"/>
      <c r="AA38" s="410"/>
      <c r="AB38" s="410"/>
      <c r="AC38" s="410"/>
      <c r="AD38" s="410"/>
      <c r="AE38" s="410"/>
      <c r="AF38" s="416"/>
      <c r="AG38" s="416"/>
      <c r="AH38" s="416"/>
      <c r="AI38" s="416"/>
      <c r="AJ38" s="416"/>
      <c r="AK38" s="416"/>
      <c r="AL38" s="416"/>
      <c r="AM38" s="416"/>
      <c r="AN38" s="416"/>
      <c r="AO38" s="416"/>
      <c r="AP38" s="416"/>
    </row>
    <row r="39" spans="1:42" x14ac:dyDescent="0.2">
      <c r="A39" s="5"/>
      <c r="B39" s="5"/>
      <c r="C39" s="5"/>
      <c r="D39" s="5"/>
      <c r="E39" s="385"/>
      <c r="F39" s="385"/>
      <c r="G39" s="5"/>
      <c r="H39" s="5"/>
      <c r="I39" s="5"/>
      <c r="J39" s="5"/>
      <c r="K39" s="5"/>
      <c r="L39"/>
      <c r="M39"/>
      <c r="N39"/>
      <c r="O39"/>
      <c r="P39"/>
      <c r="Q39"/>
      <c r="R39"/>
      <c r="S39"/>
      <c r="T39"/>
      <c r="U39"/>
      <c r="V39"/>
      <c r="W39"/>
      <c r="X39"/>
      <c r="Y39"/>
      <c r="Z39"/>
      <c r="AA39"/>
      <c r="AB39"/>
      <c r="AC39"/>
      <c r="AD39"/>
      <c r="AE39"/>
      <c r="AF39"/>
      <c r="AG39"/>
      <c r="AH39"/>
      <c r="AI39"/>
      <c r="AJ39"/>
      <c r="AK39"/>
      <c r="AL39"/>
      <c r="AM39"/>
      <c r="AN39"/>
      <c r="AO39"/>
      <c r="AP39"/>
    </row>
    <row r="40" spans="1:42" ht="15" x14ac:dyDescent="0.25">
      <c r="A40" s="134"/>
      <c r="B40" s="22" t="s">
        <v>577</v>
      </c>
      <c r="C40" s="22"/>
      <c r="D40" s="22"/>
      <c r="E40" s="388"/>
      <c r="F40" s="388"/>
      <c r="G40" s="22"/>
      <c r="H40" s="22"/>
      <c r="I40" s="22"/>
      <c r="J40" s="21"/>
      <c r="K40" s="21"/>
      <c r="L40" s="21"/>
      <c r="M40" s="21"/>
      <c r="N40" s="21"/>
      <c r="O40" s="21"/>
      <c r="P40" s="21"/>
      <c r="Q40" s="21"/>
      <c r="R40" s="21"/>
      <c r="S40" s="21"/>
      <c r="T40" s="21"/>
      <c r="U40" s="21"/>
      <c r="V40" s="21"/>
      <c r="W40" s="21"/>
      <c r="X40" s="21"/>
      <c r="Y40" s="21"/>
      <c r="Z40" s="21"/>
      <c r="AA40" s="21"/>
      <c r="AB40" s="21"/>
      <c r="AC40" s="21"/>
      <c r="AD40" s="21"/>
      <c r="AE40" s="21"/>
      <c r="AF40"/>
      <c r="AG40"/>
      <c r="AH40"/>
      <c r="AI40"/>
      <c r="AJ40"/>
      <c r="AK40"/>
      <c r="AL40"/>
      <c r="AM40"/>
      <c r="AN40"/>
      <c r="AO40"/>
      <c r="AP40"/>
    </row>
    <row r="41" spans="1:42" x14ac:dyDescent="0.2">
      <c r="A41" s="5"/>
      <c r="B41" s="5"/>
      <c r="C41" s="5"/>
      <c r="D41" s="5"/>
      <c r="E41" s="385"/>
      <c r="F41" s="385"/>
      <c r="G41" s="5"/>
      <c r="H41" s="5"/>
      <c r="I41" s="5"/>
      <c r="J41" s="5"/>
      <c r="K41" s="5"/>
      <c r="L41" s="5"/>
      <c r="M41" s="5"/>
      <c r="N41" s="5"/>
      <c r="O41" s="5"/>
      <c r="P41" s="5"/>
      <c r="Q41" s="5"/>
      <c r="R41" s="5"/>
      <c r="S41" s="5"/>
      <c r="T41" s="5"/>
      <c r="U41" s="5"/>
      <c r="V41" s="5"/>
      <c r="W41" s="5"/>
      <c r="X41" s="5"/>
      <c r="Y41" s="5"/>
      <c r="Z41" s="5"/>
      <c r="AA41" s="5"/>
      <c r="AB41" s="5"/>
      <c r="AC41" s="5"/>
      <c r="AD41" s="5"/>
      <c r="AE41" s="5"/>
      <c r="AF41"/>
      <c r="AG41"/>
      <c r="AH41"/>
      <c r="AI41"/>
      <c r="AJ41"/>
      <c r="AK41"/>
      <c r="AL41"/>
      <c r="AM41"/>
      <c r="AN41"/>
      <c r="AO41"/>
      <c r="AP41"/>
    </row>
    <row r="42" spans="1:42" x14ac:dyDescent="0.2">
      <c r="A42" s="5"/>
      <c r="B42" s="83" t="s">
        <v>560</v>
      </c>
      <c r="C42" s="34" t="s">
        <v>541</v>
      </c>
      <c r="D42" s="34" t="s">
        <v>296</v>
      </c>
      <c r="E42" s="386" t="s">
        <v>542</v>
      </c>
      <c r="F42" s="386" t="s">
        <v>543</v>
      </c>
      <c r="G42" s="34">
        <v>1</v>
      </c>
      <c r="H42" s="34">
        <f>G42+1</f>
        <v>2</v>
      </c>
      <c r="I42" s="34">
        <f t="shared" ref="I42:AE42" si="5">H42+1</f>
        <v>3</v>
      </c>
      <c r="J42" s="34">
        <f t="shared" si="5"/>
        <v>4</v>
      </c>
      <c r="K42" s="34">
        <f t="shared" si="5"/>
        <v>5</v>
      </c>
      <c r="L42" s="34">
        <f t="shared" si="5"/>
        <v>6</v>
      </c>
      <c r="M42" s="34">
        <f t="shared" si="5"/>
        <v>7</v>
      </c>
      <c r="N42" s="34">
        <f t="shared" si="5"/>
        <v>8</v>
      </c>
      <c r="O42" s="34">
        <f t="shared" si="5"/>
        <v>9</v>
      </c>
      <c r="P42" s="34">
        <f t="shared" si="5"/>
        <v>10</v>
      </c>
      <c r="Q42" s="34">
        <f t="shared" si="5"/>
        <v>11</v>
      </c>
      <c r="R42" s="34">
        <f t="shared" si="5"/>
        <v>12</v>
      </c>
      <c r="S42" s="34">
        <f t="shared" si="5"/>
        <v>13</v>
      </c>
      <c r="T42" s="34">
        <f t="shared" si="5"/>
        <v>14</v>
      </c>
      <c r="U42" s="34">
        <f t="shared" si="5"/>
        <v>15</v>
      </c>
      <c r="V42" s="34">
        <f t="shared" si="5"/>
        <v>16</v>
      </c>
      <c r="W42" s="34">
        <f t="shared" si="5"/>
        <v>17</v>
      </c>
      <c r="X42" s="34">
        <f t="shared" si="5"/>
        <v>18</v>
      </c>
      <c r="Y42" s="34">
        <f t="shared" si="5"/>
        <v>19</v>
      </c>
      <c r="Z42" s="34">
        <f t="shared" si="5"/>
        <v>20</v>
      </c>
      <c r="AA42" s="34">
        <f t="shared" si="5"/>
        <v>21</v>
      </c>
      <c r="AB42" s="34">
        <f t="shared" si="5"/>
        <v>22</v>
      </c>
      <c r="AC42" s="34">
        <f t="shared" si="5"/>
        <v>23</v>
      </c>
      <c r="AD42" s="34">
        <f t="shared" si="5"/>
        <v>24</v>
      </c>
      <c r="AE42" s="34">
        <f t="shared" si="5"/>
        <v>25</v>
      </c>
      <c r="AF42"/>
      <c r="AG42"/>
      <c r="AH42"/>
      <c r="AI42"/>
      <c r="AJ42"/>
      <c r="AK42"/>
      <c r="AL42"/>
      <c r="AM42"/>
      <c r="AN42"/>
      <c r="AO42"/>
      <c r="AP42"/>
    </row>
    <row r="43" spans="1:42" s="213" customFormat="1" ht="11.25" x14ac:dyDescent="0.2">
      <c r="A43" s="410"/>
      <c r="B43" s="211" t="s">
        <v>561</v>
      </c>
      <c r="C43" s="212" t="s">
        <v>562</v>
      </c>
      <c r="D43" s="212" t="s">
        <v>563</v>
      </c>
      <c r="E43" s="387" t="s">
        <v>564</v>
      </c>
      <c r="F43" s="387" t="s">
        <v>555</v>
      </c>
      <c r="G43" s="215">
        <f>IF(G$42=1,$G$35,0)</f>
        <v>100</v>
      </c>
      <c r="H43" s="215">
        <f>IF(H$42=1,$G$35,0)</f>
        <v>0</v>
      </c>
      <c r="I43" s="215">
        <f t="shared" ref="I43:AE43" si="6">IF(I$42=1,$G$35,0)</f>
        <v>0</v>
      </c>
      <c r="J43" s="215">
        <f t="shared" si="6"/>
        <v>0</v>
      </c>
      <c r="K43" s="215">
        <f t="shared" si="6"/>
        <v>0</v>
      </c>
      <c r="L43" s="215">
        <f t="shared" si="6"/>
        <v>0</v>
      </c>
      <c r="M43" s="215">
        <f t="shared" si="6"/>
        <v>0</v>
      </c>
      <c r="N43" s="215">
        <f t="shared" si="6"/>
        <v>0</v>
      </c>
      <c r="O43" s="215">
        <f t="shared" si="6"/>
        <v>0</v>
      </c>
      <c r="P43" s="215">
        <f t="shared" si="6"/>
        <v>0</v>
      </c>
      <c r="Q43" s="215">
        <f t="shared" si="6"/>
        <v>0</v>
      </c>
      <c r="R43" s="215">
        <f t="shared" si="6"/>
        <v>0</v>
      </c>
      <c r="S43" s="215">
        <f t="shared" si="6"/>
        <v>0</v>
      </c>
      <c r="T43" s="215">
        <f t="shared" si="6"/>
        <v>0</v>
      </c>
      <c r="U43" s="215">
        <f t="shared" si="6"/>
        <v>0</v>
      </c>
      <c r="V43" s="215">
        <f t="shared" si="6"/>
        <v>0</v>
      </c>
      <c r="W43" s="215">
        <f t="shared" si="6"/>
        <v>0</v>
      </c>
      <c r="X43" s="215">
        <f t="shared" si="6"/>
        <v>0</v>
      </c>
      <c r="Y43" s="215">
        <f t="shared" si="6"/>
        <v>0</v>
      </c>
      <c r="Z43" s="215">
        <f t="shared" si="6"/>
        <v>0</v>
      </c>
      <c r="AA43" s="215">
        <f t="shared" si="6"/>
        <v>0</v>
      </c>
      <c r="AB43" s="215">
        <f t="shared" si="6"/>
        <v>0</v>
      </c>
      <c r="AC43" s="215">
        <f t="shared" si="6"/>
        <v>0</v>
      </c>
      <c r="AD43" s="215">
        <f t="shared" si="6"/>
        <v>0</v>
      </c>
      <c r="AE43" s="215">
        <f t="shared" si="6"/>
        <v>0</v>
      </c>
      <c r="AF43" s="416"/>
      <c r="AG43" s="416"/>
      <c r="AH43" s="416"/>
      <c r="AI43" s="416"/>
      <c r="AJ43" s="416"/>
      <c r="AK43" s="416"/>
      <c r="AL43" s="416"/>
      <c r="AM43" s="416"/>
      <c r="AN43" s="416"/>
      <c r="AO43" s="416"/>
      <c r="AP43" s="416"/>
    </row>
    <row r="44" spans="1:42" s="213" customFormat="1" ht="11.25" x14ac:dyDescent="0.2">
      <c r="A44" s="410"/>
      <c r="B44" s="211" t="s">
        <v>565</v>
      </c>
      <c r="C44" s="212" t="s">
        <v>566</v>
      </c>
      <c r="D44" s="212" t="s">
        <v>563</v>
      </c>
      <c r="E44" s="387" t="s">
        <v>564</v>
      </c>
      <c r="F44" s="387" t="s">
        <v>555</v>
      </c>
      <c r="G44" s="215">
        <f>G35*G37/2</f>
        <v>18.75</v>
      </c>
      <c r="H44" s="215">
        <f>(H42&lt;=$G$34)*IF(H42=$G$34,$G$35-SUM($G$44:G44),$G$37*($G$35-SUM($G$44:G44)))</f>
        <v>30.46875</v>
      </c>
      <c r="I44" s="215">
        <f>(I42&lt;=$G$34)*IF(I42=$G$34,$G$35-SUM($G$44:H44),$G$37*($G$35-SUM($G$44:H44)))</f>
        <v>19.04296875</v>
      </c>
      <c r="J44" s="215">
        <f>(J42&lt;=$G$34)*IF(J42=$G$34,$G$35-SUM($G$44:I44),$G$37*($G$35-SUM($G$44:I44)))</f>
        <v>11.90185546875</v>
      </c>
      <c r="K44" s="215">
        <f>(K42&lt;=$G$34)*IF(K42=$G$34,$G$35-SUM($G$44:J44),$G$37*($G$35-SUM($G$44:J44)))</f>
        <v>7.43865966796875</v>
      </c>
      <c r="L44" s="215">
        <f>(L42&lt;=$G$34)*IF(L42=$G$34,$G$35-SUM($G$44:K44),$G$37*($G$35-SUM($G$44:K44)))</f>
        <v>4.6491622924804688</v>
      </c>
      <c r="M44" s="215">
        <f>(M42&lt;=$G$34)*IF(M42=$G$34,$G$35-SUM($G$44:L44),$G$37*($G$35-SUM($G$44:L44)))</f>
        <v>2.905726432800293</v>
      </c>
      <c r="N44" s="215">
        <f>(N42&lt;=$G$34)*IF(N42=$G$34,$G$35-SUM($G$44:M44),$G$37*($G$35-SUM($G$44:M44)))</f>
        <v>1.8160790205001831</v>
      </c>
      <c r="O44" s="215">
        <f>(O42&lt;=$G$34)*IF(O42=$G$34,$G$35-SUM($G$44:N44),$G$37*($G$35-SUM($G$44:N44)))</f>
        <v>1.1350493878126144</v>
      </c>
      <c r="P44" s="215">
        <f>(P42&lt;=$G$34)*IF(P42=$G$34,$G$35-SUM($G$44:O44),$G$37*($G$35-SUM($G$44:O44)))</f>
        <v>0.70940586738288403</v>
      </c>
      <c r="Q44" s="215">
        <f>(Q42&lt;=$G$34)*IF(Q42=$G$34,$G$35-SUM($G$44:P44),$G$37*($G$35-SUM($G$44:P44)))</f>
        <v>0.44337866711430252</v>
      </c>
      <c r="R44" s="215">
        <f>(R42&lt;=$G$34)*IF(R42=$G$34,$G$35-SUM($G$44:Q44),$G$37*($G$35-SUM($G$44:Q44)))</f>
        <v>0.27711166694643907</v>
      </c>
      <c r="S44" s="215">
        <f>(S42&lt;=$G$34)*IF(S42=$G$34,$G$35-SUM($G$44:R44),$G$37*($G$35-SUM($G$44:R44)))</f>
        <v>0.17319479184152442</v>
      </c>
      <c r="T44" s="215">
        <f>(T42&lt;=$G$34)*IF(T42=$G$34,$G$35-SUM($G$44:S44),$G$37*($G$35-SUM($G$44:S44)))</f>
        <v>0.10824674490095276</v>
      </c>
      <c r="U44" s="215">
        <f>(U42&lt;=$G$34)*IF(U42=$G$34,$G$35-SUM($G$44:T44),$G$37*($G$35-SUM($G$44:T44)))</f>
        <v>0.18041124150158794</v>
      </c>
      <c r="V44" s="215">
        <f>(V42&lt;=$G$34)*IF(V42=$G$34,$G$35-SUM($G$44:U44),$G$37*($G$35-SUM($G$44:U44)))</f>
        <v>0</v>
      </c>
      <c r="W44" s="215">
        <f>(W42&lt;=$G$34)*IF(W42=$G$34,$G$35-SUM($G$44:V44),$G$37*($G$35-SUM($G$44:V44)))</f>
        <v>0</v>
      </c>
      <c r="X44" s="215">
        <f>(X42&lt;=$G$34)*IF(X42=$G$34,$G$35-SUM($G$44:W44),$G$37*($G$35-SUM($G$44:W44)))</f>
        <v>0</v>
      </c>
      <c r="Y44" s="215">
        <f>(Y42&lt;=$G$34)*IF(Y42=$G$34,$G$35-SUM($G$44:X44),$G$37*($G$35-SUM($G$44:X44)))</f>
        <v>0</v>
      </c>
      <c r="Z44" s="215">
        <f>(Z42&lt;=$G$34)*IF(Z42=$G$34,$G$35-SUM($G$44:Y44),$G$37*($G$35-SUM($G$44:Y44)))</f>
        <v>0</v>
      </c>
      <c r="AA44" s="215">
        <f>(AA42&lt;=$G$34)*IF(AA42=$G$34,$G$35-SUM($G$44:Z44),$G$37*($G$35-SUM($G$44:Z44)))</f>
        <v>0</v>
      </c>
      <c r="AB44" s="215">
        <f>(AB42&lt;=$G$34)*IF(AB42=$G$34,$G$35-SUM($G$44:AA44),$G$37*($G$35-SUM($G$44:AA44)))</f>
        <v>0</v>
      </c>
      <c r="AC44" s="215">
        <f>(AC42&lt;=$G$34)*IF(AC42=$G$34,$G$35-SUM($G$44:AB44),$G$37*($G$35-SUM($G$44:AB44)))</f>
        <v>0</v>
      </c>
      <c r="AD44" s="215">
        <f>(AD42&lt;=$G$34)*IF(AD42=$G$34,$G$35-SUM($G$44:AC44),$G$37*($G$35-SUM($G$44:AC44)))</f>
        <v>0</v>
      </c>
      <c r="AE44" s="215">
        <f>(AE42&lt;=$G$34)*IF(AE42=$G$34,$G$35-SUM($G$44:AD44),$G$37*($G$35-SUM($G$44:AD44)))</f>
        <v>0</v>
      </c>
      <c r="AF44" s="416"/>
      <c r="AG44" s="416"/>
      <c r="AH44" s="416"/>
      <c r="AI44" s="416"/>
      <c r="AJ44" s="416"/>
      <c r="AK44" s="416"/>
      <c r="AL44" s="416"/>
      <c r="AM44" s="416"/>
      <c r="AN44" s="416"/>
      <c r="AO44" s="416"/>
      <c r="AP44" s="416"/>
    </row>
    <row r="45" spans="1:42" s="213" customFormat="1" ht="11.25" x14ac:dyDescent="0.2">
      <c r="A45" s="410"/>
      <c r="B45" s="211" t="s">
        <v>561</v>
      </c>
      <c r="C45" s="212" t="s">
        <v>566</v>
      </c>
      <c r="D45" s="212" t="s">
        <v>563</v>
      </c>
      <c r="E45" s="387" t="s">
        <v>564</v>
      </c>
      <c r="F45" s="387" t="s">
        <v>555</v>
      </c>
      <c r="G45" s="215">
        <f>G43-G44</f>
        <v>81.25</v>
      </c>
      <c r="H45" s="215">
        <f>H43-H44</f>
        <v>-30.46875</v>
      </c>
      <c r="I45" s="215">
        <f>I43-I44</f>
        <v>-19.04296875</v>
      </c>
      <c r="J45" s="215">
        <f>J43-J44</f>
        <v>-11.90185546875</v>
      </c>
      <c r="K45" s="215">
        <f>K43-K44</f>
        <v>-7.43865966796875</v>
      </c>
      <c r="L45" s="215">
        <f t="shared" ref="L45:AE45" si="7">L43-L44</f>
        <v>-4.6491622924804688</v>
      </c>
      <c r="M45" s="215">
        <f t="shared" si="7"/>
        <v>-2.905726432800293</v>
      </c>
      <c r="N45" s="215">
        <f t="shared" si="7"/>
        <v>-1.8160790205001831</v>
      </c>
      <c r="O45" s="215">
        <f t="shared" si="7"/>
        <v>-1.1350493878126144</v>
      </c>
      <c r="P45" s="215">
        <f t="shared" si="7"/>
        <v>-0.70940586738288403</v>
      </c>
      <c r="Q45" s="215">
        <f t="shared" si="7"/>
        <v>-0.44337866711430252</v>
      </c>
      <c r="R45" s="215">
        <f t="shared" si="7"/>
        <v>-0.27711166694643907</v>
      </c>
      <c r="S45" s="215">
        <f t="shared" si="7"/>
        <v>-0.17319479184152442</v>
      </c>
      <c r="T45" s="215">
        <f t="shared" si="7"/>
        <v>-0.10824674490095276</v>
      </c>
      <c r="U45" s="215">
        <f t="shared" si="7"/>
        <v>-0.18041124150158794</v>
      </c>
      <c r="V45" s="215">
        <f t="shared" si="7"/>
        <v>0</v>
      </c>
      <c r="W45" s="215">
        <f t="shared" si="7"/>
        <v>0</v>
      </c>
      <c r="X45" s="215">
        <f t="shared" si="7"/>
        <v>0</v>
      </c>
      <c r="Y45" s="215">
        <f t="shared" si="7"/>
        <v>0</v>
      </c>
      <c r="Z45" s="215">
        <f t="shared" si="7"/>
        <v>0</v>
      </c>
      <c r="AA45" s="215">
        <f t="shared" si="7"/>
        <v>0</v>
      </c>
      <c r="AB45" s="215">
        <f t="shared" si="7"/>
        <v>0</v>
      </c>
      <c r="AC45" s="215">
        <f t="shared" si="7"/>
        <v>0</v>
      </c>
      <c r="AD45" s="215">
        <f t="shared" si="7"/>
        <v>0</v>
      </c>
      <c r="AE45" s="215">
        <f t="shared" si="7"/>
        <v>0</v>
      </c>
      <c r="AF45" s="416"/>
      <c r="AG45" s="416"/>
      <c r="AH45" s="416"/>
      <c r="AI45" s="416"/>
      <c r="AJ45" s="416"/>
      <c r="AK45" s="416"/>
      <c r="AL45" s="416"/>
      <c r="AM45" s="416"/>
      <c r="AN45" s="416"/>
      <c r="AO45" s="416"/>
      <c r="AP45" s="416"/>
    </row>
    <row r="46" spans="1:42" s="213" customFormat="1" ht="11.25" x14ac:dyDescent="0.2">
      <c r="A46" s="416"/>
      <c r="B46" s="211" t="s">
        <v>567</v>
      </c>
      <c r="C46" s="212" t="s">
        <v>566</v>
      </c>
      <c r="D46" s="212" t="s">
        <v>563</v>
      </c>
      <c r="E46" s="387" t="s">
        <v>564</v>
      </c>
      <c r="F46" s="387" t="s">
        <v>555</v>
      </c>
      <c r="G46" s="215">
        <f>G45*$G$36</f>
        <v>24.375</v>
      </c>
      <c r="H46" s="215">
        <f>H45*$G$36</f>
        <v>-9.140625</v>
      </c>
      <c r="I46" s="215">
        <f>I45*$G$36</f>
        <v>-5.712890625</v>
      </c>
      <c r="J46" s="215">
        <f>J45*$G$36</f>
        <v>-3.570556640625</v>
      </c>
      <c r="K46" s="215">
        <f>K45*$G$36</f>
        <v>-2.231597900390625</v>
      </c>
      <c r="L46" s="215">
        <f t="shared" ref="L46:AE46" si="8">L45*$G$36</f>
        <v>-1.3947486877441406</v>
      </c>
      <c r="M46" s="215">
        <f t="shared" si="8"/>
        <v>-0.87171792984008789</v>
      </c>
      <c r="N46" s="215">
        <f t="shared" si="8"/>
        <v>-0.54482370615005493</v>
      </c>
      <c r="O46" s="215">
        <f t="shared" si="8"/>
        <v>-0.34051481634378433</v>
      </c>
      <c r="P46" s="215">
        <f t="shared" si="8"/>
        <v>-0.21282176021486521</v>
      </c>
      <c r="Q46" s="215">
        <f t="shared" si="8"/>
        <v>-0.13301360013429075</v>
      </c>
      <c r="R46" s="215">
        <f t="shared" si="8"/>
        <v>-8.3133500083931722E-2</v>
      </c>
      <c r="S46" s="215">
        <f t="shared" si="8"/>
        <v>-5.1958437552457326E-2</v>
      </c>
      <c r="T46" s="215">
        <f t="shared" si="8"/>
        <v>-3.2474023470285829E-2</v>
      </c>
      <c r="U46" s="215">
        <f t="shared" si="8"/>
        <v>-5.4123372450476381E-2</v>
      </c>
      <c r="V46" s="215">
        <f t="shared" si="8"/>
        <v>0</v>
      </c>
      <c r="W46" s="215">
        <f t="shared" si="8"/>
        <v>0</v>
      </c>
      <c r="X46" s="215">
        <f t="shared" si="8"/>
        <v>0</v>
      </c>
      <c r="Y46" s="215">
        <f t="shared" si="8"/>
        <v>0</v>
      </c>
      <c r="Z46" s="215">
        <f t="shared" si="8"/>
        <v>0</v>
      </c>
      <c r="AA46" s="215">
        <f t="shared" si="8"/>
        <v>0</v>
      </c>
      <c r="AB46" s="215">
        <f t="shared" si="8"/>
        <v>0</v>
      </c>
      <c r="AC46" s="215">
        <f t="shared" si="8"/>
        <v>0</v>
      </c>
      <c r="AD46" s="215">
        <f t="shared" si="8"/>
        <v>0</v>
      </c>
      <c r="AE46" s="215">
        <f t="shared" si="8"/>
        <v>0</v>
      </c>
      <c r="AF46" s="416"/>
      <c r="AG46" s="416"/>
      <c r="AH46" s="416"/>
      <c r="AI46" s="416"/>
      <c r="AJ46" s="416"/>
      <c r="AK46" s="416"/>
      <c r="AL46" s="416"/>
      <c r="AM46" s="416"/>
      <c r="AN46" s="416"/>
      <c r="AO46" s="416"/>
      <c r="AP46" s="416"/>
    </row>
    <row r="47" spans="1:42" s="213" customFormat="1" ht="11.25" x14ac:dyDescent="0.2">
      <c r="A47" s="416"/>
      <c r="B47" s="211" t="s">
        <v>568</v>
      </c>
      <c r="C47" s="212" t="s">
        <v>566</v>
      </c>
      <c r="D47" s="212" t="s">
        <v>569</v>
      </c>
      <c r="E47" s="387" t="s">
        <v>548</v>
      </c>
      <c r="F47" s="387" t="s">
        <v>555</v>
      </c>
      <c r="G47" s="216">
        <f>1/((1+$G$33)^(G42-0.5))</f>
        <v>0.97529650473035956</v>
      </c>
      <c r="H47" s="216">
        <f>1/((1+$G$33)^(H42-0.5))</f>
        <v>0.9277052266054977</v>
      </c>
      <c r="I47" s="216">
        <f>1/((1+$G$33)^(I42-0.5))</f>
        <v>0.88243624712783952</v>
      </c>
      <c r="J47" s="216">
        <f>1/((1+$G$33)^(J42-0.5))</f>
        <v>0.83937624572228642</v>
      </c>
      <c r="K47" s="216">
        <f>1/((1+$G$33)^(K42-0.5))</f>
        <v>0.79841743148700317</v>
      </c>
      <c r="L47" s="216">
        <f t="shared" ref="L47:AE47" si="9">1/((1+$G$33)^(L42-0.5))</f>
        <v>0.75945727336345781</v>
      </c>
      <c r="M47" s="216">
        <f t="shared" si="9"/>
        <v>0.72239824347327874</v>
      </c>
      <c r="N47" s="216">
        <f t="shared" si="9"/>
        <v>0.68714757297943385</v>
      </c>
      <c r="O47" s="216">
        <f t="shared" si="9"/>
        <v>0.65361701986058585</v>
      </c>
      <c r="P47" s="216">
        <f t="shared" si="9"/>
        <v>0.62172264801729848</v>
      </c>
      <c r="Q47" s="216">
        <f t="shared" si="9"/>
        <v>0.59138461715713742</v>
      </c>
      <c r="R47" s="216">
        <f t="shared" si="9"/>
        <v>0.56252698293269043</v>
      </c>
      <c r="S47" s="216">
        <f t="shared" si="9"/>
        <v>0.53507750683219868</v>
      </c>
      <c r="T47" s="216">
        <f t="shared" si="9"/>
        <v>0.50896747534690268</v>
      </c>
      <c r="U47" s="216">
        <f t="shared" si="9"/>
        <v>0.48413152796243009</v>
      </c>
      <c r="V47" s="216">
        <f t="shared" si="9"/>
        <v>0.46050749354364129</v>
      </c>
      <c r="W47" s="216">
        <f t="shared" si="9"/>
        <v>0.43803623470335895</v>
      </c>
      <c r="X47" s="216">
        <f t="shared" si="9"/>
        <v>0.41666149976539435</v>
      </c>
      <c r="Y47" s="216">
        <f t="shared" si="9"/>
        <v>0.39632978195129304</v>
      </c>
      <c r="Z47" s="216">
        <f t="shared" si="9"/>
        <v>0.37699018543830787</v>
      </c>
      <c r="AA47" s="216">
        <f t="shared" si="9"/>
        <v>0.35859429795330339</v>
      </c>
      <c r="AB47" s="216">
        <f t="shared" si="9"/>
        <v>0.34109606958366168</v>
      </c>
      <c r="AC47" s="216">
        <f t="shared" si="9"/>
        <v>0.3244516975018184</v>
      </c>
      <c r="AD47" s="216">
        <f t="shared" si="9"/>
        <v>0.30861951631486584</v>
      </c>
      <c r="AE47" s="216">
        <f t="shared" si="9"/>
        <v>0.29355989376473496</v>
      </c>
      <c r="AF47" s="416"/>
      <c r="AG47" s="416"/>
      <c r="AH47" s="416"/>
      <c r="AI47" s="416"/>
      <c r="AJ47" s="416"/>
      <c r="AK47" s="416"/>
      <c r="AL47" s="416"/>
      <c r="AM47" s="416"/>
      <c r="AN47" s="416"/>
      <c r="AO47" s="416"/>
      <c r="AP47" s="416"/>
    </row>
    <row r="48" spans="1:42" x14ac:dyDescent="0.2">
      <c r="A48"/>
      <c r="B48"/>
      <c r="C48"/>
      <c r="D48"/>
      <c r="E48"/>
      <c r="F48"/>
      <c r="H48"/>
      <c r="I48"/>
      <c r="J48"/>
      <c r="K48"/>
      <c r="L48"/>
      <c r="M48"/>
      <c r="N48"/>
      <c r="O48"/>
      <c r="P48"/>
      <c r="Q48"/>
      <c r="R48"/>
      <c r="S48"/>
      <c r="T48"/>
      <c r="U48"/>
      <c r="V48"/>
      <c r="W48"/>
      <c r="X48"/>
      <c r="Y48"/>
      <c r="Z48"/>
      <c r="AA48"/>
      <c r="AB48"/>
      <c r="AC48"/>
      <c r="AD48"/>
      <c r="AE48"/>
      <c r="AF48"/>
      <c r="AG48"/>
      <c r="AH48"/>
      <c r="AI48"/>
      <c r="AJ48"/>
      <c r="AK48"/>
      <c r="AL48"/>
      <c r="AM48"/>
      <c r="AN48"/>
      <c r="AO48"/>
      <c r="AP48"/>
    </row>
    <row r="49" spans="1:43" x14ac:dyDescent="0.2">
      <c r="A49"/>
      <c r="B49" s="83" t="s">
        <v>570</v>
      </c>
      <c r="C49" s="34" t="s">
        <v>541</v>
      </c>
      <c r="D49" s="34" t="s">
        <v>296</v>
      </c>
      <c r="E49" s="386" t="s">
        <v>542</v>
      </c>
      <c r="F49" s="386" t="s">
        <v>543</v>
      </c>
      <c r="G49" s="34" t="s">
        <v>571</v>
      </c>
      <c r="H49"/>
      <c r="I49"/>
      <c r="J49"/>
      <c r="K49"/>
      <c r="L49"/>
      <c r="M49"/>
      <c r="N49"/>
      <c r="O49"/>
      <c r="P49"/>
      <c r="Q49"/>
      <c r="R49"/>
      <c r="S49"/>
      <c r="T49"/>
      <c r="U49"/>
      <c r="V49"/>
      <c r="W49"/>
      <c r="X49"/>
      <c r="Y49"/>
      <c r="Z49"/>
      <c r="AA49"/>
      <c r="AB49"/>
      <c r="AC49"/>
      <c r="AD49"/>
      <c r="AE49"/>
      <c r="AF49"/>
      <c r="AG49"/>
      <c r="AH49"/>
      <c r="AI49"/>
      <c r="AJ49"/>
      <c r="AK49"/>
      <c r="AL49"/>
      <c r="AM49"/>
      <c r="AN49"/>
      <c r="AO49"/>
      <c r="AP49"/>
    </row>
    <row r="50" spans="1:43" s="213" customFormat="1" ht="11.25" x14ac:dyDescent="0.2">
      <c r="A50" s="416"/>
      <c r="B50" s="211" t="s">
        <v>572</v>
      </c>
      <c r="C50" s="212" t="s">
        <v>566</v>
      </c>
      <c r="D50" s="212" t="s">
        <v>563</v>
      </c>
      <c r="E50" s="387" t="s">
        <v>564</v>
      </c>
      <c r="F50" s="387" t="s">
        <v>555</v>
      </c>
      <c r="G50" s="215">
        <f>SUMPRODUCT(G46:AE46,G47:AE47)*(1-G38)</f>
        <v>1.2292847614164597</v>
      </c>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row>
    <row r="51" spans="1:43" s="213" customFormat="1" ht="11.25" x14ac:dyDescent="0.2">
      <c r="A51" s="416"/>
      <c r="B51" s="211" t="s">
        <v>573</v>
      </c>
      <c r="C51" s="212" t="s">
        <v>566</v>
      </c>
      <c r="D51" s="212" t="s">
        <v>563</v>
      </c>
      <c r="E51" s="387" t="s">
        <v>564</v>
      </c>
      <c r="F51" s="387" t="s">
        <v>555</v>
      </c>
      <c r="G51" s="215">
        <f>G50*G36/(1-G36*(1-G38))</f>
        <v>0.42340462505733395</v>
      </c>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row>
    <row r="52" spans="1:43" s="213" customFormat="1" ht="11.25" x14ac:dyDescent="0.2">
      <c r="A52" s="416"/>
      <c r="B52" s="211" t="s">
        <v>574</v>
      </c>
      <c r="C52" s="212" t="s">
        <v>566</v>
      </c>
      <c r="D52" s="212" t="s">
        <v>563</v>
      </c>
      <c r="E52" s="387" t="s">
        <v>564</v>
      </c>
      <c r="F52" s="387" t="s">
        <v>555</v>
      </c>
      <c r="G52" s="215">
        <f>G51/(1+$G$7)^0.5</f>
        <v>0.41091070869390733</v>
      </c>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row>
    <row r="53" spans="1:43" s="213" customFormat="1" ht="11.25" x14ac:dyDescent="0.2">
      <c r="A53" s="416"/>
      <c r="B53" s="211" t="s">
        <v>575</v>
      </c>
      <c r="C53" s="212" t="s">
        <v>566</v>
      </c>
      <c r="D53" s="212" t="s">
        <v>563</v>
      </c>
      <c r="E53" s="387" t="s">
        <v>564</v>
      </c>
      <c r="F53" s="387" t="s">
        <v>555</v>
      </c>
      <c r="G53" s="215">
        <f>G50+G52</f>
        <v>1.6401954701103669</v>
      </c>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row>
    <row r="54" spans="1:43" s="213" customFormat="1" ht="11.25" x14ac:dyDescent="0.2">
      <c r="A54" s="416"/>
      <c r="B54" s="211" t="s">
        <v>323</v>
      </c>
      <c r="C54" s="212" t="s">
        <v>566</v>
      </c>
      <c r="D54" s="212" t="s">
        <v>9</v>
      </c>
      <c r="E54" s="387" t="s">
        <v>549</v>
      </c>
      <c r="F54" s="387" t="s">
        <v>549</v>
      </c>
      <c r="G54" s="424">
        <f>G53/$G$9</f>
        <v>1.6401954701103668E-2</v>
      </c>
      <c r="H54" s="416"/>
      <c r="I54" s="416"/>
      <c r="J54" s="416"/>
      <c r="K54" s="416"/>
      <c r="L54" s="416"/>
      <c r="M54" s="416"/>
      <c r="N54" s="416"/>
      <c r="O54" s="416"/>
      <c r="P54" s="416"/>
      <c r="Q54" s="416"/>
      <c r="R54" s="416"/>
      <c r="S54" s="416"/>
      <c r="T54" s="416"/>
      <c r="U54" s="416"/>
      <c r="V54" s="416"/>
      <c r="W54" s="416"/>
      <c r="X54" s="416"/>
      <c r="Y54" s="416"/>
      <c r="Z54" s="416"/>
      <c r="AA54" s="416"/>
      <c r="AB54" s="416"/>
      <c r="AC54" s="416"/>
      <c r="AD54" s="416"/>
      <c r="AE54" s="416"/>
      <c r="AF54" s="416"/>
      <c r="AG54" s="416"/>
      <c r="AH54" s="416"/>
      <c r="AI54" s="416"/>
      <c r="AJ54" s="416"/>
      <c r="AK54" s="416"/>
      <c r="AL54" s="416"/>
      <c r="AM54" s="416"/>
      <c r="AN54" s="416"/>
      <c r="AO54" s="416"/>
      <c r="AP54" s="416"/>
      <c r="AQ54" s="416"/>
    </row>
    <row r="55" spans="1:43" x14ac:dyDescent="0.2">
      <c r="A55"/>
      <c r="B55"/>
      <c r="C55"/>
      <c r="D55"/>
      <c r="E55"/>
      <c r="F55"/>
      <c r="H55"/>
      <c r="I55"/>
      <c r="J55"/>
      <c r="K55"/>
      <c r="L55"/>
      <c r="M55"/>
      <c r="N55"/>
      <c r="O55"/>
      <c r="P55"/>
      <c r="Q55"/>
      <c r="R55"/>
      <c r="S55"/>
      <c r="T55"/>
      <c r="U55"/>
      <c r="V55"/>
      <c r="W55"/>
      <c r="X55"/>
      <c r="Y55"/>
      <c r="Z55"/>
      <c r="AA55"/>
      <c r="AB55"/>
      <c r="AC55"/>
      <c r="AD55"/>
      <c r="AE55"/>
      <c r="AF55"/>
      <c r="AG55"/>
      <c r="AH55"/>
      <c r="AI55"/>
      <c r="AJ55"/>
      <c r="AK55"/>
      <c r="AL55"/>
      <c r="AM55"/>
      <c r="AN55"/>
      <c r="AO55"/>
      <c r="AP55"/>
    </row>
    <row r="56" spans="1:43" x14ac:dyDescent="0.2">
      <c r="AI56" s="2"/>
      <c r="AJ56" s="2"/>
      <c r="AK56" s="2"/>
      <c r="AL56" s="2"/>
      <c r="AM56" s="2"/>
      <c r="AN56" s="2"/>
      <c r="AO56" s="2"/>
      <c r="AP56" s="2"/>
      <c r="AQ56" s="2"/>
    </row>
    <row r="57" spans="1:43" x14ac:dyDescent="0.2">
      <c r="AI57" s="2"/>
      <c r="AJ57" s="2"/>
      <c r="AK57" s="2"/>
      <c r="AL57" s="2"/>
      <c r="AM57" s="2"/>
      <c r="AN57" s="2"/>
      <c r="AO57" s="2"/>
      <c r="AP57" s="2"/>
      <c r="AQ57" s="2"/>
    </row>
    <row r="58" spans="1:43" x14ac:dyDescent="0.2">
      <c r="AI58" s="2"/>
      <c r="AJ58" s="2"/>
      <c r="AK58" s="2"/>
      <c r="AL58" s="2"/>
      <c r="AM58" s="2"/>
      <c r="AN58" s="2"/>
      <c r="AO58" s="2"/>
      <c r="AP58" s="2"/>
      <c r="AQ58" s="2"/>
    </row>
    <row r="59" spans="1:43" x14ac:dyDescent="0.2">
      <c r="AI59" s="2"/>
      <c r="AJ59" s="2"/>
      <c r="AK59" s="2"/>
      <c r="AL59" s="2"/>
      <c r="AM59" s="2"/>
      <c r="AN59" s="2"/>
      <c r="AO59" s="2"/>
      <c r="AP59" s="2"/>
      <c r="AQ59" s="2"/>
    </row>
    <row r="60" spans="1:43" x14ac:dyDescent="0.2">
      <c r="AI60" s="2"/>
      <c r="AJ60" s="2"/>
      <c r="AK60" s="2"/>
      <c r="AL60" s="2"/>
      <c r="AM60" s="2"/>
      <c r="AN60" s="2"/>
      <c r="AO60" s="2"/>
      <c r="AP60" s="2"/>
      <c r="AQ60" s="2"/>
    </row>
    <row r="61" spans="1:43" x14ac:dyDescent="0.2">
      <c r="AI61" s="2"/>
      <c r="AJ61" s="2"/>
      <c r="AK61" s="2"/>
      <c r="AL61" s="2"/>
      <c r="AM61" s="2"/>
      <c r="AN61" s="2"/>
      <c r="AO61" s="2"/>
      <c r="AP61" s="2"/>
      <c r="AQ61" s="2"/>
    </row>
    <row r="62" spans="1:43" x14ac:dyDescent="0.2">
      <c r="AI62" s="2"/>
      <c r="AJ62" s="2"/>
      <c r="AK62" s="2"/>
      <c r="AL62" s="2"/>
      <c r="AM62" s="2"/>
      <c r="AN62" s="2"/>
      <c r="AO62" s="2"/>
      <c r="AP62" s="2"/>
      <c r="AQ62" s="2"/>
    </row>
    <row r="63" spans="1:43" x14ac:dyDescent="0.2">
      <c r="AI63" s="2"/>
      <c r="AJ63" s="2"/>
      <c r="AK63" s="2"/>
      <c r="AL63" s="2"/>
      <c r="AM63" s="2"/>
      <c r="AN63" s="2"/>
      <c r="AO63" s="2"/>
      <c r="AP63" s="2"/>
      <c r="AQ63" s="2"/>
    </row>
    <row r="64" spans="1:43" x14ac:dyDescent="0.2">
      <c r="AI64" s="2"/>
      <c r="AJ64" s="2"/>
      <c r="AK64" s="2"/>
      <c r="AL64" s="2"/>
      <c r="AM64" s="2"/>
      <c r="AN64" s="2"/>
      <c r="AO64" s="2"/>
      <c r="AP64" s="2"/>
      <c r="AQ64" s="2"/>
    </row>
    <row r="65" spans="35:43" x14ac:dyDescent="0.2">
      <c r="AI65" s="2"/>
      <c r="AJ65" s="2"/>
      <c r="AK65" s="2"/>
      <c r="AL65" s="2"/>
      <c r="AM65" s="2"/>
      <c r="AN65" s="2"/>
      <c r="AO65" s="2"/>
      <c r="AP65" s="2"/>
      <c r="AQ65" s="2"/>
    </row>
    <row r="66" spans="35:43" x14ac:dyDescent="0.2">
      <c r="AI66" s="2"/>
      <c r="AJ66" s="2"/>
      <c r="AK66" s="2"/>
      <c r="AL66" s="2"/>
      <c r="AM66" s="2"/>
      <c r="AN66" s="2"/>
      <c r="AO66" s="2"/>
      <c r="AP66" s="2"/>
      <c r="AQ66" s="2"/>
    </row>
    <row r="67" spans="35:43" x14ac:dyDescent="0.2">
      <c r="AI67" s="2"/>
      <c r="AJ67" s="2"/>
      <c r="AK67" s="2"/>
      <c r="AL67" s="2"/>
      <c r="AM67" s="2"/>
      <c r="AN67" s="2"/>
      <c r="AO67" s="2"/>
      <c r="AP67" s="2"/>
      <c r="AQ67" s="2"/>
    </row>
    <row r="68" spans="35:43" x14ac:dyDescent="0.2">
      <c r="AI68" s="2"/>
      <c r="AJ68" s="2"/>
      <c r="AK68" s="2"/>
      <c r="AL68" s="2"/>
      <c r="AM68" s="2"/>
      <c r="AN68" s="2"/>
      <c r="AO68" s="2"/>
      <c r="AP68" s="2"/>
      <c r="AQ68" s="2"/>
    </row>
    <row r="69" spans="35:43" x14ac:dyDescent="0.2">
      <c r="AI69" s="2"/>
      <c r="AJ69" s="2"/>
      <c r="AK69" s="2"/>
      <c r="AL69" s="2"/>
      <c r="AM69" s="2"/>
      <c r="AN69" s="2"/>
      <c r="AO69" s="2"/>
      <c r="AP69" s="2"/>
      <c r="AQ69" s="2"/>
    </row>
    <row r="70" spans="35:43" x14ac:dyDescent="0.2">
      <c r="AI70" s="2"/>
      <c r="AJ70" s="2"/>
      <c r="AK70" s="2"/>
      <c r="AL70" s="2"/>
      <c r="AM70" s="2"/>
      <c r="AN70" s="2"/>
      <c r="AO70" s="2"/>
      <c r="AP70" s="2"/>
      <c r="AQ70" s="2"/>
    </row>
    <row r="71" spans="35:43" x14ac:dyDescent="0.2">
      <c r="AI71" s="2"/>
      <c r="AJ71" s="2"/>
      <c r="AK71" s="2"/>
      <c r="AL71" s="2"/>
      <c r="AM71" s="2"/>
      <c r="AN71" s="2"/>
      <c r="AO71" s="2"/>
      <c r="AP71" s="2"/>
      <c r="AQ71" s="2"/>
    </row>
    <row r="72" spans="35:43" x14ac:dyDescent="0.2">
      <c r="AI72" s="2"/>
      <c r="AJ72" s="2"/>
      <c r="AK72" s="2"/>
      <c r="AL72" s="2"/>
      <c r="AM72" s="2"/>
      <c r="AN72" s="2"/>
      <c r="AO72" s="2"/>
      <c r="AP72" s="2"/>
      <c r="AQ72" s="2"/>
    </row>
    <row r="73" spans="35:43" x14ac:dyDescent="0.2">
      <c r="AI73" s="2"/>
      <c r="AJ73" s="2"/>
      <c r="AK73" s="2"/>
      <c r="AL73" s="2"/>
      <c r="AM73" s="2"/>
      <c r="AN73" s="2"/>
      <c r="AO73" s="2"/>
      <c r="AP73" s="2"/>
      <c r="AQ73" s="2"/>
    </row>
    <row r="74" spans="35:43" x14ac:dyDescent="0.2">
      <c r="AI74" s="2"/>
      <c r="AJ74" s="2"/>
      <c r="AK74" s="2"/>
      <c r="AL74" s="2"/>
      <c r="AM74" s="2"/>
      <c r="AN74" s="2"/>
      <c r="AO74" s="2"/>
      <c r="AP74" s="2"/>
      <c r="AQ74" s="2"/>
    </row>
    <row r="75" spans="35:43" x14ac:dyDescent="0.2">
      <c r="AI75" s="2"/>
      <c r="AJ75" s="2"/>
      <c r="AK75" s="2"/>
      <c r="AL75" s="2"/>
      <c r="AM75" s="2"/>
      <c r="AN75" s="2"/>
      <c r="AO75" s="2"/>
      <c r="AP75" s="2"/>
      <c r="AQ75" s="2"/>
    </row>
    <row r="76" spans="35:43" x14ac:dyDescent="0.2">
      <c r="AI76" s="2"/>
      <c r="AJ76" s="2"/>
      <c r="AK76" s="2"/>
      <c r="AL76" s="2"/>
      <c r="AM76" s="2"/>
      <c r="AN76" s="2"/>
      <c r="AO76" s="2"/>
      <c r="AP76" s="2"/>
      <c r="AQ76" s="2"/>
    </row>
    <row r="77" spans="35:43" x14ac:dyDescent="0.2">
      <c r="AI77" s="2"/>
      <c r="AJ77" s="2"/>
      <c r="AK77" s="2"/>
      <c r="AL77" s="2"/>
      <c r="AM77" s="2"/>
      <c r="AN77" s="2"/>
      <c r="AO77" s="2"/>
      <c r="AP77" s="2"/>
      <c r="AQ77" s="2"/>
    </row>
    <row r="78" spans="35:43" x14ac:dyDescent="0.2">
      <c r="AI78" s="2"/>
      <c r="AJ78" s="2"/>
      <c r="AK78" s="2"/>
      <c r="AL78" s="2"/>
      <c r="AM78" s="2"/>
      <c r="AN78" s="2"/>
      <c r="AO78" s="2"/>
      <c r="AP78" s="2"/>
      <c r="AQ78" s="2"/>
    </row>
    <row r="79" spans="35:43" x14ac:dyDescent="0.2">
      <c r="AI79" s="2"/>
      <c r="AJ79" s="2"/>
      <c r="AK79" s="2"/>
      <c r="AL79" s="2"/>
      <c r="AM79" s="2"/>
      <c r="AN79" s="2"/>
      <c r="AO79" s="2"/>
      <c r="AP79" s="2"/>
      <c r="AQ79" s="2"/>
    </row>
    <row r="80" spans="35:43" x14ac:dyDescent="0.2">
      <c r="AI80" s="2"/>
      <c r="AJ80" s="2"/>
      <c r="AK80" s="2"/>
      <c r="AL80" s="2"/>
      <c r="AM80" s="2"/>
      <c r="AN80" s="2"/>
      <c r="AO80" s="2"/>
      <c r="AP80" s="2"/>
      <c r="AQ80" s="2"/>
    </row>
    <row r="81" spans="35:43" x14ac:dyDescent="0.2">
      <c r="AI81" s="2"/>
      <c r="AJ81" s="2"/>
      <c r="AK81" s="2"/>
      <c r="AL81" s="2"/>
      <c r="AM81" s="2"/>
      <c r="AN81" s="2"/>
      <c r="AO81" s="2"/>
      <c r="AP81" s="2"/>
      <c r="AQ81" s="2"/>
    </row>
    <row r="82" spans="35:43" x14ac:dyDescent="0.2">
      <c r="AI82" s="2"/>
      <c r="AJ82" s="2"/>
      <c r="AK82" s="2"/>
      <c r="AL82" s="2"/>
      <c r="AM82" s="2"/>
      <c r="AN82" s="2"/>
      <c r="AO82" s="2"/>
      <c r="AP82" s="2"/>
      <c r="AQ82" s="2"/>
    </row>
    <row r="83" spans="35:43" x14ac:dyDescent="0.2">
      <c r="AI83" s="2"/>
      <c r="AJ83" s="2"/>
      <c r="AK83" s="2"/>
      <c r="AL83" s="2"/>
      <c r="AM83" s="2"/>
      <c r="AN83" s="2"/>
      <c r="AO83" s="2"/>
      <c r="AP83" s="2"/>
      <c r="AQ83" s="2"/>
    </row>
    <row r="84" spans="35:43" x14ac:dyDescent="0.2">
      <c r="AI84" s="2"/>
      <c r="AJ84" s="2"/>
      <c r="AK84" s="2"/>
      <c r="AL84" s="2"/>
      <c r="AM84" s="2"/>
      <c r="AN84" s="2"/>
      <c r="AO84" s="2"/>
      <c r="AP84" s="2"/>
      <c r="AQ84" s="2"/>
    </row>
    <row r="85" spans="35:43" x14ac:dyDescent="0.2">
      <c r="AI85" s="2"/>
      <c r="AJ85" s="2"/>
      <c r="AK85" s="2"/>
      <c r="AL85" s="2"/>
      <c r="AM85" s="2"/>
      <c r="AN85" s="2"/>
      <c r="AO85" s="2"/>
      <c r="AP85" s="2"/>
      <c r="AQ85" s="2"/>
    </row>
    <row r="86" spans="35:43" x14ac:dyDescent="0.2">
      <c r="AI86" s="2"/>
      <c r="AJ86" s="2"/>
      <c r="AK86" s="2"/>
      <c r="AL86" s="2"/>
      <c r="AM86" s="2"/>
      <c r="AN86" s="2"/>
      <c r="AO86" s="2"/>
      <c r="AP86" s="2"/>
      <c r="AQ86" s="2"/>
    </row>
    <row r="87" spans="35:43" x14ac:dyDescent="0.2">
      <c r="AI87" s="2"/>
      <c r="AJ87" s="2"/>
      <c r="AK87" s="2"/>
      <c r="AL87" s="2"/>
      <c r="AM87" s="2"/>
      <c r="AN87" s="2"/>
      <c r="AO87" s="2"/>
      <c r="AP87" s="2"/>
      <c r="AQ87" s="2"/>
    </row>
    <row r="88" spans="35:43" x14ac:dyDescent="0.2">
      <c r="AI88" s="2"/>
      <c r="AJ88" s="2"/>
      <c r="AK88" s="2"/>
      <c r="AL88" s="2"/>
      <c r="AM88" s="2"/>
      <c r="AN88" s="2"/>
      <c r="AO88" s="2"/>
      <c r="AP88" s="2"/>
      <c r="AQ88" s="2"/>
    </row>
    <row r="89" spans="35:43" x14ac:dyDescent="0.2">
      <c r="AI89" s="2"/>
      <c r="AJ89" s="2"/>
      <c r="AK89" s="2"/>
      <c r="AL89" s="2"/>
      <c r="AM89" s="2"/>
      <c r="AN89" s="2"/>
      <c r="AO89" s="2"/>
      <c r="AP89" s="2"/>
      <c r="AQ89" s="2"/>
    </row>
    <row r="90" spans="35:43" x14ac:dyDescent="0.2">
      <c r="AI90" s="2"/>
      <c r="AJ90" s="2"/>
      <c r="AK90" s="2"/>
      <c r="AL90" s="2"/>
      <c r="AM90" s="2"/>
      <c r="AN90" s="2"/>
      <c r="AO90" s="2"/>
      <c r="AP90" s="2"/>
      <c r="AQ90" s="2"/>
    </row>
    <row r="91" spans="35:43" x14ac:dyDescent="0.2">
      <c r="AI91" s="2"/>
      <c r="AJ91" s="2"/>
      <c r="AK91" s="2"/>
      <c r="AL91" s="2"/>
      <c r="AM91" s="2"/>
      <c r="AN91" s="2"/>
      <c r="AO91" s="2"/>
      <c r="AP91" s="2"/>
      <c r="AQ91" s="2"/>
    </row>
    <row r="92" spans="35:43" x14ac:dyDescent="0.2">
      <c r="AI92" s="2"/>
      <c r="AJ92" s="2"/>
      <c r="AK92" s="2"/>
      <c r="AL92" s="2"/>
      <c r="AM92" s="2"/>
      <c r="AN92" s="2"/>
      <c r="AO92" s="2"/>
      <c r="AP92" s="2"/>
      <c r="AQ92" s="2"/>
    </row>
    <row r="93" spans="35:43" x14ac:dyDescent="0.2">
      <c r="AI93" s="2"/>
      <c r="AJ93" s="2"/>
      <c r="AK93" s="2"/>
      <c r="AL93" s="2"/>
      <c r="AM93" s="2"/>
      <c r="AN93" s="2"/>
      <c r="AO93" s="2"/>
      <c r="AP93" s="2"/>
      <c r="AQ93" s="2"/>
    </row>
    <row r="94" spans="35:43" x14ac:dyDescent="0.2">
      <c r="AI94" s="2"/>
      <c r="AJ94" s="2"/>
      <c r="AK94" s="2"/>
      <c r="AL94" s="2"/>
      <c r="AM94" s="2"/>
      <c r="AN94" s="2"/>
      <c r="AO94" s="2"/>
      <c r="AP94" s="2"/>
      <c r="AQ94" s="2"/>
    </row>
    <row r="95" spans="35:43" x14ac:dyDescent="0.2">
      <c r="AI95" s="2"/>
      <c r="AJ95" s="2"/>
      <c r="AK95" s="2"/>
      <c r="AL95" s="2"/>
      <c r="AM95" s="2"/>
      <c r="AN95" s="2"/>
      <c r="AO95" s="2"/>
      <c r="AP95" s="2"/>
      <c r="AQ95" s="2"/>
    </row>
    <row r="96" spans="35:43" x14ac:dyDescent="0.2">
      <c r="AI96" s="2"/>
      <c r="AJ96" s="2"/>
      <c r="AK96" s="2"/>
      <c r="AL96" s="2"/>
      <c r="AM96" s="2"/>
      <c r="AN96" s="2"/>
      <c r="AO96" s="2"/>
      <c r="AP96" s="2"/>
      <c r="AQ96" s="2"/>
    </row>
    <row r="97" spans="35:43" x14ac:dyDescent="0.2">
      <c r="AI97" s="2"/>
      <c r="AJ97" s="2"/>
      <c r="AK97" s="2"/>
      <c r="AL97" s="2"/>
      <c r="AM97" s="2"/>
      <c r="AN97" s="2"/>
      <c r="AO97" s="2"/>
      <c r="AP97" s="2"/>
      <c r="AQ97" s="2"/>
    </row>
    <row r="98" spans="35:43" x14ac:dyDescent="0.2">
      <c r="AI98" s="2"/>
      <c r="AJ98" s="2"/>
      <c r="AK98" s="2"/>
      <c r="AL98" s="2"/>
      <c r="AM98" s="2"/>
      <c r="AN98" s="2"/>
      <c r="AO98" s="2"/>
      <c r="AP98" s="2"/>
      <c r="AQ98" s="2"/>
    </row>
    <row r="99" spans="35:43" x14ac:dyDescent="0.2">
      <c r="AI99" s="2"/>
      <c r="AJ99" s="2"/>
      <c r="AK99" s="2"/>
      <c r="AL99" s="2"/>
      <c r="AM99" s="2"/>
      <c r="AN99" s="2"/>
      <c r="AO99" s="2"/>
      <c r="AP99" s="2"/>
      <c r="AQ99" s="2"/>
    </row>
  </sheetData>
  <mergeCells count="2">
    <mergeCell ref="I7:M12"/>
    <mergeCell ref="I33:M38"/>
  </mergeCells>
  <conditionalFormatting sqref="J1">
    <cfRule type="cellIs" dxfId="87" priority="5" operator="equal">
      <formula>"Check"</formula>
    </cfRule>
    <cfRule type="cellIs" dxfId="86" priority="6" operator="equal">
      <formula>"Ok"</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9DD2A-5DD1-4535-8A8B-6B828069E0CE}">
  <sheetPr codeName="Sheet48">
    <tabColor theme="8" tint="0.79998168889431442"/>
  </sheetPr>
  <dimension ref="A1:BP1048560"/>
  <sheetViews>
    <sheetView showGridLines="0" zoomScaleNormal="100" workbookViewId="0">
      <pane xSplit="6" ySplit="6" topLeftCell="G7" activePane="bottomRight" state="frozen"/>
      <selection pane="topRight" activeCell="A2" sqref="A2"/>
      <selection pane="bottomLeft" activeCell="A2" sqref="A2"/>
      <selection pane="bottomRight" activeCell="C16" sqref="C16"/>
    </sheetView>
  </sheetViews>
  <sheetFormatPr defaultColWidth="0" defaultRowHeight="0" customHeight="1" zeroHeight="1" x14ac:dyDescent="0.2"/>
  <cols>
    <col min="1" max="1" width="7.140625" style="16" customWidth="1"/>
    <col min="2" max="2" width="16.140625" style="8" customWidth="1"/>
    <col min="3" max="3" width="16.85546875" style="17" customWidth="1"/>
    <col min="4" max="4" width="34.42578125" style="17" bestFit="1" customWidth="1"/>
    <col min="5" max="5" width="11.5703125" style="17" bestFit="1" customWidth="1"/>
    <col min="6" max="6" width="10.140625" style="17" customWidth="1"/>
    <col min="7" max="7" width="5.28515625" style="19" customWidth="1"/>
    <col min="8" max="13" width="14.140625" style="2" customWidth="1"/>
    <col min="14" max="14" width="5.28515625" style="5" customWidth="1"/>
    <col min="15" max="68" width="0" hidden="1" customWidth="1"/>
    <col min="69" max="16384" width="8.7109375" hidden="1"/>
  </cols>
  <sheetData>
    <row r="1" spans="1:14" s="27" customFormat="1" ht="24.95" customHeight="1" x14ac:dyDescent="0.2">
      <c r="B1" s="35" t="str">
        <f>IFERROR(Index!B1,"")</f>
        <v>Jemena Electricity Networks – Alternative Control Services Forecast model</v>
      </c>
      <c r="D1" s="28" t="s">
        <v>115</v>
      </c>
      <c r="E1" s="37" t="s">
        <v>116</v>
      </c>
      <c r="F1" s="28"/>
      <c r="G1" s="28"/>
      <c r="H1" s="28" t="s">
        <v>117</v>
      </c>
      <c r="I1" s="122">
        <f>'Model Validation'!C15</f>
        <v>0</v>
      </c>
      <c r="J1" s="28"/>
      <c r="L1" s="28"/>
      <c r="M1" s="28"/>
    </row>
    <row r="2" spans="1:14" s="38" customFormat="1" ht="24.95" customHeight="1" x14ac:dyDescent="0.2">
      <c r="B2" s="35" t="str">
        <f ca="1">IFERROR(MID(CELL("filename",A1),FIND("]",CELL("filename",A1))+1,255),"")</f>
        <v>Input|Materials</v>
      </c>
      <c r="C2" s="28"/>
      <c r="D2" s="28"/>
      <c r="E2" s="69" t="s">
        <v>118</v>
      </c>
      <c r="F2" s="28"/>
      <c r="G2" s="28"/>
      <c r="H2" s="28"/>
      <c r="I2" s="28"/>
      <c r="J2" s="28"/>
      <c r="L2" s="28"/>
      <c r="M2" s="28"/>
    </row>
    <row r="3" spans="1:14" s="10" customFormat="1" ht="12.75" x14ac:dyDescent="0.2">
      <c r="A3" s="9"/>
      <c r="B3" s="6"/>
    </row>
    <row r="4" spans="1:14" s="3" customFormat="1" ht="15" x14ac:dyDescent="0.2">
      <c r="A4" s="152"/>
      <c r="B4" s="152" t="s">
        <v>527</v>
      </c>
      <c r="C4" s="152"/>
      <c r="D4" s="105"/>
      <c r="E4" s="105"/>
      <c r="F4" s="105"/>
      <c r="G4"/>
      <c r="H4" s="5"/>
      <c r="I4" s="5"/>
      <c r="J4" s="5"/>
      <c r="K4" s="5"/>
      <c r="L4" s="5"/>
      <c r="M4" s="5"/>
    </row>
    <row r="5" spans="1:14" ht="12.75" x14ac:dyDescent="0.2">
      <c r="A5" s="9"/>
      <c r="B5" s="6"/>
      <c r="C5" s="10"/>
      <c r="D5" s="10"/>
      <c r="E5" s="10"/>
      <c r="F5" s="10"/>
      <c r="G5" s="5"/>
      <c r="H5" s="5"/>
      <c r="I5" s="5"/>
      <c r="J5" s="5"/>
      <c r="K5" s="5"/>
      <c r="L5" s="5"/>
      <c r="M5" s="5"/>
      <c r="N5"/>
    </row>
    <row r="6" spans="1:14" s="257" customFormat="1" ht="39.6" customHeight="1" x14ac:dyDescent="0.2">
      <c r="A6" s="40"/>
      <c r="B6" s="112" t="s">
        <v>578</v>
      </c>
      <c r="C6" s="111" t="s">
        <v>579</v>
      </c>
      <c r="D6" s="111" t="s">
        <v>580</v>
      </c>
      <c r="E6" s="112" t="s">
        <v>581</v>
      </c>
      <c r="G6" s="3"/>
      <c r="H6" s="5"/>
      <c r="I6" s="5"/>
      <c r="J6" s="5"/>
      <c r="K6" s="5"/>
      <c r="L6" s="5"/>
      <c r="M6" s="5"/>
    </row>
    <row r="7" spans="1:14" s="1" customFormat="1" ht="12.75" x14ac:dyDescent="0.2">
      <c r="A7" s="258">
        <v>1</v>
      </c>
      <c r="B7" s="261">
        <v>4600011080</v>
      </c>
      <c r="C7" s="261">
        <v>11000787</v>
      </c>
      <c r="D7" s="551"/>
      <c r="E7" s="552"/>
      <c r="F7" s="257"/>
      <c r="G7" s="262"/>
      <c r="H7" s="5"/>
      <c r="I7" s="5"/>
      <c r="J7" s="5"/>
      <c r="K7" s="5"/>
      <c r="L7" s="5"/>
      <c r="M7" s="5"/>
    </row>
    <row r="8" spans="1:14" s="1" customFormat="1" ht="12.75" x14ac:dyDescent="0.2">
      <c r="A8" s="258">
        <f>IFERROR(A7+1,"")</f>
        <v>2</v>
      </c>
      <c r="B8" s="261">
        <v>4600011081</v>
      </c>
      <c r="C8" s="261">
        <v>11000852</v>
      </c>
      <c r="D8" s="551"/>
      <c r="E8" s="552"/>
      <c r="F8" s="257"/>
      <c r="G8" s="262"/>
      <c r="H8" s="5"/>
      <c r="I8" s="5"/>
      <c r="J8" s="5"/>
      <c r="K8" s="5"/>
      <c r="L8" s="5"/>
      <c r="M8" s="5"/>
    </row>
    <row r="9" spans="1:14" s="1" customFormat="1" ht="12.75" x14ac:dyDescent="0.2">
      <c r="A9" s="258">
        <f t="shared" ref="A9:A56" si="0">IFERROR(A8+1,"")</f>
        <v>3</v>
      </c>
      <c r="B9" s="261">
        <v>4600006124</v>
      </c>
      <c r="C9" s="261">
        <v>11000852</v>
      </c>
      <c r="D9" s="551"/>
      <c r="E9" s="552"/>
      <c r="F9" s="257"/>
      <c r="G9" s="262"/>
      <c r="H9" s="5"/>
      <c r="I9" s="5"/>
      <c r="J9" s="5"/>
      <c r="K9" s="5"/>
      <c r="L9" s="5"/>
      <c r="M9" s="5"/>
    </row>
    <row r="10" spans="1:14" s="1" customFormat="1" ht="12.75" x14ac:dyDescent="0.2">
      <c r="A10" s="258">
        <f t="shared" si="0"/>
        <v>4</v>
      </c>
      <c r="B10" s="261">
        <v>4600011080</v>
      </c>
      <c r="C10" s="261">
        <v>11000860</v>
      </c>
      <c r="D10" s="551"/>
      <c r="E10" s="552"/>
      <c r="F10" s="257"/>
      <c r="G10" s="264"/>
      <c r="H10" s="5"/>
      <c r="I10" s="5"/>
      <c r="J10" s="5"/>
      <c r="K10" s="5"/>
      <c r="L10" s="5"/>
      <c r="M10" s="5"/>
    </row>
    <row r="11" spans="1:14" s="1" customFormat="1" ht="12.75" x14ac:dyDescent="0.2">
      <c r="A11" s="258">
        <f t="shared" si="0"/>
        <v>5</v>
      </c>
      <c r="B11" s="261">
        <v>4600011081</v>
      </c>
      <c r="C11" s="261">
        <v>11001736</v>
      </c>
      <c r="D11" s="551"/>
      <c r="E11" s="552"/>
      <c r="F11" s="257"/>
      <c r="G11" s="264"/>
      <c r="H11" s="5"/>
      <c r="I11" s="5"/>
      <c r="J11" s="5"/>
      <c r="K11" s="5"/>
      <c r="L11" s="5"/>
      <c r="M11" s="5"/>
    </row>
    <row r="12" spans="1:14" s="1" customFormat="1" ht="12.75" x14ac:dyDescent="0.2">
      <c r="A12" s="258">
        <f t="shared" si="0"/>
        <v>6</v>
      </c>
      <c r="B12" s="261">
        <v>4100394127</v>
      </c>
      <c r="C12" s="261">
        <v>11000862</v>
      </c>
      <c r="D12" s="551"/>
      <c r="E12" s="552"/>
      <c r="F12" s="257"/>
      <c r="G12" s="264"/>
      <c r="H12" s="5"/>
      <c r="I12" s="5"/>
      <c r="J12" s="5"/>
      <c r="K12" s="5"/>
      <c r="L12" s="5"/>
      <c r="M12" s="5"/>
    </row>
    <row r="13" spans="1:14" s="1" customFormat="1" ht="12.75" x14ac:dyDescent="0.2">
      <c r="A13" s="258">
        <f t="shared" si="0"/>
        <v>7</v>
      </c>
      <c r="B13" s="261">
        <v>4600008366</v>
      </c>
      <c r="C13" s="261">
        <v>11000870</v>
      </c>
      <c r="D13" s="551"/>
      <c r="E13" s="552"/>
      <c r="F13" s="257"/>
      <c r="G13" s="264"/>
      <c r="H13" s="5"/>
      <c r="I13" s="5"/>
      <c r="J13" s="5"/>
      <c r="K13" s="5"/>
      <c r="L13" s="5"/>
      <c r="M13" s="5"/>
    </row>
    <row r="14" spans="1:14" s="1" customFormat="1" ht="12.75" x14ac:dyDescent="0.2">
      <c r="A14" s="258">
        <f t="shared" si="0"/>
        <v>8</v>
      </c>
      <c r="B14" s="261">
        <v>4100435482</v>
      </c>
      <c r="C14" s="261">
        <v>11000908</v>
      </c>
      <c r="D14" s="551"/>
      <c r="E14" s="552"/>
      <c r="F14" s="257"/>
      <c r="G14" s="264"/>
      <c r="H14" s="5"/>
      <c r="I14" s="5"/>
      <c r="J14" s="5"/>
      <c r="K14" s="5"/>
      <c r="L14" s="5"/>
      <c r="M14" s="5"/>
    </row>
    <row r="15" spans="1:14" s="1" customFormat="1" ht="12.75" x14ac:dyDescent="0.2">
      <c r="A15" s="258">
        <f t="shared" si="0"/>
        <v>9</v>
      </c>
      <c r="B15" s="261">
        <v>4600011141</v>
      </c>
      <c r="C15" s="261">
        <v>11001521</v>
      </c>
      <c r="D15" s="551"/>
      <c r="E15" s="552"/>
      <c r="F15" s="257"/>
      <c r="G15" s="264"/>
      <c r="H15" s="5"/>
      <c r="I15" s="5"/>
      <c r="J15" s="5"/>
      <c r="K15" s="5"/>
      <c r="L15" s="5"/>
      <c r="M15" s="5"/>
    </row>
    <row r="16" spans="1:14" s="1" customFormat="1" ht="12.75" x14ac:dyDescent="0.2">
      <c r="A16" s="258">
        <f t="shared" si="0"/>
        <v>10</v>
      </c>
      <c r="B16" s="261">
        <v>4100416042</v>
      </c>
      <c r="C16" s="261">
        <v>11005059</v>
      </c>
      <c r="D16" s="551"/>
      <c r="E16" s="552"/>
      <c r="F16" s="257"/>
      <c r="G16" s="264"/>
      <c r="H16" s="5"/>
      <c r="I16" s="5"/>
      <c r="J16" s="5"/>
      <c r="K16" s="5"/>
      <c r="L16" s="5"/>
      <c r="M16" s="5"/>
    </row>
    <row r="17" spans="1:13" s="1" customFormat="1" ht="12.75" x14ac:dyDescent="0.2">
      <c r="A17" s="258">
        <f t="shared" si="0"/>
        <v>11</v>
      </c>
      <c r="B17" s="261">
        <v>4600011141</v>
      </c>
      <c r="C17" s="261">
        <v>11011038</v>
      </c>
      <c r="D17" s="551"/>
      <c r="E17" s="552"/>
      <c r="F17" s="257"/>
      <c r="G17" s="264"/>
      <c r="H17" s="5"/>
      <c r="I17" s="5"/>
      <c r="J17" s="5"/>
      <c r="K17" s="5"/>
      <c r="L17" s="5"/>
      <c r="M17" s="5"/>
    </row>
    <row r="18" spans="1:13" s="1" customFormat="1" ht="12.75" x14ac:dyDescent="0.2">
      <c r="A18" s="258">
        <f t="shared" si="0"/>
        <v>12</v>
      </c>
      <c r="B18" s="260"/>
      <c r="C18" s="260"/>
      <c r="D18" s="260"/>
      <c r="E18" s="261"/>
      <c r="F18" s="257"/>
      <c r="G18" s="264"/>
      <c r="H18" s="5"/>
      <c r="I18" s="5"/>
      <c r="J18" s="5"/>
      <c r="K18" s="5"/>
      <c r="L18" s="5"/>
      <c r="M18" s="5"/>
    </row>
    <row r="19" spans="1:13" s="1" customFormat="1" ht="12.75" x14ac:dyDescent="0.2">
      <c r="A19" s="258">
        <f t="shared" si="0"/>
        <v>13</v>
      </c>
      <c r="B19" s="260"/>
      <c r="C19" s="260"/>
      <c r="D19" s="260"/>
      <c r="E19" s="261"/>
      <c r="F19" s="257"/>
      <c r="G19" s="264"/>
      <c r="H19" s="5"/>
      <c r="I19" s="5"/>
      <c r="J19" s="5"/>
      <c r="K19" s="5"/>
      <c r="L19" s="5"/>
      <c r="M19" s="5"/>
    </row>
    <row r="20" spans="1:13" s="1" customFormat="1" ht="12.75" x14ac:dyDescent="0.2">
      <c r="A20" s="258">
        <f t="shared" si="0"/>
        <v>14</v>
      </c>
      <c r="B20" s="260"/>
      <c r="C20" s="260"/>
      <c r="D20" s="260"/>
      <c r="E20" s="261"/>
      <c r="F20" s="257"/>
      <c r="G20" s="264"/>
      <c r="H20" s="5"/>
      <c r="I20" s="5"/>
      <c r="J20" s="5"/>
      <c r="K20" s="5"/>
      <c r="L20" s="5"/>
      <c r="M20" s="5"/>
    </row>
    <row r="21" spans="1:13" s="1" customFormat="1" ht="12.75" x14ac:dyDescent="0.2">
      <c r="A21" s="258">
        <f t="shared" si="0"/>
        <v>15</v>
      </c>
      <c r="B21" s="260"/>
      <c r="C21" s="260"/>
      <c r="D21" s="260"/>
      <c r="E21" s="261"/>
      <c r="F21" s="257"/>
      <c r="G21" s="264"/>
      <c r="H21" s="5"/>
      <c r="I21" s="5"/>
      <c r="J21" s="5"/>
      <c r="K21" s="5"/>
      <c r="L21" s="5"/>
      <c r="M21" s="5"/>
    </row>
    <row r="22" spans="1:13" s="1" customFormat="1" ht="12.75" x14ac:dyDescent="0.2">
      <c r="A22" s="258">
        <f t="shared" si="0"/>
        <v>16</v>
      </c>
      <c r="B22" s="260"/>
      <c r="C22" s="260"/>
      <c r="D22" s="261"/>
      <c r="E22" s="261"/>
      <c r="F22" s="257"/>
      <c r="G22" s="264"/>
      <c r="H22" s="5"/>
      <c r="I22" s="5"/>
      <c r="J22" s="5"/>
      <c r="K22" s="5"/>
      <c r="L22" s="5"/>
      <c r="M22" s="5"/>
    </row>
    <row r="23" spans="1:13" s="1" customFormat="1" ht="12.75" x14ac:dyDescent="0.2">
      <c r="A23" s="258">
        <f t="shared" si="0"/>
        <v>17</v>
      </c>
      <c r="B23" s="260"/>
      <c r="C23" s="260"/>
      <c r="D23" s="261"/>
      <c r="E23" s="261"/>
      <c r="F23" s="257"/>
      <c r="G23" s="264"/>
      <c r="H23" s="5"/>
      <c r="I23" s="5"/>
      <c r="J23" s="5"/>
      <c r="K23" s="5"/>
      <c r="L23" s="5"/>
      <c r="M23" s="5"/>
    </row>
    <row r="24" spans="1:13" s="1" customFormat="1" ht="12.75" x14ac:dyDescent="0.2">
      <c r="A24" s="258">
        <f t="shared" si="0"/>
        <v>18</v>
      </c>
      <c r="B24" s="260"/>
      <c r="C24" s="260"/>
      <c r="D24" s="261"/>
      <c r="E24" s="261"/>
      <c r="F24" s="257"/>
      <c r="G24" s="264"/>
      <c r="H24" s="5"/>
      <c r="I24" s="5"/>
      <c r="J24" s="5"/>
      <c r="K24" s="5"/>
      <c r="L24" s="5"/>
      <c r="M24" s="5"/>
    </row>
    <row r="25" spans="1:13" s="1" customFormat="1" ht="12.75" x14ac:dyDescent="0.2">
      <c r="A25" s="258">
        <f t="shared" si="0"/>
        <v>19</v>
      </c>
      <c r="B25" s="260"/>
      <c r="C25" s="260"/>
      <c r="D25" s="261"/>
      <c r="E25" s="261"/>
      <c r="F25" s="257"/>
      <c r="G25" s="264"/>
      <c r="H25" s="5"/>
      <c r="I25" s="5"/>
      <c r="J25" s="5"/>
      <c r="K25" s="5"/>
      <c r="L25" s="5"/>
      <c r="M25" s="5"/>
    </row>
    <row r="26" spans="1:13" s="1" customFormat="1" ht="12.75" x14ac:dyDescent="0.2">
      <c r="A26" s="258">
        <f t="shared" si="0"/>
        <v>20</v>
      </c>
      <c r="B26" s="260"/>
      <c r="C26" s="260"/>
      <c r="D26" s="261"/>
      <c r="E26" s="261"/>
      <c r="F26" s="257"/>
      <c r="G26" s="264"/>
      <c r="H26" s="5"/>
      <c r="I26" s="5"/>
      <c r="J26" s="5"/>
      <c r="K26" s="5"/>
      <c r="L26" s="5"/>
      <c r="M26" s="5"/>
    </row>
    <row r="27" spans="1:13" s="1" customFormat="1" ht="12.75" x14ac:dyDescent="0.2">
      <c r="A27" s="258">
        <f t="shared" si="0"/>
        <v>21</v>
      </c>
      <c r="B27" s="260"/>
      <c r="C27" s="260"/>
      <c r="D27" s="261"/>
      <c r="E27" s="261"/>
      <c r="F27" s="257"/>
      <c r="G27" s="264"/>
      <c r="H27" s="5"/>
      <c r="I27" s="5"/>
      <c r="J27" s="5"/>
      <c r="K27" s="5"/>
      <c r="L27" s="5"/>
      <c r="M27" s="5"/>
    </row>
    <row r="28" spans="1:13" s="1" customFormat="1" ht="12.75" x14ac:dyDescent="0.2">
      <c r="A28" s="258">
        <f t="shared" si="0"/>
        <v>22</v>
      </c>
      <c r="B28" s="260"/>
      <c r="C28" s="260"/>
      <c r="D28" s="261"/>
      <c r="E28" s="261"/>
      <c r="F28" s="257"/>
      <c r="G28" s="264"/>
      <c r="H28" s="5"/>
      <c r="I28" s="5"/>
      <c r="J28" s="5"/>
      <c r="K28" s="5"/>
      <c r="L28" s="5"/>
      <c r="M28" s="5"/>
    </row>
    <row r="29" spans="1:13" s="1" customFormat="1" ht="12.75" x14ac:dyDescent="0.2">
      <c r="A29" s="258">
        <f t="shared" si="0"/>
        <v>23</v>
      </c>
      <c r="B29" s="260"/>
      <c r="C29" s="260"/>
      <c r="D29" s="261"/>
      <c r="E29" s="261"/>
      <c r="F29" s="257"/>
      <c r="G29" s="264"/>
      <c r="H29" s="5"/>
      <c r="I29" s="5"/>
      <c r="J29" s="5"/>
      <c r="K29" s="5"/>
      <c r="L29" s="5"/>
      <c r="M29" s="5"/>
    </row>
    <row r="30" spans="1:13" s="1" customFormat="1" ht="12.75" x14ac:dyDescent="0.2">
      <c r="A30" s="258">
        <f t="shared" si="0"/>
        <v>24</v>
      </c>
      <c r="B30" s="260"/>
      <c r="C30" s="260"/>
      <c r="D30" s="261"/>
      <c r="E30" s="261"/>
      <c r="F30" s="257"/>
      <c r="G30" s="264"/>
      <c r="H30" s="5"/>
      <c r="I30" s="5"/>
      <c r="J30" s="5"/>
      <c r="K30" s="5"/>
      <c r="L30" s="5"/>
      <c r="M30" s="5"/>
    </row>
    <row r="31" spans="1:13" s="1" customFormat="1" ht="12.75" x14ac:dyDescent="0.2">
      <c r="A31" s="258">
        <f t="shared" si="0"/>
        <v>25</v>
      </c>
      <c r="B31" s="260"/>
      <c r="C31" s="260"/>
      <c r="D31" s="261"/>
      <c r="E31" s="261"/>
      <c r="F31" s="257"/>
      <c r="G31" s="264"/>
      <c r="H31" s="5"/>
      <c r="I31" s="5"/>
      <c r="J31" s="5"/>
      <c r="K31" s="5"/>
      <c r="L31" s="5"/>
      <c r="M31" s="5"/>
    </row>
    <row r="32" spans="1:13" s="1" customFormat="1" ht="12.75" x14ac:dyDescent="0.2">
      <c r="A32" s="258">
        <f t="shared" si="0"/>
        <v>26</v>
      </c>
      <c r="B32" s="260"/>
      <c r="C32" s="260"/>
      <c r="D32" s="261"/>
      <c r="E32" s="261"/>
      <c r="F32" s="257"/>
      <c r="G32" s="264"/>
      <c r="H32" s="5"/>
      <c r="I32" s="5"/>
      <c r="J32" s="5"/>
      <c r="K32" s="5"/>
      <c r="L32" s="5"/>
      <c r="M32" s="5"/>
    </row>
    <row r="33" spans="1:13" s="1" customFormat="1" ht="12.75" x14ac:dyDescent="0.2">
      <c r="A33" s="258">
        <f t="shared" si="0"/>
        <v>27</v>
      </c>
      <c r="B33" s="260"/>
      <c r="C33" s="260"/>
      <c r="D33" s="261"/>
      <c r="E33" s="261"/>
      <c r="F33" s="257"/>
      <c r="G33" s="264"/>
      <c r="H33" s="5"/>
      <c r="I33" s="5"/>
      <c r="J33" s="5"/>
      <c r="K33" s="5"/>
      <c r="L33" s="5"/>
      <c r="M33" s="5"/>
    </row>
    <row r="34" spans="1:13" s="1" customFormat="1" ht="12.75" x14ac:dyDescent="0.2">
      <c r="A34" s="258">
        <f t="shared" si="0"/>
        <v>28</v>
      </c>
      <c r="B34" s="260"/>
      <c r="C34" s="260"/>
      <c r="D34" s="261"/>
      <c r="E34" s="261"/>
      <c r="F34" s="257"/>
      <c r="G34" s="264"/>
      <c r="H34" s="5"/>
      <c r="I34" s="5"/>
      <c r="J34" s="5"/>
      <c r="K34" s="5"/>
      <c r="L34" s="5"/>
      <c r="M34" s="5"/>
    </row>
    <row r="35" spans="1:13" s="1" customFormat="1" ht="12.75" x14ac:dyDescent="0.2">
      <c r="A35" s="258">
        <f t="shared" si="0"/>
        <v>29</v>
      </c>
      <c r="B35" s="260"/>
      <c r="C35" s="260"/>
      <c r="D35" s="261"/>
      <c r="E35" s="261"/>
      <c r="F35" s="257"/>
      <c r="G35" s="264"/>
      <c r="H35" s="5"/>
      <c r="I35" s="5"/>
      <c r="J35" s="5"/>
      <c r="K35" s="5"/>
      <c r="L35" s="5"/>
      <c r="M35" s="5"/>
    </row>
    <row r="36" spans="1:13" s="1" customFormat="1" ht="12.75" x14ac:dyDescent="0.2">
      <c r="A36" s="258">
        <f t="shared" si="0"/>
        <v>30</v>
      </c>
      <c r="B36" s="260"/>
      <c r="C36" s="260"/>
      <c r="D36" s="261"/>
      <c r="E36" s="261"/>
      <c r="F36" s="257"/>
      <c r="G36" s="264"/>
      <c r="H36" s="5"/>
      <c r="I36" s="5"/>
      <c r="J36" s="5"/>
      <c r="K36" s="5"/>
      <c r="L36" s="5"/>
      <c r="M36" s="5"/>
    </row>
    <row r="37" spans="1:13" s="1" customFormat="1" ht="12.75" x14ac:dyDescent="0.2">
      <c r="A37" s="258">
        <f t="shared" si="0"/>
        <v>31</v>
      </c>
      <c r="B37" s="260"/>
      <c r="C37" s="260"/>
      <c r="D37" s="261"/>
      <c r="E37" s="261"/>
      <c r="F37" s="257"/>
      <c r="G37" s="264"/>
      <c r="H37" s="5"/>
      <c r="I37" s="5"/>
      <c r="J37" s="5"/>
      <c r="K37" s="5"/>
      <c r="L37" s="5"/>
      <c r="M37" s="5"/>
    </row>
    <row r="38" spans="1:13" s="1" customFormat="1" ht="12.75" x14ac:dyDescent="0.2">
      <c r="A38" s="258">
        <f t="shared" si="0"/>
        <v>32</v>
      </c>
      <c r="B38" s="260"/>
      <c r="C38" s="260"/>
      <c r="D38" s="261"/>
      <c r="E38" s="261"/>
      <c r="F38" s="257"/>
      <c r="G38" s="264"/>
      <c r="H38" s="5"/>
      <c r="I38" s="5"/>
      <c r="J38" s="5"/>
      <c r="K38" s="5"/>
      <c r="L38" s="5"/>
      <c r="M38" s="5"/>
    </row>
    <row r="39" spans="1:13" s="1" customFormat="1" ht="12.75" x14ac:dyDescent="0.2">
      <c r="A39" s="258">
        <f t="shared" si="0"/>
        <v>33</v>
      </c>
      <c r="B39" s="260"/>
      <c r="C39" s="260"/>
      <c r="D39" s="261"/>
      <c r="E39" s="261"/>
      <c r="F39" s="257"/>
      <c r="G39" s="264"/>
      <c r="H39" s="5"/>
      <c r="I39" s="5"/>
      <c r="J39" s="5"/>
      <c r="K39" s="5"/>
      <c r="L39" s="5"/>
      <c r="M39" s="5"/>
    </row>
    <row r="40" spans="1:13" s="1" customFormat="1" ht="12.75" x14ac:dyDescent="0.2">
      <c r="A40" s="258">
        <f t="shared" si="0"/>
        <v>34</v>
      </c>
      <c r="B40" s="260"/>
      <c r="C40" s="260"/>
      <c r="D40" s="261"/>
      <c r="E40" s="261"/>
      <c r="F40" s="257"/>
      <c r="G40" s="264"/>
      <c r="H40" s="5"/>
      <c r="I40" s="5"/>
      <c r="J40" s="5"/>
      <c r="K40" s="5"/>
      <c r="L40" s="5"/>
      <c r="M40" s="5"/>
    </row>
    <row r="41" spans="1:13" s="1" customFormat="1" ht="12.75" x14ac:dyDescent="0.2">
      <c r="A41" s="258">
        <f t="shared" si="0"/>
        <v>35</v>
      </c>
      <c r="B41" s="260"/>
      <c r="C41" s="260"/>
      <c r="D41" s="261"/>
      <c r="E41" s="261"/>
      <c r="F41" s="257"/>
      <c r="G41" s="264"/>
      <c r="H41" s="5"/>
      <c r="I41" s="5"/>
      <c r="J41" s="5"/>
      <c r="K41" s="5"/>
      <c r="L41" s="5"/>
      <c r="M41" s="5"/>
    </row>
    <row r="42" spans="1:13" s="1" customFormat="1" ht="12.75" x14ac:dyDescent="0.2">
      <c r="A42" s="258">
        <f t="shared" si="0"/>
        <v>36</v>
      </c>
      <c r="B42" s="260"/>
      <c r="C42" s="260"/>
      <c r="D42" s="261"/>
      <c r="E42" s="261"/>
      <c r="F42" s="257"/>
      <c r="G42" s="264"/>
      <c r="H42" s="5"/>
      <c r="I42" s="5"/>
      <c r="J42" s="5"/>
      <c r="K42" s="5"/>
      <c r="L42" s="5"/>
      <c r="M42" s="5"/>
    </row>
    <row r="43" spans="1:13" s="1" customFormat="1" ht="12.75" x14ac:dyDescent="0.2">
      <c r="A43" s="258">
        <f t="shared" si="0"/>
        <v>37</v>
      </c>
      <c r="B43" s="260"/>
      <c r="C43" s="260"/>
      <c r="D43" s="261"/>
      <c r="E43" s="261"/>
      <c r="F43" s="257"/>
      <c r="G43" s="264"/>
      <c r="H43" s="5"/>
      <c r="I43" s="5"/>
      <c r="J43" s="5"/>
      <c r="K43" s="5"/>
      <c r="L43" s="5"/>
      <c r="M43" s="5"/>
    </row>
    <row r="44" spans="1:13" s="1" customFormat="1" ht="12.75" x14ac:dyDescent="0.2">
      <c r="A44" s="258">
        <f t="shared" si="0"/>
        <v>38</v>
      </c>
      <c r="B44" s="260"/>
      <c r="C44" s="260"/>
      <c r="D44" s="261"/>
      <c r="E44" s="261"/>
      <c r="F44" s="257"/>
      <c r="G44" s="264"/>
      <c r="H44" s="5"/>
      <c r="I44" s="5"/>
      <c r="J44" s="5"/>
      <c r="K44" s="5"/>
      <c r="L44" s="5"/>
      <c r="M44" s="5"/>
    </row>
    <row r="45" spans="1:13" s="1" customFormat="1" ht="12.75" x14ac:dyDescent="0.2">
      <c r="A45" s="258">
        <f t="shared" si="0"/>
        <v>39</v>
      </c>
      <c r="B45" s="260"/>
      <c r="C45" s="260"/>
      <c r="D45" s="261"/>
      <c r="E45" s="261"/>
      <c r="F45" s="257"/>
      <c r="G45" s="264"/>
      <c r="H45" s="5"/>
      <c r="I45" s="5"/>
      <c r="J45" s="5"/>
      <c r="K45" s="5"/>
      <c r="L45" s="5"/>
      <c r="M45" s="5"/>
    </row>
    <row r="46" spans="1:13" s="1" customFormat="1" ht="12.75" x14ac:dyDescent="0.2">
      <c r="A46" s="258">
        <f t="shared" si="0"/>
        <v>40</v>
      </c>
      <c r="B46" s="260"/>
      <c r="C46" s="259"/>
      <c r="D46" s="261"/>
      <c r="E46" s="261"/>
      <c r="F46" s="257"/>
      <c r="G46" s="264"/>
      <c r="H46" s="5"/>
      <c r="I46" s="5"/>
      <c r="J46" s="5"/>
      <c r="K46" s="5"/>
      <c r="L46" s="5"/>
      <c r="M46" s="5"/>
    </row>
    <row r="47" spans="1:13" s="1" customFormat="1" ht="12.75" x14ac:dyDescent="0.2">
      <c r="A47" s="258">
        <f t="shared" si="0"/>
        <v>41</v>
      </c>
      <c r="B47" s="260"/>
      <c r="C47" s="259"/>
      <c r="D47" s="261"/>
      <c r="E47" s="261"/>
      <c r="F47" s="257"/>
      <c r="G47" s="264"/>
      <c r="H47" s="5"/>
      <c r="I47" s="5"/>
      <c r="J47" s="5"/>
      <c r="K47" s="5"/>
      <c r="L47" s="5"/>
      <c r="M47" s="5"/>
    </row>
    <row r="48" spans="1:13" s="1" customFormat="1" ht="12.75" x14ac:dyDescent="0.2">
      <c r="A48" s="258">
        <f t="shared" si="0"/>
        <v>42</v>
      </c>
      <c r="B48" s="260"/>
      <c r="C48" s="259"/>
      <c r="D48" s="261"/>
      <c r="E48" s="261"/>
      <c r="F48" s="257"/>
      <c r="G48" s="264"/>
      <c r="H48" s="5"/>
      <c r="I48" s="5"/>
      <c r="J48" s="5"/>
      <c r="K48" s="5"/>
      <c r="L48" s="5"/>
      <c r="M48" s="5"/>
    </row>
    <row r="49" spans="1:14" s="1" customFormat="1" ht="12.75" x14ac:dyDescent="0.2">
      <c r="A49" s="258">
        <f t="shared" si="0"/>
        <v>43</v>
      </c>
      <c r="B49" s="260"/>
      <c r="C49" s="259"/>
      <c r="D49" s="261"/>
      <c r="E49" s="261"/>
      <c r="F49" s="257"/>
      <c r="G49" s="264"/>
      <c r="H49" s="5"/>
      <c r="I49" s="5"/>
      <c r="J49" s="5"/>
      <c r="K49" s="5"/>
      <c r="L49" s="5"/>
      <c r="M49" s="5"/>
    </row>
    <row r="50" spans="1:14" s="1" customFormat="1" ht="12.75" x14ac:dyDescent="0.2">
      <c r="A50" s="258">
        <f t="shared" si="0"/>
        <v>44</v>
      </c>
      <c r="B50" s="260"/>
      <c r="C50" s="259"/>
      <c r="D50" s="261"/>
      <c r="E50" s="261"/>
      <c r="F50" s="257"/>
      <c r="G50" s="264"/>
      <c r="H50" s="5"/>
      <c r="I50" s="5"/>
      <c r="J50" s="5"/>
      <c r="K50" s="5"/>
      <c r="L50" s="5"/>
      <c r="M50" s="5"/>
    </row>
    <row r="51" spans="1:14" s="1" customFormat="1" ht="12.75" x14ac:dyDescent="0.2">
      <c r="A51" s="258">
        <f t="shared" si="0"/>
        <v>45</v>
      </c>
      <c r="B51" s="260"/>
      <c r="C51" s="259"/>
      <c r="D51" s="261"/>
      <c r="E51" s="261"/>
      <c r="F51" s="257"/>
      <c r="G51" s="264"/>
      <c r="H51" s="5"/>
      <c r="I51" s="5"/>
      <c r="J51" s="5"/>
      <c r="K51" s="5"/>
      <c r="L51" s="5"/>
      <c r="M51" s="5"/>
    </row>
    <row r="52" spans="1:14" s="1" customFormat="1" ht="12.75" x14ac:dyDescent="0.2">
      <c r="A52" s="258">
        <f t="shared" si="0"/>
        <v>46</v>
      </c>
      <c r="B52" s="260"/>
      <c r="C52" s="260"/>
      <c r="D52" s="261"/>
      <c r="E52" s="261"/>
      <c r="F52" s="257"/>
      <c r="G52" s="264"/>
      <c r="H52" s="5"/>
      <c r="I52" s="5"/>
      <c r="J52" s="5"/>
      <c r="K52" s="5"/>
      <c r="L52" s="5"/>
      <c r="M52" s="5"/>
    </row>
    <row r="53" spans="1:14" s="1" customFormat="1" ht="12.75" x14ac:dyDescent="0.2">
      <c r="A53" s="258">
        <f t="shared" si="0"/>
        <v>47</v>
      </c>
      <c r="B53" s="260"/>
      <c r="C53" s="260"/>
      <c r="D53" s="261"/>
      <c r="E53" s="261"/>
      <c r="F53" s="257"/>
      <c r="G53" s="264"/>
      <c r="H53" s="5"/>
      <c r="I53" s="5"/>
      <c r="J53" s="5"/>
      <c r="K53" s="5"/>
      <c r="L53" s="5"/>
      <c r="M53" s="5"/>
    </row>
    <row r="54" spans="1:14" s="1" customFormat="1" ht="12.75" x14ac:dyDescent="0.2">
      <c r="A54" s="258">
        <f t="shared" si="0"/>
        <v>48</v>
      </c>
      <c r="B54" s="260"/>
      <c r="C54" s="260"/>
      <c r="D54" s="261"/>
      <c r="E54" s="261"/>
      <c r="F54" s="257"/>
      <c r="G54" s="264"/>
      <c r="H54" s="5"/>
      <c r="I54" s="5"/>
      <c r="J54" s="5"/>
      <c r="K54" s="5"/>
      <c r="L54" s="5"/>
      <c r="M54" s="5"/>
    </row>
    <row r="55" spans="1:14" s="1" customFormat="1" ht="12.75" x14ac:dyDescent="0.2">
      <c r="A55" s="258">
        <f t="shared" si="0"/>
        <v>49</v>
      </c>
      <c r="B55" s="260"/>
      <c r="C55" s="260"/>
      <c r="D55" s="261"/>
      <c r="E55" s="261"/>
      <c r="F55" s="257"/>
      <c r="G55" s="264"/>
      <c r="H55" s="5"/>
      <c r="I55" s="5"/>
      <c r="J55" s="5"/>
      <c r="K55" s="5"/>
      <c r="L55" s="5"/>
      <c r="M55" s="5"/>
    </row>
    <row r="56" spans="1:14" s="1" customFormat="1" ht="12.75" x14ac:dyDescent="0.2">
      <c r="A56" s="258">
        <f t="shared" si="0"/>
        <v>50</v>
      </c>
      <c r="B56" s="260"/>
      <c r="C56" s="261"/>
      <c r="D56" s="261"/>
      <c r="E56" s="261"/>
      <c r="F56" s="257"/>
      <c r="G56" s="264"/>
      <c r="H56" s="5"/>
      <c r="I56" s="5"/>
      <c r="J56" s="5"/>
      <c r="K56" s="5"/>
      <c r="L56" s="5"/>
      <c r="M56" s="5"/>
    </row>
    <row r="57" spans="1:14" ht="12.75" x14ac:dyDescent="0.2">
      <c r="G57" s="2"/>
      <c r="N57"/>
    </row>
    <row r="58" spans="1:14" ht="12.75" hidden="1" x14ac:dyDescent="0.2">
      <c r="G58" s="2"/>
      <c r="I58" s="273"/>
      <c r="N58"/>
    </row>
    <row r="59" spans="1:14" ht="12.75" hidden="1" x14ac:dyDescent="0.2">
      <c r="G59" s="2"/>
      <c r="N59"/>
    </row>
    <row r="60" spans="1:14" ht="12.75" hidden="1" x14ac:dyDescent="0.2">
      <c r="G60" s="2"/>
      <c r="N60"/>
    </row>
    <row r="61" spans="1:14" ht="12.75" hidden="1" x14ac:dyDescent="0.2">
      <c r="G61" s="2"/>
      <c r="N61"/>
    </row>
    <row r="62" spans="1:14" ht="12.75" hidden="1" x14ac:dyDescent="0.2"/>
    <row r="63" spans="1:14" ht="12.75" hidden="1" x14ac:dyDescent="0.2"/>
    <row r="64" spans="1:1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x14ac:dyDescent="0.2"/>
    <row r="90" ht="12.75" hidden="1" x14ac:dyDescent="0.2"/>
    <row r="91" ht="12.75" hidden="1" x14ac:dyDescent="0.2"/>
    <row r="92" ht="12.75" hidden="1" x14ac:dyDescent="0.2"/>
    <row r="93" ht="12.75" hidden="1" x14ac:dyDescent="0.2"/>
    <row r="94" ht="12.75" hidden="1" x14ac:dyDescent="0.2"/>
    <row r="95" ht="12.75" hidden="1" x14ac:dyDescent="0.2"/>
    <row r="96" ht="12.75" hidden="1" x14ac:dyDescent="0.2"/>
    <row r="97" ht="12.75" hidden="1" x14ac:dyDescent="0.2"/>
    <row r="98" ht="12.75" hidden="1" x14ac:dyDescent="0.2"/>
    <row r="99" ht="12.75" hidden="1" x14ac:dyDescent="0.2"/>
    <row r="100" ht="12.75" hidden="1" x14ac:dyDescent="0.2"/>
    <row r="101" ht="12.75" hidden="1" x14ac:dyDescent="0.2"/>
    <row r="102" ht="12.75" hidden="1" x14ac:dyDescent="0.2"/>
    <row r="103" ht="12.75" hidden="1" x14ac:dyDescent="0.2"/>
    <row r="104" ht="12.75" hidden="1" x14ac:dyDescent="0.2"/>
    <row r="105" ht="12.75" hidden="1" x14ac:dyDescent="0.2"/>
    <row r="106" ht="12.75" hidden="1" x14ac:dyDescent="0.2"/>
    <row r="107" ht="12.75" hidden="1" x14ac:dyDescent="0.2"/>
    <row r="108" ht="12.75" hidden="1" x14ac:dyDescent="0.2"/>
    <row r="109" ht="12.75" hidden="1" x14ac:dyDescent="0.2"/>
    <row r="110" ht="12.75" hidden="1" x14ac:dyDescent="0.2"/>
    <row r="111" ht="12.75" hidden="1" x14ac:dyDescent="0.2"/>
    <row r="112" ht="12.75" hidden="1" x14ac:dyDescent="0.2"/>
    <row r="113" ht="12.75" hidden="1" x14ac:dyDescent="0.2"/>
    <row r="114" ht="12.75" hidden="1" x14ac:dyDescent="0.2"/>
    <row r="115" ht="12.75" hidden="1" x14ac:dyDescent="0.2"/>
    <row r="116" ht="12.75" hidden="1" x14ac:dyDescent="0.2"/>
    <row r="117" ht="12.75" hidden="1" x14ac:dyDescent="0.2"/>
    <row r="118" ht="12.75" hidden="1" x14ac:dyDescent="0.2"/>
    <row r="119" ht="12.75" hidden="1" x14ac:dyDescent="0.2"/>
    <row r="120" ht="12.75" hidden="1" x14ac:dyDescent="0.2"/>
    <row r="121" ht="12.75" hidden="1" x14ac:dyDescent="0.2"/>
    <row r="122" ht="12.75" hidden="1" x14ac:dyDescent="0.2"/>
    <row r="123" ht="12.75" hidden="1" x14ac:dyDescent="0.2"/>
    <row r="124" ht="12.75" hidden="1" x14ac:dyDescent="0.2"/>
    <row r="125" ht="12.75" hidden="1" x14ac:dyDescent="0.2"/>
    <row r="126" ht="12.75" hidden="1" x14ac:dyDescent="0.2"/>
    <row r="127" ht="12.75" hidden="1" x14ac:dyDescent="0.2"/>
    <row r="128" ht="12.75" hidden="1" x14ac:dyDescent="0.2"/>
    <row r="129" ht="12.75" hidden="1" x14ac:dyDescent="0.2"/>
    <row r="130" ht="12.75" hidden="1" x14ac:dyDescent="0.2"/>
    <row r="131" ht="12.75" hidden="1" x14ac:dyDescent="0.2"/>
    <row r="132" ht="12.75" hidden="1" x14ac:dyDescent="0.2"/>
    <row r="133" ht="12.75" hidden="1" x14ac:dyDescent="0.2"/>
    <row r="134" ht="12.75" hidden="1" x14ac:dyDescent="0.2"/>
    <row r="135" ht="12.75" hidden="1" x14ac:dyDescent="0.2"/>
    <row r="136" ht="12.75" hidden="1" x14ac:dyDescent="0.2"/>
    <row r="137" ht="12.75" hidden="1" x14ac:dyDescent="0.2"/>
    <row r="138" ht="12.75" hidden="1" x14ac:dyDescent="0.2"/>
    <row r="139" ht="12.75" hidden="1" x14ac:dyDescent="0.2"/>
    <row r="140" ht="12.75" hidden="1" x14ac:dyDescent="0.2"/>
    <row r="141" ht="12.75" hidden="1" x14ac:dyDescent="0.2"/>
    <row r="142" ht="12.75" hidden="1" x14ac:dyDescent="0.2"/>
    <row r="143" ht="12.75" hidden="1" x14ac:dyDescent="0.2"/>
    <row r="144" ht="12.75" hidden="1" x14ac:dyDescent="0.2"/>
    <row r="145" ht="12.75" hidden="1" x14ac:dyDescent="0.2"/>
    <row r="146" ht="12.75" hidden="1" x14ac:dyDescent="0.2"/>
    <row r="147" ht="12.75" hidden="1" x14ac:dyDescent="0.2"/>
    <row r="148" ht="12.75" hidden="1" x14ac:dyDescent="0.2"/>
    <row r="149" ht="12.75" hidden="1" x14ac:dyDescent="0.2"/>
    <row r="150" ht="12.75" hidden="1" x14ac:dyDescent="0.2"/>
    <row r="151" ht="12.75" hidden="1" x14ac:dyDescent="0.2"/>
    <row r="152" ht="12.75" hidden="1" x14ac:dyDescent="0.2"/>
    <row r="153" ht="12.75" hidden="1" x14ac:dyDescent="0.2"/>
    <row r="154" ht="12.75" hidden="1" x14ac:dyDescent="0.2"/>
    <row r="155" ht="12.75" hidden="1" x14ac:dyDescent="0.2"/>
    <row r="156" ht="12.75" hidden="1" x14ac:dyDescent="0.2"/>
    <row r="157" ht="12.75" hidden="1" x14ac:dyDescent="0.2"/>
    <row r="158" ht="12.75" hidden="1" x14ac:dyDescent="0.2"/>
    <row r="159" ht="12.75" hidden="1" x14ac:dyDescent="0.2"/>
    <row r="160" ht="12.75" hidden="1" x14ac:dyDescent="0.2"/>
    <row r="161" ht="12.75" hidden="1" x14ac:dyDescent="0.2"/>
    <row r="162" ht="12.75" hidden="1" x14ac:dyDescent="0.2"/>
    <row r="163" ht="12.75" hidden="1" x14ac:dyDescent="0.2"/>
    <row r="164" ht="12.75" hidden="1" x14ac:dyDescent="0.2"/>
    <row r="165" ht="12.75" hidden="1" x14ac:dyDescent="0.2"/>
    <row r="166" ht="12.75" hidden="1" x14ac:dyDescent="0.2"/>
    <row r="167" ht="12.75" hidden="1" x14ac:dyDescent="0.2"/>
    <row r="168" ht="12.75" hidden="1" x14ac:dyDescent="0.2"/>
    <row r="169" ht="12.75" hidden="1" x14ac:dyDescent="0.2"/>
    <row r="170" ht="12.75" hidden="1" x14ac:dyDescent="0.2"/>
    <row r="171" ht="12.75" hidden="1" x14ac:dyDescent="0.2"/>
    <row r="172" ht="12.75" hidden="1" x14ac:dyDescent="0.2"/>
    <row r="173" ht="12.75" hidden="1" x14ac:dyDescent="0.2"/>
    <row r="174" ht="12.75" hidden="1" x14ac:dyDescent="0.2"/>
    <row r="175" ht="12.75" hidden="1" x14ac:dyDescent="0.2"/>
    <row r="176" ht="12.75" hidden="1" x14ac:dyDescent="0.2"/>
    <row r="177" ht="12.75" hidden="1" x14ac:dyDescent="0.2"/>
    <row r="178" ht="12.75" hidden="1" x14ac:dyDescent="0.2"/>
    <row r="179" ht="12.75" hidden="1" x14ac:dyDescent="0.2"/>
    <row r="180" ht="12.75" hidden="1" x14ac:dyDescent="0.2"/>
    <row r="181" ht="12.75" hidden="1" x14ac:dyDescent="0.2"/>
    <row r="182" ht="12.75" hidden="1" x14ac:dyDescent="0.2"/>
    <row r="183" ht="12.75" hidden="1" x14ac:dyDescent="0.2"/>
    <row r="184" ht="12.75" hidden="1" x14ac:dyDescent="0.2"/>
    <row r="185" ht="12.75" hidden="1" x14ac:dyDescent="0.2"/>
    <row r="186" ht="12.75" hidden="1" x14ac:dyDescent="0.2"/>
    <row r="187" ht="12.75" hidden="1" x14ac:dyDescent="0.2"/>
    <row r="188" ht="12.75" hidden="1" x14ac:dyDescent="0.2"/>
    <row r="189" ht="12.75" hidden="1" x14ac:dyDescent="0.2"/>
    <row r="190" ht="12.75" hidden="1" x14ac:dyDescent="0.2"/>
    <row r="191" ht="12.75" hidden="1" x14ac:dyDescent="0.2"/>
    <row r="192" ht="12.75" hidden="1" x14ac:dyDescent="0.2"/>
    <row r="193" ht="12.75" hidden="1" x14ac:dyDescent="0.2"/>
    <row r="194" ht="12.75" hidden="1" x14ac:dyDescent="0.2"/>
    <row r="195" ht="12.75" hidden="1" x14ac:dyDescent="0.2"/>
    <row r="196" ht="12.75" hidden="1" x14ac:dyDescent="0.2"/>
    <row r="197" ht="12.75" hidden="1" x14ac:dyDescent="0.2"/>
    <row r="198" ht="12.75" hidden="1" x14ac:dyDescent="0.2"/>
    <row r="199" ht="12.75" hidden="1" x14ac:dyDescent="0.2"/>
    <row r="200" ht="12.75" hidden="1" x14ac:dyDescent="0.2"/>
    <row r="201" ht="12.75" hidden="1" x14ac:dyDescent="0.2"/>
    <row r="202" ht="12.75" hidden="1" x14ac:dyDescent="0.2"/>
    <row r="203" ht="12.75" hidden="1" x14ac:dyDescent="0.2"/>
    <row r="204" ht="12.75" hidden="1" x14ac:dyDescent="0.2"/>
    <row r="205" ht="12.75" hidden="1" x14ac:dyDescent="0.2"/>
    <row r="206" ht="12.75" hidden="1" x14ac:dyDescent="0.2"/>
    <row r="207" ht="12.75" hidden="1" x14ac:dyDescent="0.2"/>
    <row r="208" ht="12.75" hidden="1" x14ac:dyDescent="0.2"/>
    <row r="209" ht="12.75" hidden="1" x14ac:dyDescent="0.2"/>
    <row r="210" ht="12.75" hidden="1" x14ac:dyDescent="0.2"/>
    <row r="211" ht="12.75" hidden="1" x14ac:dyDescent="0.2"/>
    <row r="212" ht="12.75" hidden="1" x14ac:dyDescent="0.2"/>
    <row r="213" ht="12.75" hidden="1" x14ac:dyDescent="0.2"/>
    <row r="214" ht="12.75" hidden="1" x14ac:dyDescent="0.2"/>
    <row r="215" ht="12.75" hidden="1" x14ac:dyDescent="0.2"/>
    <row r="216" ht="12.75" hidden="1" x14ac:dyDescent="0.2"/>
    <row r="217" ht="12.75" hidden="1" x14ac:dyDescent="0.2"/>
    <row r="218" ht="12.75" hidden="1" x14ac:dyDescent="0.2"/>
    <row r="219" ht="12.75" hidden="1" x14ac:dyDescent="0.2"/>
    <row r="220" ht="12.75" hidden="1" x14ac:dyDescent="0.2"/>
    <row r="221" ht="12.75" hidden="1" x14ac:dyDescent="0.2"/>
    <row r="222" ht="12.75" hidden="1" x14ac:dyDescent="0.2"/>
    <row r="223" ht="12.75" hidden="1" x14ac:dyDescent="0.2"/>
    <row r="224" ht="12.75" hidden="1" x14ac:dyDescent="0.2"/>
    <row r="225" ht="12.75" hidden="1" x14ac:dyDescent="0.2"/>
    <row r="226" ht="12.75" hidden="1" x14ac:dyDescent="0.2"/>
    <row r="227" ht="12.75" hidden="1" x14ac:dyDescent="0.2"/>
    <row r="228" ht="12.75" hidden="1" x14ac:dyDescent="0.2"/>
    <row r="229" ht="12.75" hidden="1" x14ac:dyDescent="0.2"/>
    <row r="230" ht="12.75" hidden="1" x14ac:dyDescent="0.2"/>
    <row r="231" ht="12.75" hidden="1" x14ac:dyDescent="0.2"/>
    <row r="232" ht="12.75" hidden="1" x14ac:dyDescent="0.2"/>
    <row r="233" ht="12.75" hidden="1" x14ac:dyDescent="0.2"/>
    <row r="234" ht="12.75" hidden="1" x14ac:dyDescent="0.2"/>
    <row r="235" ht="12.75" hidden="1" x14ac:dyDescent="0.2"/>
    <row r="236" ht="12.75" hidden="1" x14ac:dyDescent="0.2"/>
    <row r="237" ht="12.75" hidden="1" x14ac:dyDescent="0.2"/>
    <row r="238" ht="12.75" hidden="1" x14ac:dyDescent="0.2"/>
    <row r="239" ht="12.75" hidden="1" x14ac:dyDescent="0.2"/>
    <row r="240" ht="12.75" hidden="1" x14ac:dyDescent="0.2"/>
    <row r="241" ht="12.75" hidden="1" x14ac:dyDescent="0.2"/>
    <row r="242" ht="12.75" hidden="1" x14ac:dyDescent="0.2"/>
    <row r="243" ht="12.75" hidden="1" x14ac:dyDescent="0.2"/>
    <row r="244" ht="12.75" hidden="1" x14ac:dyDescent="0.2"/>
    <row r="245" ht="12.75" hidden="1" x14ac:dyDescent="0.2"/>
    <row r="246" ht="12.75" hidden="1" x14ac:dyDescent="0.2"/>
    <row r="247" ht="12.75" hidden="1" x14ac:dyDescent="0.2"/>
    <row r="248" ht="12.75" hidden="1" x14ac:dyDescent="0.2"/>
    <row r="249" ht="12.75" hidden="1" x14ac:dyDescent="0.2"/>
    <row r="250" ht="12.75" hidden="1" x14ac:dyDescent="0.2"/>
    <row r="251" ht="12.75" hidden="1" x14ac:dyDescent="0.2"/>
    <row r="252" ht="12.75" hidden="1" x14ac:dyDescent="0.2"/>
    <row r="253" ht="12.75" hidden="1" x14ac:dyDescent="0.2"/>
    <row r="254" ht="12.75" hidden="1" x14ac:dyDescent="0.2"/>
    <row r="255" ht="12.75" hidden="1" x14ac:dyDescent="0.2"/>
    <row r="256" ht="12.75" hidden="1" x14ac:dyDescent="0.2"/>
    <row r="257" ht="12.75" hidden="1" x14ac:dyDescent="0.2"/>
    <row r="258" ht="12.75" hidden="1" x14ac:dyDescent="0.2"/>
    <row r="259" ht="12.75" hidden="1" x14ac:dyDescent="0.2"/>
    <row r="260" ht="12.75" hidden="1" x14ac:dyDescent="0.2"/>
    <row r="261" ht="12.75" hidden="1" x14ac:dyDescent="0.2"/>
    <row r="262" ht="12.75" hidden="1" x14ac:dyDescent="0.2"/>
    <row r="263" ht="12.75" hidden="1" x14ac:dyDescent="0.2"/>
    <row r="264" ht="12.75" hidden="1" x14ac:dyDescent="0.2"/>
    <row r="265" ht="12.75" hidden="1" x14ac:dyDescent="0.2"/>
    <row r="266" ht="12.75" hidden="1" x14ac:dyDescent="0.2"/>
    <row r="267" ht="12.75" hidden="1" x14ac:dyDescent="0.2"/>
    <row r="268" ht="12.75" hidden="1" x14ac:dyDescent="0.2"/>
    <row r="269" ht="12.75" hidden="1" x14ac:dyDescent="0.2"/>
    <row r="270" ht="12.75" hidden="1" x14ac:dyDescent="0.2"/>
    <row r="271" ht="12.75" hidden="1" x14ac:dyDescent="0.2"/>
    <row r="272" ht="12.75" hidden="1" x14ac:dyDescent="0.2"/>
    <row r="273" ht="12.75" hidden="1" x14ac:dyDescent="0.2"/>
    <row r="274" ht="12.75" hidden="1" x14ac:dyDescent="0.2"/>
    <row r="275" ht="12.75" hidden="1" x14ac:dyDescent="0.2"/>
    <row r="276" ht="12.75" hidden="1" x14ac:dyDescent="0.2"/>
    <row r="277" ht="12.75" hidden="1" x14ac:dyDescent="0.2"/>
    <row r="278" ht="12.75" hidden="1" x14ac:dyDescent="0.2"/>
    <row r="279" ht="12.75" hidden="1" x14ac:dyDescent="0.2"/>
    <row r="280" ht="12.75" hidden="1" x14ac:dyDescent="0.2"/>
    <row r="281" ht="12.75" hidden="1" x14ac:dyDescent="0.2"/>
    <row r="282" ht="12.75" hidden="1" x14ac:dyDescent="0.2"/>
    <row r="283" ht="12.75" hidden="1" x14ac:dyDescent="0.2"/>
    <row r="284" ht="12.75" hidden="1" x14ac:dyDescent="0.2"/>
    <row r="285" ht="12.75" hidden="1" x14ac:dyDescent="0.2"/>
    <row r="286" ht="12.75" hidden="1" x14ac:dyDescent="0.2"/>
    <row r="287" ht="12.75" hidden="1" x14ac:dyDescent="0.2"/>
    <row r="288" ht="12.75" hidden="1" x14ac:dyDescent="0.2"/>
    <row r="289" ht="12.75" hidden="1" x14ac:dyDescent="0.2"/>
    <row r="290" ht="12.75" hidden="1" x14ac:dyDescent="0.2"/>
    <row r="291" ht="12.75" hidden="1" x14ac:dyDescent="0.2"/>
    <row r="292" ht="12.75" hidden="1" x14ac:dyDescent="0.2"/>
    <row r="293" ht="12.75" hidden="1" x14ac:dyDescent="0.2"/>
    <row r="294" ht="12.75" hidden="1" x14ac:dyDescent="0.2"/>
    <row r="295" ht="12.75" hidden="1" x14ac:dyDescent="0.2"/>
    <row r="296" ht="12.75" hidden="1" x14ac:dyDescent="0.2"/>
    <row r="297" ht="12.75" hidden="1" x14ac:dyDescent="0.2"/>
    <row r="298" ht="12.75" hidden="1" x14ac:dyDescent="0.2"/>
    <row r="299" ht="12.75" hidden="1" x14ac:dyDescent="0.2"/>
    <row r="300" ht="12.75" hidden="1" x14ac:dyDescent="0.2"/>
    <row r="301" ht="12.75" hidden="1" x14ac:dyDescent="0.2"/>
    <row r="302" ht="12.75" hidden="1" x14ac:dyDescent="0.2"/>
    <row r="303" ht="12.75" hidden="1" x14ac:dyDescent="0.2"/>
    <row r="304" ht="12.75" hidden="1" x14ac:dyDescent="0.2"/>
    <row r="305" ht="12.75" hidden="1" x14ac:dyDescent="0.2"/>
    <row r="306" ht="12.75" hidden="1" x14ac:dyDescent="0.2"/>
    <row r="307" ht="12.75" hidden="1" x14ac:dyDescent="0.2"/>
    <row r="308" ht="12.75" hidden="1" x14ac:dyDescent="0.2"/>
    <row r="309" ht="12.75" hidden="1" x14ac:dyDescent="0.2"/>
    <row r="310" ht="12.75" hidden="1" x14ac:dyDescent="0.2"/>
    <row r="311" ht="12.75" hidden="1" x14ac:dyDescent="0.2"/>
    <row r="312" ht="12.75" hidden="1" x14ac:dyDescent="0.2"/>
    <row r="313" ht="12.75" hidden="1" x14ac:dyDescent="0.2"/>
    <row r="314" ht="12.75" hidden="1" x14ac:dyDescent="0.2"/>
    <row r="315" ht="12.75" hidden="1" x14ac:dyDescent="0.2"/>
    <row r="316" ht="12.75" hidden="1" x14ac:dyDescent="0.2"/>
    <row r="317" ht="12.75" hidden="1" x14ac:dyDescent="0.2"/>
    <row r="318" ht="12.75" hidden="1" x14ac:dyDescent="0.2"/>
    <row r="319" ht="12.75" hidden="1" x14ac:dyDescent="0.2"/>
    <row r="320" ht="12.75" hidden="1" x14ac:dyDescent="0.2"/>
    <row r="321" ht="12.75" hidden="1" x14ac:dyDescent="0.2"/>
    <row r="322" ht="12.75" hidden="1" x14ac:dyDescent="0.2"/>
    <row r="323" ht="12.75" hidden="1" x14ac:dyDescent="0.2"/>
    <row r="324" ht="12.75" hidden="1" x14ac:dyDescent="0.2"/>
    <row r="325" ht="12.75" hidden="1" x14ac:dyDescent="0.2"/>
    <row r="326" ht="12.75" hidden="1" x14ac:dyDescent="0.2"/>
    <row r="327" ht="12.75" hidden="1" x14ac:dyDescent="0.2"/>
    <row r="328" ht="12.75" hidden="1" x14ac:dyDescent="0.2"/>
    <row r="329" ht="12.75" hidden="1" x14ac:dyDescent="0.2"/>
    <row r="330" ht="12.75" hidden="1" x14ac:dyDescent="0.2"/>
    <row r="331" ht="12.75" hidden="1" x14ac:dyDescent="0.2"/>
    <row r="332" ht="12.75" hidden="1" x14ac:dyDescent="0.2"/>
    <row r="333" ht="12.75" hidden="1" x14ac:dyDescent="0.2"/>
    <row r="334" ht="12.75" hidden="1" x14ac:dyDescent="0.2"/>
    <row r="335" ht="12.75" hidden="1" x14ac:dyDescent="0.2"/>
    <row r="336" ht="12.75" hidden="1" x14ac:dyDescent="0.2"/>
    <row r="337" ht="12.75" hidden="1" x14ac:dyDescent="0.2"/>
    <row r="338" ht="12.75" hidden="1" x14ac:dyDescent="0.2"/>
    <row r="339" ht="12.75" hidden="1" x14ac:dyDescent="0.2"/>
    <row r="340" ht="12.75" hidden="1" x14ac:dyDescent="0.2"/>
    <row r="341" ht="12.75" hidden="1" x14ac:dyDescent="0.2"/>
    <row r="342" ht="12.75" hidden="1" x14ac:dyDescent="0.2"/>
    <row r="343" ht="12.75" hidden="1" x14ac:dyDescent="0.2"/>
    <row r="344" ht="12.75" hidden="1" x14ac:dyDescent="0.2"/>
    <row r="345" ht="12.75" hidden="1" x14ac:dyDescent="0.2"/>
    <row r="346" ht="12.75" hidden="1" x14ac:dyDescent="0.2"/>
    <row r="347" ht="12.75" hidden="1" x14ac:dyDescent="0.2"/>
    <row r="348" ht="12.75" hidden="1" x14ac:dyDescent="0.2"/>
    <row r="349" ht="12.75" hidden="1" x14ac:dyDescent="0.2"/>
    <row r="350" ht="12.75" hidden="1" x14ac:dyDescent="0.2"/>
    <row r="351" ht="12.75" hidden="1" x14ac:dyDescent="0.2"/>
    <row r="352" ht="12.75" hidden="1" x14ac:dyDescent="0.2"/>
    <row r="353" ht="12.75" hidden="1" x14ac:dyDescent="0.2"/>
    <row r="354" ht="12.75" hidden="1" x14ac:dyDescent="0.2"/>
    <row r="355" ht="12.75" hidden="1" x14ac:dyDescent="0.2"/>
    <row r="356" ht="12.75" hidden="1" x14ac:dyDescent="0.2"/>
    <row r="357" ht="12.75" hidden="1" x14ac:dyDescent="0.2"/>
    <row r="358" ht="12.75" hidden="1" x14ac:dyDescent="0.2"/>
    <row r="359" ht="12.75" hidden="1" x14ac:dyDescent="0.2"/>
    <row r="360" ht="12.75" hidden="1" x14ac:dyDescent="0.2"/>
    <row r="361" ht="12.75" hidden="1" x14ac:dyDescent="0.2"/>
    <row r="362" ht="12.75" hidden="1" x14ac:dyDescent="0.2"/>
    <row r="363" ht="12.75" hidden="1" x14ac:dyDescent="0.2"/>
    <row r="364" ht="12.75" hidden="1" x14ac:dyDescent="0.2"/>
    <row r="365" ht="12.75" hidden="1" x14ac:dyDescent="0.2"/>
    <row r="366" ht="12.75" hidden="1" x14ac:dyDescent="0.2"/>
    <row r="367" ht="12.75" hidden="1" x14ac:dyDescent="0.2"/>
    <row r="368" ht="12.75" hidden="1" x14ac:dyDescent="0.2"/>
    <row r="369" ht="12.75" hidden="1" x14ac:dyDescent="0.2"/>
    <row r="370" ht="12.75" hidden="1" x14ac:dyDescent="0.2"/>
    <row r="371" ht="12.75" hidden="1" x14ac:dyDescent="0.2"/>
    <row r="372" ht="12.75" hidden="1" x14ac:dyDescent="0.2"/>
    <row r="373" ht="12.75" hidden="1" x14ac:dyDescent="0.2"/>
    <row r="374" ht="12.75" hidden="1" x14ac:dyDescent="0.2"/>
    <row r="375" ht="12.75" hidden="1" x14ac:dyDescent="0.2"/>
    <row r="376" ht="12.75" hidden="1" x14ac:dyDescent="0.2"/>
    <row r="377" ht="12.75" hidden="1" x14ac:dyDescent="0.2"/>
    <row r="378" ht="12.75" hidden="1" x14ac:dyDescent="0.2"/>
    <row r="379" ht="12.75" hidden="1" x14ac:dyDescent="0.2"/>
    <row r="380" ht="12.75" hidden="1" x14ac:dyDescent="0.2"/>
    <row r="381" ht="12.75" hidden="1" x14ac:dyDescent="0.2"/>
    <row r="382" ht="12.75" hidden="1" x14ac:dyDescent="0.2"/>
    <row r="383" ht="12.75" hidden="1" x14ac:dyDescent="0.2"/>
    <row r="384" ht="12.75" hidden="1" x14ac:dyDescent="0.2"/>
    <row r="385" ht="12.75" hidden="1" x14ac:dyDescent="0.2"/>
    <row r="386" ht="12.75" hidden="1" x14ac:dyDescent="0.2"/>
    <row r="387" ht="12.75" hidden="1" x14ac:dyDescent="0.2"/>
    <row r="388" ht="12.75" hidden="1" x14ac:dyDescent="0.2"/>
    <row r="389" ht="12.75" hidden="1" x14ac:dyDescent="0.2"/>
    <row r="390" ht="12.75" hidden="1" x14ac:dyDescent="0.2"/>
    <row r="391" ht="12.75" hidden="1" x14ac:dyDescent="0.2"/>
    <row r="392" ht="12.75" hidden="1" x14ac:dyDescent="0.2"/>
    <row r="393" ht="12.75" hidden="1" x14ac:dyDescent="0.2"/>
    <row r="394" ht="12.75" hidden="1" x14ac:dyDescent="0.2"/>
    <row r="395" ht="12.75" hidden="1" x14ac:dyDescent="0.2"/>
    <row r="396" ht="12.75" hidden="1" x14ac:dyDescent="0.2"/>
    <row r="397" ht="12.75" hidden="1" x14ac:dyDescent="0.2"/>
    <row r="398" ht="12.75" hidden="1" x14ac:dyDescent="0.2"/>
    <row r="399" ht="12.75" hidden="1" x14ac:dyDescent="0.2"/>
    <row r="400" ht="12.75" hidden="1" x14ac:dyDescent="0.2"/>
    <row r="401" ht="12.75" hidden="1" x14ac:dyDescent="0.2"/>
    <row r="402" ht="12.75" hidden="1" x14ac:dyDescent="0.2"/>
    <row r="403" ht="12.75" hidden="1" x14ac:dyDescent="0.2"/>
    <row r="404" ht="12.75" hidden="1" x14ac:dyDescent="0.2"/>
    <row r="405" ht="12.75" hidden="1" x14ac:dyDescent="0.2"/>
    <row r="406" ht="12.75" hidden="1" x14ac:dyDescent="0.2"/>
    <row r="407" ht="12.75" hidden="1" x14ac:dyDescent="0.2"/>
    <row r="408" ht="12.75" hidden="1" x14ac:dyDescent="0.2"/>
    <row r="409" ht="12.75" hidden="1" x14ac:dyDescent="0.2"/>
    <row r="410" ht="12.75" hidden="1" x14ac:dyDescent="0.2"/>
    <row r="411" ht="12.75" hidden="1" x14ac:dyDescent="0.2"/>
    <row r="412" ht="12.75" hidden="1" x14ac:dyDescent="0.2"/>
    <row r="413" ht="12.75" hidden="1" x14ac:dyDescent="0.2"/>
    <row r="414" ht="12.75" hidden="1" x14ac:dyDescent="0.2"/>
    <row r="415" ht="12.75" hidden="1" x14ac:dyDescent="0.2"/>
    <row r="416" ht="12.75" hidden="1" x14ac:dyDescent="0.2"/>
    <row r="417" ht="12.75" hidden="1" x14ac:dyDescent="0.2"/>
    <row r="418" ht="12.75" hidden="1" x14ac:dyDescent="0.2"/>
    <row r="419" ht="12.75" hidden="1" x14ac:dyDescent="0.2"/>
    <row r="420" ht="12.75" hidden="1" x14ac:dyDescent="0.2"/>
    <row r="421" ht="12.75" hidden="1" x14ac:dyDescent="0.2"/>
    <row r="422" ht="12.75" hidden="1" x14ac:dyDescent="0.2"/>
    <row r="423" ht="12.75" hidden="1" x14ac:dyDescent="0.2"/>
    <row r="424" ht="12.75" hidden="1" x14ac:dyDescent="0.2"/>
    <row r="425" ht="12.75" hidden="1" x14ac:dyDescent="0.2"/>
    <row r="426" ht="12.75" hidden="1" x14ac:dyDescent="0.2"/>
    <row r="427" ht="12.75" hidden="1" x14ac:dyDescent="0.2"/>
    <row r="428" ht="12.75" hidden="1" x14ac:dyDescent="0.2"/>
    <row r="429" ht="12.75" hidden="1" x14ac:dyDescent="0.2"/>
    <row r="430" ht="12.75" hidden="1" x14ac:dyDescent="0.2"/>
    <row r="431" ht="12.75" hidden="1" x14ac:dyDescent="0.2"/>
    <row r="432" ht="12.75" hidden="1" x14ac:dyDescent="0.2"/>
    <row r="433" ht="12.75" hidden="1" x14ac:dyDescent="0.2"/>
    <row r="434" ht="12.75" hidden="1" x14ac:dyDescent="0.2"/>
    <row r="435" ht="12.75" hidden="1" x14ac:dyDescent="0.2"/>
    <row r="436" ht="12.75" hidden="1" x14ac:dyDescent="0.2"/>
    <row r="437" ht="12.75" hidden="1" x14ac:dyDescent="0.2"/>
    <row r="438" ht="12.75" hidden="1" x14ac:dyDescent="0.2"/>
    <row r="439" ht="12.75" hidden="1" x14ac:dyDescent="0.2"/>
    <row r="440" ht="12.75" hidden="1" x14ac:dyDescent="0.2"/>
    <row r="441" ht="12.75" hidden="1" x14ac:dyDescent="0.2"/>
    <row r="442" ht="12.75" hidden="1" x14ac:dyDescent="0.2"/>
    <row r="443" ht="12.75" hidden="1" x14ac:dyDescent="0.2"/>
    <row r="444" ht="12.75" hidden="1" x14ac:dyDescent="0.2"/>
    <row r="445" ht="12.75" hidden="1" x14ac:dyDescent="0.2"/>
    <row r="446" ht="12.75" hidden="1" x14ac:dyDescent="0.2"/>
    <row r="447" ht="12.75" hidden="1" x14ac:dyDescent="0.2"/>
    <row r="448" ht="12.75" hidden="1" x14ac:dyDescent="0.2"/>
    <row r="449" ht="12.75" hidden="1" x14ac:dyDescent="0.2"/>
    <row r="450" ht="12.75" hidden="1" x14ac:dyDescent="0.2"/>
    <row r="451" ht="12.75" hidden="1" x14ac:dyDescent="0.2"/>
    <row r="452" ht="12.75" hidden="1" x14ac:dyDescent="0.2"/>
    <row r="453" ht="12.75" hidden="1" x14ac:dyDescent="0.2"/>
    <row r="454" ht="12.75" hidden="1" x14ac:dyDescent="0.2"/>
    <row r="455" ht="12.75" hidden="1" x14ac:dyDescent="0.2"/>
    <row r="456" ht="12.75" hidden="1" x14ac:dyDescent="0.2"/>
    <row r="457" ht="12.75" hidden="1" x14ac:dyDescent="0.2"/>
    <row r="458" ht="12.75" hidden="1" x14ac:dyDescent="0.2"/>
    <row r="459" ht="12.75" hidden="1" x14ac:dyDescent="0.2"/>
    <row r="460" ht="12.75" hidden="1" x14ac:dyDescent="0.2"/>
    <row r="461" ht="12.75" hidden="1" x14ac:dyDescent="0.2"/>
    <row r="462" ht="12.75" hidden="1" x14ac:dyDescent="0.2"/>
    <row r="463" ht="12.75" hidden="1" x14ac:dyDescent="0.2"/>
    <row r="464" ht="12.75" hidden="1" x14ac:dyDescent="0.2"/>
    <row r="465" ht="12.75" hidden="1" x14ac:dyDescent="0.2"/>
    <row r="466" ht="12.75" hidden="1" x14ac:dyDescent="0.2"/>
    <row r="467" ht="12.75" hidden="1" x14ac:dyDescent="0.2"/>
    <row r="468" ht="12.75" hidden="1" x14ac:dyDescent="0.2"/>
    <row r="469" ht="12.75" hidden="1" x14ac:dyDescent="0.2"/>
    <row r="470" ht="12.75" hidden="1" x14ac:dyDescent="0.2"/>
    <row r="471" ht="12.75" hidden="1" x14ac:dyDescent="0.2"/>
    <row r="472" ht="12.75" hidden="1" x14ac:dyDescent="0.2"/>
    <row r="473" ht="12.75" hidden="1" x14ac:dyDescent="0.2"/>
    <row r="474" ht="12.75" hidden="1" x14ac:dyDescent="0.2"/>
    <row r="475" ht="12.75" hidden="1" x14ac:dyDescent="0.2"/>
    <row r="476" ht="12.75" hidden="1" x14ac:dyDescent="0.2"/>
    <row r="477" ht="12.75" hidden="1" x14ac:dyDescent="0.2"/>
    <row r="478" ht="12.75" hidden="1" x14ac:dyDescent="0.2"/>
    <row r="479" ht="12.75" hidden="1" x14ac:dyDescent="0.2"/>
    <row r="480" ht="12.75" hidden="1" x14ac:dyDescent="0.2"/>
    <row r="481" ht="12.75" hidden="1" x14ac:dyDescent="0.2"/>
    <row r="482" ht="12.75" hidden="1" x14ac:dyDescent="0.2"/>
    <row r="483" ht="12.75" hidden="1" x14ac:dyDescent="0.2"/>
    <row r="484" ht="12.75" hidden="1" x14ac:dyDescent="0.2"/>
    <row r="485" ht="12.75" hidden="1" x14ac:dyDescent="0.2"/>
    <row r="486" ht="12.75" hidden="1" x14ac:dyDescent="0.2"/>
    <row r="487" ht="12.75" hidden="1" x14ac:dyDescent="0.2"/>
    <row r="488" ht="12.75" hidden="1" x14ac:dyDescent="0.2"/>
    <row r="489" ht="12.75" hidden="1" x14ac:dyDescent="0.2"/>
    <row r="490" ht="12.75" hidden="1" x14ac:dyDescent="0.2"/>
    <row r="491" ht="12.75" hidden="1" x14ac:dyDescent="0.2"/>
    <row r="492" ht="12.75" hidden="1" x14ac:dyDescent="0.2"/>
    <row r="493" ht="12.75" hidden="1" x14ac:dyDescent="0.2"/>
    <row r="494" ht="12.75" hidden="1" x14ac:dyDescent="0.2"/>
    <row r="495" ht="12.75" hidden="1" x14ac:dyDescent="0.2"/>
    <row r="496" ht="12.75" hidden="1" x14ac:dyDescent="0.2"/>
    <row r="497" ht="12.75" hidden="1" x14ac:dyDescent="0.2"/>
    <row r="498" ht="12.75" hidden="1" x14ac:dyDescent="0.2"/>
    <row r="499" ht="12.75" hidden="1" x14ac:dyDescent="0.2"/>
    <row r="500" ht="12.75" hidden="1" x14ac:dyDescent="0.2"/>
    <row r="501" ht="12.75" hidden="1" x14ac:dyDescent="0.2"/>
    <row r="502" ht="12.75" hidden="1" x14ac:dyDescent="0.2"/>
    <row r="503" ht="12.75" hidden="1" x14ac:dyDescent="0.2"/>
    <row r="504" ht="12.75" hidden="1" x14ac:dyDescent="0.2"/>
    <row r="505" ht="12.75" hidden="1" x14ac:dyDescent="0.2"/>
    <row r="506" ht="12.75" hidden="1" x14ac:dyDescent="0.2"/>
    <row r="507" ht="12.75" hidden="1" x14ac:dyDescent="0.2"/>
    <row r="508" ht="12.75" hidden="1" x14ac:dyDescent="0.2"/>
    <row r="509" ht="12.75" hidden="1" x14ac:dyDescent="0.2"/>
    <row r="510" ht="12.75" hidden="1" x14ac:dyDescent="0.2"/>
    <row r="511" ht="12.75" hidden="1" x14ac:dyDescent="0.2"/>
    <row r="512" ht="12.75" hidden="1" x14ac:dyDescent="0.2"/>
    <row r="513" ht="12.75" hidden="1" x14ac:dyDescent="0.2"/>
    <row r="514" ht="12.75" hidden="1" x14ac:dyDescent="0.2"/>
    <row r="515" ht="12.75" hidden="1" x14ac:dyDescent="0.2"/>
    <row r="516" ht="12.75" hidden="1" x14ac:dyDescent="0.2"/>
    <row r="517" ht="12.75" hidden="1" x14ac:dyDescent="0.2"/>
    <row r="518" ht="12.75" hidden="1" x14ac:dyDescent="0.2"/>
    <row r="519" ht="12.75" hidden="1" x14ac:dyDescent="0.2"/>
    <row r="520" ht="12.75" hidden="1" x14ac:dyDescent="0.2"/>
    <row r="521" ht="12.75" hidden="1" x14ac:dyDescent="0.2"/>
    <row r="522" ht="12.75" hidden="1" x14ac:dyDescent="0.2"/>
    <row r="523" ht="12.75" hidden="1" x14ac:dyDescent="0.2"/>
    <row r="524" ht="12.75" hidden="1" x14ac:dyDescent="0.2"/>
    <row r="525" ht="12.75" hidden="1" x14ac:dyDescent="0.2"/>
    <row r="526" ht="12.75" hidden="1" x14ac:dyDescent="0.2"/>
    <row r="527" ht="12.75" hidden="1" x14ac:dyDescent="0.2"/>
    <row r="528" ht="12.75" hidden="1" x14ac:dyDescent="0.2"/>
    <row r="529" ht="12.75" hidden="1" x14ac:dyDescent="0.2"/>
    <row r="530" ht="12.75" hidden="1" x14ac:dyDescent="0.2"/>
    <row r="531" ht="12.75" hidden="1" x14ac:dyDescent="0.2"/>
    <row r="532" ht="12.75" hidden="1" x14ac:dyDescent="0.2"/>
    <row r="533" ht="12.75" hidden="1" x14ac:dyDescent="0.2"/>
    <row r="534" ht="12.75" hidden="1" x14ac:dyDescent="0.2"/>
    <row r="535" ht="12.75" hidden="1" x14ac:dyDescent="0.2"/>
    <row r="536" ht="12.75" hidden="1" x14ac:dyDescent="0.2"/>
    <row r="537" ht="12.75" hidden="1" x14ac:dyDescent="0.2"/>
    <row r="538" ht="12.75" hidden="1" x14ac:dyDescent="0.2"/>
    <row r="539" ht="12.75" hidden="1" x14ac:dyDescent="0.2"/>
    <row r="540" ht="12.75" hidden="1" x14ac:dyDescent="0.2"/>
    <row r="541" ht="12.75" hidden="1" x14ac:dyDescent="0.2"/>
    <row r="542" ht="12.75" hidden="1" x14ac:dyDescent="0.2"/>
    <row r="543" ht="12.75" hidden="1" x14ac:dyDescent="0.2"/>
    <row r="544" ht="12.75" hidden="1" x14ac:dyDescent="0.2"/>
    <row r="545" ht="12.75" hidden="1" x14ac:dyDescent="0.2"/>
    <row r="546" ht="12.75" hidden="1" x14ac:dyDescent="0.2"/>
    <row r="547" ht="12.75" hidden="1" x14ac:dyDescent="0.2"/>
    <row r="548" ht="12.75" hidden="1" x14ac:dyDescent="0.2"/>
    <row r="549" ht="12.75" hidden="1" x14ac:dyDescent="0.2"/>
    <row r="550" ht="12.75" hidden="1" x14ac:dyDescent="0.2"/>
    <row r="551" ht="12.75" hidden="1" x14ac:dyDescent="0.2"/>
    <row r="552" ht="12.75" hidden="1" x14ac:dyDescent="0.2"/>
    <row r="553" ht="12.75" hidden="1" x14ac:dyDescent="0.2"/>
    <row r="554" ht="12.75" hidden="1" x14ac:dyDescent="0.2"/>
    <row r="555" ht="12.75" hidden="1" x14ac:dyDescent="0.2"/>
    <row r="556" ht="12.75" hidden="1" x14ac:dyDescent="0.2"/>
    <row r="557" ht="12.75" hidden="1" x14ac:dyDescent="0.2"/>
    <row r="558" ht="12.75" hidden="1" x14ac:dyDescent="0.2"/>
    <row r="559" ht="12.75" hidden="1" x14ac:dyDescent="0.2"/>
    <row r="560" ht="12.75" hidden="1" x14ac:dyDescent="0.2"/>
    <row r="561" ht="12.75" hidden="1" x14ac:dyDescent="0.2"/>
    <row r="562" ht="12.75" hidden="1" x14ac:dyDescent="0.2"/>
    <row r="563" ht="12.75" hidden="1" x14ac:dyDescent="0.2"/>
    <row r="564" ht="12.75" hidden="1" x14ac:dyDescent="0.2"/>
    <row r="565" ht="12.75" hidden="1" x14ac:dyDescent="0.2"/>
    <row r="566" ht="12.75" hidden="1" x14ac:dyDescent="0.2"/>
    <row r="567" ht="12.75" hidden="1" x14ac:dyDescent="0.2"/>
    <row r="568" ht="12.75" hidden="1" x14ac:dyDescent="0.2"/>
    <row r="569" ht="12.75" hidden="1" x14ac:dyDescent="0.2"/>
    <row r="570" ht="12.75" hidden="1" x14ac:dyDescent="0.2"/>
    <row r="571" ht="12.75" hidden="1" x14ac:dyDescent="0.2"/>
    <row r="572" ht="12.75" hidden="1" x14ac:dyDescent="0.2"/>
    <row r="573" ht="12.75" hidden="1" x14ac:dyDescent="0.2"/>
    <row r="574" ht="12.75" hidden="1" x14ac:dyDescent="0.2"/>
    <row r="575" ht="12.75" hidden="1" x14ac:dyDescent="0.2"/>
    <row r="576" ht="12.75" hidden="1" x14ac:dyDescent="0.2"/>
    <row r="577" ht="12.75" hidden="1" x14ac:dyDescent="0.2"/>
    <row r="578" ht="12.75" hidden="1" x14ac:dyDescent="0.2"/>
    <row r="579" ht="12.75" hidden="1" x14ac:dyDescent="0.2"/>
    <row r="580" ht="12.75" hidden="1" x14ac:dyDescent="0.2"/>
    <row r="581" ht="12.75" hidden="1" x14ac:dyDescent="0.2"/>
    <row r="582" ht="12.75" hidden="1" x14ac:dyDescent="0.2"/>
    <row r="583" ht="12.75" hidden="1" x14ac:dyDescent="0.2"/>
    <row r="584" ht="12.75" hidden="1" x14ac:dyDescent="0.2"/>
    <row r="585" ht="12.75" hidden="1" x14ac:dyDescent="0.2"/>
    <row r="586" ht="12.75" hidden="1" x14ac:dyDescent="0.2"/>
    <row r="587" ht="12.75" hidden="1" x14ac:dyDescent="0.2"/>
    <row r="588" ht="12.75" hidden="1" x14ac:dyDescent="0.2"/>
    <row r="589" ht="12.75" hidden="1" x14ac:dyDescent="0.2"/>
    <row r="590" ht="12.75" hidden="1" x14ac:dyDescent="0.2"/>
    <row r="591" ht="12.75" hidden="1" x14ac:dyDescent="0.2"/>
    <row r="592" ht="12.75" hidden="1" x14ac:dyDescent="0.2"/>
    <row r="593" ht="12.75" hidden="1" x14ac:dyDescent="0.2"/>
    <row r="594" ht="12.75" hidden="1" x14ac:dyDescent="0.2"/>
    <row r="595" ht="12.75" hidden="1" x14ac:dyDescent="0.2"/>
    <row r="596" ht="12.75" hidden="1" x14ac:dyDescent="0.2"/>
    <row r="597" ht="12.75" hidden="1" x14ac:dyDescent="0.2"/>
    <row r="598" ht="12.75" hidden="1" x14ac:dyDescent="0.2"/>
    <row r="599" ht="12.75" hidden="1" x14ac:dyDescent="0.2"/>
    <row r="600" ht="12.75" hidden="1" x14ac:dyDescent="0.2"/>
    <row r="601" ht="12.75" hidden="1" x14ac:dyDescent="0.2"/>
    <row r="602" ht="12.75" hidden="1" x14ac:dyDescent="0.2"/>
    <row r="603" ht="12.75" hidden="1" x14ac:dyDescent="0.2"/>
    <row r="604" ht="12.75" hidden="1" x14ac:dyDescent="0.2"/>
    <row r="605" ht="12.75" hidden="1" x14ac:dyDescent="0.2"/>
    <row r="606" ht="12.75" hidden="1" x14ac:dyDescent="0.2"/>
    <row r="607" ht="12.75" hidden="1" x14ac:dyDescent="0.2"/>
    <row r="608" ht="12.75" hidden="1" x14ac:dyDescent="0.2"/>
    <row r="609" ht="12.75" hidden="1" x14ac:dyDescent="0.2"/>
    <row r="610" ht="12.75" hidden="1" x14ac:dyDescent="0.2"/>
    <row r="611" ht="12.75" hidden="1" x14ac:dyDescent="0.2"/>
    <row r="612" ht="12.75" hidden="1" x14ac:dyDescent="0.2"/>
    <row r="613" ht="12.75" hidden="1" x14ac:dyDescent="0.2"/>
    <row r="614" ht="12.75" hidden="1" x14ac:dyDescent="0.2"/>
    <row r="615" ht="12.75" hidden="1" x14ac:dyDescent="0.2"/>
    <row r="616" ht="12.75" hidden="1" x14ac:dyDescent="0.2"/>
    <row r="617" ht="12.75" hidden="1" x14ac:dyDescent="0.2"/>
    <row r="618" ht="12.75" hidden="1" x14ac:dyDescent="0.2"/>
    <row r="619" ht="12.75" hidden="1" x14ac:dyDescent="0.2"/>
    <row r="620" ht="12.75" hidden="1" x14ac:dyDescent="0.2"/>
    <row r="621" ht="12.75" hidden="1" x14ac:dyDescent="0.2"/>
    <row r="622" ht="12.75" hidden="1" x14ac:dyDescent="0.2"/>
    <row r="623" ht="12.75" hidden="1" x14ac:dyDescent="0.2"/>
    <row r="624" ht="12.75" hidden="1" x14ac:dyDescent="0.2"/>
    <row r="625" ht="12.75" hidden="1" x14ac:dyDescent="0.2"/>
    <row r="626" ht="12.75" hidden="1" x14ac:dyDescent="0.2"/>
    <row r="627" ht="12.75" hidden="1" x14ac:dyDescent="0.2"/>
    <row r="628" ht="12.75" hidden="1" x14ac:dyDescent="0.2"/>
    <row r="629" ht="12.75" hidden="1" x14ac:dyDescent="0.2"/>
    <row r="630" ht="12.75" hidden="1" x14ac:dyDescent="0.2"/>
    <row r="631" ht="12.75" hidden="1" x14ac:dyDescent="0.2"/>
    <row r="632" ht="12.75" hidden="1" x14ac:dyDescent="0.2"/>
    <row r="633" ht="12.75" hidden="1" x14ac:dyDescent="0.2"/>
    <row r="634" ht="12.75" hidden="1" x14ac:dyDescent="0.2"/>
    <row r="635" ht="12.75" hidden="1" x14ac:dyDescent="0.2"/>
    <row r="636" ht="12.75" hidden="1" x14ac:dyDescent="0.2"/>
    <row r="637" ht="12.75" hidden="1" x14ac:dyDescent="0.2"/>
    <row r="638" ht="12.75" hidden="1" x14ac:dyDescent="0.2"/>
    <row r="639" ht="12.75" hidden="1" x14ac:dyDescent="0.2"/>
    <row r="640" ht="12.75" hidden="1" x14ac:dyDescent="0.2"/>
    <row r="641" ht="12.75" hidden="1" x14ac:dyDescent="0.2"/>
    <row r="642" ht="12.75" hidden="1" x14ac:dyDescent="0.2"/>
    <row r="643" ht="12.75" hidden="1" x14ac:dyDescent="0.2"/>
    <row r="644" ht="12.75" hidden="1" x14ac:dyDescent="0.2"/>
    <row r="645" ht="12.75" hidden="1" x14ac:dyDescent="0.2"/>
    <row r="646" ht="12.75" hidden="1" x14ac:dyDescent="0.2"/>
    <row r="647" ht="12.75" hidden="1" x14ac:dyDescent="0.2"/>
    <row r="648" ht="12.75" hidden="1" x14ac:dyDescent="0.2"/>
    <row r="649" ht="12.75" hidden="1" x14ac:dyDescent="0.2"/>
    <row r="650" ht="12.75" hidden="1" x14ac:dyDescent="0.2"/>
    <row r="651" ht="12.75" hidden="1" x14ac:dyDescent="0.2"/>
    <row r="652" ht="12.75" hidden="1" x14ac:dyDescent="0.2"/>
    <row r="653" ht="12.75" hidden="1" x14ac:dyDescent="0.2"/>
    <row r="654" ht="12.75" hidden="1" x14ac:dyDescent="0.2"/>
    <row r="655" ht="12.75" hidden="1" x14ac:dyDescent="0.2"/>
    <row r="656" ht="12.75" hidden="1" x14ac:dyDescent="0.2"/>
    <row r="657" ht="12.75" hidden="1" x14ac:dyDescent="0.2"/>
    <row r="658" ht="12.75" hidden="1" x14ac:dyDescent="0.2"/>
    <row r="659" ht="12.75" hidden="1" x14ac:dyDescent="0.2"/>
    <row r="660" ht="12.75" hidden="1" x14ac:dyDescent="0.2"/>
    <row r="661" ht="12.75" hidden="1" x14ac:dyDescent="0.2"/>
    <row r="662" ht="12.75" hidden="1" x14ac:dyDescent="0.2"/>
    <row r="663" ht="12.75" hidden="1" x14ac:dyDescent="0.2"/>
    <row r="664" ht="12.75" hidden="1" x14ac:dyDescent="0.2"/>
    <row r="665" ht="12.75" hidden="1" x14ac:dyDescent="0.2"/>
    <row r="666" ht="12.75" hidden="1" x14ac:dyDescent="0.2"/>
    <row r="667" ht="12.75" hidden="1" x14ac:dyDescent="0.2"/>
    <row r="668" ht="12.75" hidden="1" x14ac:dyDescent="0.2"/>
    <row r="669" ht="12.75" hidden="1" x14ac:dyDescent="0.2"/>
    <row r="670" ht="12.75" hidden="1" x14ac:dyDescent="0.2"/>
    <row r="671" ht="12.75" hidden="1" x14ac:dyDescent="0.2"/>
    <row r="672" ht="12.75" hidden="1" x14ac:dyDescent="0.2"/>
    <row r="673" ht="12.75" hidden="1" x14ac:dyDescent="0.2"/>
    <row r="674" ht="12.75" hidden="1" x14ac:dyDescent="0.2"/>
    <row r="675" ht="12.75" hidden="1" x14ac:dyDescent="0.2"/>
    <row r="676" ht="12.75" hidden="1" x14ac:dyDescent="0.2"/>
    <row r="677" ht="12.75" hidden="1" x14ac:dyDescent="0.2"/>
    <row r="678" ht="12.75" hidden="1" x14ac:dyDescent="0.2"/>
    <row r="679" ht="12.75" hidden="1" x14ac:dyDescent="0.2"/>
    <row r="680" ht="12.75" hidden="1" x14ac:dyDescent="0.2"/>
    <row r="681" ht="12.75" hidden="1" x14ac:dyDescent="0.2"/>
    <row r="682" ht="12.75" hidden="1" x14ac:dyDescent="0.2"/>
    <row r="683" ht="12.75" hidden="1" x14ac:dyDescent="0.2"/>
    <row r="684" ht="12.75" hidden="1" x14ac:dyDescent="0.2"/>
    <row r="685" ht="12.75" hidden="1" x14ac:dyDescent="0.2"/>
    <row r="686" ht="12.75" hidden="1" x14ac:dyDescent="0.2"/>
    <row r="687" ht="12.75" hidden="1" x14ac:dyDescent="0.2"/>
    <row r="688" ht="12.75" hidden="1" x14ac:dyDescent="0.2"/>
    <row r="689" ht="12.75" hidden="1" x14ac:dyDescent="0.2"/>
    <row r="690" ht="12.75" hidden="1" x14ac:dyDescent="0.2"/>
    <row r="691" ht="12.75" hidden="1" x14ac:dyDescent="0.2"/>
    <row r="692" ht="12.75" hidden="1" x14ac:dyDescent="0.2"/>
    <row r="693" ht="12.75" hidden="1" x14ac:dyDescent="0.2"/>
    <row r="694" ht="12.75" hidden="1" x14ac:dyDescent="0.2"/>
    <row r="695" ht="12.75" hidden="1" x14ac:dyDescent="0.2"/>
    <row r="696" ht="12.75" hidden="1" x14ac:dyDescent="0.2"/>
    <row r="697" ht="12.75" hidden="1" x14ac:dyDescent="0.2"/>
    <row r="698" ht="12.75" hidden="1" x14ac:dyDescent="0.2"/>
    <row r="699" ht="12.75" hidden="1" x14ac:dyDescent="0.2"/>
    <row r="700" ht="12.75" hidden="1" x14ac:dyDescent="0.2"/>
    <row r="701" ht="12.75" hidden="1" x14ac:dyDescent="0.2"/>
    <row r="702" ht="12.75" hidden="1" x14ac:dyDescent="0.2"/>
    <row r="703" ht="12.75" hidden="1" x14ac:dyDescent="0.2"/>
    <row r="704" ht="12.75" hidden="1" x14ac:dyDescent="0.2"/>
    <row r="705" ht="12.75" hidden="1" x14ac:dyDescent="0.2"/>
    <row r="706" ht="12.75" hidden="1" x14ac:dyDescent="0.2"/>
    <row r="707" ht="12.75" hidden="1" x14ac:dyDescent="0.2"/>
    <row r="708" ht="12.75" hidden="1" x14ac:dyDescent="0.2"/>
    <row r="709" ht="12.75" hidden="1" x14ac:dyDescent="0.2"/>
    <row r="710" ht="12.75" hidden="1" x14ac:dyDescent="0.2"/>
    <row r="711" ht="12.75" hidden="1" x14ac:dyDescent="0.2"/>
    <row r="712" ht="12.75" hidden="1" x14ac:dyDescent="0.2"/>
    <row r="713" ht="12.75" hidden="1" x14ac:dyDescent="0.2"/>
    <row r="714" ht="12.75" hidden="1" x14ac:dyDescent="0.2"/>
    <row r="715" ht="12.75" hidden="1" x14ac:dyDescent="0.2"/>
    <row r="716" ht="12.75" hidden="1" x14ac:dyDescent="0.2"/>
    <row r="717" ht="12.75" hidden="1" x14ac:dyDescent="0.2"/>
    <row r="718" ht="12.75" hidden="1" x14ac:dyDescent="0.2"/>
    <row r="719" ht="12.75" hidden="1" x14ac:dyDescent="0.2"/>
    <row r="720" ht="12.75" hidden="1" x14ac:dyDescent="0.2"/>
    <row r="721" ht="12.75" hidden="1" x14ac:dyDescent="0.2"/>
    <row r="722" ht="12.75" hidden="1" x14ac:dyDescent="0.2"/>
    <row r="723" ht="12.75" hidden="1" x14ac:dyDescent="0.2"/>
    <row r="724" ht="12.75" hidden="1" x14ac:dyDescent="0.2"/>
    <row r="725" ht="12.75" hidden="1" x14ac:dyDescent="0.2"/>
    <row r="726" ht="12.75" hidden="1" x14ac:dyDescent="0.2"/>
    <row r="727" ht="12.75" hidden="1" x14ac:dyDescent="0.2"/>
    <row r="728" ht="12.75" hidden="1" x14ac:dyDescent="0.2"/>
    <row r="729" ht="12.75" hidden="1" x14ac:dyDescent="0.2"/>
    <row r="730" ht="12.75" hidden="1" x14ac:dyDescent="0.2"/>
    <row r="731" ht="12.75" hidden="1" x14ac:dyDescent="0.2"/>
    <row r="732" ht="12.75" hidden="1" x14ac:dyDescent="0.2"/>
    <row r="733" ht="12.75" hidden="1" x14ac:dyDescent="0.2"/>
    <row r="734" ht="12.75" hidden="1" x14ac:dyDescent="0.2"/>
    <row r="735" ht="12.75" hidden="1" x14ac:dyDescent="0.2"/>
    <row r="736" ht="12.75" hidden="1" x14ac:dyDescent="0.2"/>
    <row r="737" ht="12.75" hidden="1" x14ac:dyDescent="0.2"/>
    <row r="738" ht="12.75" hidden="1" x14ac:dyDescent="0.2"/>
    <row r="739" ht="12.75" hidden="1" x14ac:dyDescent="0.2"/>
    <row r="740" ht="12.75" hidden="1" x14ac:dyDescent="0.2"/>
    <row r="741" ht="12.75" hidden="1" x14ac:dyDescent="0.2"/>
    <row r="742" ht="12.75" hidden="1" x14ac:dyDescent="0.2"/>
    <row r="743" ht="12.75" hidden="1" x14ac:dyDescent="0.2"/>
    <row r="744" ht="12.75" hidden="1" x14ac:dyDescent="0.2"/>
    <row r="745" ht="12.75" hidden="1" x14ac:dyDescent="0.2"/>
    <row r="746" ht="12.75" hidden="1" x14ac:dyDescent="0.2"/>
    <row r="747" ht="12.75" hidden="1" x14ac:dyDescent="0.2"/>
    <row r="748" ht="12.75" hidden="1" x14ac:dyDescent="0.2"/>
    <row r="749" ht="12.75" hidden="1" x14ac:dyDescent="0.2"/>
    <row r="750" ht="12.75" hidden="1" x14ac:dyDescent="0.2"/>
    <row r="751" ht="12.75" hidden="1" x14ac:dyDescent="0.2"/>
    <row r="752" ht="12.75" hidden="1" x14ac:dyDescent="0.2"/>
    <row r="753" ht="12.75" hidden="1" x14ac:dyDescent="0.2"/>
    <row r="754" ht="12.75" hidden="1" x14ac:dyDescent="0.2"/>
    <row r="755" ht="12.75" hidden="1" x14ac:dyDescent="0.2"/>
    <row r="756" ht="12.75" hidden="1" x14ac:dyDescent="0.2"/>
    <row r="757" ht="12.75" hidden="1" x14ac:dyDescent="0.2"/>
    <row r="758" ht="12.75" hidden="1" x14ac:dyDescent="0.2"/>
    <row r="759" ht="12.75" hidden="1" x14ac:dyDescent="0.2"/>
    <row r="760" ht="12.75" hidden="1" x14ac:dyDescent="0.2"/>
    <row r="761" ht="12.75" hidden="1" x14ac:dyDescent="0.2"/>
    <row r="762" ht="12.75" hidden="1" x14ac:dyDescent="0.2"/>
    <row r="763" ht="12.75" hidden="1" x14ac:dyDescent="0.2"/>
    <row r="764" ht="12.75" hidden="1" x14ac:dyDescent="0.2"/>
    <row r="765" ht="12.75" hidden="1" x14ac:dyDescent="0.2"/>
    <row r="766" ht="12.75" hidden="1" x14ac:dyDescent="0.2"/>
    <row r="767" ht="12.75" hidden="1" x14ac:dyDescent="0.2"/>
    <row r="768" ht="12.75" hidden="1" x14ac:dyDescent="0.2"/>
    <row r="769" ht="12.75" hidden="1" x14ac:dyDescent="0.2"/>
    <row r="770" ht="12.75" hidden="1" x14ac:dyDescent="0.2"/>
    <row r="771" ht="12.75" hidden="1" x14ac:dyDescent="0.2"/>
    <row r="772" ht="12.75" hidden="1" x14ac:dyDescent="0.2"/>
    <row r="773" ht="12.75" hidden="1" x14ac:dyDescent="0.2"/>
    <row r="774" ht="12.75" hidden="1" x14ac:dyDescent="0.2"/>
    <row r="775" ht="12.75" hidden="1" x14ac:dyDescent="0.2"/>
    <row r="776" ht="12.75" hidden="1" x14ac:dyDescent="0.2"/>
    <row r="777" ht="12.75" hidden="1" x14ac:dyDescent="0.2"/>
    <row r="778" ht="12.75" hidden="1" x14ac:dyDescent="0.2"/>
    <row r="779" ht="12.75" hidden="1" x14ac:dyDescent="0.2"/>
    <row r="780" ht="12.75" hidden="1" x14ac:dyDescent="0.2"/>
    <row r="781" ht="12.75" hidden="1" x14ac:dyDescent="0.2"/>
    <row r="782" ht="12.75" hidden="1" x14ac:dyDescent="0.2"/>
    <row r="783" ht="12.75" hidden="1" x14ac:dyDescent="0.2"/>
    <row r="784" ht="12.75" hidden="1" x14ac:dyDescent="0.2"/>
    <row r="785" ht="12.75" hidden="1" x14ac:dyDescent="0.2"/>
    <row r="786" ht="12.75" hidden="1" x14ac:dyDescent="0.2"/>
    <row r="787" ht="12.75" hidden="1" x14ac:dyDescent="0.2"/>
    <row r="788" ht="12.75" hidden="1" x14ac:dyDescent="0.2"/>
    <row r="789" ht="12.75" hidden="1" x14ac:dyDescent="0.2"/>
    <row r="790" ht="12.75" hidden="1" x14ac:dyDescent="0.2"/>
    <row r="791" ht="12.75" hidden="1" x14ac:dyDescent="0.2"/>
    <row r="792" ht="12.75" hidden="1" x14ac:dyDescent="0.2"/>
    <row r="793" ht="12.75" hidden="1" x14ac:dyDescent="0.2"/>
    <row r="794" ht="12.75" hidden="1" x14ac:dyDescent="0.2"/>
    <row r="795" ht="12.75" hidden="1" x14ac:dyDescent="0.2"/>
    <row r="796" ht="12.75" hidden="1" x14ac:dyDescent="0.2"/>
    <row r="797" ht="12.75" hidden="1" x14ac:dyDescent="0.2"/>
    <row r="798" ht="12.75" hidden="1" x14ac:dyDescent="0.2"/>
    <row r="799" ht="12.75" hidden="1" x14ac:dyDescent="0.2"/>
    <row r="800" ht="12.75" hidden="1" x14ac:dyDescent="0.2"/>
    <row r="801" ht="12.75" hidden="1" x14ac:dyDescent="0.2"/>
    <row r="802" ht="12.75" hidden="1" x14ac:dyDescent="0.2"/>
    <row r="803" ht="12.75" hidden="1" x14ac:dyDescent="0.2"/>
    <row r="804" ht="12.75" hidden="1" x14ac:dyDescent="0.2"/>
    <row r="805" ht="12.75" hidden="1" x14ac:dyDescent="0.2"/>
    <row r="806" ht="12.75" hidden="1" x14ac:dyDescent="0.2"/>
    <row r="807" ht="12.75" hidden="1" x14ac:dyDescent="0.2"/>
    <row r="808" ht="12.75" hidden="1" x14ac:dyDescent="0.2"/>
    <row r="809" ht="12.75" hidden="1" x14ac:dyDescent="0.2"/>
    <row r="810" ht="12.75" hidden="1" x14ac:dyDescent="0.2"/>
    <row r="811" ht="12.75" hidden="1" x14ac:dyDescent="0.2"/>
    <row r="812" ht="12.75" hidden="1" x14ac:dyDescent="0.2"/>
    <row r="813" ht="12.75" hidden="1" x14ac:dyDescent="0.2"/>
    <row r="814" ht="12.75" hidden="1" x14ac:dyDescent="0.2"/>
    <row r="815" ht="12.75" hidden="1" x14ac:dyDescent="0.2"/>
    <row r="816" ht="12.75" hidden="1" x14ac:dyDescent="0.2"/>
    <row r="817" ht="12.75" hidden="1" x14ac:dyDescent="0.2"/>
    <row r="818" ht="12.75" hidden="1" x14ac:dyDescent="0.2"/>
    <row r="819" ht="12.75" hidden="1" x14ac:dyDescent="0.2"/>
    <row r="820" ht="12.75" hidden="1" x14ac:dyDescent="0.2"/>
    <row r="821" ht="12.75" hidden="1" x14ac:dyDescent="0.2"/>
    <row r="822" ht="12.75" hidden="1" x14ac:dyDescent="0.2"/>
    <row r="823" ht="12.75" hidden="1" x14ac:dyDescent="0.2"/>
    <row r="824" ht="12.75" hidden="1" x14ac:dyDescent="0.2"/>
    <row r="825" ht="12.75" hidden="1" x14ac:dyDescent="0.2"/>
    <row r="826" ht="12.75" hidden="1" x14ac:dyDescent="0.2"/>
    <row r="827" ht="12.75" hidden="1" x14ac:dyDescent="0.2"/>
    <row r="828" ht="12.75" hidden="1" x14ac:dyDescent="0.2"/>
    <row r="829" ht="12.75" hidden="1" x14ac:dyDescent="0.2"/>
    <row r="830" ht="12.75" hidden="1" x14ac:dyDescent="0.2"/>
    <row r="831" ht="12.75" hidden="1" x14ac:dyDescent="0.2"/>
    <row r="832" ht="12.75" hidden="1" x14ac:dyDescent="0.2"/>
    <row r="833" ht="12.75" hidden="1" x14ac:dyDescent="0.2"/>
    <row r="834" ht="12.75" hidden="1" x14ac:dyDescent="0.2"/>
    <row r="835" ht="12.75" hidden="1" x14ac:dyDescent="0.2"/>
    <row r="836" ht="12.75" hidden="1" x14ac:dyDescent="0.2"/>
    <row r="837" ht="12.75" hidden="1" x14ac:dyDescent="0.2"/>
    <row r="838" ht="12.75" hidden="1" x14ac:dyDescent="0.2"/>
    <row r="839" ht="12.75" hidden="1" x14ac:dyDescent="0.2"/>
    <row r="840" ht="12.75" hidden="1" x14ac:dyDescent="0.2"/>
    <row r="841" ht="12.75" hidden="1" x14ac:dyDescent="0.2"/>
    <row r="842" ht="12.75" hidden="1" x14ac:dyDescent="0.2"/>
    <row r="843" ht="12.75" hidden="1" x14ac:dyDescent="0.2"/>
    <row r="844" ht="12.75" hidden="1" x14ac:dyDescent="0.2"/>
    <row r="845" ht="12.75" hidden="1" x14ac:dyDescent="0.2"/>
    <row r="846" ht="12.75" hidden="1" x14ac:dyDescent="0.2"/>
    <row r="847" ht="12.75" hidden="1" x14ac:dyDescent="0.2"/>
    <row r="848" ht="12.75" hidden="1" x14ac:dyDescent="0.2"/>
    <row r="849" ht="12.75" hidden="1" x14ac:dyDescent="0.2"/>
    <row r="850" ht="12.75" hidden="1" x14ac:dyDescent="0.2"/>
    <row r="851" ht="12.75" hidden="1" x14ac:dyDescent="0.2"/>
    <row r="852" ht="12.75" hidden="1" x14ac:dyDescent="0.2"/>
    <row r="853" ht="12.75" hidden="1" x14ac:dyDescent="0.2"/>
    <row r="854" ht="12.75" hidden="1" x14ac:dyDescent="0.2"/>
    <row r="855" ht="12.75" hidden="1" x14ac:dyDescent="0.2"/>
    <row r="856" ht="12.75" hidden="1" x14ac:dyDescent="0.2"/>
    <row r="857" ht="12.75" hidden="1" x14ac:dyDescent="0.2"/>
    <row r="858" ht="12.75" hidden="1" x14ac:dyDescent="0.2"/>
    <row r="859" ht="12.75" hidden="1" x14ac:dyDescent="0.2"/>
    <row r="860" ht="12.75" hidden="1" x14ac:dyDescent="0.2"/>
    <row r="861" ht="12.75" hidden="1" x14ac:dyDescent="0.2"/>
    <row r="862" ht="12.75" hidden="1" x14ac:dyDescent="0.2"/>
    <row r="863" ht="12.75" hidden="1" x14ac:dyDescent="0.2"/>
    <row r="864" ht="12.75" hidden="1" x14ac:dyDescent="0.2"/>
    <row r="865" ht="12.75" hidden="1" x14ac:dyDescent="0.2"/>
    <row r="866" ht="12.75" hidden="1" x14ac:dyDescent="0.2"/>
    <row r="867" ht="12.75" hidden="1" x14ac:dyDescent="0.2"/>
    <row r="868" ht="12.75" hidden="1" x14ac:dyDescent="0.2"/>
    <row r="869" ht="12.75" hidden="1" x14ac:dyDescent="0.2"/>
    <row r="870" ht="12.75" hidden="1" x14ac:dyDescent="0.2"/>
    <row r="871" ht="12.75" hidden="1" x14ac:dyDescent="0.2"/>
    <row r="872" ht="12.75" hidden="1" x14ac:dyDescent="0.2"/>
    <row r="873" ht="12.75" hidden="1" x14ac:dyDescent="0.2"/>
    <row r="874" ht="12.75" hidden="1" x14ac:dyDescent="0.2"/>
    <row r="875" ht="12.75" hidden="1" x14ac:dyDescent="0.2"/>
    <row r="876" ht="12.75" hidden="1" x14ac:dyDescent="0.2"/>
    <row r="877" ht="12.75" hidden="1" x14ac:dyDescent="0.2"/>
    <row r="878" ht="12.75" hidden="1" x14ac:dyDescent="0.2"/>
    <row r="879" ht="12.75" hidden="1" x14ac:dyDescent="0.2"/>
    <row r="880" ht="12.75" hidden="1" x14ac:dyDescent="0.2"/>
    <row r="881" ht="12.75" hidden="1" x14ac:dyDescent="0.2"/>
    <row r="882" ht="12.75" hidden="1" x14ac:dyDescent="0.2"/>
    <row r="883" ht="12.75" hidden="1" x14ac:dyDescent="0.2"/>
    <row r="884" ht="12.75" hidden="1" x14ac:dyDescent="0.2"/>
    <row r="885" ht="12.75" hidden="1" x14ac:dyDescent="0.2"/>
    <row r="886" ht="12.75" hidden="1" x14ac:dyDescent="0.2"/>
    <row r="887" ht="12.75" hidden="1" x14ac:dyDescent="0.2"/>
    <row r="888" ht="12.75" hidden="1" x14ac:dyDescent="0.2"/>
    <row r="889" ht="12.75" hidden="1" x14ac:dyDescent="0.2"/>
    <row r="890" ht="12.75" hidden="1" x14ac:dyDescent="0.2"/>
    <row r="891" ht="12.75" hidden="1" x14ac:dyDescent="0.2"/>
    <row r="892" ht="12.75" hidden="1" x14ac:dyDescent="0.2"/>
    <row r="893" ht="12.75" hidden="1" x14ac:dyDescent="0.2"/>
    <row r="894" ht="12.75" hidden="1" x14ac:dyDescent="0.2"/>
    <row r="895" ht="12.75" hidden="1" x14ac:dyDescent="0.2"/>
    <row r="896" ht="12.75" hidden="1" x14ac:dyDescent="0.2"/>
    <row r="897" ht="12.75" hidden="1" x14ac:dyDescent="0.2"/>
    <row r="898" ht="12.75" hidden="1" x14ac:dyDescent="0.2"/>
    <row r="899" ht="12.75" hidden="1" x14ac:dyDescent="0.2"/>
    <row r="900" ht="12.75" hidden="1" x14ac:dyDescent="0.2"/>
    <row r="901" ht="12.75" hidden="1" x14ac:dyDescent="0.2"/>
    <row r="902" ht="12.75" hidden="1" x14ac:dyDescent="0.2"/>
    <row r="903" ht="12.75" hidden="1" x14ac:dyDescent="0.2"/>
    <row r="904" ht="12.75" hidden="1" x14ac:dyDescent="0.2"/>
    <row r="905" ht="12.75" hidden="1" x14ac:dyDescent="0.2"/>
    <row r="906" ht="12.75" hidden="1" x14ac:dyDescent="0.2"/>
    <row r="907" ht="12.75" hidden="1" x14ac:dyDescent="0.2"/>
    <row r="908" ht="12.75" hidden="1" x14ac:dyDescent="0.2"/>
    <row r="909" ht="12.75" hidden="1" x14ac:dyDescent="0.2"/>
    <row r="910" ht="12.75" hidden="1" x14ac:dyDescent="0.2"/>
    <row r="911" ht="12.75" hidden="1" x14ac:dyDescent="0.2"/>
    <row r="912" ht="12.75" hidden="1" x14ac:dyDescent="0.2"/>
    <row r="913" ht="12.75" hidden="1" x14ac:dyDescent="0.2"/>
    <row r="914" ht="12.75" hidden="1" x14ac:dyDescent="0.2"/>
    <row r="915" ht="12.75" hidden="1" x14ac:dyDescent="0.2"/>
    <row r="916" ht="12.75" hidden="1" x14ac:dyDescent="0.2"/>
    <row r="917" ht="12.75" hidden="1" x14ac:dyDescent="0.2"/>
    <row r="918" ht="12.75" hidden="1" x14ac:dyDescent="0.2"/>
    <row r="919" ht="12.75" hidden="1" x14ac:dyDescent="0.2"/>
    <row r="920" ht="12.75" hidden="1" x14ac:dyDescent="0.2"/>
    <row r="921" ht="12.75" hidden="1" x14ac:dyDescent="0.2"/>
    <row r="922" ht="12.75" hidden="1" x14ac:dyDescent="0.2"/>
    <row r="923" ht="12.75" hidden="1" x14ac:dyDescent="0.2"/>
    <row r="924" ht="12.75" hidden="1" x14ac:dyDescent="0.2"/>
    <row r="925" ht="12.75" hidden="1" x14ac:dyDescent="0.2"/>
    <row r="926" ht="12.75" hidden="1" x14ac:dyDescent="0.2"/>
    <row r="927" ht="12.75" hidden="1" x14ac:dyDescent="0.2"/>
    <row r="928" ht="12.75" hidden="1" x14ac:dyDescent="0.2"/>
    <row r="929" ht="12.75" hidden="1" x14ac:dyDescent="0.2"/>
    <row r="930" ht="12.75" hidden="1" x14ac:dyDescent="0.2"/>
    <row r="931" ht="12.75" hidden="1" x14ac:dyDescent="0.2"/>
    <row r="932" ht="12.75" hidden="1" x14ac:dyDescent="0.2"/>
    <row r="933" ht="12.75" hidden="1" x14ac:dyDescent="0.2"/>
    <row r="934" ht="12.75" hidden="1" x14ac:dyDescent="0.2"/>
    <row r="935" ht="12.75" hidden="1" x14ac:dyDescent="0.2"/>
    <row r="936" ht="12.75" hidden="1" x14ac:dyDescent="0.2"/>
    <row r="937" ht="12.75" hidden="1" x14ac:dyDescent="0.2"/>
    <row r="938" ht="12.75" hidden="1" x14ac:dyDescent="0.2"/>
    <row r="939" ht="12.75" hidden="1" x14ac:dyDescent="0.2"/>
    <row r="940" ht="12.75" hidden="1" x14ac:dyDescent="0.2"/>
    <row r="941" ht="12.75" hidden="1" x14ac:dyDescent="0.2"/>
    <row r="942" ht="12.75" hidden="1" x14ac:dyDescent="0.2"/>
    <row r="943" ht="12.75" hidden="1" x14ac:dyDescent="0.2"/>
    <row r="944" ht="12.75" hidden="1" x14ac:dyDescent="0.2"/>
    <row r="945" ht="12.75" hidden="1" x14ac:dyDescent="0.2"/>
    <row r="946" ht="12.75" hidden="1" x14ac:dyDescent="0.2"/>
    <row r="947" ht="12.75" hidden="1" x14ac:dyDescent="0.2"/>
    <row r="948" ht="12.75" hidden="1" x14ac:dyDescent="0.2"/>
    <row r="949" ht="12.75" hidden="1" x14ac:dyDescent="0.2"/>
    <row r="950" ht="12.75" hidden="1" x14ac:dyDescent="0.2"/>
    <row r="951" ht="12.75" hidden="1" x14ac:dyDescent="0.2"/>
    <row r="952" ht="12.75" hidden="1" x14ac:dyDescent="0.2"/>
    <row r="953" ht="12.75" hidden="1" x14ac:dyDescent="0.2"/>
    <row r="954" ht="12.75" hidden="1" x14ac:dyDescent="0.2"/>
    <row r="955" ht="12.75" hidden="1" x14ac:dyDescent="0.2"/>
    <row r="956" ht="12.75" hidden="1" x14ac:dyDescent="0.2"/>
    <row r="957" ht="12.75" hidden="1" x14ac:dyDescent="0.2"/>
    <row r="958" ht="12.75" hidden="1" x14ac:dyDescent="0.2"/>
    <row r="959" ht="12.75" hidden="1" x14ac:dyDescent="0.2"/>
    <row r="960" ht="12.75" hidden="1" x14ac:dyDescent="0.2"/>
    <row r="961" ht="12.75" hidden="1" x14ac:dyDescent="0.2"/>
    <row r="962" ht="12.75" hidden="1" x14ac:dyDescent="0.2"/>
    <row r="963" ht="12.75" hidden="1" x14ac:dyDescent="0.2"/>
    <row r="964" ht="12.75" hidden="1" x14ac:dyDescent="0.2"/>
    <row r="965" ht="12.75" hidden="1" x14ac:dyDescent="0.2"/>
    <row r="966" ht="12.75" hidden="1" x14ac:dyDescent="0.2"/>
    <row r="967" ht="12.75" hidden="1" x14ac:dyDescent="0.2"/>
    <row r="968" ht="12.75" hidden="1" x14ac:dyDescent="0.2"/>
    <row r="969" ht="12.75" hidden="1" x14ac:dyDescent="0.2"/>
    <row r="970" ht="12.75" hidden="1" x14ac:dyDescent="0.2"/>
    <row r="971" ht="12.75" hidden="1" x14ac:dyDescent="0.2"/>
    <row r="972" ht="12.75" hidden="1" x14ac:dyDescent="0.2"/>
    <row r="973" ht="12.75" hidden="1" x14ac:dyDescent="0.2"/>
    <row r="974" ht="12.75" hidden="1" x14ac:dyDescent="0.2"/>
    <row r="975" ht="12.75" hidden="1" x14ac:dyDescent="0.2"/>
    <row r="976" ht="12.75" hidden="1" x14ac:dyDescent="0.2"/>
    <row r="977" ht="12.75" hidden="1" x14ac:dyDescent="0.2"/>
    <row r="978" ht="12.75" hidden="1" x14ac:dyDescent="0.2"/>
    <row r="979" ht="12.75" hidden="1" x14ac:dyDescent="0.2"/>
    <row r="980" ht="12.75" hidden="1" x14ac:dyDescent="0.2"/>
    <row r="981" ht="12.75" hidden="1" x14ac:dyDescent="0.2"/>
    <row r="982" ht="12.75" hidden="1" x14ac:dyDescent="0.2"/>
    <row r="983" ht="12.75" hidden="1" x14ac:dyDescent="0.2"/>
    <row r="984" ht="12.75" hidden="1" x14ac:dyDescent="0.2"/>
    <row r="985" ht="12.75" hidden="1" x14ac:dyDescent="0.2"/>
    <row r="986" ht="12.75" hidden="1" x14ac:dyDescent="0.2"/>
    <row r="987" ht="12.75" hidden="1" x14ac:dyDescent="0.2"/>
    <row r="988" ht="12.75" hidden="1" x14ac:dyDescent="0.2"/>
    <row r="989" ht="12.75" hidden="1" x14ac:dyDescent="0.2"/>
    <row r="990" ht="12.75" hidden="1" x14ac:dyDescent="0.2"/>
    <row r="991" ht="12.75" hidden="1" x14ac:dyDescent="0.2"/>
    <row r="992" ht="12.75" hidden="1" x14ac:dyDescent="0.2"/>
    <row r="993" ht="12.75" hidden="1" x14ac:dyDescent="0.2"/>
    <row r="994" ht="12.75" hidden="1" x14ac:dyDescent="0.2"/>
    <row r="995" ht="12.75" hidden="1" x14ac:dyDescent="0.2"/>
    <row r="996" ht="12.75" hidden="1" x14ac:dyDescent="0.2"/>
    <row r="997" ht="12.75" hidden="1" x14ac:dyDescent="0.2"/>
    <row r="998" ht="12.75" hidden="1" x14ac:dyDescent="0.2"/>
    <row r="999" ht="12.75" hidden="1" x14ac:dyDescent="0.2"/>
    <row r="1000" ht="12.75" hidden="1" x14ac:dyDescent="0.2"/>
    <row r="1001" ht="12.75" hidden="1" x14ac:dyDescent="0.2"/>
    <row r="1048556" ht="12.6" hidden="1" customHeight="1" x14ac:dyDescent="0.2"/>
    <row r="1048557" ht="19.5" hidden="1" customHeight="1" x14ac:dyDescent="0.2"/>
    <row r="1048558" ht="6.95" hidden="1" customHeight="1" x14ac:dyDescent="0.2"/>
    <row r="1048559" ht="9.9499999999999993" hidden="1" customHeight="1" x14ac:dyDescent="0.2"/>
    <row r="1048560" ht="9.9499999999999993" hidden="1" customHeight="1" x14ac:dyDescent="0.2"/>
  </sheetData>
  <conditionalFormatting sqref="I1">
    <cfRule type="cellIs" dxfId="84" priority="2" operator="equal">
      <formula>"Check"</formula>
    </cfRule>
    <cfRule type="cellIs" dxfId="83" priority="3"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4" id="{C1915570-0BAB-447D-99DE-EAFCC1FE07A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I5:M5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29724-416E-431A-B829-5295BF66F5FF}">
  <sheetPr codeName="Sheet9">
    <tabColor theme="5" tint="0.59999389629810485"/>
  </sheetPr>
  <dimension ref="A1:N35"/>
  <sheetViews>
    <sheetView showGridLines="0" zoomScaleNormal="100" workbookViewId="0">
      <pane ySplit="9" topLeftCell="A10" activePane="bottomLeft" state="frozen"/>
      <selection activeCell="A2" sqref="A2"/>
      <selection pane="bottomLeft" activeCell="E10" sqref="E10"/>
    </sheetView>
  </sheetViews>
  <sheetFormatPr defaultRowHeight="12.75" x14ac:dyDescent="0.2"/>
  <cols>
    <col min="1" max="1" width="5.5703125" customWidth="1"/>
    <col min="2" max="2" width="39.85546875" customWidth="1"/>
    <col min="3" max="3" width="30.7109375" customWidth="1"/>
    <col min="4" max="4" width="11.140625" customWidth="1"/>
    <col min="5" max="6" width="18.7109375" customWidth="1"/>
    <col min="7" max="7" width="6.140625" customWidth="1"/>
    <col min="8" max="13" width="18.7109375" customWidth="1"/>
  </cols>
  <sheetData>
    <row r="1" spans="1:14" s="27" customFormat="1" ht="24.95" customHeight="1" x14ac:dyDescent="0.2">
      <c r="B1" s="35" t="str">
        <f>IFERROR(Index!B1,"")</f>
        <v>Jemena Electricity Networks – Alternative Control Services Forecast model</v>
      </c>
      <c r="C1" s="35"/>
      <c r="D1" s="28" t="s">
        <v>115</v>
      </c>
      <c r="E1" s="37" t="s">
        <v>116</v>
      </c>
    </row>
    <row r="2" spans="1:14" s="27" customFormat="1" ht="24.95" customHeight="1" x14ac:dyDescent="0.2">
      <c r="B2" s="35" t="str">
        <f ca="1">IFERROR(MID(CELL("filename",A1),FIND("]",CELL("filename",A1))+1,255),"")</f>
        <v>Calc|Labour Rates</v>
      </c>
      <c r="C2" s="35"/>
      <c r="D2" s="28"/>
      <c r="E2" s="69" t="s">
        <v>118</v>
      </c>
    </row>
    <row r="3" spans="1:14" s="3" customFormat="1" x14ac:dyDescent="0.2">
      <c r="D3" s="4"/>
      <c r="E3" s="4"/>
    </row>
    <row r="4" spans="1:14" s="3" customFormat="1" x14ac:dyDescent="0.2">
      <c r="D4" s="4"/>
      <c r="E4" s="4"/>
      <c r="F4" s="82"/>
    </row>
    <row r="5" spans="1:14" x14ac:dyDescent="0.2">
      <c r="A5" s="3"/>
      <c r="B5" s="3"/>
      <c r="C5" s="3"/>
      <c r="D5" s="4"/>
      <c r="E5" s="4"/>
      <c r="F5" s="4"/>
      <c r="G5" s="82"/>
      <c r="H5" s="3"/>
      <c r="I5" s="3"/>
      <c r="J5" s="3"/>
      <c r="K5" s="1"/>
      <c r="L5" s="1"/>
      <c r="M5" s="3"/>
      <c r="N5" s="3"/>
    </row>
    <row r="6" spans="1:14" x14ac:dyDescent="0.2">
      <c r="A6" s="3"/>
      <c r="B6" s="3"/>
      <c r="C6" s="3"/>
      <c r="D6" s="4"/>
      <c r="E6" s="4"/>
      <c r="F6" s="4"/>
      <c r="G6" s="82"/>
      <c r="H6" s="3"/>
      <c r="I6" s="3"/>
      <c r="J6" s="3"/>
      <c r="K6" s="1"/>
      <c r="L6" s="1"/>
      <c r="M6" s="3"/>
      <c r="N6" s="3"/>
    </row>
    <row r="7" spans="1:14" ht="15" x14ac:dyDescent="0.25">
      <c r="A7" s="25"/>
      <c r="B7" s="47" t="s">
        <v>582</v>
      </c>
      <c r="C7" s="47"/>
      <c r="D7" s="54"/>
      <c r="E7" s="54"/>
      <c r="F7" s="22" t="str">
        <f>IFERROR("Year 1 labour rates, $'s ($"&amp;Output_first_year&amp;")","")</f>
        <v/>
      </c>
      <c r="G7" s="77"/>
      <c r="H7" s="22" t="str">
        <f>IFERROR("9.2 Year 1 labour rates build up, $'s ($"&amp;'Input|Setup'!$E$8&amp;")","")</f>
        <v>9.2 Year 1 labour rates build up, $'s ($2026-27)</v>
      </c>
      <c r="I7" s="22"/>
      <c r="J7" s="22"/>
      <c r="K7" s="22"/>
      <c r="L7" s="22"/>
      <c r="M7" s="22"/>
      <c r="N7" s="139"/>
    </row>
    <row r="8" spans="1:14" x14ac:dyDescent="0.2">
      <c r="A8" s="3"/>
      <c r="B8" s="3"/>
      <c r="C8" s="3"/>
      <c r="D8" s="3"/>
      <c r="E8" s="3"/>
      <c r="F8" s="301"/>
      <c r="G8" s="1"/>
      <c r="H8" s="3"/>
      <c r="I8" s="3"/>
      <c r="J8" s="3"/>
      <c r="K8" s="3"/>
      <c r="L8" s="3"/>
      <c r="M8" s="3"/>
      <c r="N8" s="1"/>
    </row>
    <row r="9" spans="1:14" ht="45" customHeight="1" x14ac:dyDescent="0.25">
      <c r="A9" s="45"/>
      <c r="B9" s="34" t="s">
        <v>233</v>
      </c>
      <c r="C9" s="40" t="s">
        <v>16</v>
      </c>
      <c r="D9" s="40" t="s">
        <v>224</v>
      </c>
      <c r="E9" s="182" t="str">
        <f>'Input|Labour Rates'!E9&amp;" (incl. On Costs &amp; Overheads)"</f>
        <v>Base labour rate ($2024-25) (incl. On Costs &amp; Overheads)</v>
      </c>
      <c r="F9" s="182" t="s">
        <v>583</v>
      </c>
      <c r="G9" s="103"/>
      <c r="H9" s="40" t="s">
        <v>584</v>
      </c>
      <c r="I9" s="34" t="s">
        <v>294</v>
      </c>
      <c r="J9" s="40" t="s">
        <v>585</v>
      </c>
      <c r="K9" s="34" t="s">
        <v>315</v>
      </c>
      <c r="L9" s="40" t="s">
        <v>586</v>
      </c>
      <c r="M9" s="40" t="s">
        <v>587</v>
      </c>
      <c r="N9" s="57"/>
    </row>
    <row r="10" spans="1:14" x14ac:dyDescent="0.2">
      <c r="A10" s="4">
        <v>1</v>
      </c>
      <c r="B10" s="106" t="str">
        <f>IF(ISBLANK('Input|Labour Rates'!B10),"",'Input|Labour Rates'!B10)</f>
        <v>Administrative Officer</v>
      </c>
      <c r="C10" s="106" t="str">
        <f>IF(ISBLANK('Input|Labour Rates'!C10),"",'Input|Labour Rates'!C10)</f>
        <v>Business hours</v>
      </c>
      <c r="D10" s="106" t="str">
        <f>IF(ISBLANK('Input|Labour Rates'!D10),"",'Input|Labour Rates'!D10)</f>
        <v>Yes</v>
      </c>
      <c r="E10" s="218">
        <f>SUM(J10,L10)</f>
        <v>74.308694556425806</v>
      </c>
      <c r="F10" s="218">
        <f>SUM(J10:M10)+J10*'Input|Indirect Cost Rates'!$D$35</f>
        <v>117.90428373511546</v>
      </c>
      <c r="G10" s="78"/>
      <c r="H10" s="219">
        <f>'Input|Labour Rates'!$E10*CPI_Escalator_to_Y1*RealLabour_Escalator_to_Y1</f>
        <v>48.877103449413418</v>
      </c>
      <c r="I10" s="219">
        <f>H10*'Input|Labour Rates'!F10</f>
        <v>22.555876869570554</v>
      </c>
      <c r="J10" s="219">
        <f>SUM(H10:I10)</f>
        <v>71.432980318983965</v>
      </c>
      <c r="K10" s="219">
        <f>J10*'Input|Labour Rates'!G10</f>
        <v>43.59558917868965</v>
      </c>
      <c r="L10" s="219">
        <f>'Input|Labour Rates'!I10*CPI_Escalator_to_Y1*RealLabour_Escalator_to_Y1</f>
        <v>2.8757142374418421</v>
      </c>
      <c r="M10" s="219">
        <f>'Input|Labour Rates'!H10*CPI_Escalator_to_Y1*RealLabour_Escalator_to_Y1</f>
        <v>0</v>
      </c>
      <c r="N10" s="58"/>
    </row>
    <row r="11" spans="1:14" x14ac:dyDescent="0.2">
      <c r="A11" s="4">
        <f t="shared" ref="A11:A29" si="0">A10+1</f>
        <v>2</v>
      </c>
      <c r="B11" s="106" t="str">
        <f>IF(ISBLANK('Input|Labour Rates'!B11),"",'Input|Labour Rates'!B11)</f>
        <v>Field Worker</v>
      </c>
      <c r="C11" s="106" t="str">
        <f>IF(ISBLANK('Input|Labour Rates'!C11),"",'Input|Labour Rates'!C11)</f>
        <v>Business hours</v>
      </c>
      <c r="D11" s="106" t="str">
        <f>IF(ISBLANK('Input|Labour Rates'!D11),"",'Input|Labour Rates'!D11)</f>
        <v>Yes</v>
      </c>
      <c r="E11" s="218">
        <f t="shared" ref="E11:E19" si="1">SUM(J11,L11)</f>
        <v>124.67074971965012</v>
      </c>
      <c r="F11" s="218">
        <f>SUM(J11:M11)+J11*'Input|Indirect Cost Rates'!$D$35</f>
        <v>222.20152713203854</v>
      </c>
      <c r="G11" s="78"/>
      <c r="H11" s="219">
        <f>'Input|Labour Rates'!$E11*CPI_Escalator_to_Y1*RealLabour_Escalator_to_Y1</f>
        <v>80.582083360692224</v>
      </c>
      <c r="I11" s="219">
        <f>H11*'Input|Labour Rates'!F11</f>
        <v>39.661607719814064</v>
      </c>
      <c r="J11" s="219">
        <f t="shared" ref="J11:J19" si="2">SUM(H11:I11)</f>
        <v>120.2436910805063</v>
      </c>
      <c r="K11" s="219">
        <f>J11*'Input|Labour Rates'!G11</f>
        <v>73.384794170234102</v>
      </c>
      <c r="L11" s="219">
        <f>'Input|Labour Rates'!I11*CPI_Escalator_to_Y1*RealLabour_Escalator_to_Y1</f>
        <v>4.4270586391438274</v>
      </c>
      <c r="M11" s="219">
        <f>'Input|Labour Rates'!H11*CPI_Escalator_to_Y1*RealLabour_Escalator_to_Y1</f>
        <v>24.145983242154298</v>
      </c>
      <c r="N11" s="58"/>
    </row>
    <row r="12" spans="1:14" x14ac:dyDescent="0.2">
      <c r="A12" s="4">
        <f t="shared" si="0"/>
        <v>3</v>
      </c>
      <c r="B12" s="106" t="str">
        <f>IF(ISBLANK('Input|Labour Rates'!B12),"",'Input|Labour Rates'!B12)</f>
        <v>Technical Specialist</v>
      </c>
      <c r="C12" s="106" t="str">
        <f>IF(ISBLANK('Input|Labour Rates'!C12),"",'Input|Labour Rates'!C12)</f>
        <v>Business hours</v>
      </c>
      <c r="D12" s="106" t="str">
        <f>IF(ISBLANK('Input|Labour Rates'!D12),"",'Input|Labour Rates'!D12)</f>
        <v>Yes</v>
      </c>
      <c r="E12" s="218">
        <f t="shared" si="1"/>
        <v>125.20958010262606</v>
      </c>
      <c r="F12" s="218">
        <f>SUM(J12:M12)+J12*'Input|Indirect Cost Rates'!$D$35</f>
        <v>222.8643692871733</v>
      </c>
      <c r="G12" s="78"/>
      <c r="H12" s="219">
        <f>'Input|Labour Rates'!$E12*CPI_Escalator_to_Y1*RealLabour_Escalator_to_Y1</f>
        <v>81.794941025210036</v>
      </c>
      <c r="I12" s="219">
        <f>H12*'Input|Labour Rates'!F12</f>
        <v>38.65194791652106</v>
      </c>
      <c r="J12" s="219">
        <f t="shared" si="2"/>
        <v>120.44688894173109</v>
      </c>
      <c r="K12" s="219">
        <f>J12*'Input|Labour Rates'!G12</f>
        <v>73.508805942392939</v>
      </c>
      <c r="L12" s="219">
        <f>'Input|Labour Rates'!I12*CPI_Escalator_to_Y1*RealLabour_Escalator_to_Y1</f>
        <v>4.7626911608949705</v>
      </c>
      <c r="M12" s="219">
        <f>'Input|Labour Rates'!H12*CPI_Escalator_to_Y1*RealLabour_Escalator_to_Y1</f>
        <v>24.145983242154298</v>
      </c>
      <c r="N12" s="58"/>
    </row>
    <row r="13" spans="1:14" x14ac:dyDescent="0.2">
      <c r="A13" s="4">
        <f t="shared" si="0"/>
        <v>4</v>
      </c>
      <c r="B13" s="106" t="str">
        <f>IF(ISBLANK('Input|Labour Rates'!B13),"",'Input|Labour Rates'!B13)</f>
        <v>Engineer</v>
      </c>
      <c r="C13" s="106" t="str">
        <f>IF(ISBLANK('Input|Labour Rates'!C13),"",'Input|Labour Rates'!C13)</f>
        <v>Business hours</v>
      </c>
      <c r="D13" s="106" t="str">
        <f>IF(ISBLANK('Input|Labour Rates'!D13),"",'Input|Labour Rates'!D13)</f>
        <v>Yes</v>
      </c>
      <c r="E13" s="218">
        <f t="shared" si="1"/>
        <v>160.22326564545313</v>
      </c>
      <c r="F13" s="218">
        <f>SUM(J13:M13)+J13*'Input|Indirect Cost Rates'!$D$35</f>
        <v>254.07797670843706</v>
      </c>
      <c r="G13" s="78"/>
      <c r="H13" s="219">
        <f>'Input|Labour Rates'!$E13*CPI_Escalator_to_Y1*RealLabour_Escalator_to_Y1</f>
        <v>104.43429814859259</v>
      </c>
      <c r="I13" s="219">
        <f>H13*'Input|Labour Rates'!F13</f>
        <v>49.350106524237418</v>
      </c>
      <c r="J13" s="219">
        <f t="shared" si="2"/>
        <v>153.78440467283002</v>
      </c>
      <c r="K13" s="219">
        <f>J13*'Input|Labour Rates'!G13</f>
        <v>93.854711062983952</v>
      </c>
      <c r="L13" s="219">
        <f>'Input|Labour Rates'!I13*CPI_Escalator_to_Y1*RealLabour_Escalator_to_Y1</f>
        <v>6.4388609726231039</v>
      </c>
      <c r="M13" s="219">
        <f>'Input|Labour Rates'!H13*CPI_Escalator_to_Y1*RealLabour_Escalator_to_Y1</f>
        <v>0</v>
      </c>
      <c r="N13" s="58"/>
    </row>
    <row r="14" spans="1:14" x14ac:dyDescent="0.2">
      <c r="A14" s="4">
        <f t="shared" si="0"/>
        <v>5</v>
      </c>
      <c r="B14" s="106" t="str">
        <f>IF(ISBLANK('Input|Labour Rates'!B14),"",'Input|Labour Rates'!B14)</f>
        <v>Senior Engineer</v>
      </c>
      <c r="C14" s="106" t="str">
        <f>IF(ISBLANK('Input|Labour Rates'!C14),"",'Input|Labour Rates'!C14)</f>
        <v>Business hours</v>
      </c>
      <c r="D14" s="106" t="str">
        <f>IF(ISBLANK('Input|Labour Rates'!D14),"",'Input|Labour Rates'!D14)</f>
        <v>Yes</v>
      </c>
      <c r="E14" s="218">
        <f t="shared" si="1"/>
        <v>192.26791877454383</v>
      </c>
      <c r="F14" s="218">
        <f>SUM(J14:M14)+J14*'Input|Indirect Cost Rates'!$D$35</f>
        <v>304.89357205012459</v>
      </c>
      <c r="G14" s="78"/>
      <c r="H14" s="219">
        <f>'Input|Labour Rates'!$E14*CPI_Escalator_to_Y1*RealLabour_Escalator_to_Y1</f>
        <v>125.32115777831117</v>
      </c>
      <c r="I14" s="219">
        <f>H14*'Input|Labour Rates'!F14</f>
        <v>59.22012782908493</v>
      </c>
      <c r="J14" s="219">
        <f t="shared" si="2"/>
        <v>184.54128560739611</v>
      </c>
      <c r="K14" s="219">
        <f>J14*'Input|Labour Rates'!G14</f>
        <v>112.62565327558079</v>
      </c>
      <c r="L14" s="219">
        <f>'Input|Labour Rates'!I14*CPI_Escalator_to_Y1*RealLabour_Escalator_to_Y1</f>
        <v>7.7266331671477255</v>
      </c>
      <c r="M14" s="219">
        <f>'Input|Labour Rates'!H14*CPI_Escalator_to_Y1*RealLabour_Escalator_to_Y1</f>
        <v>0</v>
      </c>
      <c r="N14" s="58"/>
    </row>
    <row r="15" spans="1:14" x14ac:dyDescent="0.2">
      <c r="A15" s="4">
        <f t="shared" si="0"/>
        <v>6</v>
      </c>
      <c r="B15" s="106" t="str">
        <f>IF(ISBLANK('Input|Labour Rates'!B15),"",'Input|Labour Rates'!B15)</f>
        <v>Administrative Officer</v>
      </c>
      <c r="C15" s="106" t="str">
        <f>IF(ISBLANK('Input|Labour Rates'!C15),"",'Input|Labour Rates'!C15)</f>
        <v>After Hours</v>
      </c>
      <c r="D15" s="391" t="str">
        <f>IF(ISBLANK('Input|Labour Rates'!D15),"",'Input|Labour Rates'!D15)</f>
        <v>No</v>
      </c>
      <c r="E15" s="218">
        <f t="shared" si="1"/>
        <v>0</v>
      </c>
      <c r="F15" s="218">
        <f>SUM(J15:M15)+J15*'Input|Indirect Cost Rates'!$D$35</f>
        <v>0</v>
      </c>
      <c r="G15" s="78"/>
      <c r="H15" s="219">
        <f>'Input|Labour Rates'!$E15*CPI_Escalator_to_Y1*RealLabour_Escalator_to_Y1</f>
        <v>0</v>
      </c>
      <c r="I15" s="219">
        <f>H15*'Input|Labour Rates'!F15</f>
        <v>0</v>
      </c>
      <c r="J15" s="219">
        <f t="shared" si="2"/>
        <v>0</v>
      </c>
      <c r="K15" s="219">
        <f>J15*'Input|Labour Rates'!G15</f>
        <v>0</v>
      </c>
      <c r="L15" s="219">
        <f>'Input|Labour Rates'!I15*CPI_Escalator_to_Y1*RealLabour_Escalator_to_Y1</f>
        <v>0</v>
      </c>
      <c r="M15" s="219">
        <f>'Input|Labour Rates'!H15*CPI_Escalator_to_Y1*RealLabour_Escalator_to_Y1</f>
        <v>0</v>
      </c>
      <c r="N15" s="58"/>
    </row>
    <row r="16" spans="1:14" x14ac:dyDescent="0.2">
      <c r="A16" s="4">
        <f t="shared" si="0"/>
        <v>7</v>
      </c>
      <c r="B16" s="106" t="str">
        <f>IF(ISBLANK('Input|Labour Rates'!B16),"",'Input|Labour Rates'!B16)</f>
        <v>Field Worker</v>
      </c>
      <c r="C16" s="106" t="str">
        <f>IF(ISBLANK('Input|Labour Rates'!C16),"",'Input|Labour Rates'!C16)</f>
        <v>After Hours</v>
      </c>
      <c r="D16" s="106" t="str">
        <f>IF(ISBLANK('Input|Labour Rates'!D16),"",'Input|Labour Rates'!D16)</f>
        <v>Yes</v>
      </c>
      <c r="E16" s="218">
        <f t="shared" si="1"/>
        <v>229.19874576819083</v>
      </c>
      <c r="F16" s="218">
        <f>SUM(J16:M16)+J16*'Input|Indirect Cost Rates'!$D$35</f>
        <v>388.21524441641481</v>
      </c>
      <c r="G16" s="78"/>
      <c r="H16" s="219">
        <f>'Input|Labour Rates'!$E16*CPI_Escalator_to_Y1*RealLabour_Escalator_to_Y1</f>
        <v>185.20224922338394</v>
      </c>
      <c r="I16" s="219">
        <f>H16*'Input|Labour Rates'!F16</f>
        <v>35.788063193872688</v>
      </c>
      <c r="J16" s="219">
        <f t="shared" si="2"/>
        <v>220.99031241725663</v>
      </c>
      <c r="K16" s="219">
        <f>J16*'Input|Labour Rates'!G16</f>
        <v>134.87051540606967</v>
      </c>
      <c r="L16" s="219">
        <f>'Input|Labour Rates'!I16*CPI_Escalator_to_Y1*RealLabour_Escalator_to_Y1</f>
        <v>8.2084333509342109</v>
      </c>
      <c r="M16" s="219">
        <f>'Input|Labour Rates'!H16*CPI_Escalator_to_Y1*RealLabour_Escalator_to_Y1</f>
        <v>24.145983242154298</v>
      </c>
      <c r="N16" s="58"/>
    </row>
    <row r="17" spans="1:14" x14ac:dyDescent="0.2">
      <c r="A17" s="4">
        <f t="shared" si="0"/>
        <v>8</v>
      </c>
      <c r="B17" s="106" t="str">
        <f>IF(ISBLANK('Input|Labour Rates'!B17),"",'Input|Labour Rates'!B17)</f>
        <v>Technical Specialist</v>
      </c>
      <c r="C17" s="106" t="str">
        <f>IF(ISBLANK('Input|Labour Rates'!C17),"",'Input|Labour Rates'!C17)</f>
        <v>After Hours</v>
      </c>
      <c r="D17" s="391" t="str">
        <f>IF(ISBLANK('Input|Labour Rates'!D17),"",'Input|Labour Rates'!D17)</f>
        <v>No</v>
      </c>
      <c r="E17" s="218">
        <f t="shared" si="1"/>
        <v>0</v>
      </c>
      <c r="F17" s="218">
        <f>SUM(J17:M17)+J17*'Input|Indirect Cost Rates'!$D$35</f>
        <v>0</v>
      </c>
      <c r="G17" s="78"/>
      <c r="H17" s="219">
        <f>'Input|Labour Rates'!$E17*CPI_Escalator_to_Y1*RealLabour_Escalator_to_Y1</f>
        <v>0</v>
      </c>
      <c r="I17" s="219">
        <f>H17*'Input|Labour Rates'!F17</f>
        <v>0</v>
      </c>
      <c r="J17" s="219">
        <f t="shared" si="2"/>
        <v>0</v>
      </c>
      <c r="K17" s="219">
        <f>J17*'Input|Labour Rates'!G17</f>
        <v>0</v>
      </c>
      <c r="L17" s="219">
        <f>'Input|Labour Rates'!I17*CPI_Escalator_to_Y1*RealLabour_Escalator_to_Y1</f>
        <v>0</v>
      </c>
      <c r="M17" s="219">
        <f>'Input|Labour Rates'!H17*CPI_Escalator_to_Y1*RealLabour_Escalator_to_Y1</f>
        <v>0</v>
      </c>
      <c r="N17" s="58"/>
    </row>
    <row r="18" spans="1:14" x14ac:dyDescent="0.2">
      <c r="A18" s="4">
        <f t="shared" si="0"/>
        <v>9</v>
      </c>
      <c r="B18" s="106" t="str">
        <f>IF(ISBLANK('Input|Labour Rates'!B18),"",'Input|Labour Rates'!B18)</f>
        <v>Engineer</v>
      </c>
      <c r="C18" s="106" t="str">
        <f>IF(ISBLANK('Input|Labour Rates'!C18),"",'Input|Labour Rates'!C18)</f>
        <v>After Hours</v>
      </c>
      <c r="D18" s="391" t="str">
        <f>IF(ISBLANK('Input|Labour Rates'!D18),"",'Input|Labour Rates'!D18)</f>
        <v>No</v>
      </c>
      <c r="E18" s="218">
        <f t="shared" si="1"/>
        <v>0</v>
      </c>
      <c r="F18" s="218">
        <f>SUM(J18:M18)+J18*'Input|Indirect Cost Rates'!$D$35</f>
        <v>0</v>
      </c>
      <c r="G18" s="78"/>
      <c r="H18" s="219">
        <f>'Input|Labour Rates'!$E18*CPI_Escalator_to_Y1*RealLabour_Escalator_to_Y1</f>
        <v>0</v>
      </c>
      <c r="I18" s="219">
        <f>H18*'Input|Labour Rates'!F18</f>
        <v>0</v>
      </c>
      <c r="J18" s="219">
        <f t="shared" si="2"/>
        <v>0</v>
      </c>
      <c r="K18" s="219">
        <f>J18*'Input|Labour Rates'!G18</f>
        <v>0</v>
      </c>
      <c r="L18" s="219">
        <f>'Input|Labour Rates'!I18*CPI_Escalator_to_Y1*RealLabour_Escalator_to_Y1</f>
        <v>0</v>
      </c>
      <c r="M18" s="219">
        <f>'Input|Labour Rates'!H18*CPI_Escalator_to_Y1*RealLabour_Escalator_to_Y1</f>
        <v>0</v>
      </c>
      <c r="N18" s="58"/>
    </row>
    <row r="19" spans="1:14" x14ac:dyDescent="0.2">
      <c r="A19" s="4">
        <f t="shared" si="0"/>
        <v>10</v>
      </c>
      <c r="B19" s="106" t="str">
        <f>IF(ISBLANK('Input|Labour Rates'!B19),"",'Input|Labour Rates'!B19)</f>
        <v>Senior Engineer</v>
      </c>
      <c r="C19" s="106" t="str">
        <f>IF(ISBLANK('Input|Labour Rates'!C19),"",'Input|Labour Rates'!C19)</f>
        <v>After Hours</v>
      </c>
      <c r="D19" s="391" t="str">
        <f>IF(ISBLANK('Input|Labour Rates'!D19),"",'Input|Labour Rates'!D19)</f>
        <v>No</v>
      </c>
      <c r="E19" s="218">
        <f t="shared" si="1"/>
        <v>0</v>
      </c>
      <c r="F19" s="218">
        <f>SUM(J19:M19)+J19*'Input|Indirect Cost Rates'!$D$35</f>
        <v>0</v>
      </c>
      <c r="G19" s="78"/>
      <c r="H19" s="219">
        <f>'Input|Labour Rates'!$E19*CPI_Escalator_to_Y1*RealLabour_Escalator_to_Y1</f>
        <v>0</v>
      </c>
      <c r="I19" s="219">
        <f>H19*'Input|Labour Rates'!F19</f>
        <v>0</v>
      </c>
      <c r="J19" s="219">
        <f t="shared" si="2"/>
        <v>0</v>
      </c>
      <c r="K19" s="219">
        <f>J19*'Input|Labour Rates'!G19</f>
        <v>0</v>
      </c>
      <c r="L19" s="219">
        <f>'Input|Labour Rates'!I19*CPI_Escalator_to_Y1*RealLabour_Escalator_to_Y1</f>
        <v>0</v>
      </c>
      <c r="M19" s="219">
        <f>'Input|Labour Rates'!H19*CPI_Escalator_to_Y1*RealLabour_Escalator_to_Y1</f>
        <v>0</v>
      </c>
      <c r="N19" s="58"/>
    </row>
    <row r="20" spans="1:14" x14ac:dyDescent="0.2">
      <c r="A20" s="4">
        <f t="shared" si="0"/>
        <v>11</v>
      </c>
      <c r="B20" s="106" t="str">
        <f>IF(ISBLANK('Input|Labour Rates'!B20),"",'Input|Labour Rates'!B20)</f>
        <v/>
      </c>
      <c r="C20" s="106" t="str">
        <f>IF(ISBLANK('Input|Labour Rates'!C20),"",'Input|Labour Rates'!C20)</f>
        <v/>
      </c>
      <c r="D20" s="106" t="str">
        <f>IF(ISBLANK('Input|Labour Rates'!D20),"",'Input|Labour Rates'!D20)</f>
        <v/>
      </c>
      <c r="E20" s="218"/>
      <c r="F20" s="392"/>
      <c r="G20" s="78"/>
      <c r="H20" s="392"/>
      <c r="I20" s="393"/>
      <c r="J20" s="393"/>
      <c r="K20" s="393"/>
      <c r="L20" s="219">
        <f>'Input|Labour Rates'!I20*CPI_Escalator_to_Y1*RealLabour_Escalator_to_Y1</f>
        <v>0</v>
      </c>
      <c r="M20" s="219">
        <f>'Input|Labour Rates'!H20*CPI_Escalator_to_Y1*RealLabour_Escalator_to_Y1</f>
        <v>0</v>
      </c>
      <c r="N20" s="58"/>
    </row>
    <row r="21" spans="1:14" x14ac:dyDescent="0.2">
      <c r="A21" s="4">
        <f t="shared" si="0"/>
        <v>12</v>
      </c>
      <c r="B21" s="106" t="str">
        <f>IF(ISBLANK('Input|Labour Rates'!B21),"",'Input|Labour Rates'!B21)</f>
        <v/>
      </c>
      <c r="C21" s="106" t="str">
        <f>IF(ISBLANK('Input|Labour Rates'!C21),"",'Input|Labour Rates'!C21)</f>
        <v/>
      </c>
      <c r="D21" s="106" t="str">
        <f>IF(ISBLANK('Input|Labour Rates'!D21),"",'Input|Labour Rates'!D21)</f>
        <v/>
      </c>
      <c r="E21" s="218"/>
      <c r="F21" s="392"/>
      <c r="G21" s="78"/>
      <c r="H21" s="392"/>
      <c r="I21" s="393"/>
      <c r="J21" s="393"/>
      <c r="K21" s="393"/>
      <c r="L21" s="219">
        <f>'Input|Labour Rates'!I21*CPI_Escalator_to_Y1*RealLabour_Escalator_to_Y1</f>
        <v>0</v>
      </c>
      <c r="M21" s="219">
        <f>'Input|Labour Rates'!H21*CPI_Escalator_to_Y1*RealLabour_Escalator_to_Y1</f>
        <v>0</v>
      </c>
      <c r="N21" s="58"/>
    </row>
    <row r="22" spans="1:14" x14ac:dyDescent="0.2">
      <c r="A22" s="4">
        <f t="shared" si="0"/>
        <v>13</v>
      </c>
      <c r="B22" s="106" t="str">
        <f>IF(ISBLANK('Input|Labour Rates'!B22),"",'Input|Labour Rates'!B22)</f>
        <v/>
      </c>
      <c r="C22" s="106" t="str">
        <f>IF(ISBLANK('Input|Labour Rates'!C22),"",'Input|Labour Rates'!C22)</f>
        <v/>
      </c>
      <c r="D22" s="106" t="str">
        <f>IF(ISBLANK('Input|Labour Rates'!D22),"",'Input|Labour Rates'!D22)</f>
        <v/>
      </c>
      <c r="E22" s="218"/>
      <c r="F22" s="392"/>
      <c r="G22" s="78"/>
      <c r="H22" s="392"/>
      <c r="I22" s="393"/>
      <c r="J22" s="393"/>
      <c r="K22" s="393"/>
      <c r="L22" s="219">
        <f>'Input|Labour Rates'!I22*CPI_Escalator_to_Y1*RealLabour_Escalator_to_Y1</f>
        <v>0</v>
      </c>
      <c r="M22" s="219">
        <f>'Input|Labour Rates'!H22*CPI_Escalator_to_Y1*RealLabour_Escalator_to_Y1</f>
        <v>0</v>
      </c>
      <c r="N22" s="58"/>
    </row>
    <row r="23" spans="1:14" x14ac:dyDescent="0.2">
      <c r="A23" s="4">
        <f t="shared" si="0"/>
        <v>14</v>
      </c>
      <c r="B23" s="106" t="str">
        <f>IF(ISBLANK('Input|Labour Rates'!B23),"",'Input|Labour Rates'!B23)</f>
        <v/>
      </c>
      <c r="C23" s="394"/>
      <c r="D23" s="106" t="str">
        <f>IF(ISBLANK('Input|Labour Rates'!D23),"",'Input|Labour Rates'!D23)</f>
        <v/>
      </c>
      <c r="E23" s="218"/>
      <c r="F23" s="392"/>
      <c r="G23" s="78"/>
      <c r="H23" s="392"/>
      <c r="I23" s="393"/>
      <c r="J23" s="393"/>
      <c r="K23" s="393"/>
      <c r="L23" s="219">
        <f>'Input|Labour Rates'!I23*CPI_Escalator_to_Y1*RealLabour_Escalator_to_Y1</f>
        <v>0</v>
      </c>
      <c r="M23" s="219">
        <f>'Input|Labour Rates'!H23*CPI_Escalator_to_Y1*RealLabour_Escalator_to_Y1</f>
        <v>0</v>
      </c>
      <c r="N23" s="58"/>
    </row>
    <row r="24" spans="1:14" x14ac:dyDescent="0.2">
      <c r="A24" s="4">
        <f t="shared" si="0"/>
        <v>15</v>
      </c>
      <c r="B24" s="106" t="str">
        <f>IF(ISBLANK('Input|Labour Rates'!B24),"",'Input|Labour Rates'!B24)</f>
        <v/>
      </c>
      <c r="C24" s="394"/>
      <c r="D24" s="106" t="str">
        <f>IF(ISBLANK('Input|Labour Rates'!D24),"",'Input|Labour Rates'!D24)</f>
        <v/>
      </c>
      <c r="E24" s="218"/>
      <c r="F24" s="392"/>
      <c r="G24" s="78"/>
      <c r="H24" s="392"/>
      <c r="I24" s="393"/>
      <c r="J24" s="393"/>
      <c r="K24" s="393"/>
      <c r="L24" s="219">
        <f>'Input|Labour Rates'!I24*CPI_Escalator_to_Y1*RealLabour_Escalator_to_Y1</f>
        <v>0</v>
      </c>
      <c r="M24" s="219">
        <f>'Input|Labour Rates'!H24*CPI_Escalator_to_Y1*RealLabour_Escalator_to_Y1</f>
        <v>0</v>
      </c>
      <c r="N24" s="58"/>
    </row>
    <row r="25" spans="1:14" x14ac:dyDescent="0.2">
      <c r="A25" s="4">
        <f t="shared" si="0"/>
        <v>16</v>
      </c>
      <c r="B25" s="106" t="str">
        <f>IF(ISBLANK('Input|Labour Rates'!B25),"",'Input|Labour Rates'!B25)</f>
        <v/>
      </c>
      <c r="C25" s="106" t="str">
        <f>IF(ISBLANK('Input|Labour Rates'!C25),"",'Input|Labour Rates'!C25)</f>
        <v/>
      </c>
      <c r="D25" s="106" t="str">
        <f>IF(ISBLANK('Input|Labour Rates'!D25),"",'Input|Labour Rates'!D25)</f>
        <v/>
      </c>
      <c r="E25" s="218"/>
      <c r="F25" s="392"/>
      <c r="G25" s="78"/>
      <c r="H25" s="392"/>
      <c r="I25" s="393"/>
      <c r="J25" s="393"/>
      <c r="K25" s="393"/>
      <c r="L25" s="219">
        <f>'Input|Labour Rates'!I25*CPI_Escalator_to_Y1*RealLabour_Escalator_to_Y1</f>
        <v>0</v>
      </c>
      <c r="M25" s="219">
        <f>'Input|Labour Rates'!H25*CPI_Escalator_to_Y1*RealLabour_Escalator_to_Y1</f>
        <v>0</v>
      </c>
      <c r="N25" s="58"/>
    </row>
    <row r="26" spans="1:14" x14ac:dyDescent="0.2">
      <c r="A26" s="4">
        <f t="shared" si="0"/>
        <v>17</v>
      </c>
      <c r="B26" s="106" t="str">
        <f>IF(ISBLANK('Input|Labour Rates'!B26),"",'Input|Labour Rates'!B26)</f>
        <v/>
      </c>
      <c r="C26" s="106" t="str">
        <f>IF(ISBLANK('Input|Labour Rates'!C26),"",'Input|Labour Rates'!C26)</f>
        <v/>
      </c>
      <c r="D26" s="106" t="str">
        <f>IF(ISBLANK('Input|Labour Rates'!D26),"",'Input|Labour Rates'!D26)</f>
        <v/>
      </c>
      <c r="E26" s="218"/>
      <c r="F26" s="392"/>
      <c r="G26" s="78"/>
      <c r="H26" s="392"/>
      <c r="I26" s="393"/>
      <c r="J26" s="393"/>
      <c r="K26" s="393"/>
      <c r="L26" s="219">
        <f>'Input|Labour Rates'!I26*CPI_Escalator_to_Y1*RealLabour_Escalator_to_Y1</f>
        <v>0</v>
      </c>
      <c r="M26" s="219">
        <f>'Input|Labour Rates'!H26*CPI_Escalator_to_Y1*RealLabour_Escalator_to_Y1</f>
        <v>0</v>
      </c>
      <c r="N26" s="58"/>
    </row>
    <row r="27" spans="1:14" x14ac:dyDescent="0.2">
      <c r="A27" s="4">
        <f t="shared" si="0"/>
        <v>18</v>
      </c>
      <c r="B27" s="106" t="str">
        <f>IF(ISBLANK('Input|Labour Rates'!B27),"",'Input|Labour Rates'!B27)</f>
        <v/>
      </c>
      <c r="C27" s="106" t="str">
        <f>IF(ISBLANK('Input|Labour Rates'!C27),"",'Input|Labour Rates'!C27)</f>
        <v/>
      </c>
      <c r="D27" s="106" t="str">
        <f>IF(ISBLANK('Input|Labour Rates'!D27),"",'Input|Labour Rates'!D27)</f>
        <v/>
      </c>
      <c r="E27" s="218"/>
      <c r="F27" s="392"/>
      <c r="G27" s="78"/>
      <c r="H27" s="392"/>
      <c r="I27" s="393"/>
      <c r="J27" s="393"/>
      <c r="K27" s="393"/>
      <c r="L27" s="219">
        <f>'Input|Labour Rates'!I27*CPI_Escalator_to_Y1*RealLabour_Escalator_to_Y1</f>
        <v>0</v>
      </c>
      <c r="M27" s="219">
        <f>'Input|Labour Rates'!H27*CPI_Escalator_to_Y1*RealLabour_Escalator_to_Y1</f>
        <v>0</v>
      </c>
      <c r="N27" s="58"/>
    </row>
    <row r="28" spans="1:14" x14ac:dyDescent="0.2">
      <c r="A28" s="4">
        <f t="shared" si="0"/>
        <v>19</v>
      </c>
      <c r="B28" s="106" t="str">
        <f>IF(ISBLANK('Input|Labour Rates'!B28),"",'Input|Labour Rates'!B28)</f>
        <v/>
      </c>
      <c r="C28" s="106" t="str">
        <f>IF(ISBLANK('Input|Labour Rates'!C28),"",'Input|Labour Rates'!C28)</f>
        <v/>
      </c>
      <c r="D28" s="106" t="str">
        <f>IF(ISBLANK('Input|Labour Rates'!D28),"",'Input|Labour Rates'!D28)</f>
        <v/>
      </c>
      <c r="E28" s="218"/>
      <c r="F28" s="392"/>
      <c r="G28" s="78"/>
      <c r="H28" s="392"/>
      <c r="I28" s="393"/>
      <c r="J28" s="393"/>
      <c r="K28" s="393"/>
      <c r="L28" s="219">
        <f>'Input|Labour Rates'!I28*CPI_Escalator_to_Y1*RealLabour_Escalator_to_Y1</f>
        <v>0</v>
      </c>
      <c r="M28" s="219">
        <f>'Input|Labour Rates'!H28*CPI_Escalator_to_Y1*RealLabour_Escalator_to_Y1</f>
        <v>0</v>
      </c>
      <c r="N28" s="58"/>
    </row>
    <row r="29" spans="1:14" x14ac:dyDescent="0.2">
      <c r="A29" s="4">
        <f t="shared" si="0"/>
        <v>20</v>
      </c>
      <c r="B29" s="106" t="str">
        <f>IF(ISBLANK('Input|Labour Rates'!B29),"",'Input|Labour Rates'!B29)</f>
        <v/>
      </c>
      <c r="C29" s="106" t="str">
        <f>IF(ISBLANK('Input|Labour Rates'!C29),"",'Input|Labour Rates'!C29)</f>
        <v/>
      </c>
      <c r="D29" s="106" t="str">
        <f>IF(ISBLANK('Input|Labour Rates'!D29),"",'Input|Labour Rates'!D29)</f>
        <v/>
      </c>
      <c r="E29" s="218"/>
      <c r="F29" s="392"/>
      <c r="G29" s="78"/>
      <c r="H29" s="392"/>
      <c r="I29" s="393"/>
      <c r="J29" s="393"/>
      <c r="K29" s="393"/>
      <c r="L29" s="219">
        <f>'Input|Labour Rates'!I29*CPI_Escalator_to_Y1*RealLabour_Escalator_to_Y1</f>
        <v>0</v>
      </c>
      <c r="M29" s="219">
        <f>'Input|Labour Rates'!H29*CPI_Escalator_to_Y1*RealLabour_Escalator_to_Y1</f>
        <v>0</v>
      </c>
      <c r="N29" s="58"/>
    </row>
    <row r="30" spans="1:14" x14ac:dyDescent="0.2">
      <c r="A30" s="3"/>
      <c r="B30" s="3"/>
      <c r="C30" s="3"/>
      <c r="D30" s="3"/>
      <c r="E30" s="3"/>
      <c r="F30" s="3"/>
      <c r="G30" s="1"/>
      <c r="H30" s="3"/>
      <c r="I30" s="3"/>
      <c r="J30" s="3"/>
      <c r="K30" s="1"/>
      <c r="L30" s="1"/>
      <c r="M30" s="3"/>
      <c r="N30" s="3"/>
    </row>
    <row r="31" spans="1:14" x14ac:dyDescent="0.2">
      <c r="A31" s="3"/>
      <c r="B31" s="3"/>
      <c r="C31" s="3"/>
      <c r="D31" s="3"/>
      <c r="E31" s="3"/>
      <c r="F31" s="3"/>
      <c r="G31" s="1"/>
      <c r="H31" s="3"/>
      <c r="I31" s="3"/>
      <c r="J31" s="3"/>
      <c r="K31" s="1"/>
      <c r="L31" s="1"/>
      <c r="M31" s="3"/>
      <c r="N31" s="3"/>
    </row>
    <row r="32" spans="1:14" x14ac:dyDescent="0.2">
      <c r="A32" s="3"/>
      <c r="B32" s="3"/>
      <c r="C32" s="3"/>
      <c r="D32" s="3"/>
      <c r="E32" s="3"/>
      <c r="F32" s="3"/>
      <c r="G32" s="1"/>
      <c r="H32" s="3"/>
      <c r="I32" s="3"/>
      <c r="J32" s="3"/>
      <c r="K32" s="1"/>
      <c r="L32" s="1"/>
      <c r="M32" s="3"/>
      <c r="N32" s="3"/>
    </row>
    <row r="33" spans="1:13" x14ac:dyDescent="0.2">
      <c r="A33" s="3"/>
      <c r="B33" s="3"/>
      <c r="C33" s="3"/>
      <c r="D33" s="3"/>
      <c r="E33" s="3"/>
      <c r="F33" s="1"/>
      <c r="G33" s="3"/>
      <c r="H33" s="3"/>
      <c r="I33" s="3"/>
      <c r="J33" s="1"/>
      <c r="K33" s="3"/>
      <c r="L33" s="3"/>
      <c r="M33" s="3"/>
    </row>
    <row r="34" spans="1:13" x14ac:dyDescent="0.2">
      <c r="A34" s="3"/>
      <c r="B34" s="3"/>
      <c r="C34" s="3"/>
      <c r="D34" s="3"/>
      <c r="E34" s="3"/>
      <c r="F34" s="1"/>
      <c r="G34" s="3"/>
      <c r="H34" s="3"/>
      <c r="I34" s="3"/>
      <c r="J34" s="1"/>
      <c r="K34" s="3"/>
      <c r="L34" s="3"/>
      <c r="M34" s="3"/>
    </row>
    <row r="35" spans="1:13" x14ac:dyDescent="0.2">
      <c r="A35" s="3"/>
      <c r="B35" s="3"/>
      <c r="C35" s="3"/>
      <c r="D35" s="3"/>
      <c r="E35" s="3"/>
      <c r="F35" s="1"/>
      <c r="G35" s="3"/>
      <c r="H35" s="3"/>
      <c r="I35" s="3"/>
      <c r="J35" s="1"/>
      <c r="K35" s="3"/>
      <c r="L35" s="3"/>
      <c r="M35" s="3"/>
    </row>
  </sheetData>
  <dataValidations count="1">
    <dataValidation type="list" allowBlank="1" showInputMessage="1" showErrorMessage="1" sqref="G10:G29" xr:uid="{83669411-F3A5-4193-A598-FA21FC7C96BB}">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 id="{6AB8AB99-0CF5-4BD3-923C-645BE9F6DB64}">
            <x14:iconSet showValue="0" custom="1">
              <x14:cfvo type="percent">
                <xm:f>0</xm:f>
              </x14:cfvo>
              <x14:cfvo type="num">
                <xm:f>0</xm:f>
              </x14:cfvo>
              <x14:cfvo type="num">
                <xm:f>30</xm:f>
              </x14:cfvo>
              <x14:cfIcon iconSet="NoIcons" iconId="0"/>
              <x14:cfIcon iconSet="3TrafficLights1" iconId="0"/>
              <x14:cfIcon iconSet="3TrafficLights1" iconId="2"/>
            </x14:iconSet>
          </x14:cfRule>
          <xm:sqref>G9</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5" tint="0.59999389629810485"/>
  </sheetPr>
  <dimension ref="A1:AM1019"/>
  <sheetViews>
    <sheetView showGridLines="0" zoomScale="90" zoomScaleNormal="90" workbookViewId="0">
      <selection activeCell="W12" sqref="W12"/>
    </sheetView>
  </sheetViews>
  <sheetFormatPr defaultColWidth="8.7109375" defaultRowHeight="12.75" zeroHeight="1" outlineLevelCol="1" x14ac:dyDescent="0.2"/>
  <cols>
    <col min="1" max="1" width="5.28515625" style="16" customWidth="1"/>
    <col min="2" max="2" width="17.42578125" style="16" customWidth="1"/>
    <col min="3" max="3" width="45.42578125" style="8" bestFit="1" customWidth="1"/>
    <col min="4" max="4" width="25.42578125" style="8" bestFit="1" customWidth="1"/>
    <col min="5" max="5" width="15.140625" style="17" bestFit="1" customWidth="1"/>
    <col min="6" max="6" width="9.140625" style="17" bestFit="1" customWidth="1"/>
    <col min="7" max="7" width="14.42578125" style="17" bestFit="1" customWidth="1"/>
    <col min="8" max="8" width="10.140625" style="17" customWidth="1"/>
    <col min="9" max="9" width="2.5703125" customWidth="1"/>
    <col min="10" max="10" width="18.7109375" style="2" customWidth="1"/>
    <col min="11" max="11" width="8.42578125" style="2" customWidth="1" outlineLevel="1"/>
    <col min="12" max="12" width="12.5703125" style="2" bestFit="1" customWidth="1"/>
    <col min="13" max="13" width="15.28515625" style="2" customWidth="1"/>
    <col min="14" max="14" width="2.5703125" style="2" customWidth="1"/>
    <col min="15" max="15" width="17.140625" style="2" bestFit="1" customWidth="1"/>
    <col min="16" max="16" width="10.42578125" style="2" customWidth="1" outlineLevel="1"/>
    <col min="17" max="17" width="9.7109375" style="2" customWidth="1" outlineLevel="1"/>
    <col min="18" max="18" width="8.7109375" style="2" customWidth="1" outlineLevel="1"/>
    <col min="19" max="19" width="13.5703125" style="2" customWidth="1"/>
    <col min="20" max="20" width="12.7109375" style="2" customWidth="1"/>
    <col min="21" max="21" width="2.5703125" style="2" customWidth="1"/>
    <col min="22" max="24" width="9.85546875" style="2" customWidth="1"/>
    <col min="25" max="25" width="1.5703125" style="2" customWidth="1"/>
    <col min="26" max="26" width="15.5703125" style="2" bestFit="1" customWidth="1"/>
    <col min="27" max="27" width="2.5703125" style="2" customWidth="1"/>
    <col min="28" max="31" width="16.42578125" style="2" customWidth="1"/>
    <col min="32" max="32" width="2.5703125" style="2" customWidth="1"/>
    <col min="33" max="33" width="15.85546875" style="2" customWidth="1"/>
    <col min="34" max="36" width="15.7109375" style="19" customWidth="1"/>
    <col min="37" max="37" width="2.5703125" style="2" customWidth="1"/>
    <col min="38" max="38" width="30.5703125" style="19" customWidth="1"/>
    <col min="39" max="39" width="6" style="19" customWidth="1"/>
  </cols>
  <sheetData>
    <row r="1" spans="1:39" s="1" customFormat="1" ht="24.95" customHeight="1" x14ac:dyDescent="0.2">
      <c r="A1" s="27"/>
      <c r="B1" s="141" t="str">
        <f>IFERROR(Index!B1,"")</f>
        <v>Jemena Electricity Networks – Alternative Control Services Forecast model</v>
      </c>
      <c r="C1" s="35"/>
      <c r="D1" s="35"/>
      <c r="E1" s="37" t="s">
        <v>116</v>
      </c>
      <c r="F1" s="27"/>
      <c r="G1" s="28" t="s">
        <v>117</v>
      </c>
      <c r="H1" s="122">
        <f>'Model Validation'!C17</f>
        <v>0</v>
      </c>
      <c r="I1" s="28"/>
      <c r="J1" s="28"/>
      <c r="K1" s="28"/>
      <c r="L1" s="28"/>
      <c r="M1" s="28"/>
      <c r="N1" s="28"/>
      <c r="O1" s="28"/>
      <c r="P1" s="28"/>
      <c r="Q1" s="28"/>
      <c r="R1" s="28"/>
      <c r="S1" s="28"/>
      <c r="T1" s="28"/>
      <c r="U1" s="28"/>
      <c r="V1" s="28"/>
      <c r="W1" s="28"/>
      <c r="X1" s="28"/>
      <c r="Y1" s="28"/>
      <c r="Z1" s="28"/>
      <c r="AA1" s="28"/>
      <c r="AB1" s="28"/>
      <c r="AC1" s="28"/>
      <c r="AD1" s="28"/>
      <c r="AE1" s="28"/>
      <c r="AF1" s="70"/>
      <c r="AG1" s="70"/>
      <c r="AH1" s="70"/>
      <c r="AI1" s="70"/>
      <c r="AJ1" s="70"/>
      <c r="AK1" s="70"/>
      <c r="AL1" s="70"/>
      <c r="AM1" s="70"/>
    </row>
    <row r="2" spans="1:39" ht="24.95" customHeight="1" x14ac:dyDescent="0.2">
      <c r="A2" s="38"/>
      <c r="B2" s="141" t="str">
        <f ca="1">IFERROR(MID(CELL("filename",A1),FIND("]",CELL("filename",A1))+1,255),"")</f>
        <v>Calc|Fee Based</v>
      </c>
      <c r="C2" s="39"/>
      <c r="D2" s="39"/>
      <c r="E2" s="69" t="s">
        <v>118</v>
      </c>
      <c r="F2" s="38"/>
      <c r="G2" s="38"/>
      <c r="H2" s="38"/>
      <c r="I2" s="38"/>
      <c r="J2" s="28"/>
      <c r="K2" s="28"/>
      <c r="L2" s="28"/>
      <c r="M2" s="28"/>
      <c r="N2" s="28"/>
      <c r="O2" s="28"/>
      <c r="P2" s="28"/>
      <c r="Q2" s="28"/>
      <c r="R2" s="28"/>
      <c r="S2" s="28"/>
      <c r="T2" s="28"/>
      <c r="U2" s="28"/>
      <c r="V2" s="28"/>
      <c r="W2" s="28"/>
      <c r="X2" s="28"/>
      <c r="Y2" s="28"/>
      <c r="Z2" s="28"/>
      <c r="AA2" s="28"/>
      <c r="AB2" s="28"/>
      <c r="AC2" s="28"/>
      <c r="AD2" s="28"/>
      <c r="AE2" s="28"/>
      <c r="AF2" s="70"/>
      <c r="AG2" s="70"/>
      <c r="AH2" s="70"/>
      <c r="AI2" s="70"/>
      <c r="AJ2" s="70"/>
      <c r="AK2" s="70"/>
      <c r="AL2" s="70"/>
      <c r="AM2" s="70"/>
    </row>
    <row r="3" spans="1:39" ht="7.5" customHeight="1" x14ac:dyDescent="0.2">
      <c r="A3" s="9"/>
      <c r="B3" s="9"/>
      <c r="C3" s="6"/>
      <c r="D3" s="6"/>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7"/>
      <c r="AG3" s="17"/>
      <c r="AH3" s="10"/>
      <c r="AI3" s="10"/>
      <c r="AJ3" s="10"/>
      <c r="AK3" s="17"/>
      <c r="AL3" s="10"/>
      <c r="AM3" s="10"/>
    </row>
    <row r="4" spans="1:39" x14ac:dyDescent="0.2">
      <c r="A4" s="9"/>
      <c r="B4" s="9"/>
      <c r="C4" s="6"/>
      <c r="D4" s="6"/>
      <c r="E4" s="10"/>
      <c r="F4" s="10"/>
      <c r="G4" s="10"/>
      <c r="H4" s="10"/>
      <c r="I4" s="5"/>
      <c r="J4" s="5"/>
      <c r="K4" s="5"/>
      <c r="L4" s="5"/>
      <c r="M4" s="5"/>
      <c r="N4" s="5"/>
      <c r="O4" s="5"/>
      <c r="P4" s="5"/>
      <c r="Q4" s="5"/>
      <c r="R4" s="5"/>
      <c r="S4" s="5"/>
      <c r="T4" s="5"/>
      <c r="U4" s="5"/>
      <c r="V4" s="5"/>
      <c r="W4" s="5"/>
      <c r="X4" s="5"/>
      <c r="Y4" s="5"/>
      <c r="Z4" s="5"/>
      <c r="AA4" s="5"/>
      <c r="AB4" s="5"/>
      <c r="AC4" s="5"/>
      <c r="AD4" s="5"/>
      <c r="AE4" s="5"/>
      <c r="AF4"/>
      <c r="AG4" s="17"/>
      <c r="AH4" s="10"/>
      <c r="AI4" s="10"/>
      <c r="AJ4" s="10"/>
      <c r="AK4" s="17"/>
      <c r="AL4" s="10"/>
      <c r="AM4" s="10"/>
    </row>
    <row r="5" spans="1:39" x14ac:dyDescent="0.2">
      <c r="A5" s="9"/>
      <c r="B5" s="9"/>
      <c r="C5" s="6"/>
      <c r="D5" s="6"/>
      <c r="E5" s="10"/>
      <c r="F5" s="10"/>
      <c r="G5" s="10"/>
      <c r="H5" s="10"/>
      <c r="I5" s="5"/>
      <c r="J5" s="5"/>
      <c r="K5" s="5"/>
      <c r="L5" s="5"/>
      <c r="M5" s="5"/>
      <c r="N5" s="5"/>
      <c r="O5" s="5"/>
      <c r="P5" s="5"/>
      <c r="Q5" s="5"/>
      <c r="R5" s="5"/>
      <c r="S5" s="5"/>
      <c r="T5" s="5"/>
      <c r="U5" s="5"/>
      <c r="V5" s="5"/>
      <c r="W5" s="5"/>
      <c r="X5" s="5"/>
      <c r="Y5" s="5"/>
      <c r="Z5" s="5"/>
      <c r="AA5" s="5"/>
      <c r="AB5" s="5"/>
      <c r="AC5" s="5"/>
      <c r="AD5" s="5"/>
      <c r="AE5" s="5"/>
      <c r="AF5"/>
    </row>
    <row r="6" spans="1:39" ht="15" customHeight="1" x14ac:dyDescent="0.25">
      <c r="A6" s="22"/>
      <c r="B6" s="22" t="s">
        <v>588</v>
      </c>
      <c r="C6" s="22"/>
      <c r="D6" s="22"/>
      <c r="E6" s="22"/>
      <c r="F6" s="42"/>
      <c r="G6" s="42"/>
      <c r="H6" s="170" t="str">
        <f>IFERROR("Year 1 PRICE, $'s ($"&amp;'Input|Setup'!$E$8&amp;")","")</f>
        <v>Year 1 PRICE, $'s ($2026-27)</v>
      </c>
      <c r="I6" s="11"/>
      <c r="J6" s="105" t="str">
        <f>IFERROR("10.2 Year 1 service cost build up - DIRECT COSTS, $'s ($"&amp;'Input|Setup'!$E$8&amp;")","")</f>
        <v>10.2 Year 1 service cost build up - DIRECT COSTS, $'s ($2026-27)</v>
      </c>
      <c r="K6" s="105"/>
      <c r="L6" s="105"/>
      <c r="M6" s="105"/>
      <c r="N6" s="105"/>
      <c r="O6" s="105"/>
      <c r="P6" s="105"/>
      <c r="Q6" s="105"/>
      <c r="R6" s="105"/>
      <c r="S6" s="105"/>
      <c r="T6" s="105"/>
      <c r="U6" s="105"/>
      <c r="V6" s="105"/>
      <c r="W6" s="105"/>
      <c r="X6" s="105"/>
      <c r="Y6" s="105"/>
      <c r="Z6" s="105"/>
      <c r="AA6" s="71"/>
      <c r="AB6" s="527" t="str">
        <f>IFERROR("10.3 Year 1 Service cost build up - INDIRECT COSTS, $'s ($"&amp;'Input|Setup'!$E$8&amp;")","")</f>
        <v>10.3 Year 1 Service cost build up - INDIRECT COSTS, $'s ($2026-27)</v>
      </c>
      <c r="AC6" s="527"/>
      <c r="AD6" s="527"/>
      <c r="AE6" s="527"/>
      <c r="AF6" s="71"/>
      <c r="AG6" s="72"/>
      <c r="AK6" s="71"/>
    </row>
    <row r="7" spans="1:39" ht="8.25" hidden="1" customHeight="1" x14ac:dyDescent="0.25">
      <c r="A7" s="50"/>
      <c r="B7" s="50"/>
      <c r="C7" s="50"/>
      <c r="D7" s="50"/>
      <c r="E7" s="50"/>
      <c r="F7" s="51"/>
      <c r="G7" s="51"/>
      <c r="H7" s="52"/>
      <c r="I7" s="11"/>
      <c r="J7" s="52"/>
      <c r="K7" s="52"/>
      <c r="L7" s="52"/>
      <c r="M7" s="52"/>
      <c r="N7" s="52"/>
      <c r="O7" s="52"/>
      <c r="P7" s="52"/>
      <c r="Q7" s="52"/>
      <c r="R7" s="52"/>
      <c r="S7" s="52"/>
      <c r="T7" s="52"/>
      <c r="U7" s="52"/>
      <c r="V7" s="52"/>
      <c r="W7" s="52"/>
      <c r="X7" s="52"/>
      <c r="Y7" s="52"/>
      <c r="Z7" s="52"/>
      <c r="AA7" s="52"/>
      <c r="AB7" s="52"/>
      <c r="AC7" s="52"/>
      <c r="AD7" s="52"/>
      <c r="AE7" s="52"/>
      <c r="AF7" s="72"/>
      <c r="AG7" s="72"/>
      <c r="AH7" s="52"/>
      <c r="AI7" s="52"/>
      <c r="AJ7" s="52"/>
      <c r="AK7" s="72"/>
      <c r="AL7" s="52"/>
    </row>
    <row r="8" spans="1:39" ht="8.25" hidden="1" customHeight="1" x14ac:dyDescent="0.25">
      <c r="A8" s="50"/>
      <c r="B8" s="50"/>
      <c r="C8" s="50"/>
      <c r="D8" s="50"/>
      <c r="E8" s="50"/>
      <c r="F8" s="51"/>
      <c r="G8" s="51"/>
      <c r="H8" s="52"/>
      <c r="I8" s="11"/>
      <c r="J8" s="52"/>
      <c r="K8" s="52"/>
      <c r="L8" s="52"/>
      <c r="M8" s="52"/>
      <c r="N8" s="52"/>
      <c r="O8" s="52"/>
      <c r="P8" s="52"/>
      <c r="Q8" s="52"/>
      <c r="R8" s="52"/>
      <c r="S8" s="52"/>
      <c r="T8" s="52"/>
      <c r="U8" s="52"/>
      <c r="V8" s="52"/>
      <c r="W8" s="52"/>
      <c r="X8" s="52"/>
      <c r="Y8" s="52"/>
      <c r="Z8" s="52"/>
      <c r="AA8" s="52"/>
      <c r="AB8" s="52"/>
      <c r="AC8" s="52"/>
      <c r="AD8" s="52"/>
      <c r="AE8" s="52"/>
      <c r="AF8" s="72"/>
      <c r="AG8" s="72"/>
      <c r="AH8" s="52"/>
      <c r="AI8" s="52"/>
      <c r="AJ8" s="52"/>
      <c r="AK8" s="72"/>
      <c r="AL8" s="52"/>
    </row>
    <row r="9" spans="1:39" ht="8.25" customHeight="1" x14ac:dyDescent="0.25">
      <c r="A9" s="50"/>
      <c r="B9" s="50"/>
      <c r="C9" s="50"/>
      <c r="D9" s="50"/>
      <c r="E9" s="50"/>
      <c r="F9" s="51"/>
      <c r="G9" s="51"/>
      <c r="H9" s="52"/>
      <c r="I9" s="11"/>
      <c r="J9" s="52"/>
      <c r="K9" s="52"/>
      <c r="L9" s="52"/>
      <c r="M9" s="52"/>
      <c r="N9" s="52"/>
      <c r="O9" s="52"/>
      <c r="P9" s="52"/>
      <c r="Q9" s="52"/>
      <c r="R9" s="52"/>
      <c r="S9" s="52"/>
      <c r="T9" s="52"/>
      <c r="U9" s="52"/>
      <c r="V9" s="52"/>
      <c r="W9" s="52"/>
      <c r="X9" s="52"/>
      <c r="Y9" s="52"/>
      <c r="Z9" s="52"/>
      <c r="AA9" s="52"/>
      <c r="AB9" s="52"/>
      <c r="AC9" s="52"/>
      <c r="AD9" s="52"/>
      <c r="AE9" s="52"/>
      <c r="AF9" s="72"/>
      <c r="AG9" s="72"/>
      <c r="AH9" s="52"/>
      <c r="AI9" s="52"/>
      <c r="AJ9" s="52"/>
      <c r="AK9" s="72"/>
      <c r="AL9" s="52"/>
    </row>
    <row r="10" spans="1:39" ht="15" customHeight="1" x14ac:dyDescent="0.2">
      <c r="A10" s="76"/>
      <c r="B10" s="76"/>
      <c r="C10" s="76"/>
      <c r="D10" s="76"/>
      <c r="E10" s="76"/>
      <c r="F10" s="76"/>
      <c r="G10" s="76"/>
      <c r="H10" s="76"/>
      <c r="I10" s="5"/>
      <c r="J10" s="127" t="s">
        <v>589</v>
      </c>
      <c r="K10" s="127"/>
      <c r="L10" s="127"/>
      <c r="M10" s="127"/>
      <c r="N10" s="101">
        <f>IF(SUM(N12:N61)=0,0,1)</f>
        <v>0</v>
      </c>
      <c r="O10" s="127" t="s">
        <v>590</v>
      </c>
      <c r="P10" s="128"/>
      <c r="Q10" s="128"/>
      <c r="R10" s="128"/>
      <c r="S10" s="128"/>
      <c r="T10" s="128"/>
      <c r="U10" s="101">
        <f>IF(SUM(U12:U61)=0,0,1)</f>
        <v>0</v>
      </c>
      <c r="V10" s="53" t="s">
        <v>276</v>
      </c>
      <c r="W10" s="53" t="s">
        <v>278</v>
      </c>
      <c r="X10" s="53" t="s">
        <v>212</v>
      </c>
      <c r="Z10" s="53" t="s">
        <v>591</v>
      </c>
      <c r="AA10" s="60"/>
      <c r="AB10" s="130" t="s">
        <v>413</v>
      </c>
      <c r="AC10" s="130"/>
      <c r="AD10" s="130"/>
      <c r="AE10" s="130"/>
      <c r="AG10"/>
      <c r="AH10" s="73"/>
      <c r="AK10"/>
      <c r="AL10"/>
      <c r="AM10"/>
    </row>
    <row r="11" spans="1:39" ht="34.5" customHeight="1" x14ac:dyDescent="0.2">
      <c r="A11" s="40"/>
      <c r="B11" s="40" t="str">
        <f>'Input|Fee Based'!B11</f>
        <v>Service code</v>
      </c>
      <c r="C11" s="33" t="str">
        <f>'Input|Fee Based'!C11</f>
        <v>Service</v>
      </c>
      <c r="D11" s="40" t="str">
        <f>'Input|Fee Based'!F11</f>
        <v>Service category</v>
      </c>
      <c r="E11" s="40" t="str">
        <f>'Input|Fee Based'!D11</f>
        <v>Hours</v>
      </c>
      <c r="F11" s="40" t="str">
        <f>'Input|Fee Based'!E11</f>
        <v>Expense Type</v>
      </c>
      <c r="G11" s="40" t="str">
        <f>'Input|Fee Based'!G11</f>
        <v>Control Mechanism</v>
      </c>
      <c r="H11" s="49" t="s">
        <v>592</v>
      </c>
      <c r="I11" s="5"/>
      <c r="J11" s="40" t="s">
        <v>414</v>
      </c>
      <c r="K11" s="40" t="s">
        <v>593</v>
      </c>
      <c r="L11" s="138" t="str">
        <f>J$11 &amp;
" Total cost"</f>
        <v>Labour category Total cost</v>
      </c>
      <c r="M11" s="131" t="s">
        <v>594</v>
      </c>
      <c r="N11" s="101">
        <f>IF(SUM(N13:N62)=0,0,1)</f>
        <v>0</v>
      </c>
      <c r="O11" s="40" t="s">
        <v>414</v>
      </c>
      <c r="P11" s="40" t="s">
        <v>593</v>
      </c>
      <c r="Q11" s="40" t="s">
        <v>595</v>
      </c>
      <c r="R11" s="40" t="s">
        <v>596</v>
      </c>
      <c r="S11" s="138" t="str">
        <f>O11 &amp; " Total cost"</f>
        <v>Labour category Total cost</v>
      </c>
      <c r="T11" s="132" t="s">
        <v>597</v>
      </c>
      <c r="U11" s="101"/>
      <c r="V11" s="34" t="s">
        <v>592</v>
      </c>
      <c r="W11" s="34" t="s">
        <v>592</v>
      </c>
      <c r="X11" s="34" t="s">
        <v>592</v>
      </c>
      <c r="Z11" s="34" t="s">
        <v>592</v>
      </c>
      <c r="AA11" s="57"/>
      <c r="AB11" s="49" t="s">
        <v>598</v>
      </c>
      <c r="AC11" s="49" t="s">
        <v>320</v>
      </c>
      <c r="AD11" s="49" t="s">
        <v>599</v>
      </c>
      <c r="AE11" s="49" t="s">
        <v>600</v>
      </c>
      <c r="AG11" s="74"/>
      <c r="AH11" s="74"/>
      <c r="AJ11" s="104"/>
      <c r="AK11"/>
      <c r="AL11"/>
      <c r="AM11"/>
    </row>
    <row r="12" spans="1:39" x14ac:dyDescent="0.2">
      <c r="A12" s="15">
        <v>1</v>
      </c>
      <c r="B12" s="220" t="str">
        <f>IF(ISBLANK('Input|Fee Based'!B12),"",'Input|Fee Based'!B12)</f>
        <v>ND1P</v>
      </c>
      <c r="C12" s="220" t="str">
        <f>IF(ISBLANK('Input|Fee Based'!C12),"",'Input|Fee Based'!C12)</f>
        <v>Basic connection, single-phase BH</v>
      </c>
      <c r="D12" s="221" t="str">
        <f>IF(ISBLANK('Input|Fee Based'!F12),"",'Input|Fee Based'!F12)</f>
        <v>Basic connection services</v>
      </c>
      <c r="E12" s="195" t="str">
        <f>IF(ISBLANK('Input|Fee Based'!D12),"",'Input|Fee Based'!D12)</f>
        <v>Business Hours</v>
      </c>
      <c r="F12" s="195" t="str">
        <f>IF(ISBLANK('Input|Fee Based'!E12),"",'Input|Fee Based'!E12)</f>
        <v>Capex</v>
      </c>
      <c r="G12" s="195" t="str">
        <f>IF(ISBLANK('Input|Fee Based'!G12),"",'Input|Fee Based'!G12)</f>
        <v>Fee Based</v>
      </c>
      <c r="H12" s="276">
        <f>$Z12+SUM($AB12:$AE12)</f>
        <v>816.75607668400971</v>
      </c>
      <c r="I12" s="13"/>
      <c r="J12" s="198" t="str">
        <f>IF(ISBLANK('Input|Fee Based'!I12),"",'Input|Fee Based'!I12)</f>
        <v>Administrative Officer</v>
      </c>
      <c r="K12" s="198">
        <f>IFERROR(VLOOKUP(J12,'Calc|Labour Rates'!$B$10:$M$14,4,FALSE),0)</f>
        <v>74.308694556425806</v>
      </c>
      <c r="L12" s="222">
        <f>IFERROR(K12*'Input|Fee Based'!K12*'Input|Fee Based'!L12/'Input|Setup'!$E$19,0)</f>
        <v>74.308694556425806</v>
      </c>
      <c r="M12" s="223">
        <f>L12</f>
        <v>74.308694556425806</v>
      </c>
      <c r="N12" s="101">
        <f>IF(
AND(K12&lt;&gt;0,L12=0),1,0)</f>
        <v>0</v>
      </c>
      <c r="O12" s="198" t="str">
        <f>IF(ISBLANK('Input|Fee Based'!$N12),"",'Input|Fee Based'!$N12)</f>
        <v>Field Worker</v>
      </c>
      <c r="P12" s="198">
        <f>IFERROR(IF(E12='Calc|Labour Rates'!$C$10,VLOOKUP(O12,'Calc|Labour Rates'!$B$10:$M$14,4,FALSE),VLOOKUP(O12,'Calc|Labour Rates'!$B$15:$M$19,4,FALSE)),0)</f>
        <v>124.67074971965012</v>
      </c>
      <c r="Q12" s="198">
        <f>IFERROR((('Input|Fee Based'!Q12*'Input|Fee Based'!P12)/60)*P12,0)</f>
        <v>124.67074971965012</v>
      </c>
      <c r="R12" s="198">
        <f>IFERROR((('Input|Fee Based'!R12*'Input|Fee Based'!P12)/60)*Q12,0)</f>
        <v>145.44920800625849</v>
      </c>
      <c r="S12" s="222">
        <f>Q12+R12</f>
        <v>270.11995772590859</v>
      </c>
      <c r="T12" s="224">
        <f>S12</f>
        <v>270.11995772590859</v>
      </c>
      <c r="U12" s="101">
        <f>IF(
AND(R12&lt;&gt;0,S12=0),1,0)</f>
        <v>0</v>
      </c>
      <c r="V12" s="198">
        <f>'Input|Fee Based'!T12*CPI_Escalator_to_Y1*RealMaterials_Escalator_to_Y1</f>
        <v>78.420077173434592</v>
      </c>
      <c r="W12" s="198">
        <f>'Input|Fee Based'!U12*CPI_Escalator_to_Y1*RealVehicles_Escalator_to_Y1</f>
        <v>61.837917576570625</v>
      </c>
      <c r="X12" s="198">
        <f>'Input|Fee Based'!V12*CPI_Escalator_to_Y1*RealOther_Escalator_to_Y1</f>
        <v>0</v>
      </c>
      <c r="Y12" s="61"/>
      <c r="Z12" s="225">
        <f t="shared" ref="Z12:Z43" si="0">SUM($M12,$T12,$V12,$W12,$X12)</f>
        <v>484.68664703233964</v>
      </c>
      <c r="AA12" s="58"/>
      <c r="AB12" s="226">
        <f>$Z12*SUMIF('Input|Indirect Cost Rates'!$E$25:$E$26,$F12,'Input|Indirect Cost Rates'!$D$25:$D$26)</f>
        <v>101.45899070555936</v>
      </c>
      <c r="AC12" s="226">
        <f>$Z12*SUMIF('Input|Indirect Cost Rates'!$E$27:$E$28,$F12,'Input|Indirect Cost Rates'!$D$27:$D$28)</f>
        <v>194.34555013904117</v>
      </c>
      <c r="AD12" s="226">
        <f>$Z12*'Input|Fee Based'!Z12</f>
        <v>0</v>
      </c>
      <c r="AE12" s="227">
        <f>SUM($Z12,$AB12:$AD12)*'Input|Fee Based'!$AA12</f>
        <v>36.264888807069518</v>
      </c>
      <c r="AF12" s="75"/>
      <c r="AG12" s="140"/>
      <c r="AH12" s="14"/>
      <c r="AI12"/>
      <c r="AJ12"/>
      <c r="AK12"/>
      <c r="AL12"/>
      <c r="AM12"/>
    </row>
    <row r="13" spans="1:39" x14ac:dyDescent="0.2">
      <c r="A13" s="15">
        <f>IFERROR(A12+1,"")</f>
        <v>2</v>
      </c>
      <c r="B13" s="220" t="str">
        <f>IF(ISBLANK('Input|Fee Based'!B13),"",'Input|Fee Based'!B13)</f>
        <v>ND1P</v>
      </c>
      <c r="C13" s="220" t="str">
        <f>IF(ISBLANK('Input|Fee Based'!C13),"",'Input|Fee Based'!C13)</f>
        <v>Basic connection, single-phase AH</v>
      </c>
      <c r="D13" s="221" t="str">
        <f>IF(ISBLANK('Input|Fee Based'!F13),"",'Input|Fee Based'!F13)</f>
        <v>Basic connection services</v>
      </c>
      <c r="E13" s="195" t="str">
        <f>IF(ISBLANK('Input|Fee Based'!D13),"",'Input|Fee Based'!D13)</f>
        <v>After Hours</v>
      </c>
      <c r="F13" s="195" t="str">
        <f>IF(ISBLANK('Input|Fee Based'!E13),"",'Input|Fee Based'!E13)</f>
        <v>Capex</v>
      </c>
      <c r="G13" s="195" t="str">
        <f>IF(ISBLANK('Input|Fee Based'!G13),"",'Input|Fee Based'!G13)</f>
        <v>Fee Based</v>
      </c>
      <c r="H13" s="276">
        <f t="shared" ref="H13:H32" si="1">$Z13+SUM($AB13:$AE13)</f>
        <v>1198.3979733013819</v>
      </c>
      <c r="I13" s="13"/>
      <c r="J13" s="198" t="str">
        <f>IF(ISBLANK('Input|Fee Based'!I13),"",'Input|Fee Based'!I13)</f>
        <v>Administrative Officer</v>
      </c>
      <c r="K13" s="198">
        <f>IFERROR(VLOOKUP(J13,'Calc|Labour Rates'!$B$10:$M$14,4,FALSE),0)</f>
        <v>74.308694556425806</v>
      </c>
      <c r="L13" s="222">
        <f>IFERROR(K13*'Input|Fee Based'!K13*'Input|Fee Based'!L13/'Input|Setup'!$E$19,0)</f>
        <v>74.308694556425806</v>
      </c>
      <c r="M13" s="223">
        <f t="shared" ref="M13:M61" si="2">L13</f>
        <v>74.308694556425806</v>
      </c>
      <c r="N13" s="101">
        <f t="shared" ref="N13:N61" si="3">IF(
AND(K13&lt;&gt;0,L13=0),1,0)</f>
        <v>0</v>
      </c>
      <c r="O13" s="198" t="str">
        <f>IF(ISBLANK('Input|Fee Based'!$N13),"",'Input|Fee Based'!$N13)</f>
        <v>Field Worker</v>
      </c>
      <c r="P13" s="198">
        <f>IFERROR(IF(E13='Calc|Labour Rates'!$C$10,VLOOKUP(O13,'Calc|Labour Rates'!$B$10:$M$14,4,FALSE),VLOOKUP(O13,'Calc|Labour Rates'!$B$15:$M$19,4,FALSE)),0)</f>
        <v>229.19874576819083</v>
      </c>
      <c r="Q13" s="198">
        <f>IFERROR((('Input|Fee Based'!Q13*'Input|Fee Based'!P13)/60)*P13,0)</f>
        <v>229.19874576819083</v>
      </c>
      <c r="R13" s="198">
        <f>IFERROR((('Input|Fee Based'!R13*'Input|Fee Based'!P13)/60)*Q13,0)</f>
        <v>267.39853672955599</v>
      </c>
      <c r="S13" s="222">
        <f t="shared" ref="S13:S61" si="4">Q13+R13</f>
        <v>496.59728249774685</v>
      </c>
      <c r="T13" s="224">
        <f t="shared" ref="T13:T61" si="5">S13</f>
        <v>496.59728249774685</v>
      </c>
      <c r="U13" s="101">
        <f t="shared" ref="U13:U61" si="6">IF(
AND(R13&lt;&gt;0,S13=0),1,0)</f>
        <v>0</v>
      </c>
      <c r="V13" s="198">
        <f>'Input|Fee Based'!T13*CPI_Escalator_to_Y1*RealMaterials_Escalator_to_Y1</f>
        <v>78.420077173434592</v>
      </c>
      <c r="W13" s="198">
        <f>'Input|Fee Based'!U13*CPI_Escalator_to_Y1*RealVehicles_Escalator_to_Y1</f>
        <v>61.837917576570625</v>
      </c>
      <c r="X13" s="198">
        <f>'Input|Fee Based'!V13*CPI_Escalator_to_Y1*RealOther_Escalator_to_Y1</f>
        <v>0</v>
      </c>
      <c r="Y13" s="62"/>
      <c r="Z13" s="225">
        <f t="shared" si="0"/>
        <v>711.16397180417789</v>
      </c>
      <c r="AA13" s="59"/>
      <c r="AB13" s="226">
        <f>$Z13*SUMIF('Input|Indirect Cost Rates'!$E$25:$E$26,$F13,'Input|Indirect Cost Rates'!$D$25:$D$26)</f>
        <v>148.86727176660688</v>
      </c>
      <c r="AC13" s="226">
        <f>$Z13*SUMIF('Input|Indirect Cost Rates'!$E$27:$E$28,$F13,'Input|Indirect Cost Rates'!$D$27:$D$28)</f>
        <v>285.15651129569216</v>
      </c>
      <c r="AD13" s="226">
        <f>$Z13*'Input|Fee Based'!Z13</f>
        <v>0</v>
      </c>
      <c r="AE13" s="227">
        <f>SUM($Z13,$AB13:$AD13)*'Input|Fee Based'!$AA13</f>
        <v>53.210218434904881</v>
      </c>
      <c r="AF13" s="75"/>
      <c r="AG13" s="118"/>
      <c r="AH13" s="14"/>
      <c r="AI13"/>
      <c r="AJ13"/>
      <c r="AK13"/>
      <c r="AL13"/>
      <c r="AM13"/>
    </row>
    <row r="14" spans="1:39" x14ac:dyDescent="0.2">
      <c r="A14" s="15">
        <f t="shared" ref="A14:A71" si="7">IFERROR(A13+1,"")</f>
        <v>3</v>
      </c>
      <c r="B14" s="220" t="str">
        <f>IF(ISBLANK('Input|Fee Based'!B14),"",'Input|Fee Based'!B14)</f>
        <v>ND3P</v>
      </c>
      <c r="C14" s="220" t="str">
        <f>IF(ISBLANK('Input|Fee Based'!C14),"",'Input|Fee Based'!C14)</f>
        <v>Basic connection, three-phase BH</v>
      </c>
      <c r="D14" s="221" t="str">
        <f>IF(ISBLANK('Input|Fee Based'!F14),"",'Input|Fee Based'!F14)</f>
        <v>Basic connection services</v>
      </c>
      <c r="E14" s="195" t="str">
        <f>IF(ISBLANK('Input|Fee Based'!D14),"",'Input|Fee Based'!D14)</f>
        <v>Business Hours</v>
      </c>
      <c r="F14" s="195" t="str">
        <f>IF(ISBLANK('Input|Fee Based'!E14),"",'Input|Fee Based'!E14)</f>
        <v>Capex</v>
      </c>
      <c r="G14" s="195" t="str">
        <f>IF(ISBLANK('Input|Fee Based'!G14),"",'Input|Fee Based'!G14)</f>
        <v>Fee Based</v>
      </c>
      <c r="H14" s="276">
        <f t="shared" si="1"/>
        <v>1079.7718462563191</v>
      </c>
      <c r="I14" s="13"/>
      <c r="J14" s="198" t="str">
        <f>IF(ISBLANK('Input|Fee Based'!I14),"",'Input|Fee Based'!I14)</f>
        <v>Administrative Officer</v>
      </c>
      <c r="K14" s="198">
        <f>IFERROR(VLOOKUP(J14,'Calc|Labour Rates'!$B$10:$M$14,4,FALSE),0)</f>
        <v>74.308694556425806</v>
      </c>
      <c r="L14" s="222">
        <f>IFERROR(K14*'Input|Fee Based'!K14*'Input|Fee Based'!L14/'Input|Setup'!$E$19,0)</f>
        <v>74.308694556425806</v>
      </c>
      <c r="M14" s="223">
        <f t="shared" si="2"/>
        <v>74.308694556425806</v>
      </c>
      <c r="N14" s="101">
        <f t="shared" si="3"/>
        <v>0</v>
      </c>
      <c r="O14" s="198" t="str">
        <f>IF(ISBLANK('Input|Fee Based'!$N14),"",'Input|Fee Based'!$N14)</f>
        <v>Field Worker</v>
      </c>
      <c r="P14" s="198">
        <f>IFERROR(IF(E14='Calc|Labour Rates'!$C$10,VLOOKUP(O14,'Calc|Labour Rates'!$B$10:$M$14,4,FALSE),VLOOKUP(O14,'Calc|Labour Rates'!$B$15:$M$19,4,FALSE)),0)</f>
        <v>124.67074971965012</v>
      </c>
      <c r="Q14" s="198">
        <f>IFERROR((('Input|Fee Based'!Q14*'Input|Fee Based'!P14)/60)*P14,0)</f>
        <v>124.67074971965012</v>
      </c>
      <c r="R14" s="198">
        <f>IFERROR((('Input|Fee Based'!R14*'Input|Fee Based'!P14)/60)*Q14,0)</f>
        <v>145.44920800625849</v>
      </c>
      <c r="S14" s="222">
        <f t="shared" si="4"/>
        <v>270.11995772590859</v>
      </c>
      <c r="T14" s="224">
        <f t="shared" si="5"/>
        <v>270.11995772590859</v>
      </c>
      <c r="U14" s="101">
        <f t="shared" si="6"/>
        <v>0</v>
      </c>
      <c r="V14" s="198">
        <f>'Input|Fee Based'!T14*CPI_Escalator_to_Y1*RealMaterials_Escalator_to_Y1</f>
        <v>234.50123176759053</v>
      </c>
      <c r="W14" s="198">
        <f>'Input|Fee Based'!U14*CPI_Escalator_to_Y1*RealVehicles_Escalator_to_Y1</f>
        <v>61.837917576570625</v>
      </c>
      <c r="X14" s="198">
        <f>'Input|Fee Based'!V14*CPI_Escalator_to_Y1*RealOther_Escalator_to_Y1</f>
        <v>0</v>
      </c>
      <c r="Y14" s="62"/>
      <c r="Z14" s="225">
        <f t="shared" si="0"/>
        <v>640.7678016264955</v>
      </c>
      <c r="AA14" s="59"/>
      <c r="AB14" s="226">
        <f>$Z14*SUMIF('Input|Indirect Cost Rates'!$E$25:$E$26,$F14,'Input|Indirect Cost Rates'!$D$25:$D$26)</f>
        <v>134.1313090172805</v>
      </c>
      <c r="AC14" s="226">
        <f>$Z14*SUMIF('Input|Indirect Cost Rates'!$E$27:$E$28,$F14,'Input|Indirect Cost Rates'!$D$27:$D$28)</f>
        <v>256.92965069486689</v>
      </c>
      <c r="AD14" s="226">
        <f>$Z14*'Input|Fee Based'!Z14</f>
        <v>0</v>
      </c>
      <c r="AE14" s="227">
        <f>SUM($Z14,$AB14:$AD14)*'Input|Fee Based'!$AA14</f>
        <v>47.943084917676252</v>
      </c>
      <c r="AF14" s="75"/>
      <c r="AG14" s="146"/>
      <c r="AH14" s="14"/>
      <c r="AI14"/>
      <c r="AJ14"/>
      <c r="AK14"/>
      <c r="AL14"/>
      <c r="AM14"/>
    </row>
    <row r="15" spans="1:39" x14ac:dyDescent="0.2">
      <c r="A15" s="15">
        <f t="shared" si="7"/>
        <v>4</v>
      </c>
      <c r="B15" s="220" t="str">
        <f>IF(ISBLANK('Input|Fee Based'!B15),"",'Input|Fee Based'!B15)</f>
        <v>ND3P</v>
      </c>
      <c r="C15" s="220" t="str">
        <f>IF(ISBLANK('Input|Fee Based'!C15),"",'Input|Fee Based'!C15)</f>
        <v>Basic connection, three-phase AH</v>
      </c>
      <c r="D15" s="221" t="str">
        <f>IF(ISBLANK('Input|Fee Based'!F15),"",'Input|Fee Based'!F15)</f>
        <v>Basic connection services</v>
      </c>
      <c r="E15" s="195" t="str">
        <f>IF(ISBLANK('Input|Fee Based'!D15),"",'Input|Fee Based'!D15)</f>
        <v>After Hours</v>
      </c>
      <c r="F15" s="195" t="str">
        <f>IF(ISBLANK('Input|Fee Based'!E15),"",'Input|Fee Based'!E15)</f>
        <v>Capex</v>
      </c>
      <c r="G15" s="195" t="str">
        <f>IF(ISBLANK('Input|Fee Based'!G15),"",'Input|Fee Based'!G15)</f>
        <v>Fee Based</v>
      </c>
      <c r="H15" s="276">
        <f t="shared" si="1"/>
        <v>1461.4137428736913</v>
      </c>
      <c r="I15" s="13"/>
      <c r="J15" s="198" t="str">
        <f>IF(ISBLANK('Input|Fee Based'!I15),"",'Input|Fee Based'!I15)</f>
        <v>Administrative Officer</v>
      </c>
      <c r="K15" s="198">
        <f>IFERROR(VLOOKUP(J15,'Calc|Labour Rates'!$B$10:$M$14,4,FALSE),0)</f>
        <v>74.308694556425806</v>
      </c>
      <c r="L15" s="222">
        <f>IFERROR(K15*'Input|Fee Based'!K15*'Input|Fee Based'!L15/'Input|Setup'!$E$19,0)</f>
        <v>74.308694556425806</v>
      </c>
      <c r="M15" s="223">
        <f t="shared" si="2"/>
        <v>74.308694556425806</v>
      </c>
      <c r="N15" s="101">
        <f t="shared" si="3"/>
        <v>0</v>
      </c>
      <c r="O15" s="198" t="str">
        <f>IF(ISBLANK('Input|Fee Based'!$N15),"",'Input|Fee Based'!$N15)</f>
        <v>Field Worker</v>
      </c>
      <c r="P15" s="198">
        <f>IFERROR(IF(E15='Calc|Labour Rates'!$C$10,VLOOKUP(O15,'Calc|Labour Rates'!$B$10:$M$14,4,FALSE),VLOOKUP(O15,'Calc|Labour Rates'!$B$15:$M$19,4,FALSE)),0)</f>
        <v>229.19874576819083</v>
      </c>
      <c r="Q15" s="198">
        <f>IFERROR((('Input|Fee Based'!Q15*'Input|Fee Based'!P15)/60)*P15,0)</f>
        <v>229.19874576819083</v>
      </c>
      <c r="R15" s="198">
        <f>IFERROR((('Input|Fee Based'!R15*'Input|Fee Based'!P15)/60)*Q15,0)</f>
        <v>267.39853672955599</v>
      </c>
      <c r="S15" s="222">
        <f t="shared" si="4"/>
        <v>496.59728249774685</v>
      </c>
      <c r="T15" s="224">
        <f t="shared" si="5"/>
        <v>496.59728249774685</v>
      </c>
      <c r="U15" s="101">
        <f t="shared" si="6"/>
        <v>0</v>
      </c>
      <c r="V15" s="198">
        <f>'Input|Fee Based'!T15*CPI_Escalator_to_Y1*RealMaterials_Escalator_to_Y1</f>
        <v>234.50123176759053</v>
      </c>
      <c r="W15" s="198">
        <f>'Input|Fee Based'!U15*CPI_Escalator_to_Y1*RealVehicles_Escalator_to_Y1</f>
        <v>61.837917576570625</v>
      </c>
      <c r="X15" s="198">
        <f>'Input|Fee Based'!V15*CPI_Escalator_to_Y1*RealOther_Escalator_to_Y1</f>
        <v>0</v>
      </c>
      <c r="Y15" s="62"/>
      <c r="Z15" s="225">
        <f t="shared" si="0"/>
        <v>867.24512639833381</v>
      </c>
      <c r="AA15" s="59"/>
      <c r="AB15" s="226">
        <f>$Z15*SUMIF('Input|Indirect Cost Rates'!$E$25:$E$26,$F15,'Input|Indirect Cost Rates'!$D$25:$D$26)</f>
        <v>181.53959007832802</v>
      </c>
      <c r="AC15" s="226">
        <f>$Z15*SUMIF('Input|Indirect Cost Rates'!$E$27:$E$28,$F15,'Input|Indirect Cost Rates'!$D$27:$D$28)</f>
        <v>347.74061185151788</v>
      </c>
      <c r="AD15" s="226">
        <f>$Z15*'Input|Fee Based'!Z15</f>
        <v>0</v>
      </c>
      <c r="AE15" s="227">
        <f>SUM($Z15,$AB15:$AD15)*'Input|Fee Based'!$AA15</f>
        <v>64.888414545511608</v>
      </c>
      <c r="AF15" s="75"/>
      <c r="AG15" s="118"/>
      <c r="AH15" s="14"/>
      <c r="AI15"/>
      <c r="AJ15"/>
      <c r="AK15"/>
      <c r="AL15"/>
      <c r="AM15"/>
    </row>
    <row r="16" spans="1:39" x14ac:dyDescent="0.2">
      <c r="A16" s="15">
        <f t="shared" si="7"/>
        <v>5</v>
      </c>
      <c r="B16" s="220" t="str">
        <f>IF(ISBLANK('Input|Fee Based'!B16),"",'Input|Fee Based'!B16)</f>
        <v>BTSO</v>
      </c>
      <c r="C16" s="220" t="str">
        <f>IF(ISBLANK('Input|Fee Based'!C16),"",'Input|Fee Based'!C16)</f>
        <v>Temporary connection, single-phase BH</v>
      </c>
      <c r="D16" s="221" t="str">
        <f>IF(ISBLANK('Input|Fee Based'!F16),"",'Input|Fee Based'!F16)</f>
        <v>Connection service</v>
      </c>
      <c r="E16" s="195" t="str">
        <f>IF(ISBLANK('Input|Fee Based'!D16),"",'Input|Fee Based'!D16)</f>
        <v>Business Hours</v>
      </c>
      <c r="F16" s="195" t="str">
        <f>IF(ISBLANK('Input|Fee Based'!E16),"",'Input|Fee Based'!E16)</f>
        <v>Capex</v>
      </c>
      <c r="G16" s="195" t="str">
        <f>IF(ISBLANK('Input|Fee Based'!G16),"",'Input|Fee Based'!G16)</f>
        <v>Fee Based</v>
      </c>
      <c r="H16" s="276">
        <f t="shared" si="1"/>
        <v>775.84744624698351</v>
      </c>
      <c r="I16" s="13"/>
      <c r="J16" s="198" t="str">
        <f>IF(ISBLANK('Input|Fee Based'!I16),"",'Input|Fee Based'!I16)</f>
        <v>Administrative Officer</v>
      </c>
      <c r="K16" s="198">
        <f>IFERROR(VLOOKUP(J16,'Calc|Labour Rates'!$B$10:$M$14,4,FALSE),0)</f>
        <v>74.308694556425806</v>
      </c>
      <c r="L16" s="222">
        <f>IFERROR(K16*'Input|Fee Based'!K16*'Input|Fee Based'!L16/'Input|Setup'!$E$19,0)</f>
        <v>74.308694556425806</v>
      </c>
      <c r="M16" s="223">
        <f t="shared" si="2"/>
        <v>74.308694556425806</v>
      </c>
      <c r="N16" s="101">
        <f t="shared" si="3"/>
        <v>0</v>
      </c>
      <c r="O16" s="198" t="str">
        <f>IF(ISBLANK('Input|Fee Based'!$N16),"",'Input|Fee Based'!$N16)</f>
        <v>Field Worker</v>
      </c>
      <c r="P16" s="198">
        <f>IFERROR(IF(E16='Calc|Labour Rates'!$C$10,VLOOKUP(O16,'Calc|Labour Rates'!$B$10:$M$14,4,FALSE),VLOOKUP(O16,'Calc|Labour Rates'!$B$15:$M$19,4,FALSE)),0)</f>
        <v>124.67074971965012</v>
      </c>
      <c r="Q16" s="198">
        <f>IFERROR((('Input|Fee Based'!Q16*'Input|Fee Based'!P16)/60)*P16,0)</f>
        <v>124.67074971965012</v>
      </c>
      <c r="R16" s="198">
        <f>IFERROR((('Input|Fee Based'!R16*'Input|Fee Based'!P16)/60)*Q16,0)</f>
        <v>145.44920800625849</v>
      </c>
      <c r="S16" s="222">
        <f t="shared" si="4"/>
        <v>270.11995772590859</v>
      </c>
      <c r="T16" s="224">
        <f t="shared" si="5"/>
        <v>270.11995772590859</v>
      </c>
      <c r="U16" s="101">
        <f t="shared" si="6"/>
        <v>0</v>
      </c>
      <c r="V16" s="198">
        <f>'Input|Fee Based'!T16*CPI_Escalator_to_Y1*RealMaterials_Escalator_to_Y1</f>
        <v>54.14371426995001</v>
      </c>
      <c r="W16" s="198">
        <f>'Input|Fee Based'!U16*CPI_Escalator_to_Y1*RealVehicles_Escalator_to_Y1</f>
        <v>61.837917576570625</v>
      </c>
      <c r="X16" s="198">
        <f>'Input|Fee Based'!V16*CPI_Escalator_to_Y1*RealOther_Escalator_to_Y1</f>
        <v>0</v>
      </c>
      <c r="Y16" s="62"/>
      <c r="Z16" s="225">
        <f t="shared" si="0"/>
        <v>460.41028412885504</v>
      </c>
      <c r="AA16" s="59"/>
      <c r="AB16" s="226">
        <f>$Z16*SUMIF('Input|Indirect Cost Rates'!$E$25:$E$26,$F16,'Input|Indirect Cost Rates'!$D$25:$D$26)</f>
        <v>96.377242955192543</v>
      </c>
      <c r="AC16" s="226">
        <f>$Z16*SUMIF('Input|Indirect Cost Rates'!$E$27:$E$28,$F16,'Input|Indirect Cost Rates'!$D$27:$D$28)</f>
        <v>184.61141957707846</v>
      </c>
      <c r="AD16" s="226">
        <f>$Z16*'Input|Fee Based'!Z16</f>
        <v>0</v>
      </c>
      <c r="AE16" s="227">
        <f>SUM($Z16,$AB16:$AD16)*'Input|Fee Based'!$AA16</f>
        <v>34.448499585857498</v>
      </c>
      <c r="AF16" s="75"/>
      <c r="AG16" s="118"/>
      <c r="AH16" s="14"/>
      <c r="AI16"/>
      <c r="AJ16"/>
      <c r="AK16"/>
      <c r="AL16"/>
      <c r="AM16"/>
    </row>
    <row r="17" spans="1:34" customFormat="1" x14ac:dyDescent="0.2">
      <c r="A17" s="15">
        <f t="shared" si="7"/>
        <v>6</v>
      </c>
      <c r="B17" s="220" t="str">
        <f>IF(ISBLANK('Input|Fee Based'!B17),"",'Input|Fee Based'!B17)</f>
        <v>BTSO</v>
      </c>
      <c r="C17" s="220" t="str">
        <f>IF(ISBLANK('Input|Fee Based'!C17),"",'Input|Fee Based'!C17)</f>
        <v>Temporary connection, single-phase AH</v>
      </c>
      <c r="D17" s="221" t="str">
        <f>IF(ISBLANK('Input|Fee Based'!F17),"",'Input|Fee Based'!F17)</f>
        <v>Connection service</v>
      </c>
      <c r="E17" s="195" t="str">
        <f>IF(ISBLANK('Input|Fee Based'!D17),"",'Input|Fee Based'!D17)</f>
        <v>After Hours</v>
      </c>
      <c r="F17" s="195" t="str">
        <f>IF(ISBLANK('Input|Fee Based'!E17),"",'Input|Fee Based'!E17)</f>
        <v>Capex</v>
      </c>
      <c r="G17" s="195" t="str">
        <f>IF(ISBLANK('Input|Fee Based'!G17),"",'Input|Fee Based'!G17)</f>
        <v>Fee Based</v>
      </c>
      <c r="H17" s="276">
        <f t="shared" si="1"/>
        <v>1157.4893428643556</v>
      </c>
      <c r="I17" s="13"/>
      <c r="J17" s="198" t="str">
        <f>IF(ISBLANK('Input|Fee Based'!I17),"",'Input|Fee Based'!I17)</f>
        <v>Administrative Officer</v>
      </c>
      <c r="K17" s="198">
        <f>IFERROR(VLOOKUP(J17,'Calc|Labour Rates'!$B$10:$M$14,4,FALSE),0)</f>
        <v>74.308694556425806</v>
      </c>
      <c r="L17" s="222">
        <f>IFERROR(K17*'Input|Fee Based'!K17*'Input|Fee Based'!L17/'Input|Setup'!$E$19,0)</f>
        <v>74.308694556425806</v>
      </c>
      <c r="M17" s="223">
        <f t="shared" si="2"/>
        <v>74.308694556425806</v>
      </c>
      <c r="N17" s="101">
        <f t="shared" si="3"/>
        <v>0</v>
      </c>
      <c r="O17" s="198" t="str">
        <f>IF(ISBLANK('Input|Fee Based'!$N17),"",'Input|Fee Based'!$N17)</f>
        <v>Field Worker</v>
      </c>
      <c r="P17" s="198">
        <f>IFERROR(IF(E17='Calc|Labour Rates'!$C$10,VLOOKUP(O17,'Calc|Labour Rates'!$B$10:$M$14,4,FALSE),VLOOKUP(O17,'Calc|Labour Rates'!$B$15:$M$19,4,FALSE)),0)</f>
        <v>229.19874576819083</v>
      </c>
      <c r="Q17" s="198">
        <f>IFERROR((('Input|Fee Based'!Q17*'Input|Fee Based'!P17)/60)*P17,0)</f>
        <v>229.19874576819083</v>
      </c>
      <c r="R17" s="198">
        <f>IFERROR((('Input|Fee Based'!R17*'Input|Fee Based'!P17)/60)*Q17,0)</f>
        <v>267.39853672955599</v>
      </c>
      <c r="S17" s="222">
        <f t="shared" si="4"/>
        <v>496.59728249774685</v>
      </c>
      <c r="T17" s="224">
        <f t="shared" si="5"/>
        <v>496.59728249774685</v>
      </c>
      <c r="U17" s="101">
        <f t="shared" si="6"/>
        <v>0</v>
      </c>
      <c r="V17" s="198">
        <f>'Input|Fee Based'!T17*CPI_Escalator_to_Y1*RealMaterials_Escalator_to_Y1</f>
        <v>54.14371426995001</v>
      </c>
      <c r="W17" s="198">
        <f>'Input|Fee Based'!U17*CPI_Escalator_to_Y1*RealVehicles_Escalator_to_Y1</f>
        <v>61.837917576570625</v>
      </c>
      <c r="X17" s="198">
        <f>'Input|Fee Based'!V17*CPI_Escalator_to_Y1*RealOther_Escalator_to_Y1</f>
        <v>0</v>
      </c>
      <c r="Y17" s="62"/>
      <c r="Z17" s="225">
        <f t="shared" si="0"/>
        <v>686.88760890069329</v>
      </c>
      <c r="AA17" s="59"/>
      <c r="AB17" s="226">
        <f>$Z17*SUMIF('Input|Indirect Cost Rates'!$E$25:$E$26,$F17,'Input|Indirect Cost Rates'!$D$25:$D$26)</f>
        <v>143.78552401624006</v>
      </c>
      <c r="AC17" s="226">
        <f>$Z17*SUMIF('Input|Indirect Cost Rates'!$E$27:$E$28,$F17,'Input|Indirect Cost Rates'!$D$27:$D$28)</f>
        <v>275.42238073372943</v>
      </c>
      <c r="AD17" s="226">
        <f>$Z17*'Input|Fee Based'!Z17</f>
        <v>0</v>
      </c>
      <c r="AE17" s="227">
        <f>SUM($Z17,$AB17:$AD17)*'Input|Fee Based'!$AA17</f>
        <v>51.393829213692854</v>
      </c>
      <c r="AF17" s="75"/>
      <c r="AG17" s="118"/>
      <c r="AH17" s="14"/>
    </row>
    <row r="18" spans="1:34" customFormat="1" x14ac:dyDescent="0.2">
      <c r="A18" s="15">
        <f t="shared" si="7"/>
        <v>7</v>
      </c>
      <c r="B18" s="220" t="str">
        <f>IF(ISBLANK('Input|Fee Based'!B18),"",'Input|Fee Based'!B18)</f>
        <v>BTSP</v>
      </c>
      <c r="C18" s="220" t="str">
        <f>IF(ISBLANK('Input|Fee Based'!C18),"",'Input|Fee Based'!C18)</f>
        <v>Temporary connection, three-phase BH</v>
      </c>
      <c r="D18" s="221" t="str">
        <f>IF(ISBLANK('Input|Fee Based'!F18),"",'Input|Fee Based'!F18)</f>
        <v>Connection service</v>
      </c>
      <c r="E18" s="195" t="str">
        <f>IF(ISBLANK('Input|Fee Based'!D18),"",'Input|Fee Based'!D18)</f>
        <v>Business Hours</v>
      </c>
      <c r="F18" s="195" t="str">
        <f>IF(ISBLANK('Input|Fee Based'!E18),"",'Input|Fee Based'!E18)</f>
        <v>Capex</v>
      </c>
      <c r="G18" s="195" t="str">
        <f>IF(ISBLANK('Input|Fee Based'!G18),"",'Input|Fee Based'!G18)</f>
        <v>Fee Based</v>
      </c>
      <c r="H18" s="276">
        <f t="shared" si="1"/>
        <v>825.94062054517963</v>
      </c>
      <c r="I18" s="13"/>
      <c r="J18" s="198" t="str">
        <f>IF(ISBLANK('Input|Fee Based'!I18),"",'Input|Fee Based'!I18)</f>
        <v>Administrative Officer</v>
      </c>
      <c r="K18" s="198">
        <f>IFERROR(VLOOKUP(J18,'Calc|Labour Rates'!$B$10:$M$14,4,FALSE),0)</f>
        <v>74.308694556425806</v>
      </c>
      <c r="L18" s="222">
        <f>IFERROR(K18*'Input|Fee Based'!K18*'Input|Fee Based'!L18/'Input|Setup'!$E$19,0)</f>
        <v>74.308694556425806</v>
      </c>
      <c r="M18" s="223">
        <f t="shared" si="2"/>
        <v>74.308694556425806</v>
      </c>
      <c r="N18" s="101">
        <f t="shared" si="3"/>
        <v>0</v>
      </c>
      <c r="O18" s="198" t="str">
        <f>IF(ISBLANK('Input|Fee Based'!$N18),"",'Input|Fee Based'!$N18)</f>
        <v>Field Worker</v>
      </c>
      <c r="P18" s="198">
        <f>IFERROR(IF(E18='Calc|Labour Rates'!$C$10,VLOOKUP(O18,'Calc|Labour Rates'!$B$10:$M$14,4,FALSE),VLOOKUP(O18,'Calc|Labour Rates'!$B$15:$M$19,4,FALSE)),0)</f>
        <v>124.67074971965012</v>
      </c>
      <c r="Q18" s="198">
        <f>IFERROR((('Input|Fee Based'!Q18*'Input|Fee Based'!P18)/60)*P18,0)</f>
        <v>124.67074971965012</v>
      </c>
      <c r="R18" s="198">
        <f>IFERROR((('Input|Fee Based'!R18*'Input|Fee Based'!P18)/60)*Q18,0)</f>
        <v>145.44920800625849</v>
      </c>
      <c r="S18" s="222">
        <f t="shared" si="4"/>
        <v>270.11995772590859</v>
      </c>
      <c r="T18" s="224">
        <f t="shared" si="5"/>
        <v>270.11995772590859</v>
      </c>
      <c r="U18" s="101">
        <f t="shared" si="6"/>
        <v>0</v>
      </c>
      <c r="V18" s="198">
        <f>'Input|Fee Based'!T18*CPI_Escalator_to_Y1*RealMaterials_Escalator_to_Y1</f>
        <v>83.8704507864052</v>
      </c>
      <c r="W18" s="198">
        <f>'Input|Fee Based'!U18*CPI_Escalator_to_Y1*RealVehicles_Escalator_to_Y1</f>
        <v>61.837917576570625</v>
      </c>
      <c r="X18" s="198">
        <f>'Input|Fee Based'!V18*CPI_Escalator_to_Y1*RealOther_Escalator_to_Y1</f>
        <v>0</v>
      </c>
      <c r="Y18" s="62"/>
      <c r="Z18" s="225">
        <f t="shared" si="0"/>
        <v>490.1370206453102</v>
      </c>
      <c r="AA18" s="59"/>
      <c r="AB18" s="226">
        <f>$Z18*SUMIF('Input|Indirect Cost Rates'!$E$25:$E$26,$F18,'Input|Indirect Cost Rates'!$D$25:$D$26)</f>
        <v>102.59991218364438</v>
      </c>
      <c r="AC18" s="226">
        <f>$Z18*SUMIF('Input|Indirect Cost Rates'!$E$27:$E$28,$F18,'Input|Indirect Cost Rates'!$D$27:$D$28)</f>
        <v>196.53099482740163</v>
      </c>
      <c r="AD18" s="226">
        <f>$Z18*'Input|Fee Based'!Z18</f>
        <v>0</v>
      </c>
      <c r="AE18" s="227">
        <f>SUM($Z18,$AB18:$AD18)*'Input|Fee Based'!$AA18</f>
        <v>36.672692888823342</v>
      </c>
      <c r="AF18" s="75"/>
      <c r="AG18" s="118"/>
      <c r="AH18" s="14"/>
    </row>
    <row r="19" spans="1:34" customFormat="1" x14ac:dyDescent="0.2">
      <c r="A19" s="15">
        <f t="shared" si="7"/>
        <v>8</v>
      </c>
      <c r="B19" s="220" t="str">
        <f>IF(ISBLANK('Input|Fee Based'!B19),"",'Input|Fee Based'!B19)</f>
        <v>BTSP</v>
      </c>
      <c r="C19" s="220" t="str">
        <f>IF(ISBLANK('Input|Fee Based'!C19),"",'Input|Fee Based'!C19)</f>
        <v>Temporary connection, three-phase AH</v>
      </c>
      <c r="D19" s="221" t="str">
        <f>IF(ISBLANK('Input|Fee Based'!F19),"",'Input|Fee Based'!F19)</f>
        <v>Connection service</v>
      </c>
      <c r="E19" s="195" t="str">
        <f>IF(ISBLANK('Input|Fee Based'!D19),"",'Input|Fee Based'!D19)</f>
        <v>After Hours</v>
      </c>
      <c r="F19" s="195" t="str">
        <f>IF(ISBLANK('Input|Fee Based'!E19),"",'Input|Fee Based'!E19)</f>
        <v>Capex</v>
      </c>
      <c r="G19" s="195" t="str">
        <f>IF(ISBLANK('Input|Fee Based'!G19),"",'Input|Fee Based'!G19)</f>
        <v>Fee Based</v>
      </c>
      <c r="H19" s="276">
        <f t="shared" si="1"/>
        <v>1207.5825171625515</v>
      </c>
      <c r="I19" s="13"/>
      <c r="J19" s="198" t="str">
        <f>IF(ISBLANK('Input|Fee Based'!I19),"",'Input|Fee Based'!I19)</f>
        <v>Administrative Officer</v>
      </c>
      <c r="K19" s="198">
        <f>IFERROR(VLOOKUP(J19,'Calc|Labour Rates'!$B$10:$M$14,4,FALSE),0)</f>
        <v>74.308694556425806</v>
      </c>
      <c r="L19" s="222">
        <f>IFERROR(K19*'Input|Fee Based'!K19*'Input|Fee Based'!L19/'Input|Setup'!$E$19,0)</f>
        <v>74.308694556425806</v>
      </c>
      <c r="M19" s="223">
        <f t="shared" si="2"/>
        <v>74.308694556425806</v>
      </c>
      <c r="N19" s="101">
        <f t="shared" si="3"/>
        <v>0</v>
      </c>
      <c r="O19" s="198" t="str">
        <f>IF(ISBLANK('Input|Fee Based'!$N19),"",'Input|Fee Based'!$N19)</f>
        <v>Field Worker</v>
      </c>
      <c r="P19" s="198">
        <f>IFERROR(IF(E19='Calc|Labour Rates'!$C$10,VLOOKUP(O19,'Calc|Labour Rates'!$B$10:$M$14,4,FALSE),VLOOKUP(O19,'Calc|Labour Rates'!$B$15:$M$19,4,FALSE)),0)</f>
        <v>229.19874576819083</v>
      </c>
      <c r="Q19" s="198">
        <f>IFERROR((('Input|Fee Based'!Q19*'Input|Fee Based'!P19)/60)*P19,0)</f>
        <v>229.19874576819083</v>
      </c>
      <c r="R19" s="198">
        <f>IFERROR((('Input|Fee Based'!R19*'Input|Fee Based'!P19)/60)*Q19,0)</f>
        <v>267.39853672955599</v>
      </c>
      <c r="S19" s="222">
        <f t="shared" si="4"/>
        <v>496.59728249774685</v>
      </c>
      <c r="T19" s="224">
        <f t="shared" si="5"/>
        <v>496.59728249774685</v>
      </c>
      <c r="U19" s="101">
        <f t="shared" si="6"/>
        <v>0</v>
      </c>
      <c r="V19" s="198">
        <f>'Input|Fee Based'!T19*CPI_Escalator_to_Y1*RealMaterials_Escalator_to_Y1</f>
        <v>83.8704507864052</v>
      </c>
      <c r="W19" s="198">
        <f>'Input|Fee Based'!U19*CPI_Escalator_to_Y1*RealVehicles_Escalator_to_Y1</f>
        <v>61.837917576570625</v>
      </c>
      <c r="X19" s="198">
        <f>'Input|Fee Based'!V19*CPI_Escalator_to_Y1*RealOther_Escalator_to_Y1</f>
        <v>0</v>
      </c>
      <c r="Y19" s="62"/>
      <c r="Z19" s="225">
        <f t="shared" si="0"/>
        <v>716.61434541714846</v>
      </c>
      <c r="AA19" s="59"/>
      <c r="AB19" s="226">
        <f>$Z19*SUMIF('Input|Indirect Cost Rates'!$E$25:$E$26,$F19,'Input|Indirect Cost Rates'!$D$25:$D$26)</f>
        <v>150.00819324469188</v>
      </c>
      <c r="AC19" s="226">
        <f>$Z19*SUMIF('Input|Indirect Cost Rates'!$E$27:$E$28,$F19,'Input|Indirect Cost Rates'!$D$27:$D$28)</f>
        <v>287.34195598405262</v>
      </c>
      <c r="AD19" s="226">
        <f>$Z19*'Input|Fee Based'!Z19</f>
        <v>0</v>
      </c>
      <c r="AE19" s="227">
        <f>SUM($Z19,$AB19:$AD19)*'Input|Fee Based'!$AA19</f>
        <v>53.618022516658705</v>
      </c>
      <c r="AF19" s="75"/>
      <c r="AG19" s="118"/>
      <c r="AH19" s="14"/>
    </row>
    <row r="20" spans="1:34" customFormat="1" x14ac:dyDescent="0.2">
      <c r="A20" s="15">
        <f t="shared" si="7"/>
        <v>9</v>
      </c>
      <c r="B20" s="220" t="str">
        <f>IF(ISBLANK('Input|Fee Based'!B20),"",'Input|Fee Based'!B20)</f>
        <v>SUTK</v>
      </c>
      <c r="C20" s="220" t="str">
        <f>IF(ISBLANK('Input|Fee Based'!C20),"",'Input|Fee Based'!C20)</f>
        <v>Supply upgrade/enhancement (1ph to 3ph) BH</v>
      </c>
      <c r="D20" s="221" t="str">
        <f>IF(ISBLANK('Input|Fee Based'!F20),"",'Input|Fee Based'!F20)</f>
        <v>Connection service</v>
      </c>
      <c r="E20" s="195" t="str">
        <f>IF(ISBLANK('Input|Fee Based'!D20),"",'Input|Fee Based'!D20)</f>
        <v>Business Hours</v>
      </c>
      <c r="F20" s="195" t="str">
        <f>IF(ISBLANK('Input|Fee Based'!E20),"",'Input|Fee Based'!E20)</f>
        <v>Capex</v>
      </c>
      <c r="G20" s="195" t="str">
        <f>IF(ISBLANK('Input|Fee Based'!G20),"",'Input|Fee Based'!G20)</f>
        <v>Fee Based</v>
      </c>
      <c r="H20" s="276">
        <f t="shared" si="1"/>
        <v>1050.687018310251</v>
      </c>
      <c r="I20" s="13"/>
      <c r="J20" s="198" t="str">
        <f>IF(ISBLANK('Input|Fee Based'!I20),"",'Input|Fee Based'!I20)</f>
        <v>Administrative Officer</v>
      </c>
      <c r="K20" s="198">
        <f>IFERROR(VLOOKUP(J20,'Calc|Labour Rates'!$B$10:$M$14,4,FALSE),0)</f>
        <v>74.308694556425806</v>
      </c>
      <c r="L20" s="222">
        <f>IFERROR(K20*'Input|Fee Based'!K20*'Input|Fee Based'!L20/'Input|Setup'!$E$19,0)</f>
        <v>74.308694556425806</v>
      </c>
      <c r="M20" s="223">
        <f t="shared" si="2"/>
        <v>74.308694556425806</v>
      </c>
      <c r="N20" s="101">
        <f t="shared" si="3"/>
        <v>0</v>
      </c>
      <c r="O20" s="198" t="str">
        <f>IF(ISBLANK('Input|Fee Based'!$N20),"",'Input|Fee Based'!$N20)</f>
        <v>Field Worker</v>
      </c>
      <c r="P20" s="198">
        <f>IFERROR(IF(E20='Calc|Labour Rates'!$C$10,VLOOKUP(O20,'Calc|Labour Rates'!$B$10:$M$14,4,FALSE),VLOOKUP(O20,'Calc|Labour Rates'!$B$15:$M$19,4,FALSE)),0)</f>
        <v>124.67074971965012</v>
      </c>
      <c r="Q20" s="198">
        <f>IFERROR((('Input|Fee Based'!Q20*'Input|Fee Based'!P20)/60)*P20,0)</f>
        <v>124.67074971965012</v>
      </c>
      <c r="R20" s="198">
        <f>IFERROR((('Input|Fee Based'!R20*'Input|Fee Based'!P20)/60)*Q20,0)</f>
        <v>145.44920800625849</v>
      </c>
      <c r="S20" s="222">
        <f t="shared" si="4"/>
        <v>270.11995772590859</v>
      </c>
      <c r="T20" s="224">
        <f t="shared" si="5"/>
        <v>270.11995772590859</v>
      </c>
      <c r="U20" s="101">
        <f t="shared" si="6"/>
        <v>0</v>
      </c>
      <c r="V20" s="198">
        <f>'Input|Fee Based'!T20*CPI_Escalator_to_Y1*RealMaterials_Escalator_to_Y1</f>
        <v>217.24145478016305</v>
      </c>
      <c r="W20" s="198">
        <f>'Input|Fee Based'!U20*CPI_Escalator_to_Y1*RealVehicles_Escalator_to_Y1</f>
        <v>61.837917576570625</v>
      </c>
      <c r="X20" s="198">
        <f>'Input|Fee Based'!V20*CPI_Escalator_to_Y1*RealOther_Escalator_to_Y1</f>
        <v>0</v>
      </c>
      <c r="Y20" s="62"/>
      <c r="Z20" s="225">
        <f t="shared" si="0"/>
        <v>623.50802463906803</v>
      </c>
      <c r="AA20" s="59"/>
      <c r="AB20" s="226">
        <f>$Z20*SUMIF('Input|Indirect Cost Rates'!$E$25:$E$26,$F20,'Input|Indirect Cost Rates'!$D$25:$D$26)</f>
        <v>130.51833646342638</v>
      </c>
      <c r="AC20" s="226">
        <f>$Z20*SUMIF('Input|Indirect Cost Rates'!$E$27:$E$28,$F20,'Input|Indirect Cost Rates'!$D$27:$D$28)</f>
        <v>250.00897137671981</v>
      </c>
      <c r="AD20" s="226">
        <f>$Z20*'Input|Fee Based'!Z20</f>
        <v>0</v>
      </c>
      <c r="AE20" s="227">
        <f>SUM($Z20,$AB20:$AD20)*'Input|Fee Based'!$AA20</f>
        <v>46.651685831036865</v>
      </c>
      <c r="AF20" s="75"/>
      <c r="AG20" s="118"/>
      <c r="AH20" s="14"/>
    </row>
    <row r="21" spans="1:34" customFormat="1" x14ac:dyDescent="0.2">
      <c r="A21" s="15">
        <f t="shared" si="7"/>
        <v>10</v>
      </c>
      <c r="B21" s="220" t="str">
        <f>IF(ISBLANK('Input|Fee Based'!B21),"",'Input|Fee Based'!B21)</f>
        <v>SUTK</v>
      </c>
      <c r="C21" s="220" t="str">
        <f>IF(ISBLANK('Input|Fee Based'!C21),"",'Input|Fee Based'!C21)</f>
        <v>Supply upgrade/enhancement (1ph to 3ph) AH</v>
      </c>
      <c r="D21" s="221" t="str">
        <f>IF(ISBLANK('Input|Fee Based'!F21),"",'Input|Fee Based'!F21)</f>
        <v>Connection service</v>
      </c>
      <c r="E21" s="195" t="str">
        <f>IF(ISBLANK('Input|Fee Based'!D21),"",'Input|Fee Based'!D21)</f>
        <v>After Hours</v>
      </c>
      <c r="F21" s="195" t="str">
        <f>IF(ISBLANK('Input|Fee Based'!E21),"",'Input|Fee Based'!E21)</f>
        <v>Capex</v>
      </c>
      <c r="G21" s="195" t="str">
        <f>IF(ISBLANK('Input|Fee Based'!G21),"",'Input|Fee Based'!G21)</f>
        <v>Fee Based</v>
      </c>
      <c r="H21" s="276">
        <f t="shared" si="1"/>
        <v>1432.3289149276234</v>
      </c>
      <c r="I21" s="13"/>
      <c r="J21" s="198" t="str">
        <f>IF(ISBLANK('Input|Fee Based'!I21),"",'Input|Fee Based'!I21)</f>
        <v>Administrative Officer</v>
      </c>
      <c r="K21" s="198">
        <f>IFERROR(VLOOKUP(J21,'Calc|Labour Rates'!$B$10:$M$14,4,FALSE),0)</f>
        <v>74.308694556425806</v>
      </c>
      <c r="L21" s="222">
        <f>IFERROR(K21*'Input|Fee Based'!K21*'Input|Fee Based'!L21/'Input|Setup'!$E$19,0)</f>
        <v>74.308694556425806</v>
      </c>
      <c r="M21" s="223">
        <f t="shared" si="2"/>
        <v>74.308694556425806</v>
      </c>
      <c r="N21" s="101">
        <f t="shared" si="3"/>
        <v>0</v>
      </c>
      <c r="O21" s="198" t="str">
        <f>IF(ISBLANK('Input|Fee Based'!$N21),"",'Input|Fee Based'!$N21)</f>
        <v>Field Worker</v>
      </c>
      <c r="P21" s="198">
        <f>IFERROR(IF(E21='Calc|Labour Rates'!$C$10,VLOOKUP(O21,'Calc|Labour Rates'!$B$10:$M$14,4,FALSE),VLOOKUP(O21,'Calc|Labour Rates'!$B$15:$M$19,4,FALSE)),0)</f>
        <v>229.19874576819083</v>
      </c>
      <c r="Q21" s="198">
        <f>IFERROR((('Input|Fee Based'!Q21*'Input|Fee Based'!P21)/60)*P21,0)</f>
        <v>229.19874576819083</v>
      </c>
      <c r="R21" s="198">
        <f>IFERROR((('Input|Fee Based'!R21*'Input|Fee Based'!P21)/60)*Q21,0)</f>
        <v>267.39853672955599</v>
      </c>
      <c r="S21" s="222">
        <f t="shared" si="4"/>
        <v>496.59728249774685</v>
      </c>
      <c r="T21" s="224">
        <f t="shared" si="5"/>
        <v>496.59728249774685</v>
      </c>
      <c r="U21" s="101">
        <f t="shared" si="6"/>
        <v>0</v>
      </c>
      <c r="V21" s="198">
        <f>'Input|Fee Based'!T21*CPI_Escalator_to_Y1*RealMaterials_Escalator_to_Y1</f>
        <v>217.24145478016305</v>
      </c>
      <c r="W21" s="198">
        <f>'Input|Fee Based'!U21*CPI_Escalator_to_Y1*RealVehicles_Escalator_to_Y1</f>
        <v>61.837917576570625</v>
      </c>
      <c r="X21" s="198">
        <f>'Input|Fee Based'!V21*CPI_Escalator_to_Y1*RealOther_Escalator_to_Y1</f>
        <v>0</v>
      </c>
      <c r="Y21" s="62"/>
      <c r="Z21" s="225">
        <f t="shared" si="0"/>
        <v>849.98534941090634</v>
      </c>
      <c r="AA21" s="59"/>
      <c r="AB21" s="226">
        <f>$Z21*SUMIF('Input|Indirect Cost Rates'!$E$25:$E$26,$F21,'Input|Indirect Cost Rates'!$D$25:$D$26)</f>
        <v>177.9266175244739</v>
      </c>
      <c r="AC21" s="226">
        <f>$Z21*SUMIF('Input|Indirect Cost Rates'!$E$27:$E$28,$F21,'Input|Indirect Cost Rates'!$D$27:$D$28)</f>
        <v>340.81993253337083</v>
      </c>
      <c r="AD21" s="226">
        <f>$Z21*'Input|Fee Based'!Z21</f>
        <v>0</v>
      </c>
      <c r="AE21" s="227">
        <f>SUM($Z21,$AB21:$AD21)*'Input|Fee Based'!$AA21</f>
        <v>63.597015458872221</v>
      </c>
      <c r="AF21" s="75"/>
      <c r="AG21" s="118"/>
      <c r="AH21" s="14"/>
    </row>
    <row r="22" spans="1:34" customFormat="1" x14ac:dyDescent="0.2">
      <c r="A22" s="15">
        <f t="shared" si="7"/>
        <v>11</v>
      </c>
      <c r="B22" s="220" t="str">
        <f>IF(ISBLANK('Input|Fee Based'!B22),"",'Input|Fee Based'!B22)</f>
        <v>RTK1</v>
      </c>
      <c r="C22" s="220" t="str">
        <f>IF(ISBLANK('Input|Fee Based'!C22),"",'Input|Fee Based'!C22)</f>
        <v>Replacement of 1-phase overhead service line BH</v>
      </c>
      <c r="D22" s="221" t="str">
        <f>IF(ISBLANK('Input|Fee Based'!F22),"",'Input|Fee Based'!F22)</f>
        <v>Connection service</v>
      </c>
      <c r="E22" s="195" t="str">
        <f>IF(ISBLANK('Input|Fee Based'!D22),"",'Input|Fee Based'!D22)</f>
        <v>Business Hours</v>
      </c>
      <c r="F22" s="195" t="str">
        <f>IF(ISBLANK('Input|Fee Based'!E22),"",'Input|Fee Based'!E22)</f>
        <v>Capex</v>
      </c>
      <c r="G22" s="195" t="str">
        <f>IF(ISBLANK('Input|Fee Based'!G22),"",'Input|Fee Based'!G22)</f>
        <v>Fee Based</v>
      </c>
      <c r="H22" s="276">
        <f t="shared" si="1"/>
        <v>775.84744624698351</v>
      </c>
      <c r="I22" s="13"/>
      <c r="J22" s="198" t="str">
        <f>IF(ISBLANK('Input|Fee Based'!I22),"",'Input|Fee Based'!I22)</f>
        <v>Administrative Officer</v>
      </c>
      <c r="K22" s="198">
        <f>IFERROR(VLOOKUP(J22,'Calc|Labour Rates'!$B$10:$M$14,4,FALSE),0)</f>
        <v>74.308694556425806</v>
      </c>
      <c r="L22" s="222">
        <f>IFERROR(K22*'Input|Fee Based'!K22*'Input|Fee Based'!L22/'Input|Setup'!$E$19,0)</f>
        <v>74.308694556425806</v>
      </c>
      <c r="M22" s="223">
        <f t="shared" si="2"/>
        <v>74.308694556425806</v>
      </c>
      <c r="N22" s="101">
        <f t="shared" si="3"/>
        <v>0</v>
      </c>
      <c r="O22" s="198" t="str">
        <f>IF(ISBLANK('Input|Fee Based'!$N22),"",'Input|Fee Based'!$N22)</f>
        <v>Field Worker</v>
      </c>
      <c r="P22" s="198">
        <f>IFERROR(IF(E22='Calc|Labour Rates'!$C$10,VLOOKUP(O22,'Calc|Labour Rates'!$B$10:$M$14,4,FALSE),VLOOKUP(O22,'Calc|Labour Rates'!$B$15:$M$19,4,FALSE)),0)</f>
        <v>124.67074971965012</v>
      </c>
      <c r="Q22" s="198">
        <f>IFERROR((('Input|Fee Based'!Q22*'Input|Fee Based'!P22)/60)*P22,0)</f>
        <v>124.67074971965012</v>
      </c>
      <c r="R22" s="198">
        <f>IFERROR((('Input|Fee Based'!R22*'Input|Fee Based'!P22)/60)*Q22,0)</f>
        <v>145.44920800625849</v>
      </c>
      <c r="S22" s="222">
        <f t="shared" si="4"/>
        <v>270.11995772590859</v>
      </c>
      <c r="T22" s="224">
        <f t="shared" si="5"/>
        <v>270.11995772590859</v>
      </c>
      <c r="U22" s="101">
        <f t="shared" si="6"/>
        <v>0</v>
      </c>
      <c r="V22" s="198">
        <f>'Input|Fee Based'!T22*CPI_Escalator_to_Y1*RealMaterials_Escalator_to_Y1</f>
        <v>54.14371426995001</v>
      </c>
      <c r="W22" s="198">
        <f>'Input|Fee Based'!U22*CPI_Escalator_to_Y1*RealVehicles_Escalator_to_Y1</f>
        <v>61.837917576570625</v>
      </c>
      <c r="X22" s="198">
        <f>'Input|Fee Based'!V22*CPI_Escalator_to_Y1*RealOther_Escalator_to_Y1</f>
        <v>0</v>
      </c>
      <c r="Y22" s="62"/>
      <c r="Z22" s="225">
        <f t="shared" si="0"/>
        <v>460.41028412885504</v>
      </c>
      <c r="AA22" s="59"/>
      <c r="AB22" s="226">
        <f>$Z22*SUMIF('Input|Indirect Cost Rates'!$E$25:$E$26,$F22,'Input|Indirect Cost Rates'!$D$25:$D$26)</f>
        <v>96.377242955192543</v>
      </c>
      <c r="AC22" s="226">
        <f>$Z22*SUMIF('Input|Indirect Cost Rates'!$E$27:$E$28,$F22,'Input|Indirect Cost Rates'!$D$27:$D$28)</f>
        <v>184.61141957707846</v>
      </c>
      <c r="AD22" s="226">
        <f>$Z22*'Input|Fee Based'!Z22</f>
        <v>0</v>
      </c>
      <c r="AE22" s="227">
        <f>SUM($Z22,$AB22:$AD22)*'Input|Fee Based'!$AA22</f>
        <v>34.448499585857498</v>
      </c>
      <c r="AF22" s="75"/>
      <c r="AG22" s="118"/>
      <c r="AH22" s="14"/>
    </row>
    <row r="23" spans="1:34" customFormat="1" x14ac:dyDescent="0.2">
      <c r="A23" s="15">
        <f t="shared" si="7"/>
        <v>12</v>
      </c>
      <c r="B23" s="220" t="str">
        <f>IF(ISBLANK('Input|Fee Based'!B23),"",'Input|Fee Based'!B23)</f>
        <v>RTK1</v>
      </c>
      <c r="C23" s="220" t="str">
        <f>IF(ISBLANK('Input|Fee Based'!C23),"",'Input|Fee Based'!C23)</f>
        <v>Replacement of 1-phase overhead service line AH</v>
      </c>
      <c r="D23" s="221" t="str">
        <f>IF(ISBLANK('Input|Fee Based'!F23),"",'Input|Fee Based'!F23)</f>
        <v>Connection service</v>
      </c>
      <c r="E23" s="195" t="str">
        <f>IF(ISBLANK('Input|Fee Based'!D23),"",'Input|Fee Based'!D23)</f>
        <v>After Hours</v>
      </c>
      <c r="F23" s="195" t="str">
        <f>IF(ISBLANK('Input|Fee Based'!E23),"",'Input|Fee Based'!E23)</f>
        <v>Capex</v>
      </c>
      <c r="G23" s="195" t="str">
        <f>IF(ISBLANK('Input|Fee Based'!G23),"",'Input|Fee Based'!G23)</f>
        <v>Fee Based</v>
      </c>
      <c r="H23" s="276">
        <f t="shared" si="1"/>
        <v>1157.4893428643556</v>
      </c>
      <c r="I23" s="13"/>
      <c r="J23" s="198" t="str">
        <f>IF(ISBLANK('Input|Fee Based'!I23),"",'Input|Fee Based'!I23)</f>
        <v>Administrative Officer</v>
      </c>
      <c r="K23" s="198">
        <f>IFERROR(VLOOKUP(J23,'Calc|Labour Rates'!$B$10:$M$14,4,FALSE),0)</f>
        <v>74.308694556425806</v>
      </c>
      <c r="L23" s="222">
        <f>IFERROR(K23*'Input|Fee Based'!K23*'Input|Fee Based'!L23/'Input|Setup'!$E$19,0)</f>
        <v>74.308694556425806</v>
      </c>
      <c r="M23" s="223">
        <f t="shared" si="2"/>
        <v>74.308694556425806</v>
      </c>
      <c r="N23" s="101">
        <f t="shared" si="3"/>
        <v>0</v>
      </c>
      <c r="O23" s="198" t="str">
        <f>IF(ISBLANK('Input|Fee Based'!$N23),"",'Input|Fee Based'!$N23)</f>
        <v>Field Worker</v>
      </c>
      <c r="P23" s="198">
        <f>IFERROR(IF(E23='Calc|Labour Rates'!$C$10,VLOOKUP(O23,'Calc|Labour Rates'!$B$10:$M$14,4,FALSE),VLOOKUP(O23,'Calc|Labour Rates'!$B$15:$M$19,4,FALSE)),0)</f>
        <v>229.19874576819083</v>
      </c>
      <c r="Q23" s="198">
        <f>IFERROR((('Input|Fee Based'!Q23*'Input|Fee Based'!P23)/60)*P23,0)</f>
        <v>229.19874576819083</v>
      </c>
      <c r="R23" s="198">
        <f>IFERROR((('Input|Fee Based'!R23*'Input|Fee Based'!P23)/60)*Q23,0)</f>
        <v>267.39853672955599</v>
      </c>
      <c r="S23" s="222">
        <f t="shared" si="4"/>
        <v>496.59728249774685</v>
      </c>
      <c r="T23" s="224">
        <f t="shared" si="5"/>
        <v>496.59728249774685</v>
      </c>
      <c r="U23" s="101">
        <f t="shared" si="6"/>
        <v>0</v>
      </c>
      <c r="V23" s="198">
        <f>'Input|Fee Based'!T23*CPI_Escalator_to_Y1*RealMaterials_Escalator_to_Y1</f>
        <v>54.14371426995001</v>
      </c>
      <c r="W23" s="198">
        <f>'Input|Fee Based'!U23*CPI_Escalator_to_Y1*RealVehicles_Escalator_to_Y1</f>
        <v>61.837917576570625</v>
      </c>
      <c r="X23" s="198">
        <f>'Input|Fee Based'!V23*CPI_Escalator_to_Y1*RealOther_Escalator_to_Y1</f>
        <v>0</v>
      </c>
      <c r="Y23" s="62"/>
      <c r="Z23" s="225">
        <f t="shared" si="0"/>
        <v>686.88760890069329</v>
      </c>
      <c r="AA23" s="59"/>
      <c r="AB23" s="226">
        <f>$Z23*SUMIF('Input|Indirect Cost Rates'!$E$25:$E$26,$F23,'Input|Indirect Cost Rates'!$D$25:$D$26)</f>
        <v>143.78552401624006</v>
      </c>
      <c r="AC23" s="226">
        <f>$Z23*SUMIF('Input|Indirect Cost Rates'!$E$27:$E$28,$F23,'Input|Indirect Cost Rates'!$D$27:$D$28)</f>
        <v>275.42238073372943</v>
      </c>
      <c r="AD23" s="226">
        <f>$Z23*'Input|Fee Based'!Z23</f>
        <v>0</v>
      </c>
      <c r="AE23" s="227">
        <f>SUM($Z23,$AB23:$AD23)*'Input|Fee Based'!$AA23</f>
        <v>51.393829213692854</v>
      </c>
      <c r="AF23" s="75"/>
      <c r="AG23" s="118"/>
      <c r="AH23" s="14"/>
    </row>
    <row r="24" spans="1:34" customFormat="1" x14ac:dyDescent="0.2">
      <c r="A24" s="15">
        <f t="shared" si="7"/>
        <v>13</v>
      </c>
      <c r="B24" s="220" t="str">
        <f>IF(ISBLANK('Input|Fee Based'!B24),"",'Input|Fee Based'!B24)</f>
        <v>REEN</v>
      </c>
      <c r="C24" s="462" t="str">
        <f>IF(ISBLANK('Input|Fee Based'!C24),"",'Input|Fee Based'!C24)</f>
        <v>Field-based energisation BH</v>
      </c>
      <c r="D24" s="221" t="str">
        <f>IF(ISBLANK('Input|Fee Based'!F24),"",'Input|Fee Based'!F24)</f>
        <v>Connection service</v>
      </c>
      <c r="E24" s="195" t="str">
        <f>IF(ISBLANK('Input|Fee Based'!D24),"",'Input|Fee Based'!D24)</f>
        <v>Business Hours</v>
      </c>
      <c r="F24" s="195" t="str">
        <f>IF(ISBLANK('Input|Fee Based'!E24),"",'Input|Fee Based'!E24)</f>
        <v>Opex</v>
      </c>
      <c r="G24" s="195" t="str">
        <f>IF(ISBLANK('Input|Fee Based'!G24),"",'Input|Fee Based'!G24)</f>
        <v>Fee Based</v>
      </c>
      <c r="H24" s="276">
        <f t="shared" si="1"/>
        <v>64.351625299667774</v>
      </c>
      <c r="I24" s="13"/>
      <c r="J24" s="198" t="str">
        <f>IF(ISBLANK('Input|Fee Based'!I24),"",'Input|Fee Based'!I24)</f>
        <v/>
      </c>
      <c r="K24" s="198">
        <f>IFERROR(VLOOKUP(J24,'Calc|Labour Rates'!$B$10:$M$14,4,FALSE),0)</f>
        <v>0</v>
      </c>
      <c r="L24" s="222">
        <f>IFERROR(K24*'Input|Fee Based'!K24*'Input|Fee Based'!L24/'Input|Setup'!$E$19,0)</f>
        <v>0</v>
      </c>
      <c r="M24" s="223">
        <f t="shared" si="2"/>
        <v>0</v>
      </c>
      <c r="N24" s="101">
        <f t="shared" si="3"/>
        <v>0</v>
      </c>
      <c r="O24" s="198" t="str">
        <f>IF(ISBLANK('Input|Fee Based'!$N24),"",'Input|Fee Based'!$N24)</f>
        <v/>
      </c>
      <c r="P24" s="198">
        <f>IFERROR(IF(E24='Calc|Labour Rates'!$C$10,VLOOKUP(O24,'Calc|Labour Rates'!$B$10:$M$14,4,FALSE),VLOOKUP(O24,'Calc|Labour Rates'!$B$15:$M$19,4,FALSE)),0)</f>
        <v>0</v>
      </c>
      <c r="Q24" s="198">
        <f>IFERROR((('Input|Fee Based'!Q24*'Input|Fee Based'!P24)/60)*P24,0)</f>
        <v>0</v>
      </c>
      <c r="R24" s="198">
        <f>IFERROR((('Input|Fee Based'!R24*'Input|Fee Based'!P24)/60)*Q24,0)</f>
        <v>0</v>
      </c>
      <c r="S24" s="222">
        <f t="shared" si="4"/>
        <v>0</v>
      </c>
      <c r="T24" s="224">
        <f t="shared" si="5"/>
        <v>0</v>
      </c>
      <c r="U24" s="101">
        <f t="shared" si="6"/>
        <v>0</v>
      </c>
      <c r="V24" s="198">
        <f>'Input|Fee Based'!T24*CPI_Escalator_to_Y1*RealMaterials_Escalator_to_Y1</f>
        <v>0</v>
      </c>
      <c r="W24" s="198">
        <f>'Input|Fee Based'!U24*CPI_Escalator_to_Y1*RealVehicles_Escalator_to_Y1</f>
        <v>0</v>
      </c>
      <c r="X24" s="198">
        <f>'Input|Fee Based'!V24*CPI_Escalator_to_Y1*RealOther_Escalator_to_Y1</f>
        <v>64.351625299667774</v>
      </c>
      <c r="Y24" s="62"/>
      <c r="Z24" s="225">
        <f t="shared" si="0"/>
        <v>64.351625299667774</v>
      </c>
      <c r="AA24" s="59"/>
      <c r="AB24" s="472"/>
      <c r="AC24" s="472"/>
      <c r="AD24" s="472"/>
      <c r="AE24" s="473"/>
      <c r="AF24" s="75"/>
      <c r="AG24" s="118"/>
      <c r="AH24" s="14"/>
    </row>
    <row r="25" spans="1:34" customFormat="1" x14ac:dyDescent="0.2">
      <c r="A25" s="15">
        <f t="shared" si="7"/>
        <v>14</v>
      </c>
      <c r="B25" s="220" t="str">
        <f>IF(ISBLANK('Input|Fee Based'!B25),"",'Input|Fee Based'!B25)</f>
        <v>REEN</v>
      </c>
      <c r="C25" s="462" t="str">
        <f>IF(ISBLANK('Input|Fee Based'!C25),"",'Input|Fee Based'!C25)</f>
        <v>Field-based energisation AH</v>
      </c>
      <c r="D25" s="221" t="str">
        <f>IF(ISBLANK('Input|Fee Based'!F25),"",'Input|Fee Based'!F25)</f>
        <v>Connection service</v>
      </c>
      <c r="E25" s="195" t="str">
        <f>IF(ISBLANK('Input|Fee Based'!D25),"",'Input|Fee Based'!D25)</f>
        <v>After Hours</v>
      </c>
      <c r="F25" s="195" t="str">
        <f>IF(ISBLANK('Input|Fee Based'!E25),"",'Input|Fee Based'!E25)</f>
        <v>Opex</v>
      </c>
      <c r="G25" s="195" t="str">
        <f>IF(ISBLANK('Input|Fee Based'!G25),"",'Input|Fee Based'!G25)</f>
        <v>Fee Based</v>
      </c>
      <c r="H25" s="276">
        <f t="shared" si="1"/>
        <v>112.33673134944479</v>
      </c>
      <c r="I25" s="13"/>
      <c r="J25" s="198" t="str">
        <f>IF(ISBLANK('Input|Fee Based'!I25),"",'Input|Fee Based'!I25)</f>
        <v/>
      </c>
      <c r="K25" s="198">
        <f>IFERROR(VLOOKUP(J25,'Calc|Labour Rates'!$B$10:$M$14,4,FALSE),0)</f>
        <v>0</v>
      </c>
      <c r="L25" s="222">
        <f>IFERROR(K25*'Input|Fee Based'!K25*'Input|Fee Based'!L25/'Input|Setup'!$E$19,0)</f>
        <v>0</v>
      </c>
      <c r="M25" s="223">
        <f t="shared" si="2"/>
        <v>0</v>
      </c>
      <c r="N25" s="101">
        <f t="shared" si="3"/>
        <v>0</v>
      </c>
      <c r="O25" s="198" t="str">
        <f>IF(ISBLANK('Input|Fee Based'!$N25),"",'Input|Fee Based'!$N25)</f>
        <v/>
      </c>
      <c r="P25" s="198">
        <f>IFERROR(IF(E25='Calc|Labour Rates'!$C$10,VLOOKUP(O25,'Calc|Labour Rates'!$B$10:$M$14,4,FALSE),VLOOKUP(O25,'Calc|Labour Rates'!$B$15:$M$19,4,FALSE)),0)</f>
        <v>0</v>
      </c>
      <c r="Q25" s="198">
        <f>IFERROR((('Input|Fee Based'!Q25*'Input|Fee Based'!P25)/60)*P25,0)</f>
        <v>0</v>
      </c>
      <c r="R25" s="198">
        <f>IFERROR((('Input|Fee Based'!R25*'Input|Fee Based'!P25)/60)*Q25,0)</f>
        <v>0</v>
      </c>
      <c r="S25" s="222">
        <f t="shared" si="4"/>
        <v>0</v>
      </c>
      <c r="T25" s="224">
        <f t="shared" si="5"/>
        <v>0</v>
      </c>
      <c r="U25" s="101">
        <f t="shared" si="6"/>
        <v>0</v>
      </c>
      <c r="V25" s="198">
        <f>'Input|Fee Based'!T25*CPI_Escalator_to_Y1*RealMaterials_Escalator_to_Y1</f>
        <v>0</v>
      </c>
      <c r="W25" s="198">
        <f>'Input|Fee Based'!U25*CPI_Escalator_to_Y1*RealVehicles_Escalator_to_Y1</f>
        <v>0</v>
      </c>
      <c r="X25" s="198">
        <f>'Input|Fee Based'!V25*CPI_Escalator_to_Y1*RealOther_Escalator_to_Y1</f>
        <v>112.33673134944479</v>
      </c>
      <c r="Y25" s="62"/>
      <c r="Z25" s="225">
        <f t="shared" si="0"/>
        <v>112.33673134944479</v>
      </c>
      <c r="AA25" s="59"/>
      <c r="AB25" s="472"/>
      <c r="AC25" s="472"/>
      <c r="AD25" s="472"/>
      <c r="AE25" s="473"/>
      <c r="AF25" s="75"/>
      <c r="AG25" s="118"/>
      <c r="AH25" s="14"/>
    </row>
    <row r="26" spans="1:34" customFormat="1" x14ac:dyDescent="0.2">
      <c r="A26" s="15">
        <f t="shared" si="7"/>
        <v>15</v>
      </c>
      <c r="B26" s="220" t="str">
        <f>IF(ISBLANK('Input|Fee Based'!B26),"",'Input|Fee Based'!B26)</f>
        <v>DEEN</v>
      </c>
      <c r="C26" s="462" t="str">
        <f>IF(ISBLANK('Input|Fee Based'!C26),"",'Input|Fee Based'!C26)</f>
        <v>Field-based de-energisation BH</v>
      </c>
      <c r="D26" s="221" t="str">
        <f>IF(ISBLANK('Input|Fee Based'!F26),"",'Input|Fee Based'!F26)</f>
        <v>Connection service</v>
      </c>
      <c r="E26" s="195" t="str">
        <f>IF(ISBLANK('Input|Fee Based'!D26),"",'Input|Fee Based'!D26)</f>
        <v>Business Hours</v>
      </c>
      <c r="F26" s="195" t="str">
        <f>IF(ISBLANK('Input|Fee Based'!E26),"",'Input|Fee Based'!E26)</f>
        <v>Opex</v>
      </c>
      <c r="G26" s="195" t="str">
        <f>IF(ISBLANK('Input|Fee Based'!G26),"",'Input|Fee Based'!G26)</f>
        <v>Fee Based</v>
      </c>
      <c r="H26" s="276">
        <f t="shared" si="1"/>
        <v>92.287214577042931</v>
      </c>
      <c r="I26" s="13"/>
      <c r="J26" s="198" t="str">
        <f>IF(ISBLANK('Input|Fee Based'!I26),"",'Input|Fee Based'!I26)</f>
        <v/>
      </c>
      <c r="K26" s="198">
        <f>IFERROR(VLOOKUP(J26,'Calc|Labour Rates'!$B$10:$M$14,4,FALSE),0)</f>
        <v>0</v>
      </c>
      <c r="L26" s="222">
        <f>IFERROR(K26*'Input|Fee Based'!K26*'Input|Fee Based'!L26/'Input|Setup'!$E$19,0)</f>
        <v>0</v>
      </c>
      <c r="M26" s="223">
        <f t="shared" si="2"/>
        <v>0</v>
      </c>
      <c r="N26" s="101">
        <f t="shared" si="3"/>
        <v>0</v>
      </c>
      <c r="O26" s="198" t="str">
        <f>IF(ISBLANK('Input|Fee Based'!$N26),"",'Input|Fee Based'!$N26)</f>
        <v/>
      </c>
      <c r="P26" s="198">
        <f>IFERROR(IF(E26='Calc|Labour Rates'!$C$10,VLOOKUP(O26,'Calc|Labour Rates'!$B$10:$M$14,4,FALSE),VLOOKUP(O26,'Calc|Labour Rates'!$B$15:$M$19,4,FALSE)),0)</f>
        <v>0</v>
      </c>
      <c r="Q26" s="198">
        <f>IFERROR((('Input|Fee Based'!Q26*'Input|Fee Based'!P26)/60)*P26,0)</f>
        <v>0</v>
      </c>
      <c r="R26" s="198">
        <f>IFERROR((('Input|Fee Based'!R26*'Input|Fee Based'!P26)/60)*Q26,0)</f>
        <v>0</v>
      </c>
      <c r="S26" s="222">
        <f t="shared" si="4"/>
        <v>0</v>
      </c>
      <c r="T26" s="224">
        <f t="shared" si="5"/>
        <v>0</v>
      </c>
      <c r="U26" s="101">
        <f t="shared" si="6"/>
        <v>0</v>
      </c>
      <c r="V26" s="198">
        <f>'Input|Fee Based'!T26*CPI_Escalator_to_Y1*RealMaterials_Escalator_to_Y1</f>
        <v>0</v>
      </c>
      <c r="W26" s="198">
        <f>'Input|Fee Based'!U26*CPI_Escalator_to_Y1*RealVehicles_Escalator_to_Y1</f>
        <v>0</v>
      </c>
      <c r="X26" s="198">
        <f>'Input|Fee Based'!V26*CPI_Escalator_to_Y1*RealOther_Escalator_to_Y1</f>
        <v>92.287214577042931</v>
      </c>
      <c r="Y26" s="62"/>
      <c r="Z26" s="225">
        <f t="shared" si="0"/>
        <v>92.287214577042931</v>
      </c>
      <c r="AA26" s="59"/>
      <c r="AB26" s="472"/>
      <c r="AC26" s="472"/>
      <c r="AD26" s="472"/>
      <c r="AE26" s="473"/>
      <c r="AF26" s="75"/>
      <c r="AG26" s="118"/>
      <c r="AH26" s="14"/>
    </row>
    <row r="27" spans="1:34" customFormat="1" x14ac:dyDescent="0.2">
      <c r="A27" s="15">
        <f t="shared" si="7"/>
        <v>16</v>
      </c>
      <c r="B27" s="220" t="str">
        <f>IF(ISBLANK('Input|Fee Based'!B27),"",'Input|Fee Based'!B27)</f>
        <v>DCTK</v>
      </c>
      <c r="C27" s="220" t="str">
        <f>IF(ISBLANK('Input|Fee Based'!C27),"",'Input|Fee Based'!C27)</f>
        <v>Disconnection (temporary) BH</v>
      </c>
      <c r="D27" s="221" t="str">
        <f>IF(ISBLANK('Input|Fee Based'!F27),"",'Input|Fee Based'!F27)</f>
        <v>Customer requested supply outage</v>
      </c>
      <c r="E27" s="195" t="str">
        <f>IF(ISBLANK('Input|Fee Based'!D27),"",'Input|Fee Based'!D27)</f>
        <v>Business Hours</v>
      </c>
      <c r="F27" s="195" t="str">
        <f>IF(ISBLANK('Input|Fee Based'!E27),"",'Input|Fee Based'!E27)</f>
        <v>Opex</v>
      </c>
      <c r="G27" s="195" t="str">
        <f>IF(ISBLANK('Input|Fee Based'!G27),"",'Input|Fee Based'!G27)</f>
        <v>Fee Based</v>
      </c>
      <c r="H27" s="276">
        <f t="shared" si="1"/>
        <v>512.14286253462149</v>
      </c>
      <c r="I27" s="13"/>
      <c r="J27" s="198" t="str">
        <f>IF(ISBLANK('Input|Fee Based'!I27),"",'Input|Fee Based'!I27)</f>
        <v>Administrative Officer</v>
      </c>
      <c r="K27" s="198">
        <f>IFERROR(VLOOKUP(J27,'Calc|Labour Rates'!$B$10:$M$14,4,FALSE),0)</f>
        <v>74.308694556425806</v>
      </c>
      <c r="L27" s="222">
        <f>IFERROR(K27*'Input|Fee Based'!K27*'Input|Fee Based'!L27/'Input|Setup'!$E$19,0)</f>
        <v>37.154347278212903</v>
      </c>
      <c r="M27" s="223">
        <f t="shared" si="2"/>
        <v>37.154347278212903</v>
      </c>
      <c r="N27" s="101">
        <f t="shared" si="3"/>
        <v>0</v>
      </c>
      <c r="O27" s="198" t="str">
        <f>IF(ISBLANK('Input|Fee Based'!$N27),"",'Input|Fee Based'!$N27)</f>
        <v>Field Worker</v>
      </c>
      <c r="P27" s="198">
        <f>IFERROR(IF(E27='Calc|Labour Rates'!$C$10,VLOOKUP(O27,'Calc|Labour Rates'!$B$10:$M$14,4,FALSE),VLOOKUP(O27,'Calc|Labour Rates'!$B$15:$M$19,4,FALSE)),0)</f>
        <v>124.67074971965012</v>
      </c>
      <c r="Q27" s="198">
        <f>IFERROR((('Input|Fee Based'!Q27*'Input|Fee Based'!P27)/60)*P27,0)</f>
        <v>124.67074971965012</v>
      </c>
      <c r="R27" s="198">
        <f>IFERROR((('Input|Fee Based'!R27*'Input|Fee Based'!P27)/60)*Q27,0)</f>
        <v>103.89229143304176</v>
      </c>
      <c r="S27" s="222">
        <f t="shared" si="4"/>
        <v>228.56304115269188</v>
      </c>
      <c r="T27" s="224">
        <f t="shared" si="5"/>
        <v>228.56304115269188</v>
      </c>
      <c r="U27" s="101">
        <f t="shared" si="6"/>
        <v>0</v>
      </c>
      <c r="V27" s="198">
        <f>'Input|Fee Based'!T27*CPI_Escalator_to_Y1*RealMaterials_Escalator_to_Y1</f>
        <v>0</v>
      </c>
      <c r="W27" s="198">
        <f>'Input|Fee Based'!U27*CPI_Escalator_to_Y1*RealVehicles_Escalator_to_Y1</f>
        <v>52.324391795559762</v>
      </c>
      <c r="X27" s="198">
        <f>'Input|Fee Based'!V27*CPI_Escalator_to_Y1*RealOther_Escalator_to_Y1</f>
        <v>0</v>
      </c>
      <c r="Y27" s="62"/>
      <c r="Z27" s="225">
        <f t="shared" si="0"/>
        <v>318.04178022646454</v>
      </c>
      <c r="AA27" s="59"/>
      <c r="AB27" s="226">
        <f>$Z27*SUMIF('Input|Indirect Cost Rates'!$E$25:$E$26,$F27,'Input|Indirect Cost Rates'!$D$25:$D$26)</f>
        <v>66.575380653767965</v>
      </c>
      <c r="AC27" s="226">
        <f>$Z27*SUMIF('Input|Indirect Cost Rates'!$E$27:$E$28,$F27,'Input|Indirect Cost Rates'!$D$27:$D$28)</f>
        <v>127.52570165438895</v>
      </c>
      <c r="AD27" s="226">
        <f>$Z27*'Input|Fee Based'!Z27</f>
        <v>0</v>
      </c>
      <c r="AE27" s="227">
        <f>SUM($Z27,$AB27:$AD27)*'Input|Fee Based'!$AA27</f>
        <v>0</v>
      </c>
      <c r="AF27" s="75"/>
      <c r="AG27" s="118"/>
      <c r="AH27" s="14"/>
    </row>
    <row r="28" spans="1:34" customFormat="1" x14ac:dyDescent="0.2">
      <c r="A28" s="15">
        <f t="shared" si="7"/>
        <v>17</v>
      </c>
      <c r="B28" s="220" t="str">
        <f>IF(ISBLANK('Input|Fee Based'!B28),"",'Input|Fee Based'!B28)</f>
        <v>DCTK</v>
      </c>
      <c r="C28" s="220" t="str">
        <f>IF(ISBLANK('Input|Fee Based'!C28),"",'Input|Fee Based'!C28)</f>
        <v>Disconnection (temporary) AH</v>
      </c>
      <c r="D28" s="221" t="str">
        <f>IF(ISBLANK('Input|Fee Based'!F28),"",'Input|Fee Based'!F28)</f>
        <v>Customer requested supply outage</v>
      </c>
      <c r="E28" s="195" t="str">
        <f>IF(ISBLANK('Input|Fee Based'!D28),"",'Input|Fee Based'!D28)</f>
        <v>After Hours</v>
      </c>
      <c r="F28" s="195" t="str">
        <f>IF(ISBLANK('Input|Fee Based'!E28),"",'Input|Fee Based'!E28)</f>
        <v>Opex</v>
      </c>
      <c r="G28" s="195" t="str">
        <f>IF(ISBLANK('Input|Fee Based'!G28),"",'Input|Fee Based'!G28)</f>
        <v>Fee Based</v>
      </c>
      <c r="H28" s="276">
        <f t="shared" si="1"/>
        <v>820.73226537192193</v>
      </c>
      <c r="I28" s="13"/>
      <c r="J28" s="198" t="str">
        <f>IF(ISBLANK('Input|Fee Based'!I28),"",'Input|Fee Based'!I28)</f>
        <v>Administrative Officer</v>
      </c>
      <c r="K28" s="198">
        <f>IFERROR(VLOOKUP(J28,'Calc|Labour Rates'!$B$10:$M$14,4,FALSE),0)</f>
        <v>74.308694556425806</v>
      </c>
      <c r="L28" s="222">
        <f>IFERROR(K28*'Input|Fee Based'!K28*'Input|Fee Based'!L28/'Input|Setup'!$E$19,0)</f>
        <v>37.154347278212903</v>
      </c>
      <c r="M28" s="223">
        <f t="shared" si="2"/>
        <v>37.154347278212903</v>
      </c>
      <c r="N28" s="101">
        <f t="shared" si="3"/>
        <v>0</v>
      </c>
      <c r="O28" s="198" t="str">
        <f>IF(ISBLANK('Input|Fee Based'!$N28),"",'Input|Fee Based'!$N28)</f>
        <v>Field Worker</v>
      </c>
      <c r="P28" s="198">
        <f>IFERROR(IF(E28='Calc|Labour Rates'!$C$10,VLOOKUP(O28,'Calc|Labour Rates'!$B$10:$M$14,4,FALSE),VLOOKUP(O28,'Calc|Labour Rates'!$B$15:$M$19,4,FALSE)),0)</f>
        <v>229.19874576819083</v>
      </c>
      <c r="Q28" s="198">
        <f>IFERROR((('Input|Fee Based'!Q28*'Input|Fee Based'!P28)/60)*P28,0)</f>
        <v>229.19874576819083</v>
      </c>
      <c r="R28" s="198">
        <f>IFERROR((('Input|Fee Based'!R28*'Input|Fee Based'!P28)/60)*Q28,0)</f>
        <v>190.99895480682571</v>
      </c>
      <c r="S28" s="222">
        <f t="shared" si="4"/>
        <v>420.19770057501654</v>
      </c>
      <c r="T28" s="224">
        <f t="shared" si="5"/>
        <v>420.19770057501654</v>
      </c>
      <c r="U28" s="101">
        <f t="shared" si="6"/>
        <v>0</v>
      </c>
      <c r="V28" s="198">
        <f>'Input|Fee Based'!T28*CPI_Escalator_to_Y1*RealMaterials_Escalator_to_Y1</f>
        <v>0</v>
      </c>
      <c r="W28" s="198">
        <f>'Input|Fee Based'!U28*CPI_Escalator_to_Y1*RealVehicles_Escalator_to_Y1</f>
        <v>52.324391795559762</v>
      </c>
      <c r="X28" s="198">
        <f>'Input|Fee Based'!V28*CPI_Escalator_to_Y1*RealOther_Escalator_to_Y1</f>
        <v>0</v>
      </c>
      <c r="Y28" s="62"/>
      <c r="Z28" s="225">
        <f t="shared" si="0"/>
        <v>509.67643964878926</v>
      </c>
      <c r="AA28" s="59"/>
      <c r="AB28" s="226">
        <f>$Z28*SUMIF('Input|Indirect Cost Rates'!$E$25:$E$26,$F28,'Input|Indirect Cost Rates'!$D$25:$D$26)</f>
        <v>106.69008001311595</v>
      </c>
      <c r="AC28" s="226">
        <f>$Z28*SUMIF('Input|Indirect Cost Rates'!$E$27:$E$28,$F28,'Input|Indirect Cost Rates'!$D$27:$D$28)</f>
        <v>204.36574571001674</v>
      </c>
      <c r="AD28" s="226">
        <f>$Z28*'Input|Fee Based'!Z28</f>
        <v>0</v>
      </c>
      <c r="AE28" s="227">
        <f>SUM($Z28,$AB28:$AD28)*'Input|Fee Based'!$AA28</f>
        <v>0</v>
      </c>
      <c r="AF28" s="75"/>
      <c r="AG28" s="118"/>
      <c r="AH28" s="14"/>
    </row>
    <row r="29" spans="1:34" customFormat="1" x14ac:dyDescent="0.2">
      <c r="A29" s="15">
        <f t="shared" si="7"/>
        <v>18</v>
      </c>
      <c r="B29" s="220" t="str">
        <f>IF(ISBLANK('Input|Fee Based'!B29),"",'Input|Fee Based'!B29)</f>
        <v>RCTK</v>
      </c>
      <c r="C29" s="220" t="str">
        <f>IF(ISBLANK('Input|Fee Based'!C29),"",'Input|Fee Based'!C29)</f>
        <v>Reconnection after temp discon BH</v>
      </c>
      <c r="D29" s="221" t="str">
        <f>IF(ISBLANK('Input|Fee Based'!F29),"",'Input|Fee Based'!F29)</f>
        <v>Customer requested supply outage</v>
      </c>
      <c r="E29" s="195" t="str">
        <f>IF(ISBLANK('Input|Fee Based'!D29),"",'Input|Fee Based'!D29)</f>
        <v>Business Hours</v>
      </c>
      <c r="F29" s="195" t="str">
        <f>IF(ISBLANK('Input|Fee Based'!E29),"",'Input|Fee Based'!E29)</f>
        <v>Opex</v>
      </c>
      <c r="G29" s="195" t="str">
        <f>IF(ISBLANK('Input|Fee Based'!G29),"",'Input|Fee Based'!G29)</f>
        <v>Fee Based</v>
      </c>
      <c r="H29" s="276">
        <f t="shared" si="1"/>
        <v>594.38162537760184</v>
      </c>
      <c r="I29" s="13"/>
      <c r="J29" s="198" t="str">
        <f>IF(ISBLANK('Input|Fee Based'!I29),"",'Input|Fee Based'!I29)</f>
        <v>Administrative Officer</v>
      </c>
      <c r="K29" s="198">
        <f>IFERROR(VLOOKUP(J29,'Calc|Labour Rates'!$B$10:$M$14,4,FALSE),0)</f>
        <v>74.308694556425806</v>
      </c>
      <c r="L29" s="222">
        <f>IFERROR(K29*'Input|Fee Based'!K29*'Input|Fee Based'!L29/'Input|Setup'!$E$19,0)</f>
        <v>37.154347278212903</v>
      </c>
      <c r="M29" s="223">
        <f t="shared" si="2"/>
        <v>37.154347278212903</v>
      </c>
      <c r="N29" s="101">
        <f t="shared" si="3"/>
        <v>0</v>
      </c>
      <c r="O29" s="198" t="str">
        <f>IF(ISBLANK('Input|Fee Based'!$N29),"",'Input|Fee Based'!$N29)</f>
        <v>Field Worker</v>
      </c>
      <c r="P29" s="198">
        <f>IFERROR(IF(E29='Calc|Labour Rates'!$C$10,VLOOKUP(O29,'Calc|Labour Rates'!$B$10:$M$14,4,FALSE),VLOOKUP(O29,'Calc|Labour Rates'!$B$15:$M$19,4,FALSE)),0)</f>
        <v>124.67074971965012</v>
      </c>
      <c r="Q29" s="198">
        <f>IFERROR((('Input|Fee Based'!Q29*'Input|Fee Based'!P29)/60)*P29,0)</f>
        <v>124.67074971965012</v>
      </c>
      <c r="R29" s="198">
        <f>IFERROR((('Input|Fee Based'!R29*'Input|Fee Based'!P29)/60)*Q29,0)</f>
        <v>145.44920800625849</v>
      </c>
      <c r="S29" s="222">
        <f t="shared" si="4"/>
        <v>270.11995772590859</v>
      </c>
      <c r="T29" s="224">
        <f t="shared" si="5"/>
        <v>270.11995772590859</v>
      </c>
      <c r="U29" s="101">
        <f t="shared" si="6"/>
        <v>0</v>
      </c>
      <c r="V29" s="198">
        <f>'Input|Fee Based'!T29*CPI_Escalator_to_Y1*RealMaterials_Escalator_to_Y1</f>
        <v>0</v>
      </c>
      <c r="W29" s="198">
        <f>'Input|Fee Based'!U29*CPI_Escalator_to_Y1*RealVehicles_Escalator_to_Y1</f>
        <v>61.837917576570625</v>
      </c>
      <c r="X29" s="198">
        <f>'Input|Fee Based'!V29*CPI_Escalator_to_Y1*RealOther_Escalator_to_Y1</f>
        <v>0</v>
      </c>
      <c r="Y29" s="62"/>
      <c r="Z29" s="225">
        <f t="shared" si="0"/>
        <v>369.11222258069216</v>
      </c>
      <c r="AA29" s="59"/>
      <c r="AB29" s="226">
        <f>$Z29*SUMIF('Input|Indirect Cost Rates'!$E$25:$E$26,$F29,'Input|Indirect Cost Rates'!$D$25:$D$26)</f>
        <v>77.265907343273952</v>
      </c>
      <c r="AC29" s="226">
        <f>$Z29*SUMIF('Input|Indirect Cost Rates'!$E$27:$E$28,$F29,'Input|Indirect Cost Rates'!$D$27:$D$28)</f>
        <v>148.00349545363574</v>
      </c>
      <c r="AD29" s="226">
        <f>$Z29*'Input|Fee Based'!Z29</f>
        <v>0</v>
      </c>
      <c r="AE29" s="227">
        <f>SUM($Z29,$AB29:$AD29)*'Input|Fee Based'!$AA29</f>
        <v>0</v>
      </c>
      <c r="AF29" s="75"/>
      <c r="AG29" s="118"/>
      <c r="AH29" s="14"/>
    </row>
    <row r="30" spans="1:34" customFormat="1" x14ac:dyDescent="0.2">
      <c r="A30" s="15">
        <f t="shared" si="7"/>
        <v>19</v>
      </c>
      <c r="B30" s="220" t="str">
        <f>IF(ISBLANK('Input|Fee Based'!B30),"",'Input|Fee Based'!B30)</f>
        <v>RCTK</v>
      </c>
      <c r="C30" s="220" t="str">
        <f>IF(ISBLANK('Input|Fee Based'!C30),"",'Input|Fee Based'!C30)</f>
        <v>Reconnection after temp discon AH</v>
      </c>
      <c r="D30" s="221" t="str">
        <f>IF(ISBLANK('Input|Fee Based'!F30),"",'Input|Fee Based'!F30)</f>
        <v>Customer requested supply outage</v>
      </c>
      <c r="E30" s="195" t="str">
        <f>IF(ISBLANK('Input|Fee Based'!D30),"",'Input|Fee Based'!D30)</f>
        <v>After Hours</v>
      </c>
      <c r="F30" s="195" t="str">
        <f>IF(ISBLANK('Input|Fee Based'!E30),"",'Input|Fee Based'!E30)</f>
        <v>Opex</v>
      </c>
      <c r="G30" s="195" t="str">
        <f>IF(ISBLANK('Input|Fee Based'!G30),"",'Input|Fee Based'!G30)</f>
        <v>Fee Based</v>
      </c>
      <c r="H30" s="276">
        <f t="shared" si="1"/>
        <v>959.07819236713851</v>
      </c>
      <c r="I30" s="13"/>
      <c r="J30" s="198" t="str">
        <f>IF(ISBLANK('Input|Fee Based'!I30),"",'Input|Fee Based'!I30)</f>
        <v>Administrative Officer</v>
      </c>
      <c r="K30" s="198">
        <f>IFERROR(VLOOKUP(J30,'Calc|Labour Rates'!$B$10:$M$14,4,FALSE),0)</f>
        <v>74.308694556425806</v>
      </c>
      <c r="L30" s="222">
        <f>IFERROR(K30*'Input|Fee Based'!K30*'Input|Fee Based'!L30/'Input|Setup'!$E$19,0)</f>
        <v>37.154347278212903</v>
      </c>
      <c r="M30" s="223">
        <f t="shared" si="2"/>
        <v>37.154347278212903</v>
      </c>
      <c r="N30" s="101">
        <f t="shared" si="3"/>
        <v>0</v>
      </c>
      <c r="O30" s="198" t="str">
        <f>IF(ISBLANK('Input|Fee Based'!$N30),"",'Input|Fee Based'!$N30)</f>
        <v>Field Worker</v>
      </c>
      <c r="P30" s="198">
        <f>IFERROR(IF(E30='Calc|Labour Rates'!$C$10,VLOOKUP(O30,'Calc|Labour Rates'!$B$10:$M$14,4,FALSE),VLOOKUP(O30,'Calc|Labour Rates'!$B$15:$M$19,4,FALSE)),0)</f>
        <v>229.19874576819083</v>
      </c>
      <c r="Q30" s="198">
        <f>IFERROR((('Input|Fee Based'!Q30*'Input|Fee Based'!P30)/60)*P30,0)</f>
        <v>229.19874576819083</v>
      </c>
      <c r="R30" s="198">
        <f>IFERROR((('Input|Fee Based'!R30*'Input|Fee Based'!P30)/60)*Q30,0)</f>
        <v>267.39853672955599</v>
      </c>
      <c r="S30" s="222">
        <f t="shared" si="4"/>
        <v>496.59728249774685</v>
      </c>
      <c r="T30" s="224">
        <f t="shared" si="5"/>
        <v>496.59728249774685</v>
      </c>
      <c r="U30" s="101">
        <f t="shared" si="6"/>
        <v>0</v>
      </c>
      <c r="V30" s="198">
        <f>'Input|Fee Based'!T30*CPI_Escalator_to_Y1*RealMaterials_Escalator_to_Y1</f>
        <v>0</v>
      </c>
      <c r="W30" s="198">
        <f>'Input|Fee Based'!U30*CPI_Escalator_to_Y1*RealVehicles_Escalator_to_Y1</f>
        <v>61.837917576570625</v>
      </c>
      <c r="X30" s="198">
        <f>'Input|Fee Based'!V30*CPI_Escalator_to_Y1*RealOther_Escalator_to_Y1</f>
        <v>0</v>
      </c>
      <c r="Y30" s="62"/>
      <c r="Z30" s="225">
        <f t="shared" si="0"/>
        <v>595.5895473525303</v>
      </c>
      <c r="AA30" s="59"/>
      <c r="AB30" s="226">
        <f>$Z30*SUMIF('Input|Indirect Cost Rates'!$E$25:$E$26,$F30,'Input|Indirect Cost Rates'!$D$25:$D$26)</f>
        <v>124.67418840432153</v>
      </c>
      <c r="AC30" s="226">
        <f>$Z30*SUMIF('Input|Indirect Cost Rates'!$E$27:$E$28,$F30,'Input|Indirect Cost Rates'!$D$27:$D$28)</f>
        <v>238.81445661028667</v>
      </c>
      <c r="AD30" s="226">
        <f>$Z30*'Input|Fee Based'!Z30</f>
        <v>0</v>
      </c>
      <c r="AE30" s="227">
        <f>SUM($Z30,$AB30:$AD30)*'Input|Fee Based'!$AA30</f>
        <v>0</v>
      </c>
      <c r="AF30" s="75"/>
      <c r="AG30" s="118"/>
      <c r="AH30" s="14"/>
    </row>
    <row r="31" spans="1:34" customFormat="1" x14ac:dyDescent="0.2">
      <c r="A31" s="15">
        <f t="shared" si="7"/>
        <v>20</v>
      </c>
      <c r="B31" s="220" t="str">
        <f>IF(ISBLANK('Input|Fee Based'!B31),"",'Input|Fee Based'!B31)</f>
        <v>SLOM</v>
      </c>
      <c r="C31" s="220" t="str">
        <f>IF(ISBLANK('Input|Fee Based'!C31),"",'Input|Fee Based'!C31)</f>
        <v>Security Lighting - O&amp;M</v>
      </c>
      <c r="D31" s="221" t="str">
        <f>IF(ISBLANK('Input|Fee Based'!F31),"",'Input|Fee Based'!F31)</f>
        <v>Security lights</v>
      </c>
      <c r="E31" s="195" t="str">
        <f>IF(ISBLANK('Input|Fee Based'!D31),"",'Input|Fee Based'!D31)</f>
        <v>Business Hours</v>
      </c>
      <c r="F31" s="195" t="str">
        <f>IF(ISBLANK('Input|Fee Based'!E31),"",'Input|Fee Based'!E31)</f>
        <v>Capex</v>
      </c>
      <c r="G31" s="195" t="str">
        <f>IF(ISBLANK('Input|Fee Based'!G31),"",'Input|Fee Based'!G31)</f>
        <v>Fee Based</v>
      </c>
      <c r="H31" s="276">
        <f t="shared" si="1"/>
        <v>179.35565029992011</v>
      </c>
      <c r="I31" s="13"/>
      <c r="J31" s="198" t="str">
        <f>IF(ISBLANK('Input|Fee Based'!I31),"",'Input|Fee Based'!I31)</f>
        <v/>
      </c>
      <c r="K31" s="198">
        <f>IFERROR(VLOOKUP(J31,'Calc|Labour Rates'!$B$10:$M$14,4,FALSE),0)</f>
        <v>0</v>
      </c>
      <c r="L31" s="222">
        <f>IFERROR(K31*'Input|Fee Based'!K31*'Input|Fee Based'!L31/'Input|Setup'!$E$19,0)</f>
        <v>0</v>
      </c>
      <c r="M31" s="223">
        <f t="shared" si="2"/>
        <v>0</v>
      </c>
      <c r="N31" s="101">
        <f t="shared" si="3"/>
        <v>0</v>
      </c>
      <c r="O31" s="198" t="str">
        <f>IF(ISBLANK('Input|Fee Based'!$N31),"",'Input|Fee Based'!$N31)</f>
        <v/>
      </c>
      <c r="P31" s="198">
        <f>IFERROR(IF(E31='Calc|Labour Rates'!$C$10,VLOOKUP(O31,'Calc|Labour Rates'!$B$10:$M$14,4,FALSE),VLOOKUP(O31,'Calc|Labour Rates'!$B$15:$M$19,4,FALSE)),0)</f>
        <v>0</v>
      </c>
      <c r="Q31" s="198">
        <f>IFERROR((('Input|Fee Based'!Q31*'Input|Fee Based'!P31)/60)*P31,0)</f>
        <v>0</v>
      </c>
      <c r="R31" s="198">
        <f>IFERROR((('Input|Fee Based'!R31*'Input|Fee Based'!P31)/60)*Q31,0)</f>
        <v>0</v>
      </c>
      <c r="S31" s="222">
        <f t="shared" si="4"/>
        <v>0</v>
      </c>
      <c r="T31" s="224">
        <f t="shared" si="5"/>
        <v>0</v>
      </c>
      <c r="U31" s="101">
        <f t="shared" si="6"/>
        <v>0</v>
      </c>
      <c r="V31" s="198">
        <f>'Input|Fee Based'!T31*CPI_Escalator_to_Y1*RealMaterials_Escalator_to_Y1</f>
        <v>0</v>
      </c>
      <c r="W31" s="198">
        <f>'Input|Fee Based'!U31*CPI_Escalator_to_Y1*RealVehicles_Escalator_to_Y1</f>
        <v>0</v>
      </c>
      <c r="X31" s="198">
        <f>'Input|Fee Based'!V31*CPI_Escalator_to_Y1*RealOther_Escalator_to_Y1</f>
        <v>106.43482338461436</v>
      </c>
      <c r="Y31" s="62"/>
      <c r="Z31" s="225">
        <f t="shared" si="0"/>
        <v>106.43482338461436</v>
      </c>
      <c r="AA31" s="59"/>
      <c r="AB31" s="226">
        <f>$Z31*SUMIF('Input|Indirect Cost Rates'!$E$25:$E$26,$F31,'Input|Indirect Cost Rates'!$D$25:$D$26)</f>
        <v>22.279899441518793</v>
      </c>
      <c r="AC31" s="226">
        <f>$Z31*SUMIF('Input|Indirect Cost Rates'!$E$27:$E$28,$F31,'Input|Indirect Cost Rates'!$D$27:$D$28)</f>
        <v>42.67733479204842</v>
      </c>
      <c r="AD31" s="226">
        <f>$Z31*'Input|Fee Based'!Z31</f>
        <v>0</v>
      </c>
      <c r="AE31" s="227">
        <f>SUM($Z31,$AB31:$AD31)*'Input|Fee Based'!$AA31</f>
        <v>7.9635926817385219</v>
      </c>
      <c r="AF31" s="75"/>
      <c r="AG31" s="118"/>
      <c r="AH31" s="14"/>
    </row>
    <row r="32" spans="1:34" customFormat="1" x14ac:dyDescent="0.2">
      <c r="A32" s="15">
        <f t="shared" si="7"/>
        <v>21</v>
      </c>
      <c r="B32" s="220" t="str">
        <f>IF(ISBLANK('Input|Fee Based'!B32),"",'Input|Fee Based'!B32)</f>
        <v>RFOM</v>
      </c>
      <c r="C32" s="220" t="str">
        <f>IF(ISBLANK('Input|Fee Based'!C32),"",'Input|Fee Based'!C32)</f>
        <v>Enhanced Connection Operation and Maintenance</v>
      </c>
      <c r="D32" s="221" t="str">
        <f>IF(ISBLANK('Input|Fee Based'!F32),"",'Input|Fee Based'!F32)</f>
        <v>Enhanced connection services</v>
      </c>
      <c r="E32" s="195" t="str">
        <f>IF(ISBLANK('Input|Fee Based'!D32),"",'Input|Fee Based'!D32)</f>
        <v>Business Hours</v>
      </c>
      <c r="F32" s="195" t="str">
        <f>IF(ISBLANK('Input|Fee Based'!E32),"",'Input|Fee Based'!E32)</f>
        <v>Opex</v>
      </c>
      <c r="G32" s="195" t="str">
        <f>IF(ISBLANK('Input|Fee Based'!G32),"",'Input|Fee Based'!G32)</f>
        <v>Fee Based</v>
      </c>
      <c r="H32" s="276">
        <f t="shared" si="1"/>
        <v>16.324063947037612</v>
      </c>
      <c r="I32" s="13"/>
      <c r="J32" s="198" t="str">
        <f>IF(ISBLANK('Input|Fee Based'!I32),"",'Input|Fee Based'!I32)</f>
        <v/>
      </c>
      <c r="K32" s="198">
        <f>IFERROR(VLOOKUP(J32,'Calc|Labour Rates'!$B$10:$M$14,4,FALSE),0)</f>
        <v>0</v>
      </c>
      <c r="L32" s="222">
        <f>IFERROR(K32*'Input|Fee Based'!K32*'Input|Fee Based'!L32/'Input|Setup'!$E$19,0)</f>
        <v>0</v>
      </c>
      <c r="M32" s="223">
        <f t="shared" si="2"/>
        <v>0</v>
      </c>
      <c r="N32" s="101">
        <f t="shared" si="3"/>
        <v>0</v>
      </c>
      <c r="O32" s="198" t="str">
        <f>IF(ISBLANK('Input|Fee Based'!$N32),"",'Input|Fee Based'!$N32)</f>
        <v/>
      </c>
      <c r="P32" s="198">
        <f>IFERROR(IF(E32='Calc|Labour Rates'!$C$10,VLOOKUP(O32,'Calc|Labour Rates'!$B$10:$M$14,4,FALSE),VLOOKUP(O32,'Calc|Labour Rates'!$B$15:$M$19,4,FALSE)),0)</f>
        <v>0</v>
      </c>
      <c r="Q32" s="198">
        <f>IFERROR((('Input|Fee Based'!Q32*'Input|Fee Based'!P32)/60)*P32,0)</f>
        <v>0</v>
      </c>
      <c r="R32" s="198">
        <f>IFERROR((('Input|Fee Based'!R32*'Input|Fee Based'!P32)/60)*Q32,0)</f>
        <v>0</v>
      </c>
      <c r="S32" s="222">
        <f t="shared" si="4"/>
        <v>0</v>
      </c>
      <c r="T32" s="224">
        <f t="shared" si="5"/>
        <v>0</v>
      </c>
      <c r="U32" s="101">
        <f t="shared" si="6"/>
        <v>0</v>
      </c>
      <c r="V32" s="198">
        <f>'Input|Fee Based'!T32*CPI_Escalator_to_Y1*RealMaterials_Escalator_to_Y1</f>
        <v>0</v>
      </c>
      <c r="W32" s="198">
        <f>'Input|Fee Based'!U32*CPI_Escalator_to_Y1*RealVehicles_Escalator_to_Y1</f>
        <v>0</v>
      </c>
      <c r="X32" s="198">
        <f>'Input|Fee Based'!V32*CPI_Escalator_to_Y1*RealOther_Escalator_to_Y1</f>
        <v>10.137277580228938</v>
      </c>
      <c r="Y32" s="62"/>
      <c r="Z32" s="225">
        <f t="shared" si="0"/>
        <v>10.137277580228938</v>
      </c>
      <c r="AA32" s="59"/>
      <c r="AB32" s="226">
        <f>$Z32*SUMIF('Input|Indirect Cost Rates'!$E$25:$E$26,$F32,'Input|Indirect Cost Rates'!$D$25:$D$26)</f>
        <v>2.1220265878781257</v>
      </c>
      <c r="AC32" s="226">
        <f>$Z32*SUMIF('Input|Indirect Cost Rates'!$E$27:$E$28,$F32,'Input|Indirect Cost Rates'!$D$27:$D$28)</f>
        <v>4.0647597789305472</v>
      </c>
      <c r="AD32" s="226">
        <f>$Z32*'Input|Fee Based'!Z32</f>
        <v>0</v>
      </c>
      <c r="AE32" s="227">
        <f>SUM($Z32,$AB32:$AD32)*'Input|Fee Based'!$AA32</f>
        <v>0</v>
      </c>
      <c r="AF32" s="75"/>
      <c r="AG32" s="118"/>
      <c r="AH32" s="14"/>
    </row>
    <row r="33" spans="1:34" customFormat="1" x14ac:dyDescent="0.2">
      <c r="A33" s="15">
        <f t="shared" si="7"/>
        <v>22</v>
      </c>
      <c r="B33" s="220" t="str">
        <f>IF(ISBLANK('Input|Fee Based'!B33),"",'Input|Fee Based'!B33)</f>
        <v>REENRM</v>
      </c>
      <c r="C33" s="220" t="str">
        <f>IF(ISBLANK('Input|Fee Based'!C33),"",'Input|Fee Based'!C33)</f>
        <v>Remote  energisation</v>
      </c>
      <c r="D33" s="221" t="str">
        <f>IF(ISBLANK('Input|Fee Based'!F33),"",'Input|Fee Based'!F33)</f>
        <v>Auxiliary metering services</v>
      </c>
      <c r="E33" s="195" t="str">
        <f>IF(ISBLANK('Input|Fee Based'!D33),"",'Input|Fee Based'!D33)</f>
        <v>Business Hours</v>
      </c>
      <c r="F33" s="195" t="str">
        <f>IF(ISBLANK('Input|Fee Based'!E33),"",'Input|Fee Based'!E33)</f>
        <v>Opex</v>
      </c>
      <c r="G33" s="195" t="str">
        <f>IF(ISBLANK('Input|Fee Based'!G33),"",'Input|Fee Based'!G33)</f>
        <v>Fee Based</v>
      </c>
      <c r="H33" s="276">
        <f>$Z33+SUM($AB33:$AE33)</f>
        <v>0</v>
      </c>
      <c r="I33" s="13"/>
      <c r="J33" s="198" t="str">
        <f>IF(ISBLANK('Input|Fee Based'!I33),"",'Input|Fee Based'!I33)</f>
        <v/>
      </c>
      <c r="K33" s="198">
        <f>IFERROR(VLOOKUP(J33,'Calc|Labour Rates'!$B$10:$M$14,4,FALSE),0)</f>
        <v>0</v>
      </c>
      <c r="L33" s="222">
        <f>IFERROR(K33*'Input|Fee Based'!K33*'Input|Fee Based'!L33/'Input|Setup'!$E$19,0)</f>
        <v>0</v>
      </c>
      <c r="M33" s="223">
        <f t="shared" si="2"/>
        <v>0</v>
      </c>
      <c r="N33" s="101">
        <f t="shared" si="3"/>
        <v>0</v>
      </c>
      <c r="O33" s="198" t="str">
        <f>IF(ISBLANK('Input|Fee Based'!$N33),"",'Input|Fee Based'!$N33)</f>
        <v/>
      </c>
      <c r="P33" s="198">
        <f>IFERROR(IF(E33='Calc|Labour Rates'!$C$10,VLOOKUP(O33,'Calc|Labour Rates'!$B$10:$M$14,4,FALSE),VLOOKUP(O33,'Calc|Labour Rates'!$B$15:$M$19,4,FALSE)),0)</f>
        <v>0</v>
      </c>
      <c r="Q33" s="198">
        <f>IFERROR((('Input|Fee Based'!Q33*'Input|Fee Based'!P33)/60)*P33,0)</f>
        <v>0</v>
      </c>
      <c r="R33" s="198">
        <f>IFERROR((('Input|Fee Based'!R33*'Input|Fee Based'!P33)/60)*Q33,0)</f>
        <v>0</v>
      </c>
      <c r="S33" s="222">
        <f t="shared" si="4"/>
        <v>0</v>
      </c>
      <c r="T33" s="224">
        <f t="shared" si="5"/>
        <v>0</v>
      </c>
      <c r="U33" s="101">
        <f t="shared" si="6"/>
        <v>0</v>
      </c>
      <c r="V33" s="198">
        <f>'Input|Fee Based'!T33*CPI_Escalator_to_Y1*RealMaterials_Escalator_to_Y1</f>
        <v>0</v>
      </c>
      <c r="W33" s="198">
        <f>'Input|Fee Based'!U33*CPI_Escalator_to_Y1*RealVehicles_Escalator_to_Y1</f>
        <v>0</v>
      </c>
      <c r="X33" s="198">
        <f>'Input|Fee Based'!V33*CPI_Escalator_to_Y1*RealOther_Escalator_to_Y1</f>
        <v>0</v>
      </c>
      <c r="Y33" s="62"/>
      <c r="Z33" s="225">
        <f>SUM($M33,$T33,$V33,$W33,$X33)</f>
        <v>0</v>
      </c>
      <c r="AA33" s="59"/>
      <c r="AB33" s="226">
        <f>$Z33*SUMIF('Input|Indirect Cost Rates'!$E$25:$E$26,$F33,'Input|Indirect Cost Rates'!$D$25:$D$26)</f>
        <v>0</v>
      </c>
      <c r="AC33" s="226">
        <f>$Z33*SUMIF('Input|Indirect Cost Rates'!$E$27:$E$28,$F33,'Input|Indirect Cost Rates'!$D$27:$D$28)</f>
        <v>0</v>
      </c>
      <c r="AD33" s="226">
        <f>$Z33*'Input|Fee Based'!Z33</f>
        <v>0</v>
      </c>
      <c r="AE33" s="227">
        <f>SUM($Z33,$AB33:$AD33)*'Input|Fee Based'!$AA33</f>
        <v>0</v>
      </c>
      <c r="AF33" s="75"/>
      <c r="AG33" s="118"/>
      <c r="AH33" s="14"/>
    </row>
    <row r="34" spans="1:34" customFormat="1" x14ac:dyDescent="0.2">
      <c r="A34" s="15">
        <f t="shared" si="7"/>
        <v>23</v>
      </c>
      <c r="B34" s="220" t="str">
        <f>IF(ISBLANK('Input|Fee Based'!B34),"",'Input|Fee Based'!B34)</f>
        <v>DEENRM</v>
      </c>
      <c r="C34" s="220" t="str">
        <f>IF(ISBLANK('Input|Fee Based'!C34),"",'Input|Fee Based'!C34)</f>
        <v>Remote de-energisation</v>
      </c>
      <c r="D34" s="221" t="str">
        <f>IF(ISBLANK('Input|Fee Based'!F34),"",'Input|Fee Based'!F34)</f>
        <v>Auxiliary metering services</v>
      </c>
      <c r="E34" s="195" t="str">
        <f>IF(ISBLANK('Input|Fee Based'!D34),"",'Input|Fee Based'!D34)</f>
        <v>Business Hours</v>
      </c>
      <c r="F34" s="195" t="str">
        <f>IF(ISBLANK('Input|Fee Based'!E34),"",'Input|Fee Based'!E34)</f>
        <v>Opex</v>
      </c>
      <c r="G34" s="195" t="str">
        <f>IF(ISBLANK('Input|Fee Based'!G34),"",'Input|Fee Based'!G34)</f>
        <v>Fee Based</v>
      </c>
      <c r="H34" s="276">
        <f t="shared" ref="H34:H71" si="8">$Z34+SUM($AB34:$AE34)</f>
        <v>0</v>
      </c>
      <c r="I34" s="13"/>
      <c r="J34" s="198" t="str">
        <f>IF(ISBLANK('Input|Fee Based'!I34),"",'Input|Fee Based'!I34)</f>
        <v/>
      </c>
      <c r="K34" s="198">
        <f>IFERROR(VLOOKUP(J34,'Calc|Labour Rates'!$B$10:$M$14,4,FALSE),0)</f>
        <v>0</v>
      </c>
      <c r="L34" s="222">
        <f>IFERROR(K34*'Input|Fee Based'!K34*'Input|Fee Based'!L34/'Input|Setup'!$E$19,0)</f>
        <v>0</v>
      </c>
      <c r="M34" s="223">
        <f t="shared" si="2"/>
        <v>0</v>
      </c>
      <c r="N34" s="101">
        <f t="shared" si="3"/>
        <v>0</v>
      </c>
      <c r="O34" s="198" t="str">
        <f>IF(ISBLANK('Input|Fee Based'!$N34),"",'Input|Fee Based'!$N34)</f>
        <v/>
      </c>
      <c r="P34" s="198">
        <f>IFERROR(IF(E34='Calc|Labour Rates'!$C$10,VLOOKUP(O34,'Calc|Labour Rates'!$B$10:$M$14,4,FALSE),VLOOKUP(O34,'Calc|Labour Rates'!$B$15:$M$19,4,FALSE)),0)</f>
        <v>0</v>
      </c>
      <c r="Q34" s="198">
        <f>IFERROR((('Input|Fee Based'!Q34*'Input|Fee Based'!P34)/60)*P34,0)</f>
        <v>0</v>
      </c>
      <c r="R34" s="198">
        <f>IFERROR((('Input|Fee Based'!R34*'Input|Fee Based'!P34)/60)*Q34,0)</f>
        <v>0</v>
      </c>
      <c r="S34" s="222">
        <f t="shared" si="4"/>
        <v>0</v>
      </c>
      <c r="T34" s="224">
        <f t="shared" si="5"/>
        <v>0</v>
      </c>
      <c r="U34" s="101">
        <f t="shared" si="6"/>
        <v>0</v>
      </c>
      <c r="V34" s="198">
        <f>'Input|Fee Based'!T34*CPI_Escalator_to_Y1*RealMaterials_Escalator_to_Y1</f>
        <v>0</v>
      </c>
      <c r="W34" s="198">
        <f>'Input|Fee Based'!U34*CPI_Escalator_to_Y1*RealVehicles_Escalator_to_Y1</f>
        <v>0</v>
      </c>
      <c r="X34" s="198">
        <f>'Input|Fee Based'!V34*CPI_Escalator_to_Y1*RealOther_Escalator_to_Y1</f>
        <v>0</v>
      </c>
      <c r="Y34" s="62"/>
      <c r="Z34" s="225">
        <f t="shared" si="0"/>
        <v>0</v>
      </c>
      <c r="AA34" s="59"/>
      <c r="AB34" s="226">
        <f>$Z34*SUMIF('Input|Indirect Cost Rates'!$E$25:$E$26,$F34,'Input|Indirect Cost Rates'!$D$25:$D$26)</f>
        <v>0</v>
      </c>
      <c r="AC34" s="226">
        <f>$Z34*SUMIF('Input|Indirect Cost Rates'!$E$27:$E$28,$F34,'Input|Indirect Cost Rates'!$D$27:$D$28)</f>
        <v>0</v>
      </c>
      <c r="AD34" s="226">
        <f>$Z34*'Input|Fee Based'!Z34</f>
        <v>0</v>
      </c>
      <c r="AE34" s="227">
        <f>SUM($Z34,$AB34:$AD34)*'Input|Fee Based'!$AA34</f>
        <v>0</v>
      </c>
      <c r="AF34" s="75"/>
      <c r="AG34" s="118"/>
      <c r="AH34" s="14"/>
    </row>
    <row r="35" spans="1:34" customFormat="1" x14ac:dyDescent="0.2">
      <c r="A35" s="15">
        <f t="shared" si="7"/>
        <v>24</v>
      </c>
      <c r="B35" s="220" t="str">
        <f>IF(ISBLANK('Input|Fee Based'!B35),"",'Input|Fee Based'!B35)</f>
        <v>MCTK</v>
      </c>
      <c r="C35" s="220" t="str">
        <f>IF(ISBLANK('Input|Fee Based'!C35),"",'Input|Fee Based'!C35)</f>
        <v>Meter Alteration BH</v>
      </c>
      <c r="D35" s="221" t="str">
        <f>IF(ISBLANK('Input|Fee Based'!F35),"",'Input|Fee Based'!F35)</f>
        <v>Auxiliary metering services</v>
      </c>
      <c r="E35" s="195" t="str">
        <f>IF(ISBLANK('Input|Fee Based'!D35),"",'Input|Fee Based'!D35)</f>
        <v>Business Hours</v>
      </c>
      <c r="F35" s="195" t="str">
        <f>IF(ISBLANK('Input|Fee Based'!E35),"",'Input|Fee Based'!E35)</f>
        <v>Opex</v>
      </c>
      <c r="G35" s="195" t="str">
        <f>IF(ISBLANK('Input|Fee Based'!G35),"",'Input|Fee Based'!G35)</f>
        <v>Fee Based</v>
      </c>
      <c r="H35" s="276">
        <f t="shared" si="8"/>
        <v>654.21129227583151</v>
      </c>
      <c r="I35" s="13"/>
      <c r="J35" s="198" t="str">
        <f>IF(ISBLANK('Input|Fee Based'!I35),"",'Input|Fee Based'!I35)</f>
        <v>Administrative Officer</v>
      </c>
      <c r="K35" s="198">
        <f>IFERROR(VLOOKUP(J35,'Calc|Labour Rates'!$B$10:$M$14,4,FALSE),0)</f>
        <v>74.308694556425806</v>
      </c>
      <c r="L35" s="222">
        <f>IFERROR(K35*'Input|Fee Based'!K35*'Input|Fee Based'!L35/'Input|Setup'!$E$19,0)</f>
        <v>74.308694556425806</v>
      </c>
      <c r="M35" s="223">
        <f t="shared" si="2"/>
        <v>74.308694556425806</v>
      </c>
      <c r="N35" s="101">
        <f t="shared" si="3"/>
        <v>0</v>
      </c>
      <c r="O35" s="198" t="str">
        <f>IF(ISBLANK('Input|Fee Based'!$N35),"",'Input|Fee Based'!$N35)</f>
        <v>Field Worker</v>
      </c>
      <c r="P35" s="198">
        <f>IFERROR(IF(E35='Calc|Labour Rates'!$C$10,VLOOKUP(O35,'Calc|Labour Rates'!$B$10:$M$14,4,FALSE),VLOOKUP(O35,'Calc|Labour Rates'!$B$15:$M$19,4,FALSE)),0)</f>
        <v>124.67074971965012</v>
      </c>
      <c r="Q35" s="198">
        <f>IFERROR((('Input|Fee Based'!Q35*'Input|Fee Based'!P35)/60)*P35,0)</f>
        <v>124.67074971965012</v>
      </c>
      <c r="R35" s="198">
        <f>IFERROR((('Input|Fee Based'!R35*'Input|Fee Based'!P35)/60)*Q35,0)</f>
        <v>145.44920800625849</v>
      </c>
      <c r="S35" s="222">
        <f t="shared" si="4"/>
        <v>270.11995772590859</v>
      </c>
      <c r="T35" s="224">
        <f t="shared" si="5"/>
        <v>270.11995772590859</v>
      </c>
      <c r="U35" s="101">
        <f t="shared" si="6"/>
        <v>0</v>
      </c>
      <c r="V35" s="198">
        <f>'Input|Fee Based'!T35*CPI_Escalator_to_Y1*RealMaterials_Escalator_to_Y1</f>
        <v>0</v>
      </c>
      <c r="W35" s="198">
        <f>'Input|Fee Based'!U35*CPI_Escalator_to_Y1*RealVehicles_Escalator_to_Y1</f>
        <v>61.837917576570625</v>
      </c>
      <c r="X35" s="198">
        <f>'Input|Fee Based'!V35*CPI_Escalator_to_Y1*RealOther_Escalator_to_Y1</f>
        <v>0</v>
      </c>
      <c r="Y35" s="62"/>
      <c r="Z35" s="225">
        <f t="shared" si="0"/>
        <v>406.26656985890503</v>
      </c>
      <c r="AA35" s="59"/>
      <c r="AB35" s="226">
        <f>$Z35*SUMIF('Input|Indirect Cost Rates'!$E$25:$E$26,$F35,'Input|Indirect Cost Rates'!$D$25:$D$26)</f>
        <v>85.043391204759018</v>
      </c>
      <c r="AC35" s="226">
        <f>$Z35*SUMIF('Input|Indirect Cost Rates'!$E$27:$E$28,$F35,'Input|Indirect Cost Rates'!$D$27:$D$28)</f>
        <v>162.90133121216752</v>
      </c>
      <c r="AD35" s="226">
        <f>$Z35*'Input|Fee Based'!Z35</f>
        <v>0</v>
      </c>
      <c r="AE35" s="227">
        <f>SUM($Z35,$AB35:$AD35)*'Input|Fee Based'!$AA35</f>
        <v>0</v>
      </c>
      <c r="AF35" s="75"/>
      <c r="AG35" s="118"/>
      <c r="AH35" s="14"/>
    </row>
    <row r="36" spans="1:34" customFormat="1" x14ac:dyDescent="0.2">
      <c r="A36" s="15">
        <f t="shared" si="7"/>
        <v>25</v>
      </c>
      <c r="B36" s="220" t="str">
        <f>IF(ISBLANK('Input|Fee Based'!B36),"",'Input|Fee Based'!B36)</f>
        <v>MCTK</v>
      </c>
      <c r="C36" s="220" t="str">
        <f>IF(ISBLANK('Input|Fee Based'!C36),"",'Input|Fee Based'!C36)</f>
        <v>Meter Alteration AH</v>
      </c>
      <c r="D36" s="221" t="str">
        <f>IF(ISBLANK('Input|Fee Based'!F36),"",'Input|Fee Based'!F36)</f>
        <v>Auxiliary metering services</v>
      </c>
      <c r="E36" s="195" t="str">
        <f>IF(ISBLANK('Input|Fee Based'!D36),"",'Input|Fee Based'!D36)</f>
        <v>After Hours</v>
      </c>
      <c r="F36" s="195" t="str">
        <f>IF(ISBLANK('Input|Fee Based'!E36),"",'Input|Fee Based'!E36)</f>
        <v>Opex</v>
      </c>
      <c r="G36" s="195" t="str">
        <f>IF(ISBLANK('Input|Fee Based'!G36),"",'Input|Fee Based'!G36)</f>
        <v>Fee Based</v>
      </c>
      <c r="H36" s="276">
        <f t="shared" si="8"/>
        <v>1018.9078592653684</v>
      </c>
      <c r="I36" s="13"/>
      <c r="J36" s="198" t="str">
        <f>IF(ISBLANK('Input|Fee Based'!I36),"",'Input|Fee Based'!I36)</f>
        <v>Administrative Officer</v>
      </c>
      <c r="K36" s="198">
        <f>IFERROR(VLOOKUP(J36,'Calc|Labour Rates'!$B$10:$M$14,4,FALSE),0)</f>
        <v>74.308694556425806</v>
      </c>
      <c r="L36" s="222">
        <f>IFERROR(K36*'Input|Fee Based'!K36*'Input|Fee Based'!L36/'Input|Setup'!$E$19,0)</f>
        <v>74.308694556425806</v>
      </c>
      <c r="M36" s="223">
        <f t="shared" si="2"/>
        <v>74.308694556425806</v>
      </c>
      <c r="N36" s="101">
        <f t="shared" si="3"/>
        <v>0</v>
      </c>
      <c r="O36" s="198" t="str">
        <f>IF(ISBLANK('Input|Fee Based'!$N36),"",'Input|Fee Based'!$N36)</f>
        <v>Field Worker</v>
      </c>
      <c r="P36" s="198">
        <f>IFERROR(IF(E36='Calc|Labour Rates'!$C$10,VLOOKUP(O36,'Calc|Labour Rates'!$B$10:$M$14,4,FALSE),VLOOKUP(O36,'Calc|Labour Rates'!$B$15:$M$19,4,FALSE)),0)</f>
        <v>229.19874576819083</v>
      </c>
      <c r="Q36" s="198">
        <f>IFERROR((('Input|Fee Based'!Q36*'Input|Fee Based'!P36)/60)*P36,0)</f>
        <v>229.19874576819083</v>
      </c>
      <c r="R36" s="198">
        <f>IFERROR((('Input|Fee Based'!R36*'Input|Fee Based'!P36)/60)*Q36,0)</f>
        <v>267.39853672955599</v>
      </c>
      <c r="S36" s="222">
        <f t="shared" si="4"/>
        <v>496.59728249774685</v>
      </c>
      <c r="T36" s="224">
        <f t="shared" si="5"/>
        <v>496.59728249774685</v>
      </c>
      <c r="U36" s="101">
        <f t="shared" si="6"/>
        <v>0</v>
      </c>
      <c r="V36" s="198">
        <f>'Input|Fee Based'!T36*CPI_Escalator_to_Y1*RealMaterials_Escalator_to_Y1</f>
        <v>0</v>
      </c>
      <c r="W36" s="198">
        <f>'Input|Fee Based'!U36*CPI_Escalator_to_Y1*RealVehicles_Escalator_to_Y1</f>
        <v>61.837917576570625</v>
      </c>
      <c r="X36" s="198">
        <f>'Input|Fee Based'!V36*CPI_Escalator_to_Y1*RealOther_Escalator_to_Y1</f>
        <v>0</v>
      </c>
      <c r="Y36" s="62"/>
      <c r="Z36" s="225">
        <f t="shared" si="0"/>
        <v>632.74389463074328</v>
      </c>
      <c r="AA36" s="59"/>
      <c r="AB36" s="226">
        <f>$Z36*SUMIF('Input|Indirect Cost Rates'!$E$25:$E$26,$F36,'Input|Indirect Cost Rates'!$D$25:$D$26)</f>
        <v>132.45167226580662</v>
      </c>
      <c r="AC36" s="226">
        <f>$Z36*SUMIF('Input|Indirect Cost Rates'!$E$27:$E$28,$F36,'Input|Indirect Cost Rates'!$D$27:$D$28)</f>
        <v>253.71229236881851</v>
      </c>
      <c r="AD36" s="226">
        <f>$Z36*'Input|Fee Based'!Z36</f>
        <v>0</v>
      </c>
      <c r="AE36" s="227">
        <f>SUM($Z36,$AB36:$AD36)*'Input|Fee Based'!$AA36</f>
        <v>0</v>
      </c>
      <c r="AF36" s="75"/>
      <c r="AG36" s="118"/>
      <c r="AH36" s="14"/>
    </row>
    <row r="37" spans="1:34" customFormat="1" x14ac:dyDescent="0.2">
      <c r="A37" s="15">
        <f t="shared" si="7"/>
        <v>26</v>
      </c>
      <c r="B37" s="220" t="str">
        <f>IF(ISBLANK('Input|Fee Based'!B37),"",'Input|Fee Based'!B37)</f>
        <v>SPRDRM</v>
      </c>
      <c r="C37" s="220" t="str">
        <f>IF(ISBLANK('Input|Fee Based'!C37),"",'Input|Fee Based'!C37)</f>
        <v>Remote special meter read</v>
      </c>
      <c r="D37" s="221" t="str">
        <f>IF(ISBLANK('Input|Fee Based'!F37),"",'Input|Fee Based'!F37)</f>
        <v>Auxiliary metering services</v>
      </c>
      <c r="E37" s="195" t="str">
        <f>IF(ISBLANK('Input|Fee Based'!D37),"",'Input|Fee Based'!D37)</f>
        <v>Business Hours</v>
      </c>
      <c r="F37" s="195" t="str">
        <f>IF(ISBLANK('Input|Fee Based'!E37),"",'Input|Fee Based'!E37)</f>
        <v>Opex</v>
      </c>
      <c r="G37" s="195" t="str">
        <f>IF(ISBLANK('Input|Fee Based'!G37),"",'Input|Fee Based'!G37)</f>
        <v>Fee Based</v>
      </c>
      <c r="H37" s="276">
        <f t="shared" si="8"/>
        <v>0</v>
      </c>
      <c r="I37" s="13"/>
      <c r="J37" s="198" t="str">
        <f>IF(ISBLANK('Input|Fee Based'!I37),"",'Input|Fee Based'!I37)</f>
        <v/>
      </c>
      <c r="K37" s="198">
        <f>IFERROR(VLOOKUP(J37,'Calc|Labour Rates'!$B$10:$M$14,4,FALSE),0)</f>
        <v>0</v>
      </c>
      <c r="L37" s="222">
        <f>IFERROR(K37*'Input|Fee Based'!K37*'Input|Fee Based'!L37/'Input|Setup'!$E$19,0)</f>
        <v>0</v>
      </c>
      <c r="M37" s="223">
        <f t="shared" si="2"/>
        <v>0</v>
      </c>
      <c r="N37" s="101">
        <f t="shared" si="3"/>
        <v>0</v>
      </c>
      <c r="O37" s="198" t="str">
        <f>IF(ISBLANK('Input|Fee Based'!$N37),"",'Input|Fee Based'!$N37)</f>
        <v/>
      </c>
      <c r="P37" s="198">
        <f>IFERROR(IF(E37='Calc|Labour Rates'!$C$10,VLOOKUP(O37,'Calc|Labour Rates'!$B$10:$M$14,4,FALSE),VLOOKUP(O37,'Calc|Labour Rates'!$B$15:$M$19,4,FALSE)),0)</f>
        <v>0</v>
      </c>
      <c r="Q37" s="198">
        <f>IFERROR((('Input|Fee Based'!Q37*'Input|Fee Based'!P37)/60)*P37,0)</f>
        <v>0</v>
      </c>
      <c r="R37" s="198">
        <f>IFERROR((('Input|Fee Based'!R37*'Input|Fee Based'!P37)/60)*Q37,0)</f>
        <v>0</v>
      </c>
      <c r="S37" s="222">
        <f t="shared" si="4"/>
        <v>0</v>
      </c>
      <c r="T37" s="224">
        <f t="shared" si="5"/>
        <v>0</v>
      </c>
      <c r="U37" s="101">
        <f t="shared" si="6"/>
        <v>0</v>
      </c>
      <c r="V37" s="198">
        <f>'Input|Fee Based'!T37*CPI_Escalator_to_Y1*RealMaterials_Escalator_to_Y1</f>
        <v>0</v>
      </c>
      <c r="W37" s="198">
        <f>'Input|Fee Based'!U37*CPI_Escalator_to_Y1*RealVehicles_Escalator_to_Y1</f>
        <v>0</v>
      </c>
      <c r="X37" s="198">
        <f>'Input|Fee Based'!V37*CPI_Escalator_to_Y1*RealOther_Escalator_to_Y1</f>
        <v>0</v>
      </c>
      <c r="Y37" s="62"/>
      <c r="Z37" s="225">
        <f t="shared" si="0"/>
        <v>0</v>
      </c>
      <c r="AA37" s="59"/>
      <c r="AB37" s="226">
        <f>$Z37*SUMIF('Input|Indirect Cost Rates'!$E$25:$E$26,$F37,'Input|Indirect Cost Rates'!$D$25:$D$26)</f>
        <v>0</v>
      </c>
      <c r="AC37" s="226">
        <f>$Z37*SUMIF('Input|Indirect Cost Rates'!$E$27:$E$28,$F37,'Input|Indirect Cost Rates'!$D$27:$D$28)</f>
        <v>0</v>
      </c>
      <c r="AD37" s="226">
        <f>$Z37*'Input|Fee Based'!Z37</f>
        <v>0</v>
      </c>
      <c r="AE37" s="227">
        <f>SUM($Z37,$AB37:$AD37)*'Input|Fee Based'!$AA37</f>
        <v>0</v>
      </c>
      <c r="AF37" s="75"/>
      <c r="AG37" s="118"/>
      <c r="AH37" s="14"/>
    </row>
    <row r="38" spans="1:34" customFormat="1" x14ac:dyDescent="0.2">
      <c r="A38" s="15">
        <f t="shared" si="7"/>
        <v>27</v>
      </c>
      <c r="B38" s="220" t="str">
        <f>IF(ISBLANK('Input|Fee Based'!B38),"",'Input|Fee Based'!B38)</f>
        <v>MECFRM</v>
      </c>
      <c r="C38" s="220" t="str">
        <f>IF(ISBLANK('Input|Fee Based'!C38),"",'Input|Fee Based'!C38)</f>
        <v>Remote meter reconfiguration</v>
      </c>
      <c r="D38" s="221" t="str">
        <f>IF(ISBLANK('Input|Fee Based'!F38),"",'Input|Fee Based'!F38)</f>
        <v>Auxiliary metering services</v>
      </c>
      <c r="E38" s="195" t="str">
        <f>IF(ISBLANK('Input|Fee Based'!D38),"",'Input|Fee Based'!D38)</f>
        <v>Business Hours</v>
      </c>
      <c r="F38" s="195" t="str">
        <f>IF(ISBLANK('Input|Fee Based'!E38),"",'Input|Fee Based'!E38)</f>
        <v>Opex</v>
      </c>
      <c r="G38" s="195" t="str">
        <f>IF(ISBLANK('Input|Fee Based'!G38),"",'Input|Fee Based'!G38)</f>
        <v>Fee Based</v>
      </c>
      <c r="H38" s="276">
        <f t="shared" si="8"/>
        <v>63.818311358111771</v>
      </c>
      <c r="I38" s="13"/>
      <c r="J38" s="198" t="str">
        <f>IF(ISBLANK('Input|Fee Based'!I38),"",'Input|Fee Based'!I38)</f>
        <v>Administrative Officer</v>
      </c>
      <c r="K38" s="198">
        <f>IFERROR(VLOOKUP(J38,'Calc|Labour Rates'!$B$10:$M$14,4,FALSE),0)</f>
        <v>74.308694556425806</v>
      </c>
      <c r="L38" s="222">
        <f>IFERROR(K38*'Input|Fee Based'!K38*'Input|Fee Based'!L38/'Input|Setup'!$E$19,0)</f>
        <v>39.631303763427098</v>
      </c>
      <c r="M38" s="223">
        <f t="shared" si="2"/>
        <v>39.631303763427098</v>
      </c>
      <c r="N38" s="101">
        <f t="shared" si="3"/>
        <v>0</v>
      </c>
      <c r="O38" s="198" t="str">
        <f>IF(ISBLANK('Input|Fee Based'!$N38),"",'Input|Fee Based'!$N38)</f>
        <v/>
      </c>
      <c r="P38" s="198">
        <f>IFERROR(IF(E38='Calc|Labour Rates'!$C$10,VLOOKUP(O38,'Calc|Labour Rates'!$B$10:$M$14,4,FALSE),VLOOKUP(O38,'Calc|Labour Rates'!$B$15:$M$19,4,FALSE)),0)</f>
        <v>0</v>
      </c>
      <c r="Q38" s="198">
        <f>IFERROR((('Input|Fee Based'!Q38*'Input|Fee Based'!P38)/60)*P38,0)</f>
        <v>0</v>
      </c>
      <c r="R38" s="198">
        <f>IFERROR((('Input|Fee Based'!R38*'Input|Fee Based'!P38)/60)*Q38,0)</f>
        <v>0</v>
      </c>
      <c r="S38" s="222">
        <f t="shared" si="4"/>
        <v>0</v>
      </c>
      <c r="T38" s="224">
        <f t="shared" si="5"/>
        <v>0</v>
      </c>
      <c r="U38" s="101">
        <f t="shared" si="6"/>
        <v>0</v>
      </c>
      <c r="V38" s="198">
        <f>'Input|Fee Based'!T38*CPI_Escalator_to_Y1*RealMaterials_Escalator_to_Y1</f>
        <v>0</v>
      </c>
      <c r="W38" s="198">
        <f>'Input|Fee Based'!U38*CPI_Escalator_to_Y1*RealVehicles_Escalator_to_Y1</f>
        <v>0</v>
      </c>
      <c r="X38" s="198">
        <f>'Input|Fee Based'!V38*CPI_Escalator_to_Y1*RealOther_Escalator_to_Y1</f>
        <v>0</v>
      </c>
      <c r="Y38" s="62"/>
      <c r="Z38" s="225">
        <f t="shared" si="0"/>
        <v>39.631303763427098</v>
      </c>
      <c r="AA38" s="59"/>
      <c r="AB38" s="226">
        <f>$Z38*SUMIF('Input|Indirect Cost Rates'!$E$25:$E$26,$F38,'Input|Indirect Cost Rates'!$D$25:$D$26)</f>
        <v>8.2959827855840818</v>
      </c>
      <c r="AC38" s="226">
        <f>$Z38*SUMIF('Input|Indirect Cost Rates'!$E$27:$E$28,$F38,'Input|Indirect Cost Rates'!$D$27:$D$28)</f>
        <v>15.891024809100593</v>
      </c>
      <c r="AD38" s="226">
        <f>$Z38*'Input|Fee Based'!Z38</f>
        <v>0</v>
      </c>
      <c r="AE38" s="227">
        <f>SUM($Z38,$AB38:$AD38)*'Input|Fee Based'!$AA38</f>
        <v>0</v>
      </c>
      <c r="AF38" s="75"/>
      <c r="AG38" s="118"/>
      <c r="AH38" s="14"/>
    </row>
    <row r="39" spans="1:34" customFormat="1" x14ac:dyDescent="0.2">
      <c r="A39" s="15">
        <f t="shared" si="7"/>
        <v>28</v>
      </c>
      <c r="B39" s="220" t="str">
        <f>IF(ISBLANK('Input|Fee Based'!B39),"",'Input|Fee Based'!B39)</f>
        <v>SPRD</v>
      </c>
      <c r="C39" s="462" t="str">
        <f>IF(ISBLANK('Input|Fee Based'!C39),"",'Input|Fee Based'!C39)</f>
        <v xml:space="preserve">Field-based special meter reads </v>
      </c>
      <c r="D39" s="221" t="str">
        <f>IF(ISBLANK('Input|Fee Based'!F39),"",'Input|Fee Based'!F39)</f>
        <v>Auxiliary metering services</v>
      </c>
      <c r="E39" s="195" t="str">
        <f>IF(ISBLANK('Input|Fee Based'!D39),"",'Input|Fee Based'!D39)</f>
        <v>Business Hours</v>
      </c>
      <c r="F39" s="195" t="str">
        <f>IF(ISBLANK('Input|Fee Based'!E39),"",'Input|Fee Based'!E39)</f>
        <v>Opex</v>
      </c>
      <c r="G39" s="195" t="str">
        <f>IF(ISBLANK('Input|Fee Based'!G39),"",'Input|Fee Based'!G39)</f>
        <v>Fee Based</v>
      </c>
      <c r="H39" s="276">
        <f t="shared" si="8"/>
        <v>62.016583642744322</v>
      </c>
      <c r="I39" s="13"/>
      <c r="J39" s="198" t="str">
        <f>IF(ISBLANK('Input|Fee Based'!I39),"",'Input|Fee Based'!I39)</f>
        <v/>
      </c>
      <c r="K39" s="198">
        <f>IFERROR(VLOOKUP(J39,'Calc|Labour Rates'!$B$10:$M$14,4,FALSE),0)</f>
        <v>0</v>
      </c>
      <c r="L39" s="222">
        <f>IFERROR(K39*'Input|Fee Based'!K39*'Input|Fee Based'!L39/'Input|Setup'!$E$19,0)</f>
        <v>0</v>
      </c>
      <c r="M39" s="223">
        <f t="shared" si="2"/>
        <v>0</v>
      </c>
      <c r="N39" s="101">
        <f t="shared" si="3"/>
        <v>0</v>
      </c>
      <c r="O39" s="198" t="str">
        <f>IF(ISBLANK('Input|Fee Based'!$N39),"",'Input|Fee Based'!$N39)</f>
        <v/>
      </c>
      <c r="P39" s="198">
        <f>IFERROR(IF(E39='Calc|Labour Rates'!$C$10,VLOOKUP(O39,'Calc|Labour Rates'!$B$10:$M$14,4,FALSE),VLOOKUP(O39,'Calc|Labour Rates'!$B$15:$M$19,4,FALSE)),0)</f>
        <v>0</v>
      </c>
      <c r="Q39" s="198">
        <f>IFERROR((('Input|Fee Based'!Q39*'Input|Fee Based'!P39)/60)*P39,0)</f>
        <v>0</v>
      </c>
      <c r="R39" s="198">
        <f>IFERROR((('Input|Fee Based'!R39*'Input|Fee Based'!P39)/60)*Q39,0)</f>
        <v>0</v>
      </c>
      <c r="S39" s="222">
        <f t="shared" si="4"/>
        <v>0</v>
      </c>
      <c r="T39" s="224">
        <f t="shared" si="5"/>
        <v>0</v>
      </c>
      <c r="U39" s="101">
        <f t="shared" si="6"/>
        <v>0</v>
      </c>
      <c r="V39" s="198">
        <f>'Input|Fee Based'!T39*CPI_Escalator_to_Y1*RealMaterials_Escalator_to_Y1</f>
        <v>0</v>
      </c>
      <c r="W39" s="198">
        <f>'Input|Fee Based'!U39*CPI_Escalator_to_Y1*RealVehicles_Escalator_to_Y1</f>
        <v>0</v>
      </c>
      <c r="X39" s="198">
        <f>'Input|Fee Based'!V39*CPI_Escalator_to_Y1*RealOther_Escalator_to_Y1</f>
        <v>62.016583642744322</v>
      </c>
      <c r="Y39" s="62"/>
      <c r="Z39" s="225">
        <f t="shared" si="0"/>
        <v>62.016583642744322</v>
      </c>
      <c r="AA39" s="59"/>
      <c r="AB39" s="472"/>
      <c r="AC39" s="472"/>
      <c r="AD39" s="472"/>
      <c r="AE39" s="473"/>
      <c r="AF39" s="75"/>
      <c r="AG39" s="118"/>
      <c r="AH39" s="14"/>
    </row>
    <row r="40" spans="1:34" customFormat="1" x14ac:dyDescent="0.2">
      <c r="A40" s="15">
        <f t="shared" si="7"/>
        <v>29</v>
      </c>
      <c r="B40" s="220" t="str">
        <f>IF(ISBLANK('Input|Fee Based'!B40),"",'Input|Fee Based'!B40)</f>
        <v>MTAL</v>
      </c>
      <c r="C40" s="462" t="str">
        <f>IF(ISBLANK('Input|Fee Based'!C40),"",'Input|Fee Based'!C40)</f>
        <v>Meter test of types 5, 6 and AMI smart metering installations BH</v>
      </c>
      <c r="D40" s="221" t="str">
        <f>IF(ISBLANK('Input|Fee Based'!F40),"",'Input|Fee Based'!F40)</f>
        <v>Auxiliary metering services</v>
      </c>
      <c r="E40" s="195" t="str">
        <f>IF(ISBLANK('Input|Fee Based'!D40),"",'Input|Fee Based'!D40)</f>
        <v>Business Hours</v>
      </c>
      <c r="F40" s="195" t="str">
        <f>IF(ISBLANK('Input|Fee Based'!E40),"",'Input|Fee Based'!E40)</f>
        <v>Opex</v>
      </c>
      <c r="G40" s="195" t="str">
        <f>IF(ISBLANK('Input|Fee Based'!G40),"",'Input|Fee Based'!G40)</f>
        <v>Fee Based</v>
      </c>
      <c r="H40" s="276">
        <f t="shared" si="8"/>
        <v>668.49058490004552</v>
      </c>
      <c r="I40" s="13"/>
      <c r="J40" s="198" t="str">
        <f>IF(ISBLANK('Input|Fee Based'!I40),"",'Input|Fee Based'!I40)</f>
        <v/>
      </c>
      <c r="K40" s="198">
        <f>IFERROR(VLOOKUP(J40,'Calc|Labour Rates'!$B$10:$M$14,4,FALSE),0)</f>
        <v>0</v>
      </c>
      <c r="L40" s="222">
        <f>IFERROR(K40*'Input|Fee Based'!K40*'Input|Fee Based'!L40/'Input|Setup'!$E$19,0)</f>
        <v>0</v>
      </c>
      <c r="M40" s="223">
        <f t="shared" si="2"/>
        <v>0</v>
      </c>
      <c r="N40" s="101">
        <f t="shared" si="3"/>
        <v>0</v>
      </c>
      <c r="O40" s="198" t="str">
        <f>IF(ISBLANK('Input|Fee Based'!$N40),"",'Input|Fee Based'!$N40)</f>
        <v/>
      </c>
      <c r="P40" s="198">
        <f>IFERROR(IF(E40='Calc|Labour Rates'!$C$10,VLOOKUP(O40,'Calc|Labour Rates'!$B$10:$M$14,4,FALSE),VLOOKUP(O40,'Calc|Labour Rates'!$B$15:$M$19,4,FALSE)),0)</f>
        <v>0</v>
      </c>
      <c r="Q40" s="198">
        <f>IFERROR((('Input|Fee Based'!Q40*'Input|Fee Based'!P40)/60)*P40,0)</f>
        <v>0</v>
      </c>
      <c r="R40" s="198">
        <f>IFERROR((('Input|Fee Based'!R40*'Input|Fee Based'!P40)/60)*Q40,0)</f>
        <v>0</v>
      </c>
      <c r="S40" s="222">
        <f t="shared" si="4"/>
        <v>0</v>
      </c>
      <c r="T40" s="224">
        <f t="shared" si="5"/>
        <v>0</v>
      </c>
      <c r="U40" s="101">
        <f t="shared" si="6"/>
        <v>0</v>
      </c>
      <c r="V40" s="198">
        <f>'Input|Fee Based'!T40*CPI_Escalator_to_Y1*RealMaterials_Escalator_to_Y1</f>
        <v>0</v>
      </c>
      <c r="W40" s="198">
        <f>'Input|Fee Based'!U40*CPI_Escalator_to_Y1*RealVehicles_Escalator_to_Y1</f>
        <v>0</v>
      </c>
      <c r="X40" s="198">
        <f>'Input|Fee Based'!V40*CPI_Escalator_to_Y1*RealOther_Escalator_to_Y1</f>
        <v>668.49058490004552</v>
      </c>
      <c r="Y40" s="62"/>
      <c r="Z40" s="225">
        <f t="shared" si="0"/>
        <v>668.49058490004552</v>
      </c>
      <c r="AA40" s="59"/>
      <c r="AB40" s="472"/>
      <c r="AC40" s="472"/>
      <c r="AD40" s="472"/>
      <c r="AE40" s="473"/>
      <c r="AF40" s="75"/>
      <c r="AG40" s="118"/>
      <c r="AH40" s="14"/>
    </row>
    <row r="41" spans="1:34" customFormat="1" x14ac:dyDescent="0.2">
      <c r="A41" s="15">
        <f t="shared" si="7"/>
        <v>30</v>
      </c>
      <c r="B41" s="220" t="str">
        <f>IF(ISBLANK('Input|Fee Based'!B41),"",'Input|Fee Based'!B41)</f>
        <v>MTAL</v>
      </c>
      <c r="C41" s="462" t="str">
        <f>IF(ISBLANK('Input|Fee Based'!C41),"",'Input|Fee Based'!C41)</f>
        <v>Meter test of types 5, 6 and AMI smart metering installations AH</v>
      </c>
      <c r="D41" s="221" t="str">
        <f>IF(ISBLANK('Input|Fee Based'!F41),"",'Input|Fee Based'!F41)</f>
        <v>Auxiliary metering services</v>
      </c>
      <c r="E41" s="195" t="str">
        <f>IF(ISBLANK('Input|Fee Based'!D41),"",'Input|Fee Based'!D41)</f>
        <v>After Hours</v>
      </c>
      <c r="F41" s="195" t="str">
        <f>IF(ISBLANK('Input|Fee Based'!E41),"",'Input|Fee Based'!E41)</f>
        <v>Opex</v>
      </c>
      <c r="G41" s="195" t="str">
        <f>IF(ISBLANK('Input|Fee Based'!G41),"",'Input|Fee Based'!G41)</f>
        <v>Fee Based</v>
      </c>
      <c r="H41" s="276">
        <f t="shared" si="8"/>
        <v>907.56700909186748</v>
      </c>
      <c r="I41" s="13"/>
      <c r="J41" s="198" t="str">
        <f>IF(ISBLANK('Input|Fee Based'!I41),"",'Input|Fee Based'!I41)</f>
        <v/>
      </c>
      <c r="K41" s="198">
        <f>IFERROR(VLOOKUP(J41,'Calc|Labour Rates'!$B$10:$M$14,4,FALSE),0)</f>
        <v>0</v>
      </c>
      <c r="L41" s="222">
        <f>IFERROR(K41*'Input|Fee Based'!K41*'Input|Fee Based'!L41/'Input|Setup'!$E$19,0)</f>
        <v>0</v>
      </c>
      <c r="M41" s="223">
        <f t="shared" si="2"/>
        <v>0</v>
      </c>
      <c r="N41" s="101">
        <f t="shared" si="3"/>
        <v>0</v>
      </c>
      <c r="O41" s="198" t="str">
        <f>IF(ISBLANK('Input|Fee Based'!$N41),"",'Input|Fee Based'!$N41)</f>
        <v/>
      </c>
      <c r="P41" s="198">
        <f>IFERROR(IF(E41='Calc|Labour Rates'!$C$10,VLOOKUP(O41,'Calc|Labour Rates'!$B$10:$M$14,4,FALSE),VLOOKUP(O41,'Calc|Labour Rates'!$B$15:$M$19,4,FALSE)),0)</f>
        <v>0</v>
      </c>
      <c r="Q41" s="198">
        <f>IFERROR((('Input|Fee Based'!Q41*'Input|Fee Based'!P41)/60)*P41,0)</f>
        <v>0</v>
      </c>
      <c r="R41" s="198">
        <f>IFERROR((('Input|Fee Based'!R41*'Input|Fee Based'!P41)/60)*Q41,0)</f>
        <v>0</v>
      </c>
      <c r="S41" s="222">
        <f t="shared" si="4"/>
        <v>0</v>
      </c>
      <c r="T41" s="224">
        <f t="shared" si="5"/>
        <v>0</v>
      </c>
      <c r="U41" s="101">
        <f t="shared" si="6"/>
        <v>0</v>
      </c>
      <c r="V41" s="198">
        <f>'Input|Fee Based'!T41*CPI_Escalator_to_Y1*RealMaterials_Escalator_to_Y1</f>
        <v>0</v>
      </c>
      <c r="W41" s="198">
        <f>'Input|Fee Based'!U41*CPI_Escalator_to_Y1*RealVehicles_Escalator_to_Y1</f>
        <v>0</v>
      </c>
      <c r="X41" s="198">
        <f>'Input|Fee Based'!V41*CPI_Escalator_to_Y1*RealOther_Escalator_to_Y1</f>
        <v>907.56700909186748</v>
      </c>
      <c r="Y41" s="62"/>
      <c r="Z41" s="225">
        <f t="shared" si="0"/>
        <v>907.56700909186748</v>
      </c>
      <c r="AA41" s="59"/>
      <c r="AB41" s="472"/>
      <c r="AC41" s="472"/>
      <c r="AD41" s="472"/>
      <c r="AE41" s="473"/>
      <c r="AF41" s="75"/>
      <c r="AG41" s="118"/>
      <c r="AH41" s="14"/>
    </row>
    <row r="42" spans="1:34" customFormat="1" x14ac:dyDescent="0.2">
      <c r="A42" s="15">
        <f t="shared" si="7"/>
        <v>31</v>
      </c>
      <c r="B42" s="220" t="str">
        <f>IF(ISBLANK('Input|Fee Based'!B42),"",'Input|Fee Based'!B42)</f>
        <v>MDCH</v>
      </c>
      <c r="C42" s="220" t="str">
        <f>IF(ISBLANK('Input|Fee Based'!C42),"",'Input|Fee Based'!C42)</f>
        <v>Type 7 metering</v>
      </c>
      <c r="D42" s="221" t="str">
        <f>IF(ISBLANK('Input|Fee Based'!F42),"",'Input|Fee Based'!F42)</f>
        <v>Type 7 metering services</v>
      </c>
      <c r="E42" s="195" t="str">
        <f>IF(ISBLANK('Input|Fee Based'!D42),"",'Input|Fee Based'!D42)</f>
        <v>Business Hours</v>
      </c>
      <c r="F42" s="195" t="str">
        <f>IF(ISBLANK('Input|Fee Based'!E42),"",'Input|Fee Based'!E42)</f>
        <v>Opex</v>
      </c>
      <c r="G42" s="195" t="str">
        <f>IF(ISBLANK('Input|Fee Based'!G42),"",'Input|Fee Based'!G42)</f>
        <v>Fee Based</v>
      </c>
      <c r="H42" s="276">
        <f t="shared" si="8"/>
        <v>0</v>
      </c>
      <c r="I42" s="13"/>
      <c r="J42" s="198" t="str">
        <f>IF(ISBLANK('Input|Fee Based'!I42),"",'Input|Fee Based'!I42)</f>
        <v/>
      </c>
      <c r="K42" s="198">
        <f>IFERROR(VLOOKUP(J42,'Calc|Labour Rates'!$B$10:$M$14,4,FALSE),0)</f>
        <v>0</v>
      </c>
      <c r="L42" s="222">
        <f>IFERROR(K42*'Input|Fee Based'!K42*'Input|Fee Based'!L42/'Input|Setup'!$E$19,0)</f>
        <v>0</v>
      </c>
      <c r="M42" s="223">
        <f t="shared" si="2"/>
        <v>0</v>
      </c>
      <c r="N42" s="101">
        <f t="shared" si="3"/>
        <v>0</v>
      </c>
      <c r="O42" s="198" t="str">
        <f>IF(ISBLANK('Input|Fee Based'!$N42),"",'Input|Fee Based'!$N42)</f>
        <v/>
      </c>
      <c r="P42" s="198">
        <f>IFERROR(IF(E42='Calc|Labour Rates'!$C$10,VLOOKUP(O42,'Calc|Labour Rates'!$B$10:$M$14,4,FALSE),VLOOKUP(O42,'Calc|Labour Rates'!$B$15:$M$19,4,FALSE)),0)</f>
        <v>0</v>
      </c>
      <c r="Q42" s="198">
        <f>IFERROR((('Input|Fee Based'!Q42*'Input|Fee Based'!P42)/60)*P42,0)</f>
        <v>0</v>
      </c>
      <c r="R42" s="198">
        <f>IFERROR((('Input|Fee Based'!R42*'Input|Fee Based'!P42)/60)*Q42,0)</f>
        <v>0</v>
      </c>
      <c r="S42" s="222">
        <f t="shared" si="4"/>
        <v>0</v>
      </c>
      <c r="T42" s="224">
        <f t="shared" si="5"/>
        <v>0</v>
      </c>
      <c r="U42" s="101">
        <f t="shared" si="6"/>
        <v>0</v>
      </c>
      <c r="V42" s="198">
        <f>'Input|Fee Based'!T42*CPI_Escalator_to_Y1*RealMaterials_Escalator_to_Y1</f>
        <v>0</v>
      </c>
      <c r="W42" s="198">
        <f>'Input|Fee Based'!U42*CPI_Escalator_to_Y1*RealVehicles_Escalator_to_Y1</f>
        <v>0</v>
      </c>
      <c r="X42" s="198">
        <f>'Input|Fee Based'!V42*CPI_Escalator_to_Y1*RealOther_Escalator_to_Y1</f>
        <v>0</v>
      </c>
      <c r="Y42" s="62"/>
      <c r="Z42" s="225">
        <f t="shared" si="0"/>
        <v>0</v>
      </c>
      <c r="AA42" s="59"/>
      <c r="AB42" s="226">
        <f>$Z42*SUMIF('Input|Indirect Cost Rates'!$E$25:$E$26,$F42,'Input|Indirect Cost Rates'!$D$25:$D$26)</f>
        <v>0</v>
      </c>
      <c r="AC42" s="226">
        <f>$Z42*SUMIF('Input|Indirect Cost Rates'!$E$27:$E$28,$F42,'Input|Indirect Cost Rates'!$D$27:$D$28)</f>
        <v>0</v>
      </c>
      <c r="AD42" s="226">
        <f>$Z42*'Input|Fee Based'!Z42</f>
        <v>0</v>
      </c>
      <c r="AE42" s="227">
        <f>SUM($Z42,$AB42:$AD42)*'Input|Fee Based'!$AA42</f>
        <v>0</v>
      </c>
      <c r="AF42" s="75"/>
      <c r="AG42" s="118"/>
      <c r="AH42" s="14"/>
    </row>
    <row r="43" spans="1:34" customFormat="1" x14ac:dyDescent="0.2">
      <c r="A43" s="15">
        <f t="shared" si="7"/>
        <v>32</v>
      </c>
      <c r="B43" s="220" t="str">
        <f>IF(ISBLANK('Input|Fee Based'!B43),"",'Input|Fee Based'!B43)</f>
        <v>NCUM</v>
      </c>
      <c r="C43" s="220" t="str">
        <f>IF(ISBLANK('Input|Fee Based'!C43),"",'Input|Fee Based'!C43)</f>
        <v>Non-contestable unmetered loads</v>
      </c>
      <c r="D43" s="221" t="str">
        <f>IF(ISBLANK('Input|Fee Based'!F43),"",'Input|Fee Based'!F43)</f>
        <v>Auxiliary metering services</v>
      </c>
      <c r="E43" s="195" t="str">
        <f>IF(ISBLANK('Input|Fee Based'!D43),"",'Input|Fee Based'!D43)</f>
        <v>Business Hours</v>
      </c>
      <c r="F43" s="195" t="str">
        <f>IF(ISBLANK('Input|Fee Based'!E43),"",'Input|Fee Based'!E43)</f>
        <v>Capex</v>
      </c>
      <c r="G43" s="195" t="str">
        <f>IF(ISBLANK('Input|Fee Based'!G43),"",'Input|Fee Based'!G43)</f>
        <v>Fee Based</v>
      </c>
      <c r="H43" s="276">
        <f t="shared" si="8"/>
        <v>0</v>
      </c>
      <c r="I43" s="13"/>
      <c r="J43" s="198" t="str">
        <f>IF(ISBLANK('Input|Fee Based'!I43),"",'Input|Fee Based'!I43)</f>
        <v/>
      </c>
      <c r="K43" s="198">
        <f>IFERROR(VLOOKUP(J43,'Calc|Labour Rates'!$B$10:$M$14,4,FALSE),0)</f>
        <v>0</v>
      </c>
      <c r="L43" s="222">
        <f>IFERROR(K43*'Input|Fee Based'!K43*'Input|Fee Based'!L43/'Input|Setup'!$E$19,0)</f>
        <v>0</v>
      </c>
      <c r="M43" s="223">
        <f t="shared" si="2"/>
        <v>0</v>
      </c>
      <c r="N43" s="101">
        <f t="shared" si="3"/>
        <v>0</v>
      </c>
      <c r="O43" s="198" t="str">
        <f>IF(ISBLANK('Input|Fee Based'!$N43),"",'Input|Fee Based'!$N43)</f>
        <v/>
      </c>
      <c r="P43" s="198">
        <f>IFERROR(IF(E43='Calc|Labour Rates'!$C$10,VLOOKUP(O43,'Calc|Labour Rates'!$B$10:$M$14,4,FALSE),VLOOKUP(O43,'Calc|Labour Rates'!$B$15:$M$19,4,FALSE)),0)</f>
        <v>0</v>
      </c>
      <c r="Q43" s="198">
        <f>IFERROR((('Input|Fee Based'!Q43*'Input|Fee Based'!P43)/60)*P43,0)</f>
        <v>0</v>
      </c>
      <c r="R43" s="198">
        <f>IFERROR((('Input|Fee Based'!R43*'Input|Fee Based'!P43)/60)*Q43,0)</f>
        <v>0</v>
      </c>
      <c r="S43" s="222">
        <f t="shared" si="4"/>
        <v>0</v>
      </c>
      <c r="T43" s="224">
        <f t="shared" si="5"/>
        <v>0</v>
      </c>
      <c r="U43" s="101">
        <f t="shared" si="6"/>
        <v>0</v>
      </c>
      <c r="V43" s="198">
        <f>'Input|Fee Based'!T43*CPI_Escalator_to_Y1*RealMaterials_Escalator_to_Y1</f>
        <v>0</v>
      </c>
      <c r="W43" s="198">
        <f>'Input|Fee Based'!U43*CPI_Escalator_to_Y1*RealVehicles_Escalator_to_Y1</f>
        <v>0</v>
      </c>
      <c r="X43" s="198">
        <f>'Input|Fee Based'!V43*CPI_Escalator_to_Y1*RealOther_Escalator_to_Y1</f>
        <v>0</v>
      </c>
      <c r="Y43" s="62"/>
      <c r="Z43" s="225">
        <f t="shared" si="0"/>
        <v>0</v>
      </c>
      <c r="AA43" s="59"/>
      <c r="AB43" s="226">
        <f>$Z43*SUMIF('Input|Indirect Cost Rates'!$E$25:$E$26,$F43,'Input|Indirect Cost Rates'!$D$25:$D$26)</f>
        <v>0</v>
      </c>
      <c r="AC43" s="226">
        <f>$Z43*SUMIF('Input|Indirect Cost Rates'!$E$27:$E$28,$F43,'Input|Indirect Cost Rates'!$D$27:$D$28)</f>
        <v>0</v>
      </c>
      <c r="AD43" s="226">
        <f>$Z43*'Input|Fee Based'!Z43</f>
        <v>0</v>
      </c>
      <c r="AE43" s="227">
        <f>SUM($Z43,$AB43:$AD43)*'Input|Fee Based'!$AA43</f>
        <v>0</v>
      </c>
      <c r="AF43" s="75"/>
      <c r="AG43" s="118"/>
      <c r="AH43" s="14"/>
    </row>
    <row r="44" spans="1:34" customFormat="1" x14ac:dyDescent="0.2">
      <c r="A44" s="15">
        <f t="shared" si="7"/>
        <v>33</v>
      </c>
      <c r="B44" s="220" t="str">
        <f>IF(ISBLANK('Input|Fee Based'!B44),"",'Input|Fee Based'!B44)</f>
        <v>WSVR</v>
      </c>
      <c r="C44" s="220" t="str">
        <f>IF(ISBLANK('Input|Fee Based'!C44),"",'Input|Fee Based'!C44)</f>
        <v>Wasted site attendance BH</v>
      </c>
      <c r="D44" s="221" t="str">
        <f>IF(ISBLANK('Input|Fee Based'!F44),"",'Input|Fee Based'!F44)</f>
        <v>Connection service</v>
      </c>
      <c r="E44" s="195" t="str">
        <f>IF(ISBLANK('Input|Fee Based'!D44),"",'Input|Fee Based'!D44)</f>
        <v>Business Hours</v>
      </c>
      <c r="F44" s="195" t="str">
        <f>IF(ISBLANK('Input|Fee Based'!E44),"",'Input|Fee Based'!E44)</f>
        <v>Opex</v>
      </c>
      <c r="G44" s="195" t="str">
        <f>IF(ISBLANK('Input|Fee Based'!G44),"",'Input|Fee Based'!G44)</f>
        <v>Fee Based</v>
      </c>
      <c r="H44" s="276">
        <f t="shared" si="8"/>
        <v>654.21129227583151</v>
      </c>
      <c r="I44" s="13"/>
      <c r="J44" s="198" t="str">
        <f>IF(ISBLANK('Input|Fee Based'!I44),"",'Input|Fee Based'!I44)</f>
        <v>Administrative Officer</v>
      </c>
      <c r="K44" s="198">
        <f>IFERROR(VLOOKUP(J44,'Calc|Labour Rates'!$B$10:$M$14,4,FALSE),0)</f>
        <v>74.308694556425806</v>
      </c>
      <c r="L44" s="222">
        <f>IFERROR(K44*'Input|Fee Based'!K44*'Input|Fee Based'!L44/'Input|Setup'!$E$19,0)</f>
        <v>74.308694556425806</v>
      </c>
      <c r="M44" s="223">
        <f t="shared" si="2"/>
        <v>74.308694556425806</v>
      </c>
      <c r="N44" s="101">
        <f t="shared" si="3"/>
        <v>0</v>
      </c>
      <c r="O44" s="198" t="str">
        <f>IF(ISBLANK('Input|Fee Based'!$N44),"",'Input|Fee Based'!$N44)</f>
        <v>Field Worker</v>
      </c>
      <c r="P44" s="198">
        <f>IFERROR(IF(E44='Calc|Labour Rates'!$C$10,VLOOKUP(O44,'Calc|Labour Rates'!$B$10:$M$14,4,FALSE),VLOOKUP(O44,'Calc|Labour Rates'!$B$15:$M$19,4,FALSE)),0)</f>
        <v>124.67074971965012</v>
      </c>
      <c r="Q44" s="198">
        <f>IFERROR((('Input|Fee Based'!Q44*'Input|Fee Based'!P44)/60)*P44,0)</f>
        <v>124.67074971965012</v>
      </c>
      <c r="R44" s="198">
        <f>IFERROR((('Input|Fee Based'!R44*'Input|Fee Based'!P44)/60)*Q44,0)</f>
        <v>145.44920800625849</v>
      </c>
      <c r="S44" s="222">
        <f t="shared" si="4"/>
        <v>270.11995772590859</v>
      </c>
      <c r="T44" s="224">
        <f t="shared" si="5"/>
        <v>270.11995772590859</v>
      </c>
      <c r="U44" s="101">
        <f t="shared" si="6"/>
        <v>0</v>
      </c>
      <c r="V44" s="198">
        <f>'Input|Fee Based'!T44*CPI_Escalator_to_Y1*RealMaterials_Escalator_to_Y1</f>
        <v>0</v>
      </c>
      <c r="W44" s="198">
        <f>'Input|Fee Based'!U44*CPI_Escalator_to_Y1*RealVehicles_Escalator_to_Y1</f>
        <v>61.837917576570625</v>
      </c>
      <c r="X44" s="198">
        <f>'Input|Fee Based'!V44*CPI_Escalator_to_Y1*RealOther_Escalator_to_Y1</f>
        <v>0</v>
      </c>
      <c r="Y44" s="62"/>
      <c r="Z44" s="225">
        <f t="shared" ref="Z44:Z71" si="9">SUM($M44,$T44,$V44,$W44,$X44)</f>
        <v>406.26656985890503</v>
      </c>
      <c r="AA44" s="59"/>
      <c r="AB44" s="226">
        <f>$Z44*SUMIF('Input|Indirect Cost Rates'!$E$25:$E$26,$F44,'Input|Indirect Cost Rates'!$D$25:$D$26)</f>
        <v>85.043391204759018</v>
      </c>
      <c r="AC44" s="226">
        <f>$Z44*SUMIF('Input|Indirect Cost Rates'!$E$27:$E$28,$F44,'Input|Indirect Cost Rates'!$D$27:$D$28)</f>
        <v>162.90133121216752</v>
      </c>
      <c r="AD44" s="226">
        <f>$Z44*'Input|Fee Based'!Z44</f>
        <v>0</v>
      </c>
      <c r="AE44" s="227">
        <f>SUM($Z44,$AB44:$AD44)*'Input|Fee Based'!$AA44</f>
        <v>0</v>
      </c>
      <c r="AF44" s="75"/>
      <c r="AG44" s="118"/>
      <c r="AH44" s="14"/>
    </row>
    <row r="45" spans="1:34" customFormat="1" x14ac:dyDescent="0.2">
      <c r="A45" s="15">
        <f t="shared" si="7"/>
        <v>34</v>
      </c>
      <c r="B45" s="220" t="str">
        <f>IF(ISBLANK('Input|Fee Based'!B45),"",'Input|Fee Based'!B45)</f>
        <v>WSVR</v>
      </c>
      <c r="C45" s="220" t="str">
        <f>IF(ISBLANK('Input|Fee Based'!C45),"",'Input|Fee Based'!C45)</f>
        <v>Wasted site attendance AH</v>
      </c>
      <c r="D45" s="221" t="str">
        <f>IF(ISBLANK('Input|Fee Based'!F45),"",'Input|Fee Based'!F45)</f>
        <v>Connection service</v>
      </c>
      <c r="E45" s="195" t="str">
        <f>IF(ISBLANK('Input|Fee Based'!D45),"",'Input|Fee Based'!D45)</f>
        <v>After Hours</v>
      </c>
      <c r="F45" s="195" t="str">
        <f>IF(ISBLANK('Input|Fee Based'!E45),"",'Input|Fee Based'!E45)</f>
        <v>Opex</v>
      </c>
      <c r="G45" s="195" t="str">
        <f>IF(ISBLANK('Input|Fee Based'!G45),"",'Input|Fee Based'!G45)</f>
        <v>Fee Based</v>
      </c>
      <c r="H45" s="276">
        <f t="shared" si="8"/>
        <v>1018.9078592653684</v>
      </c>
      <c r="I45" s="13"/>
      <c r="J45" s="198" t="str">
        <f>IF(ISBLANK('Input|Fee Based'!I45),"",'Input|Fee Based'!I45)</f>
        <v>Administrative Officer</v>
      </c>
      <c r="K45" s="198">
        <f>IFERROR(VLOOKUP(J45,'Calc|Labour Rates'!$B$10:$M$14,4,FALSE),0)</f>
        <v>74.308694556425806</v>
      </c>
      <c r="L45" s="222">
        <f>IFERROR(K45*'Input|Fee Based'!K45*'Input|Fee Based'!L45/'Input|Setup'!$E$19,0)</f>
        <v>74.308694556425806</v>
      </c>
      <c r="M45" s="223">
        <f t="shared" si="2"/>
        <v>74.308694556425806</v>
      </c>
      <c r="N45" s="101">
        <f t="shared" si="3"/>
        <v>0</v>
      </c>
      <c r="O45" s="198" t="str">
        <f>IF(ISBLANK('Input|Fee Based'!$N45),"",'Input|Fee Based'!$N45)</f>
        <v>Field Worker</v>
      </c>
      <c r="P45" s="198">
        <f>IFERROR(IF(E45='Calc|Labour Rates'!$C$10,VLOOKUP(O45,'Calc|Labour Rates'!$B$10:$M$14,4,FALSE),VLOOKUP(O45,'Calc|Labour Rates'!$B$15:$M$19,4,FALSE)),0)</f>
        <v>229.19874576819083</v>
      </c>
      <c r="Q45" s="198">
        <f>IFERROR((('Input|Fee Based'!Q45*'Input|Fee Based'!P45)/60)*P45,0)</f>
        <v>229.19874576819083</v>
      </c>
      <c r="R45" s="198">
        <f>IFERROR((('Input|Fee Based'!R45*'Input|Fee Based'!P45)/60)*Q45,0)</f>
        <v>267.39853672955599</v>
      </c>
      <c r="S45" s="222">
        <f t="shared" si="4"/>
        <v>496.59728249774685</v>
      </c>
      <c r="T45" s="224">
        <f t="shared" si="5"/>
        <v>496.59728249774685</v>
      </c>
      <c r="U45" s="101">
        <f t="shared" si="6"/>
        <v>0</v>
      </c>
      <c r="V45" s="198">
        <f>'Input|Fee Based'!T45*CPI_Escalator_to_Y1*RealMaterials_Escalator_to_Y1</f>
        <v>0</v>
      </c>
      <c r="W45" s="198">
        <f>'Input|Fee Based'!U45*CPI_Escalator_to_Y1*RealVehicles_Escalator_to_Y1</f>
        <v>61.837917576570625</v>
      </c>
      <c r="X45" s="198">
        <f>'Input|Fee Based'!V45*CPI_Escalator_to_Y1*RealOther_Escalator_to_Y1</f>
        <v>0</v>
      </c>
      <c r="Y45" s="62"/>
      <c r="Z45" s="225">
        <f t="shared" si="9"/>
        <v>632.74389463074328</v>
      </c>
      <c r="AA45" s="59"/>
      <c r="AB45" s="226">
        <f>$Z45*SUMIF('Input|Indirect Cost Rates'!$E$25:$E$26,$F45,'Input|Indirect Cost Rates'!$D$25:$D$26)</f>
        <v>132.45167226580662</v>
      </c>
      <c r="AC45" s="226">
        <f>$Z45*SUMIF('Input|Indirect Cost Rates'!$E$27:$E$28,$F45,'Input|Indirect Cost Rates'!$D$27:$D$28)</f>
        <v>253.71229236881851</v>
      </c>
      <c r="AD45" s="226">
        <f>$Z45*'Input|Fee Based'!Z45</f>
        <v>0</v>
      </c>
      <c r="AE45" s="227">
        <f>SUM($Z45,$AB45:$AD45)*'Input|Fee Based'!$AA45</f>
        <v>0</v>
      </c>
      <c r="AF45" s="75"/>
      <c r="AG45" s="118"/>
      <c r="AH45" s="14"/>
    </row>
    <row r="46" spans="1:34" customFormat="1" x14ac:dyDescent="0.2">
      <c r="A46" s="15">
        <f t="shared" si="7"/>
        <v>35</v>
      </c>
      <c r="B46" s="220" t="str">
        <f>IF(ISBLANK('Input|Fee Based'!B46),"",'Input|Fee Based'!B46)</f>
        <v>RTK3</v>
      </c>
      <c r="C46" s="220" t="str">
        <f>IF(ISBLANK('Input|Fee Based'!C46),"",'Input|Fee Based'!C46)</f>
        <v>Replacement of 3-phase overhead service line BH</v>
      </c>
      <c r="D46" s="221" t="str">
        <f>IF(ISBLANK('Input|Fee Based'!F46),"",'Input|Fee Based'!F46)</f>
        <v>Connection service</v>
      </c>
      <c r="E46" s="195" t="str">
        <f>IF(ISBLANK('Input|Fee Based'!D46),"",'Input|Fee Based'!D46)</f>
        <v>Business Hours</v>
      </c>
      <c r="F46" s="195" t="str">
        <f>IF(ISBLANK('Input|Fee Based'!E46),"",'Input|Fee Based'!E46)</f>
        <v>Capex</v>
      </c>
      <c r="G46" s="195" t="str">
        <f>IF(ISBLANK('Input|Fee Based'!G46),"",'Input|Fee Based'!G46)</f>
        <v>Fee Based</v>
      </c>
      <c r="H46" s="276">
        <f t="shared" si="8"/>
        <v>830.27378311067059</v>
      </c>
      <c r="I46" s="13"/>
      <c r="J46" s="198" t="str">
        <f>IF(ISBLANK('Input|Fee Based'!I46),"",'Input|Fee Based'!I46)</f>
        <v>Administrative Officer</v>
      </c>
      <c r="K46" s="198">
        <f>IFERROR(VLOOKUP(J46,'Calc|Labour Rates'!$B$10:$M$14,4,FALSE),0)</f>
        <v>74.308694556425806</v>
      </c>
      <c r="L46" s="222">
        <f>IFERROR(K46*'Input|Fee Based'!K46*'Input|Fee Based'!L46/'Input|Setup'!$E$19,0)</f>
        <v>74.308694556425806</v>
      </c>
      <c r="M46" s="223">
        <f t="shared" si="2"/>
        <v>74.308694556425806</v>
      </c>
      <c r="N46" s="101">
        <f t="shared" si="3"/>
        <v>0</v>
      </c>
      <c r="O46" s="198" t="str">
        <f>IF(ISBLANK('Input|Fee Based'!$N46),"",'Input|Fee Based'!$N46)</f>
        <v>Field Worker</v>
      </c>
      <c r="P46" s="198">
        <f>IFERROR(IF(E46='Calc|Labour Rates'!$C$10,VLOOKUP(O46,'Calc|Labour Rates'!$B$10:$M$14,4,FALSE),VLOOKUP(O46,'Calc|Labour Rates'!$B$15:$M$19,4,FALSE)),0)</f>
        <v>124.67074971965012</v>
      </c>
      <c r="Q46" s="198">
        <f>IFERROR((('Input|Fee Based'!Q46*'Input|Fee Based'!P46)/60)*P46,0)</f>
        <v>124.67074971965012</v>
      </c>
      <c r="R46" s="198">
        <f>IFERROR((('Input|Fee Based'!R46*'Input|Fee Based'!P46)/60)*Q46,0)</f>
        <v>145.44920800625849</v>
      </c>
      <c r="S46" s="222">
        <f t="shared" si="4"/>
        <v>270.11995772590859</v>
      </c>
      <c r="T46" s="224">
        <f t="shared" si="5"/>
        <v>270.11995772590859</v>
      </c>
      <c r="U46" s="101">
        <f t="shared" si="6"/>
        <v>0</v>
      </c>
      <c r="V46" s="198">
        <f>'Input|Fee Based'!T46*CPI_Escalator_to_Y1*RealMaterials_Escalator_to_Y1</f>
        <v>86.441874611546112</v>
      </c>
      <c r="W46" s="198">
        <f>'Input|Fee Based'!U46*CPI_Escalator_to_Y1*RealVehicles_Escalator_to_Y1</f>
        <v>61.837917576570625</v>
      </c>
      <c r="X46" s="198">
        <f>'Input|Fee Based'!V46*CPI_Escalator_to_Y1*RealOther_Escalator_to_Y1</f>
        <v>0</v>
      </c>
      <c r="Y46" s="62"/>
      <c r="Z46" s="225">
        <f t="shared" si="9"/>
        <v>492.70844447045113</v>
      </c>
      <c r="AA46" s="59"/>
      <c r="AB46" s="226">
        <f>$Z46*SUMIF('Input|Indirect Cost Rates'!$E$25:$E$26,$F46,'Input|Indirect Cost Rates'!$D$25:$D$26)</f>
        <v>103.13818586535696</v>
      </c>
      <c r="AC46" s="226">
        <f>$Z46*SUMIF('Input|Indirect Cost Rates'!$E$27:$E$28,$F46,'Input|Indirect Cost Rates'!$D$27:$D$28)</f>
        <v>197.56206259251857</v>
      </c>
      <c r="AD46" s="226">
        <f>$Z46*'Input|Fee Based'!Z46</f>
        <v>0</v>
      </c>
      <c r="AE46" s="227">
        <f>SUM($Z46,$AB46:$AD46)*'Input|Fee Based'!$AA46</f>
        <v>36.86509018234392</v>
      </c>
      <c r="AF46" s="75"/>
      <c r="AG46" s="118"/>
      <c r="AH46" s="14"/>
    </row>
    <row r="47" spans="1:34" customFormat="1" x14ac:dyDescent="0.2">
      <c r="A47" s="15">
        <f t="shared" si="7"/>
        <v>36</v>
      </c>
      <c r="B47" s="220" t="str">
        <f>IF(ISBLANK('Input|Fee Based'!B47),"",'Input|Fee Based'!B47)</f>
        <v>RTK3</v>
      </c>
      <c r="C47" s="220" t="str">
        <f>IF(ISBLANK('Input|Fee Based'!C47),"",'Input|Fee Based'!C47)</f>
        <v>Replacement of 3-phase overhead service line AH</v>
      </c>
      <c r="D47" s="221" t="str">
        <f>IF(ISBLANK('Input|Fee Based'!F47),"",'Input|Fee Based'!F47)</f>
        <v>Connection service</v>
      </c>
      <c r="E47" s="195" t="str">
        <f>IF(ISBLANK('Input|Fee Based'!D47),"",'Input|Fee Based'!D47)</f>
        <v>After Hours</v>
      </c>
      <c r="F47" s="195" t="str">
        <f>IF(ISBLANK('Input|Fee Based'!E47),"",'Input|Fee Based'!E47)</f>
        <v>Capex</v>
      </c>
      <c r="G47" s="195" t="str">
        <f>IF(ISBLANK('Input|Fee Based'!G47),"",'Input|Fee Based'!G47)</f>
        <v>Fee Based</v>
      </c>
      <c r="H47" s="276">
        <f t="shared" si="8"/>
        <v>1211.9156797280427</v>
      </c>
      <c r="I47" s="13"/>
      <c r="J47" s="198" t="str">
        <f>IF(ISBLANK('Input|Fee Based'!I47),"",'Input|Fee Based'!I47)</f>
        <v>Administrative Officer</v>
      </c>
      <c r="K47" s="198">
        <f>IFERROR(VLOOKUP(J47,'Calc|Labour Rates'!$B$10:$M$14,4,FALSE),0)</f>
        <v>74.308694556425806</v>
      </c>
      <c r="L47" s="222">
        <f>IFERROR(K47*'Input|Fee Based'!K47*'Input|Fee Based'!L47/'Input|Setup'!$E$19,0)</f>
        <v>74.308694556425806</v>
      </c>
      <c r="M47" s="223">
        <f t="shared" si="2"/>
        <v>74.308694556425806</v>
      </c>
      <c r="N47" s="101">
        <f t="shared" si="3"/>
        <v>0</v>
      </c>
      <c r="O47" s="198" t="str">
        <f>IF(ISBLANK('Input|Fee Based'!$N47),"",'Input|Fee Based'!$N47)</f>
        <v>Field Worker</v>
      </c>
      <c r="P47" s="198">
        <f>IFERROR(IF(E47='Calc|Labour Rates'!$C$10,VLOOKUP(O47,'Calc|Labour Rates'!$B$10:$M$14,4,FALSE),VLOOKUP(O47,'Calc|Labour Rates'!$B$15:$M$19,4,FALSE)),0)</f>
        <v>229.19874576819083</v>
      </c>
      <c r="Q47" s="198">
        <f>IFERROR((('Input|Fee Based'!Q47*'Input|Fee Based'!P47)/60)*P47,0)</f>
        <v>229.19874576819083</v>
      </c>
      <c r="R47" s="198">
        <f>IFERROR((('Input|Fee Based'!R47*'Input|Fee Based'!P47)/60)*Q47,0)</f>
        <v>267.39853672955599</v>
      </c>
      <c r="S47" s="222">
        <f t="shared" si="4"/>
        <v>496.59728249774685</v>
      </c>
      <c r="T47" s="224">
        <f t="shared" si="5"/>
        <v>496.59728249774685</v>
      </c>
      <c r="U47" s="101">
        <f t="shared" si="6"/>
        <v>0</v>
      </c>
      <c r="V47" s="198">
        <f>'Input|Fee Based'!T47*CPI_Escalator_to_Y1*RealMaterials_Escalator_to_Y1</f>
        <v>86.441874611546112</v>
      </c>
      <c r="W47" s="198">
        <f>'Input|Fee Based'!U47*CPI_Escalator_to_Y1*RealVehicles_Escalator_to_Y1</f>
        <v>61.837917576570625</v>
      </c>
      <c r="X47" s="198">
        <f>'Input|Fee Based'!V47*CPI_Escalator_to_Y1*RealOther_Escalator_to_Y1</f>
        <v>0</v>
      </c>
      <c r="Y47" s="62"/>
      <c r="Z47" s="225">
        <f t="shared" si="9"/>
        <v>719.18576924228944</v>
      </c>
      <c r="AA47" s="59"/>
      <c r="AB47" s="226">
        <f>$Z47*SUMIF('Input|Indirect Cost Rates'!$E$25:$E$26,$F47,'Input|Indirect Cost Rates'!$D$25:$D$26)</f>
        <v>150.54646692640449</v>
      </c>
      <c r="AC47" s="226">
        <f>$Z47*SUMIF('Input|Indirect Cost Rates'!$E$27:$E$28,$F47,'Input|Indirect Cost Rates'!$D$27:$D$28)</f>
        <v>288.37302374916959</v>
      </c>
      <c r="AD47" s="226">
        <f>$Z47*'Input|Fee Based'!Z47</f>
        <v>0</v>
      </c>
      <c r="AE47" s="227">
        <f>SUM($Z47,$AB47:$AD47)*'Input|Fee Based'!$AA47</f>
        <v>53.81041981017929</v>
      </c>
      <c r="AF47" s="75"/>
      <c r="AG47" s="118"/>
      <c r="AH47" s="14"/>
    </row>
    <row r="48" spans="1:34" customFormat="1" x14ac:dyDescent="0.2">
      <c r="A48" s="15">
        <f t="shared" si="7"/>
        <v>37</v>
      </c>
      <c r="B48" s="220" t="str">
        <f>IF(ISBLANK('Input|Fee Based'!B48),"",'Input|Fee Based'!B48)</f>
        <v/>
      </c>
      <c r="C48" s="220" t="str">
        <f>IF(ISBLANK('Input|Fee Based'!C48),"",'Input|Fee Based'!C48)</f>
        <v/>
      </c>
      <c r="D48" s="221" t="str">
        <f>IF(ISBLANK('Input|Fee Based'!F48),"",'Input|Fee Based'!F48)</f>
        <v/>
      </c>
      <c r="E48" s="195" t="str">
        <f>IF(ISBLANK('Input|Fee Based'!D48),"",'Input|Fee Based'!D48)</f>
        <v/>
      </c>
      <c r="F48" s="195" t="str">
        <f>IF(ISBLANK('Input|Fee Based'!E48),"",'Input|Fee Based'!E48)</f>
        <v/>
      </c>
      <c r="G48" s="195" t="str">
        <f>IF(ISBLANK('Input|Fee Based'!G48),"",'Input|Fee Based'!G48)</f>
        <v/>
      </c>
      <c r="H48" s="276">
        <f t="shared" si="8"/>
        <v>0</v>
      </c>
      <c r="I48" s="13"/>
      <c r="J48" s="198" t="str">
        <f>IF(ISBLANK('Input|Fee Based'!I48),"",'Input|Fee Based'!I48)</f>
        <v/>
      </c>
      <c r="K48" s="198">
        <f>IFERROR(VLOOKUP(J48,'Calc|Labour Rates'!$B$10:$M$14,4,FALSE),0)</f>
        <v>0</v>
      </c>
      <c r="L48" s="222">
        <f>IFERROR(K48*'Input|Fee Based'!K48*'Input|Fee Based'!L48/'Input|Setup'!$E$19,0)</f>
        <v>0</v>
      </c>
      <c r="M48" s="223">
        <f t="shared" si="2"/>
        <v>0</v>
      </c>
      <c r="N48" s="101">
        <f t="shared" si="3"/>
        <v>0</v>
      </c>
      <c r="O48" s="198" t="str">
        <f>IF(ISBLANK('Input|Fee Based'!$N48),"",'Input|Fee Based'!$N48)</f>
        <v/>
      </c>
      <c r="P48" s="198">
        <f>IFERROR(IF(E48='Calc|Labour Rates'!$C$10,VLOOKUP(O48,'Calc|Labour Rates'!$B$10:$M$14,4,FALSE),VLOOKUP(O48,'Calc|Labour Rates'!$B$15:$M$19,4,FALSE)),0)</f>
        <v>0</v>
      </c>
      <c r="Q48" s="198">
        <f>IFERROR((('Input|Fee Based'!Q48*'Input|Fee Based'!P48)/60)*P48,0)</f>
        <v>0</v>
      </c>
      <c r="R48" s="198">
        <f>IFERROR((('Input|Fee Based'!R48*'Input|Fee Based'!P48)/60)*Q48,0)</f>
        <v>0</v>
      </c>
      <c r="S48" s="222">
        <f t="shared" si="4"/>
        <v>0</v>
      </c>
      <c r="T48" s="224">
        <f t="shared" si="5"/>
        <v>0</v>
      </c>
      <c r="U48" s="101">
        <f t="shared" si="6"/>
        <v>0</v>
      </c>
      <c r="V48" s="198">
        <f>'Input|Fee Based'!T48*CPI_Escalator_to_Y1*RealMaterials_Escalator_to_Y1</f>
        <v>0</v>
      </c>
      <c r="W48" s="198">
        <f>'Input|Fee Based'!U48*CPI_Escalator_to_Y1*RealVehicles_Escalator_to_Y1</f>
        <v>0</v>
      </c>
      <c r="X48" s="198">
        <f>'Input|Fee Based'!V48*CPI_Escalator_to_Y1*RealOther_Escalator_to_Y1</f>
        <v>0</v>
      </c>
      <c r="Y48" s="62"/>
      <c r="Z48" s="225">
        <f t="shared" si="9"/>
        <v>0</v>
      </c>
      <c r="AA48" s="59"/>
      <c r="AB48" s="226">
        <f>$Z48*SUMIF('Input|Indirect Cost Rates'!$E$25:$E$26,$F48,'Input|Indirect Cost Rates'!$D$25:$D$26)</f>
        <v>0</v>
      </c>
      <c r="AC48" s="226">
        <f>$Z48*SUMIF('Input|Indirect Cost Rates'!$E$27:$E$28,$F48,'Input|Indirect Cost Rates'!$D$27:$D$28)</f>
        <v>0</v>
      </c>
      <c r="AD48" s="226">
        <f>$Z48*'Input|Fee Based'!Z48</f>
        <v>0</v>
      </c>
      <c r="AE48" s="227">
        <f>SUM($Z48,$AB48:$AD48)*'Input|Fee Based'!$AA48</f>
        <v>0</v>
      </c>
      <c r="AF48" s="75"/>
      <c r="AG48" s="118"/>
      <c r="AH48" s="14"/>
    </row>
    <row r="49" spans="1:39" x14ac:dyDescent="0.2">
      <c r="A49" s="15">
        <f t="shared" si="7"/>
        <v>38</v>
      </c>
      <c r="B49" s="395"/>
      <c r="C49" s="395"/>
      <c r="D49" s="378"/>
      <c r="E49" s="396"/>
      <c r="F49" s="396"/>
      <c r="G49" s="396"/>
      <c r="H49" s="276">
        <f t="shared" si="8"/>
        <v>0</v>
      </c>
      <c r="I49" s="13"/>
      <c r="J49" s="198" t="str">
        <f>IF(ISBLANK('Input|Fee Based'!I49),"",'Input|Fee Based'!I49)</f>
        <v/>
      </c>
      <c r="K49" s="198">
        <f>IFERROR(VLOOKUP(J49,'Calc|Labour Rates'!$B$10:$M$14,4,FALSE),0)</f>
        <v>0</v>
      </c>
      <c r="L49" s="222">
        <f>IFERROR(K49*'Input|Fee Based'!K49*'Input|Fee Based'!L49/'Input|Setup'!$E$19,0)</f>
        <v>0</v>
      </c>
      <c r="M49" s="223">
        <f t="shared" si="2"/>
        <v>0</v>
      </c>
      <c r="N49" s="101">
        <f t="shared" si="3"/>
        <v>0</v>
      </c>
      <c r="O49" s="198" t="str">
        <f>IF(ISBLANK('Input|Fee Based'!$N49),"",'Input|Fee Based'!$N49)</f>
        <v/>
      </c>
      <c r="P49" s="198">
        <f>IFERROR(IF(E49='Calc|Labour Rates'!$C$10,VLOOKUP(O49,'Calc|Labour Rates'!$B$10:$M$14,4,FALSE),VLOOKUP(O49,'Calc|Labour Rates'!$B$15:$M$19,4,FALSE)),0)</f>
        <v>0</v>
      </c>
      <c r="Q49" s="198">
        <f>IFERROR((('Input|Fee Based'!Q49*'Input|Fee Based'!P49)/60)*P49,0)</f>
        <v>0</v>
      </c>
      <c r="R49" s="198">
        <f>IFERROR((('Input|Fee Based'!R49*'Input|Fee Based'!P49)/60)*Q49,0)</f>
        <v>0</v>
      </c>
      <c r="S49" s="222">
        <f t="shared" si="4"/>
        <v>0</v>
      </c>
      <c r="T49" s="224">
        <f t="shared" si="5"/>
        <v>0</v>
      </c>
      <c r="U49" s="101">
        <f t="shared" si="6"/>
        <v>0</v>
      </c>
      <c r="V49" s="198">
        <f>'Input|Fee Based'!T49*CPI_Escalator_to_Y1*RealMaterials_Escalator_to_Y1</f>
        <v>0</v>
      </c>
      <c r="W49" s="198">
        <f>'Input|Fee Based'!U49*CPI_Escalator_to_Y1*RealVehicles_Escalator_to_Y1</f>
        <v>0</v>
      </c>
      <c r="X49" s="198">
        <f>'Input|Fee Based'!V49*CPI_Escalator_to_Y1*RealOther_Escalator_to_Y1</f>
        <v>0</v>
      </c>
      <c r="Y49" s="62"/>
      <c r="Z49" s="225">
        <f t="shared" si="9"/>
        <v>0</v>
      </c>
      <c r="AA49" s="59"/>
      <c r="AB49" s="226">
        <f>$Z49*SUMIF('Input|Indirect Cost Rates'!$E$25:$E$26,$F49,'Input|Indirect Cost Rates'!$D$25:$D$26)</f>
        <v>0</v>
      </c>
      <c r="AC49" s="226">
        <f>$Z49*SUMIF('Input|Indirect Cost Rates'!$E$27:$E$28,$F49,'Input|Indirect Cost Rates'!$D$27:$D$28)</f>
        <v>0</v>
      </c>
      <c r="AD49" s="226">
        <f>$Z49*'Input|Fee Based'!Z49</f>
        <v>0</v>
      </c>
      <c r="AE49" s="227">
        <f>SUM($Z49,$AB49:$AD49)*'Input|Fee Based'!$AA49</f>
        <v>0</v>
      </c>
      <c r="AF49" s="75"/>
      <c r="AG49" s="118"/>
      <c r="AH49" s="14"/>
      <c r="AI49"/>
      <c r="AJ49"/>
      <c r="AK49"/>
      <c r="AL49"/>
      <c r="AM49"/>
    </row>
    <row r="50" spans="1:39" x14ac:dyDescent="0.2">
      <c r="A50" s="15">
        <f t="shared" si="7"/>
        <v>39</v>
      </c>
      <c r="B50" s="395"/>
      <c r="C50" s="395"/>
      <c r="D50" s="378"/>
      <c r="E50" s="396"/>
      <c r="F50" s="396"/>
      <c r="G50" s="396"/>
      <c r="H50" s="276">
        <f t="shared" si="8"/>
        <v>0</v>
      </c>
      <c r="I50" s="13"/>
      <c r="J50" s="198" t="str">
        <f>IF(ISBLANK('Input|Fee Based'!I50),"",'Input|Fee Based'!I50)</f>
        <v/>
      </c>
      <c r="K50" s="198">
        <f>IFERROR(VLOOKUP(J50,'Calc|Labour Rates'!$B$10:$M$14,4,FALSE),0)</f>
        <v>0</v>
      </c>
      <c r="L50" s="222">
        <f>IFERROR(K50*'Input|Fee Based'!K50*'Input|Fee Based'!L50/'Input|Setup'!$E$19,0)</f>
        <v>0</v>
      </c>
      <c r="M50" s="223">
        <f t="shared" si="2"/>
        <v>0</v>
      </c>
      <c r="N50" s="101">
        <f t="shared" si="3"/>
        <v>0</v>
      </c>
      <c r="O50" s="198" t="str">
        <f>IF(ISBLANK('Input|Fee Based'!$N50),"",'Input|Fee Based'!$N50)</f>
        <v/>
      </c>
      <c r="P50" s="198">
        <f>IFERROR(IF(E50='Calc|Labour Rates'!$C$10,VLOOKUP(O50,'Calc|Labour Rates'!$B$10:$M$14,4,FALSE),VLOOKUP(O50,'Calc|Labour Rates'!$B$15:$M$19,4,FALSE)),0)</f>
        <v>0</v>
      </c>
      <c r="Q50" s="198">
        <f>IFERROR((('Input|Fee Based'!Q50*'Input|Fee Based'!P50)/60)*P50,0)</f>
        <v>0</v>
      </c>
      <c r="R50" s="198">
        <f>IFERROR((('Input|Fee Based'!R50*'Input|Fee Based'!P50)/60)*Q50,0)</f>
        <v>0</v>
      </c>
      <c r="S50" s="222">
        <f t="shared" si="4"/>
        <v>0</v>
      </c>
      <c r="T50" s="224">
        <f t="shared" si="5"/>
        <v>0</v>
      </c>
      <c r="U50" s="101">
        <f t="shared" si="6"/>
        <v>0</v>
      </c>
      <c r="V50" s="198">
        <f>'Input|Fee Based'!T50*CPI_Escalator_to_Y1*RealMaterials_Escalator_to_Y1</f>
        <v>0</v>
      </c>
      <c r="W50" s="198">
        <f>'Input|Fee Based'!U50*CPI_Escalator_to_Y1*RealVehicles_Escalator_to_Y1</f>
        <v>0</v>
      </c>
      <c r="X50" s="198">
        <f>'Input|Fee Based'!V50*CPI_Escalator_to_Y1*RealOther_Escalator_to_Y1</f>
        <v>0</v>
      </c>
      <c r="Y50" s="62"/>
      <c r="Z50" s="225">
        <f t="shared" si="9"/>
        <v>0</v>
      </c>
      <c r="AA50" s="59"/>
      <c r="AB50" s="226">
        <f>$Z50*SUMIF('Input|Indirect Cost Rates'!$E$25:$E$26,$F50,'Input|Indirect Cost Rates'!$D$25:$D$26)</f>
        <v>0</v>
      </c>
      <c r="AC50" s="226">
        <f>$Z50*SUMIF('Input|Indirect Cost Rates'!$E$27:$E$28,$F50,'Input|Indirect Cost Rates'!$D$27:$D$28)</f>
        <v>0</v>
      </c>
      <c r="AD50" s="226">
        <f>$Z50*'Input|Fee Based'!Z50</f>
        <v>0</v>
      </c>
      <c r="AE50" s="227">
        <f>SUM($Z50,$AB50:$AD50)*'Input|Fee Based'!$AA50</f>
        <v>0</v>
      </c>
      <c r="AF50" s="75"/>
      <c r="AG50" s="118"/>
      <c r="AH50" s="14"/>
      <c r="AI50"/>
      <c r="AJ50"/>
      <c r="AK50"/>
      <c r="AL50"/>
      <c r="AM50"/>
    </row>
    <row r="51" spans="1:39" x14ac:dyDescent="0.2">
      <c r="A51" s="15">
        <f t="shared" si="7"/>
        <v>40</v>
      </c>
      <c r="B51" s="395"/>
      <c r="C51" s="395"/>
      <c r="D51" s="378"/>
      <c r="E51" s="396"/>
      <c r="F51" s="396"/>
      <c r="G51" s="396"/>
      <c r="H51" s="276">
        <f t="shared" si="8"/>
        <v>0</v>
      </c>
      <c r="I51" s="13"/>
      <c r="J51" s="198" t="str">
        <f>IF(ISBLANK('Input|Fee Based'!I51),"",'Input|Fee Based'!I51)</f>
        <v/>
      </c>
      <c r="K51" s="198">
        <f>IFERROR(VLOOKUP(J51,'Calc|Labour Rates'!$B$10:$M$14,4,FALSE),0)</f>
        <v>0</v>
      </c>
      <c r="L51" s="222">
        <f>IFERROR(K51*'Input|Fee Based'!K51*'Input|Fee Based'!L51/'Input|Setup'!$E$19,0)</f>
        <v>0</v>
      </c>
      <c r="M51" s="223">
        <f t="shared" si="2"/>
        <v>0</v>
      </c>
      <c r="N51" s="101">
        <f t="shared" si="3"/>
        <v>0</v>
      </c>
      <c r="O51" s="198" t="str">
        <f>IF(ISBLANK('Input|Fee Based'!$N51),"",'Input|Fee Based'!$N51)</f>
        <v/>
      </c>
      <c r="P51" s="198">
        <f>IFERROR(IF(E51='Calc|Labour Rates'!$C$10,VLOOKUP(O51,'Calc|Labour Rates'!$B$10:$M$14,4,FALSE),VLOOKUP(O51,'Calc|Labour Rates'!$B$15:$M$19,4,FALSE)),0)</f>
        <v>0</v>
      </c>
      <c r="Q51" s="198">
        <f>IFERROR((('Input|Fee Based'!Q51*'Input|Fee Based'!P51)/60)*P51,0)</f>
        <v>0</v>
      </c>
      <c r="R51" s="198">
        <f>IFERROR((('Input|Fee Based'!R51*'Input|Fee Based'!P51)/60)*Q51,0)</f>
        <v>0</v>
      </c>
      <c r="S51" s="222">
        <f t="shared" si="4"/>
        <v>0</v>
      </c>
      <c r="T51" s="224">
        <f t="shared" si="5"/>
        <v>0</v>
      </c>
      <c r="U51" s="101">
        <f t="shared" si="6"/>
        <v>0</v>
      </c>
      <c r="V51" s="198">
        <f>'Input|Fee Based'!T51*CPI_Escalator_to_Y1*RealMaterials_Escalator_to_Y1</f>
        <v>0</v>
      </c>
      <c r="W51" s="198">
        <f>'Input|Fee Based'!U51*CPI_Escalator_to_Y1*RealVehicles_Escalator_to_Y1</f>
        <v>0</v>
      </c>
      <c r="X51" s="198">
        <f>'Input|Fee Based'!V51*CPI_Escalator_to_Y1*RealOther_Escalator_to_Y1</f>
        <v>0</v>
      </c>
      <c r="Y51" s="62"/>
      <c r="Z51" s="225">
        <f t="shared" si="9"/>
        <v>0</v>
      </c>
      <c r="AA51" s="59"/>
      <c r="AB51" s="226">
        <f>$Z51*SUMIF('Input|Indirect Cost Rates'!$E$25:$E$26,$F51,'Input|Indirect Cost Rates'!$D$25:$D$26)</f>
        <v>0</v>
      </c>
      <c r="AC51" s="226">
        <f>$Z51*SUMIF('Input|Indirect Cost Rates'!$E$27:$E$28,$F51,'Input|Indirect Cost Rates'!$D$27:$D$28)</f>
        <v>0</v>
      </c>
      <c r="AD51" s="226">
        <f>$Z51*'Input|Fee Based'!Z51</f>
        <v>0</v>
      </c>
      <c r="AE51" s="227">
        <f>SUM($Z51,$AB51:$AD51)*'Input|Fee Based'!$AA51</f>
        <v>0</v>
      </c>
      <c r="AF51" s="75"/>
      <c r="AG51" s="118"/>
      <c r="AH51" s="14"/>
      <c r="AI51"/>
      <c r="AJ51"/>
      <c r="AK51"/>
      <c r="AL51"/>
      <c r="AM51"/>
    </row>
    <row r="52" spans="1:39" x14ac:dyDescent="0.2">
      <c r="A52" s="15">
        <f t="shared" si="7"/>
        <v>41</v>
      </c>
      <c r="B52" s="395"/>
      <c r="C52" s="395"/>
      <c r="D52" s="378"/>
      <c r="E52" s="396"/>
      <c r="F52" s="396"/>
      <c r="G52" s="396"/>
      <c r="H52" s="276">
        <f t="shared" si="8"/>
        <v>0</v>
      </c>
      <c r="I52" s="13"/>
      <c r="J52" s="198" t="str">
        <f>IF(ISBLANK('Input|Fee Based'!I52),"",'Input|Fee Based'!I52)</f>
        <v/>
      </c>
      <c r="K52" s="198">
        <f>IFERROR(VLOOKUP(J52,'Calc|Labour Rates'!$B$10:$M$14,4,FALSE),0)</f>
        <v>0</v>
      </c>
      <c r="L52" s="222">
        <f>IFERROR(K52*'Input|Fee Based'!K52*'Input|Fee Based'!L52/'Input|Setup'!$E$19,0)</f>
        <v>0</v>
      </c>
      <c r="M52" s="223">
        <f t="shared" si="2"/>
        <v>0</v>
      </c>
      <c r="N52" s="101">
        <f t="shared" si="3"/>
        <v>0</v>
      </c>
      <c r="O52" s="198" t="str">
        <f>IF(ISBLANK('Input|Fee Based'!$N52),"",'Input|Fee Based'!$N52)</f>
        <v/>
      </c>
      <c r="P52" s="198">
        <f>IFERROR(IF(E52='Calc|Labour Rates'!$C$10,VLOOKUP(O52,'Calc|Labour Rates'!$B$10:$M$14,4,FALSE),VLOOKUP(O52,'Calc|Labour Rates'!$B$15:$M$19,4,FALSE)),0)</f>
        <v>0</v>
      </c>
      <c r="Q52" s="198">
        <f>IFERROR((('Input|Fee Based'!Q52*'Input|Fee Based'!P52)/60)*P52,0)</f>
        <v>0</v>
      </c>
      <c r="R52" s="198">
        <f>IFERROR((('Input|Fee Based'!R52*'Input|Fee Based'!P52)/60)*Q52,0)</f>
        <v>0</v>
      </c>
      <c r="S52" s="222">
        <f t="shared" si="4"/>
        <v>0</v>
      </c>
      <c r="T52" s="224">
        <f t="shared" si="5"/>
        <v>0</v>
      </c>
      <c r="U52" s="101">
        <f t="shared" si="6"/>
        <v>0</v>
      </c>
      <c r="V52" s="198">
        <f>'Input|Fee Based'!T52*CPI_Escalator_to_Y1*RealMaterials_Escalator_to_Y1</f>
        <v>0</v>
      </c>
      <c r="W52" s="198">
        <f>'Input|Fee Based'!U52*CPI_Escalator_to_Y1*RealVehicles_Escalator_to_Y1</f>
        <v>0</v>
      </c>
      <c r="X52" s="198">
        <f>'Input|Fee Based'!V52*CPI_Escalator_to_Y1*RealOther_Escalator_to_Y1</f>
        <v>0</v>
      </c>
      <c r="Y52" s="62"/>
      <c r="Z52" s="225">
        <f t="shared" si="9"/>
        <v>0</v>
      </c>
      <c r="AA52" s="59"/>
      <c r="AB52" s="226">
        <f>$Z52*SUMIF('Input|Indirect Cost Rates'!$E$25:$E$26,$F52,'Input|Indirect Cost Rates'!$D$25:$D$26)</f>
        <v>0</v>
      </c>
      <c r="AC52" s="226">
        <f>$Z52*SUMIF('Input|Indirect Cost Rates'!$E$27:$E$28,$F52,'Input|Indirect Cost Rates'!$D$27:$D$28)</f>
        <v>0</v>
      </c>
      <c r="AD52" s="226">
        <f>$Z52*'Input|Fee Based'!Z52</f>
        <v>0</v>
      </c>
      <c r="AE52" s="227">
        <f>SUM($Z52,$AB52:$AD52)*'Input|Fee Based'!$AA52</f>
        <v>0</v>
      </c>
      <c r="AF52" s="75"/>
      <c r="AG52" s="118"/>
      <c r="AH52" s="14"/>
      <c r="AI52"/>
      <c r="AJ52"/>
      <c r="AK52"/>
      <c r="AL52"/>
      <c r="AM52"/>
    </row>
    <row r="53" spans="1:39" x14ac:dyDescent="0.2">
      <c r="A53" s="15">
        <f t="shared" si="7"/>
        <v>42</v>
      </c>
      <c r="B53" s="395"/>
      <c r="C53" s="395"/>
      <c r="D53" s="378"/>
      <c r="E53" s="396"/>
      <c r="F53" s="396"/>
      <c r="G53" s="396"/>
      <c r="H53" s="276">
        <f t="shared" si="8"/>
        <v>0</v>
      </c>
      <c r="I53" s="13"/>
      <c r="J53" s="198" t="str">
        <f>IF(ISBLANK('Input|Fee Based'!I53),"",'Input|Fee Based'!I53)</f>
        <v/>
      </c>
      <c r="K53" s="198">
        <f>IFERROR(VLOOKUP(J53,'Calc|Labour Rates'!$B$10:$M$14,4,FALSE),0)</f>
        <v>0</v>
      </c>
      <c r="L53" s="222">
        <f>IFERROR(K53*'Input|Fee Based'!K53*'Input|Fee Based'!L53/'Input|Setup'!$E$19,0)</f>
        <v>0</v>
      </c>
      <c r="M53" s="223">
        <f t="shared" si="2"/>
        <v>0</v>
      </c>
      <c r="N53" s="101">
        <f t="shared" si="3"/>
        <v>0</v>
      </c>
      <c r="O53" s="198" t="str">
        <f>IF(ISBLANK('Input|Fee Based'!$N53),"",'Input|Fee Based'!$N53)</f>
        <v/>
      </c>
      <c r="P53" s="198">
        <f>IFERROR(IF(E53='Calc|Labour Rates'!$C$10,VLOOKUP(O53,'Calc|Labour Rates'!$B$10:$M$14,4,FALSE),VLOOKUP(O53,'Calc|Labour Rates'!$B$15:$M$19,4,FALSE)),0)</f>
        <v>0</v>
      </c>
      <c r="Q53" s="198">
        <f>IFERROR((('Input|Fee Based'!Q53*'Input|Fee Based'!P53)/60)*P53,0)</f>
        <v>0</v>
      </c>
      <c r="R53" s="198">
        <f>IFERROR((('Input|Fee Based'!R53*'Input|Fee Based'!P53)/60)*Q53,0)</f>
        <v>0</v>
      </c>
      <c r="S53" s="222">
        <f t="shared" si="4"/>
        <v>0</v>
      </c>
      <c r="T53" s="224">
        <f t="shared" si="5"/>
        <v>0</v>
      </c>
      <c r="U53" s="101">
        <f t="shared" si="6"/>
        <v>0</v>
      </c>
      <c r="V53" s="198">
        <f>'Input|Fee Based'!T53*CPI_Escalator_to_Y1*RealMaterials_Escalator_to_Y1</f>
        <v>0</v>
      </c>
      <c r="W53" s="198">
        <f>'Input|Fee Based'!U53*CPI_Escalator_to_Y1*RealVehicles_Escalator_to_Y1</f>
        <v>0</v>
      </c>
      <c r="X53" s="198">
        <f>'Input|Fee Based'!V53*CPI_Escalator_to_Y1*RealOther_Escalator_to_Y1</f>
        <v>0</v>
      </c>
      <c r="Y53" s="62"/>
      <c r="Z53" s="225">
        <f t="shared" si="9"/>
        <v>0</v>
      </c>
      <c r="AA53" s="59"/>
      <c r="AB53" s="226">
        <f>$Z53*SUMIF('Input|Indirect Cost Rates'!$E$25:$E$26,$F53,'Input|Indirect Cost Rates'!$D$25:$D$26)</f>
        <v>0</v>
      </c>
      <c r="AC53" s="226">
        <f>$Z53*SUMIF('Input|Indirect Cost Rates'!$E$27:$E$28,$F53,'Input|Indirect Cost Rates'!$D$27:$D$28)</f>
        <v>0</v>
      </c>
      <c r="AD53" s="226">
        <f>$Z53*'Input|Fee Based'!Z53</f>
        <v>0</v>
      </c>
      <c r="AE53" s="227">
        <f>SUM($Z53,$AB53:$AD53)*'Input|Fee Based'!$AA53</f>
        <v>0</v>
      </c>
      <c r="AF53" s="75"/>
      <c r="AG53" s="118"/>
      <c r="AH53" s="14"/>
      <c r="AI53"/>
      <c r="AJ53"/>
      <c r="AK53"/>
      <c r="AL53"/>
      <c r="AM53"/>
    </row>
    <row r="54" spans="1:39" x14ac:dyDescent="0.2">
      <c r="A54" s="15">
        <f t="shared" si="7"/>
        <v>43</v>
      </c>
      <c r="B54" s="395"/>
      <c r="C54" s="395"/>
      <c r="D54" s="378"/>
      <c r="E54" s="396"/>
      <c r="F54" s="396"/>
      <c r="G54" s="396"/>
      <c r="H54" s="276">
        <f t="shared" si="8"/>
        <v>0</v>
      </c>
      <c r="I54" s="13"/>
      <c r="J54" s="198" t="str">
        <f>IF(ISBLANK('Input|Fee Based'!I54),"",'Input|Fee Based'!I54)</f>
        <v/>
      </c>
      <c r="K54" s="198">
        <f>IFERROR(VLOOKUP(J54,'Calc|Labour Rates'!$B$10:$M$14,4,FALSE),0)</f>
        <v>0</v>
      </c>
      <c r="L54" s="222">
        <f>IFERROR(K54*'Input|Fee Based'!K54*'Input|Fee Based'!L54/'Input|Setup'!$E$19,0)</f>
        <v>0</v>
      </c>
      <c r="M54" s="223">
        <f t="shared" si="2"/>
        <v>0</v>
      </c>
      <c r="N54" s="101">
        <f t="shared" si="3"/>
        <v>0</v>
      </c>
      <c r="O54" s="198" t="str">
        <f>IF(ISBLANK('Input|Fee Based'!$N54),"",'Input|Fee Based'!$N54)</f>
        <v/>
      </c>
      <c r="P54" s="198">
        <f>IFERROR(IF(E54='Calc|Labour Rates'!$C$10,VLOOKUP(O54,'Calc|Labour Rates'!$B$10:$M$14,4,FALSE),VLOOKUP(O54,'Calc|Labour Rates'!$B$15:$M$19,4,FALSE)),0)</f>
        <v>0</v>
      </c>
      <c r="Q54" s="198">
        <f>IFERROR((('Input|Fee Based'!Q54*'Input|Fee Based'!P54)/60)*P54,0)</f>
        <v>0</v>
      </c>
      <c r="R54" s="198">
        <f>IFERROR((('Input|Fee Based'!R54*'Input|Fee Based'!P54)/60)*Q54,0)</f>
        <v>0</v>
      </c>
      <c r="S54" s="222">
        <f t="shared" si="4"/>
        <v>0</v>
      </c>
      <c r="T54" s="224">
        <f t="shared" si="5"/>
        <v>0</v>
      </c>
      <c r="U54" s="101">
        <f t="shared" si="6"/>
        <v>0</v>
      </c>
      <c r="V54" s="198">
        <f>'Input|Fee Based'!T54*CPI_Escalator_to_Y1*RealMaterials_Escalator_to_Y1</f>
        <v>0</v>
      </c>
      <c r="W54" s="198">
        <f>'Input|Fee Based'!U54*CPI_Escalator_to_Y1*RealVehicles_Escalator_to_Y1</f>
        <v>0</v>
      </c>
      <c r="X54" s="198">
        <f>'Input|Fee Based'!V54*CPI_Escalator_to_Y1*RealOther_Escalator_to_Y1</f>
        <v>0</v>
      </c>
      <c r="Y54" s="62"/>
      <c r="Z54" s="225">
        <f t="shared" si="9"/>
        <v>0</v>
      </c>
      <c r="AA54" s="59"/>
      <c r="AB54" s="226">
        <f>$Z54*SUMIF('Input|Indirect Cost Rates'!$E$25:$E$26,$F54,'Input|Indirect Cost Rates'!$D$25:$D$26)</f>
        <v>0</v>
      </c>
      <c r="AC54" s="226">
        <f>$Z54*SUMIF('Input|Indirect Cost Rates'!$E$27:$E$28,$F54,'Input|Indirect Cost Rates'!$D$27:$D$28)</f>
        <v>0</v>
      </c>
      <c r="AD54" s="226">
        <f>$Z54*'Input|Fee Based'!Z54</f>
        <v>0</v>
      </c>
      <c r="AE54" s="227">
        <f>SUM($Z54,$AB54:$AD54)*'Input|Fee Based'!$AA54</f>
        <v>0</v>
      </c>
      <c r="AF54" s="75"/>
      <c r="AG54" s="118"/>
      <c r="AH54" s="14"/>
      <c r="AI54"/>
      <c r="AJ54"/>
      <c r="AK54"/>
      <c r="AL54"/>
      <c r="AM54"/>
    </row>
    <row r="55" spans="1:39" x14ac:dyDescent="0.2">
      <c r="A55" s="15">
        <f t="shared" si="7"/>
        <v>44</v>
      </c>
      <c r="B55" s="395"/>
      <c r="C55" s="395"/>
      <c r="D55" s="378"/>
      <c r="E55" s="396"/>
      <c r="F55" s="396"/>
      <c r="G55" s="396"/>
      <c r="H55" s="276">
        <f t="shared" si="8"/>
        <v>0</v>
      </c>
      <c r="I55" s="13"/>
      <c r="J55" s="198" t="str">
        <f>IF(ISBLANK('Input|Fee Based'!I55),"",'Input|Fee Based'!I55)</f>
        <v/>
      </c>
      <c r="K55" s="198">
        <f>IFERROR(VLOOKUP(J55,'Calc|Labour Rates'!$B$10:$M$14,4,FALSE),0)</f>
        <v>0</v>
      </c>
      <c r="L55" s="222">
        <f>IFERROR(K55*'Input|Fee Based'!K55*'Input|Fee Based'!L55/'Input|Setup'!$E$19,0)</f>
        <v>0</v>
      </c>
      <c r="M55" s="223">
        <f t="shared" si="2"/>
        <v>0</v>
      </c>
      <c r="N55" s="101">
        <f t="shared" si="3"/>
        <v>0</v>
      </c>
      <c r="O55" s="198" t="str">
        <f>IF(ISBLANK('Input|Fee Based'!$N55),"",'Input|Fee Based'!$N55)</f>
        <v/>
      </c>
      <c r="P55" s="198">
        <f>IFERROR(IF(E55='Calc|Labour Rates'!$C$10,VLOOKUP(O55,'Calc|Labour Rates'!$B$10:$M$14,4,FALSE),VLOOKUP(O55,'Calc|Labour Rates'!$B$15:$M$19,4,FALSE)),0)</f>
        <v>0</v>
      </c>
      <c r="Q55" s="198">
        <f>IFERROR((('Input|Fee Based'!Q55*'Input|Fee Based'!P55)/60)*P55,0)</f>
        <v>0</v>
      </c>
      <c r="R55" s="198">
        <f>IFERROR((('Input|Fee Based'!R55*'Input|Fee Based'!P55)/60)*Q55,0)</f>
        <v>0</v>
      </c>
      <c r="S55" s="222">
        <f t="shared" si="4"/>
        <v>0</v>
      </c>
      <c r="T55" s="224">
        <f t="shared" si="5"/>
        <v>0</v>
      </c>
      <c r="U55" s="101">
        <f t="shared" si="6"/>
        <v>0</v>
      </c>
      <c r="V55" s="198">
        <f>'Input|Fee Based'!T55*CPI_Escalator_to_Y1*RealMaterials_Escalator_to_Y1</f>
        <v>0</v>
      </c>
      <c r="W55" s="198">
        <f>'Input|Fee Based'!U55*CPI_Escalator_to_Y1*RealVehicles_Escalator_to_Y1</f>
        <v>0</v>
      </c>
      <c r="X55" s="198">
        <f>'Input|Fee Based'!V55*CPI_Escalator_to_Y1*RealOther_Escalator_to_Y1</f>
        <v>0</v>
      </c>
      <c r="Y55" s="62"/>
      <c r="Z55" s="225">
        <f t="shared" si="9"/>
        <v>0</v>
      </c>
      <c r="AA55" s="59"/>
      <c r="AB55" s="226">
        <f>$Z55*SUMIF('Input|Indirect Cost Rates'!$E$25:$E$26,$F55,'Input|Indirect Cost Rates'!$D$25:$D$26)</f>
        <v>0</v>
      </c>
      <c r="AC55" s="226">
        <f>$Z55*SUMIF('Input|Indirect Cost Rates'!$E$27:$E$28,$F55,'Input|Indirect Cost Rates'!$D$27:$D$28)</f>
        <v>0</v>
      </c>
      <c r="AD55" s="226">
        <f>$Z55*'Input|Fee Based'!Z55</f>
        <v>0</v>
      </c>
      <c r="AE55" s="227">
        <f>SUM($Z55,$AB55:$AD55)*'Input|Fee Based'!$AA55</f>
        <v>0</v>
      </c>
      <c r="AF55" s="75"/>
      <c r="AG55" s="118"/>
      <c r="AH55" s="14"/>
      <c r="AI55"/>
      <c r="AJ55"/>
      <c r="AK55"/>
      <c r="AL55"/>
      <c r="AM55"/>
    </row>
    <row r="56" spans="1:39" x14ac:dyDescent="0.2">
      <c r="A56" s="15">
        <f t="shared" si="7"/>
        <v>45</v>
      </c>
      <c r="B56" s="395"/>
      <c r="C56" s="395"/>
      <c r="D56" s="378"/>
      <c r="E56" s="396"/>
      <c r="F56" s="396"/>
      <c r="G56" s="396"/>
      <c r="H56" s="276">
        <f t="shared" si="8"/>
        <v>0</v>
      </c>
      <c r="I56" s="13"/>
      <c r="J56" s="198" t="str">
        <f>IF(ISBLANK('Input|Fee Based'!I56),"",'Input|Fee Based'!I56)</f>
        <v/>
      </c>
      <c r="K56" s="198">
        <f>IFERROR(VLOOKUP(J56,'Calc|Labour Rates'!$B$10:$M$14,4,FALSE),0)</f>
        <v>0</v>
      </c>
      <c r="L56" s="222">
        <f>IFERROR(K56*'Input|Fee Based'!K56*'Input|Fee Based'!L56/'Input|Setup'!$E$19,0)</f>
        <v>0</v>
      </c>
      <c r="M56" s="223">
        <f t="shared" si="2"/>
        <v>0</v>
      </c>
      <c r="N56" s="101">
        <f t="shared" si="3"/>
        <v>0</v>
      </c>
      <c r="O56" s="198" t="str">
        <f>IF(ISBLANK('Input|Fee Based'!$N56),"",'Input|Fee Based'!$N56)</f>
        <v/>
      </c>
      <c r="P56" s="198">
        <f>IFERROR(IF(E56='Calc|Labour Rates'!$C$10,VLOOKUP(O56,'Calc|Labour Rates'!$B$10:$M$14,4,FALSE),VLOOKUP(O56,'Calc|Labour Rates'!$B$15:$M$19,4,FALSE)),0)</f>
        <v>0</v>
      </c>
      <c r="Q56" s="198">
        <f>IFERROR((('Input|Fee Based'!Q56*'Input|Fee Based'!P56)/60)*P56,0)</f>
        <v>0</v>
      </c>
      <c r="R56" s="198">
        <f>IFERROR((('Input|Fee Based'!R56*'Input|Fee Based'!P56)/60)*Q56,0)</f>
        <v>0</v>
      </c>
      <c r="S56" s="222">
        <f t="shared" si="4"/>
        <v>0</v>
      </c>
      <c r="T56" s="224">
        <f t="shared" si="5"/>
        <v>0</v>
      </c>
      <c r="U56" s="101">
        <f t="shared" si="6"/>
        <v>0</v>
      </c>
      <c r="V56" s="198">
        <f>'Input|Fee Based'!T56*CPI_Escalator_to_Y1*RealMaterials_Escalator_to_Y1</f>
        <v>0</v>
      </c>
      <c r="W56" s="198">
        <f>'Input|Fee Based'!U56*CPI_Escalator_to_Y1*RealVehicles_Escalator_to_Y1</f>
        <v>0</v>
      </c>
      <c r="X56" s="198">
        <f>'Input|Fee Based'!V56*CPI_Escalator_to_Y1*RealOther_Escalator_to_Y1</f>
        <v>0</v>
      </c>
      <c r="Y56" s="62"/>
      <c r="Z56" s="225">
        <f t="shared" si="9"/>
        <v>0</v>
      </c>
      <c r="AA56" s="59"/>
      <c r="AB56" s="226">
        <f>$Z56*SUMIF('Input|Indirect Cost Rates'!$E$25:$E$26,$F56,'Input|Indirect Cost Rates'!$D$25:$D$26)</f>
        <v>0</v>
      </c>
      <c r="AC56" s="226">
        <f>$Z56*SUMIF('Input|Indirect Cost Rates'!$E$27:$E$28,$F56,'Input|Indirect Cost Rates'!$D$27:$D$28)</f>
        <v>0</v>
      </c>
      <c r="AD56" s="226">
        <f>$Z56*'Input|Fee Based'!Z56</f>
        <v>0</v>
      </c>
      <c r="AE56" s="227">
        <f>SUM($Z56,$AB56:$AD56)*'Input|Fee Based'!$AA56</f>
        <v>0</v>
      </c>
      <c r="AF56" s="75"/>
      <c r="AG56" s="118"/>
      <c r="AH56" s="14"/>
      <c r="AI56"/>
      <c r="AJ56"/>
      <c r="AK56"/>
      <c r="AL56"/>
      <c r="AM56"/>
    </row>
    <row r="57" spans="1:39" x14ac:dyDescent="0.2">
      <c r="A57" s="15">
        <f t="shared" si="7"/>
        <v>46</v>
      </c>
      <c r="B57" s="395"/>
      <c r="C57" s="395"/>
      <c r="D57" s="378"/>
      <c r="E57" s="396"/>
      <c r="F57" s="396"/>
      <c r="G57" s="396"/>
      <c r="H57" s="276">
        <f t="shared" si="8"/>
        <v>0</v>
      </c>
      <c r="I57" s="13"/>
      <c r="J57" s="198" t="str">
        <f>IF(ISBLANK('Input|Fee Based'!I57),"",'Input|Fee Based'!I57)</f>
        <v/>
      </c>
      <c r="K57" s="198">
        <f>IFERROR(VLOOKUP(J57,'Calc|Labour Rates'!$B$10:$M$14,4,FALSE),0)</f>
        <v>0</v>
      </c>
      <c r="L57" s="222">
        <f>IFERROR(K57*'Input|Fee Based'!K57*'Input|Fee Based'!L57/'Input|Setup'!$E$19,0)</f>
        <v>0</v>
      </c>
      <c r="M57" s="223">
        <f t="shared" si="2"/>
        <v>0</v>
      </c>
      <c r="N57" s="101">
        <f t="shared" si="3"/>
        <v>0</v>
      </c>
      <c r="O57" s="198" t="str">
        <f>IF(ISBLANK('Input|Fee Based'!$N57),"",'Input|Fee Based'!$N57)</f>
        <v/>
      </c>
      <c r="P57" s="198">
        <f>IFERROR(IF(E57='Calc|Labour Rates'!$C$10,VLOOKUP(O57,'Calc|Labour Rates'!$B$10:$M$14,4,FALSE),VLOOKUP(O57,'Calc|Labour Rates'!$B$15:$M$19,4,FALSE)),0)</f>
        <v>0</v>
      </c>
      <c r="Q57" s="198">
        <f>IFERROR((('Input|Fee Based'!Q57*'Input|Fee Based'!P57)/60)*P57,0)</f>
        <v>0</v>
      </c>
      <c r="R57" s="198">
        <f>IFERROR((('Input|Fee Based'!R57*'Input|Fee Based'!P57)/60)*Q57,0)</f>
        <v>0</v>
      </c>
      <c r="S57" s="222">
        <f t="shared" si="4"/>
        <v>0</v>
      </c>
      <c r="T57" s="224">
        <f t="shared" si="5"/>
        <v>0</v>
      </c>
      <c r="U57" s="101">
        <f t="shared" si="6"/>
        <v>0</v>
      </c>
      <c r="V57" s="198">
        <f>'Input|Fee Based'!T57*CPI_Escalator_to_Y1*RealMaterials_Escalator_to_Y1</f>
        <v>0</v>
      </c>
      <c r="W57" s="198">
        <f>'Input|Fee Based'!U57*CPI_Escalator_to_Y1*RealVehicles_Escalator_to_Y1</f>
        <v>0</v>
      </c>
      <c r="X57" s="198">
        <f>'Input|Fee Based'!V57*CPI_Escalator_to_Y1*RealOther_Escalator_to_Y1</f>
        <v>0</v>
      </c>
      <c r="Y57" s="62"/>
      <c r="Z57" s="225">
        <f t="shared" si="9"/>
        <v>0</v>
      </c>
      <c r="AA57" s="59"/>
      <c r="AB57" s="226">
        <f>$Z57*SUMIF('Input|Indirect Cost Rates'!$E$25:$E$26,$F57,'Input|Indirect Cost Rates'!$D$25:$D$26)</f>
        <v>0</v>
      </c>
      <c r="AC57" s="226">
        <f>$Z57*SUMIF('Input|Indirect Cost Rates'!$E$27:$E$28,$F57,'Input|Indirect Cost Rates'!$D$27:$D$28)</f>
        <v>0</v>
      </c>
      <c r="AD57" s="226">
        <f>$Z57*'Input|Fee Based'!Z57</f>
        <v>0</v>
      </c>
      <c r="AE57" s="227">
        <f>SUM($Z57,$AB57:$AD57)*'Input|Fee Based'!$AA57</f>
        <v>0</v>
      </c>
      <c r="AF57" s="75"/>
      <c r="AG57" s="118"/>
      <c r="AH57" s="14"/>
      <c r="AI57"/>
      <c r="AJ57"/>
      <c r="AK57"/>
      <c r="AL57"/>
      <c r="AM57"/>
    </row>
    <row r="58" spans="1:39" x14ac:dyDescent="0.2">
      <c r="A58" s="15">
        <f t="shared" si="7"/>
        <v>47</v>
      </c>
      <c r="B58" s="395"/>
      <c r="C58" s="395"/>
      <c r="D58" s="378"/>
      <c r="E58" s="396"/>
      <c r="F58" s="396"/>
      <c r="G58" s="396"/>
      <c r="H58" s="276">
        <f t="shared" si="8"/>
        <v>0</v>
      </c>
      <c r="I58" s="13"/>
      <c r="J58" s="198" t="str">
        <f>IF(ISBLANK('Input|Fee Based'!I58),"",'Input|Fee Based'!I58)</f>
        <v/>
      </c>
      <c r="K58" s="198">
        <f>IFERROR(VLOOKUP(J58,'Calc|Labour Rates'!$B$10:$M$14,4,FALSE),0)</f>
        <v>0</v>
      </c>
      <c r="L58" s="222">
        <f>IFERROR(K58*'Input|Fee Based'!K58*'Input|Fee Based'!L58/'Input|Setup'!$E$19,0)</f>
        <v>0</v>
      </c>
      <c r="M58" s="223">
        <f t="shared" si="2"/>
        <v>0</v>
      </c>
      <c r="N58" s="101">
        <f t="shared" si="3"/>
        <v>0</v>
      </c>
      <c r="O58" s="198" t="str">
        <f>IF(ISBLANK('Input|Fee Based'!$N58),"",'Input|Fee Based'!$N58)</f>
        <v/>
      </c>
      <c r="P58" s="198">
        <f>IFERROR(IF(E58='Calc|Labour Rates'!$C$10,VLOOKUP(O58,'Calc|Labour Rates'!$B$10:$M$14,4,FALSE),VLOOKUP(O58,'Calc|Labour Rates'!$B$15:$M$19,4,FALSE)),0)</f>
        <v>0</v>
      </c>
      <c r="Q58" s="198">
        <f>IFERROR((('Input|Fee Based'!Q58*'Input|Fee Based'!P58)/60)*P58,0)</f>
        <v>0</v>
      </c>
      <c r="R58" s="198">
        <f>IFERROR((('Input|Fee Based'!R58*'Input|Fee Based'!P58)/60)*Q58,0)</f>
        <v>0</v>
      </c>
      <c r="S58" s="222">
        <f t="shared" si="4"/>
        <v>0</v>
      </c>
      <c r="T58" s="224">
        <f t="shared" si="5"/>
        <v>0</v>
      </c>
      <c r="U58" s="101">
        <f t="shared" si="6"/>
        <v>0</v>
      </c>
      <c r="V58" s="198">
        <f>'Input|Fee Based'!T58*CPI_Escalator_to_Y1*RealMaterials_Escalator_to_Y1</f>
        <v>0</v>
      </c>
      <c r="W58" s="198">
        <f>'Input|Fee Based'!U58*CPI_Escalator_to_Y1*RealVehicles_Escalator_to_Y1</f>
        <v>0</v>
      </c>
      <c r="X58" s="198">
        <f>'Input|Fee Based'!V58*CPI_Escalator_to_Y1*RealOther_Escalator_to_Y1</f>
        <v>0</v>
      </c>
      <c r="Y58" s="62"/>
      <c r="Z58" s="225">
        <f t="shared" si="9"/>
        <v>0</v>
      </c>
      <c r="AA58" s="59"/>
      <c r="AB58" s="226">
        <f>$Z58*SUMIF('Input|Indirect Cost Rates'!$E$25:$E$26,$F58,'Input|Indirect Cost Rates'!$D$25:$D$26)</f>
        <v>0</v>
      </c>
      <c r="AC58" s="226">
        <f>$Z58*SUMIF('Input|Indirect Cost Rates'!$E$27:$E$28,$F58,'Input|Indirect Cost Rates'!$D$27:$D$28)</f>
        <v>0</v>
      </c>
      <c r="AD58" s="226">
        <f>$Z58*'Input|Fee Based'!Z58</f>
        <v>0</v>
      </c>
      <c r="AE58" s="227">
        <f>SUM($Z58,$AB58:$AD58)*'Input|Fee Based'!$AA58</f>
        <v>0</v>
      </c>
      <c r="AF58" s="75"/>
      <c r="AG58" s="118"/>
      <c r="AH58" s="14"/>
      <c r="AI58"/>
      <c r="AJ58"/>
      <c r="AK58"/>
      <c r="AL58"/>
      <c r="AM58"/>
    </row>
    <row r="59" spans="1:39" x14ac:dyDescent="0.2">
      <c r="A59" s="15">
        <f t="shared" si="7"/>
        <v>48</v>
      </c>
      <c r="B59" s="395"/>
      <c r="C59" s="395"/>
      <c r="D59" s="378"/>
      <c r="E59" s="396"/>
      <c r="F59" s="396"/>
      <c r="G59" s="396"/>
      <c r="H59" s="276">
        <f t="shared" si="8"/>
        <v>0</v>
      </c>
      <c r="I59" s="13"/>
      <c r="J59" s="198" t="str">
        <f>IF(ISBLANK('Input|Fee Based'!I59),"",'Input|Fee Based'!I59)</f>
        <v/>
      </c>
      <c r="K59" s="198">
        <f>IFERROR(VLOOKUP(J59,'Calc|Labour Rates'!$B$10:$M$14,4,FALSE),0)</f>
        <v>0</v>
      </c>
      <c r="L59" s="222">
        <f>IFERROR(K59*'Input|Fee Based'!K59*'Input|Fee Based'!L59/'Input|Setup'!$E$19,0)</f>
        <v>0</v>
      </c>
      <c r="M59" s="223">
        <f t="shared" si="2"/>
        <v>0</v>
      </c>
      <c r="N59" s="101">
        <f t="shared" si="3"/>
        <v>0</v>
      </c>
      <c r="O59" s="198" t="str">
        <f>IF(ISBLANK('Input|Fee Based'!$N59),"",'Input|Fee Based'!$N59)</f>
        <v/>
      </c>
      <c r="P59" s="198">
        <f>IFERROR(IF(E59='Calc|Labour Rates'!$C$10,VLOOKUP(O59,'Calc|Labour Rates'!$B$10:$M$14,4,FALSE),VLOOKUP(O59,'Calc|Labour Rates'!$B$15:$M$19,4,FALSE)),0)</f>
        <v>0</v>
      </c>
      <c r="Q59" s="198">
        <f>IFERROR((('Input|Fee Based'!Q59*'Input|Fee Based'!P59)/60)*P59,0)</f>
        <v>0</v>
      </c>
      <c r="R59" s="198">
        <f>IFERROR((('Input|Fee Based'!R59*'Input|Fee Based'!P59)/60)*Q59,0)</f>
        <v>0</v>
      </c>
      <c r="S59" s="222">
        <f t="shared" si="4"/>
        <v>0</v>
      </c>
      <c r="T59" s="224">
        <f t="shared" si="5"/>
        <v>0</v>
      </c>
      <c r="U59" s="101">
        <f t="shared" si="6"/>
        <v>0</v>
      </c>
      <c r="V59" s="198">
        <f>'Input|Fee Based'!T59*CPI_Escalator_to_Y1*RealMaterials_Escalator_to_Y1</f>
        <v>0</v>
      </c>
      <c r="W59" s="198">
        <f>'Input|Fee Based'!U59*CPI_Escalator_to_Y1*RealVehicles_Escalator_to_Y1</f>
        <v>0</v>
      </c>
      <c r="X59" s="198">
        <f>'Input|Fee Based'!V59*CPI_Escalator_to_Y1*RealOther_Escalator_to_Y1</f>
        <v>0</v>
      </c>
      <c r="Y59" s="62"/>
      <c r="Z59" s="225">
        <f t="shared" si="9"/>
        <v>0</v>
      </c>
      <c r="AA59" s="59"/>
      <c r="AB59" s="226">
        <f>$Z59*SUMIF('Input|Indirect Cost Rates'!$E$25:$E$26,$F59,'Input|Indirect Cost Rates'!$D$25:$D$26)</f>
        <v>0</v>
      </c>
      <c r="AC59" s="226">
        <f>$Z59*SUMIF('Input|Indirect Cost Rates'!$E$27:$E$28,$F59,'Input|Indirect Cost Rates'!$D$27:$D$28)</f>
        <v>0</v>
      </c>
      <c r="AD59" s="226">
        <f>$Z59*'Input|Fee Based'!Z59</f>
        <v>0</v>
      </c>
      <c r="AE59" s="227">
        <f>SUM($Z59,$AB59:$AD59)*'Input|Fee Based'!$AA59</f>
        <v>0</v>
      </c>
      <c r="AF59" s="75"/>
      <c r="AG59" s="118"/>
      <c r="AH59" s="14"/>
      <c r="AI59"/>
      <c r="AJ59"/>
      <c r="AK59"/>
      <c r="AL59"/>
      <c r="AM59"/>
    </row>
    <row r="60" spans="1:39" x14ac:dyDescent="0.2">
      <c r="A60" s="15">
        <f t="shared" si="7"/>
        <v>49</v>
      </c>
      <c r="B60" s="395"/>
      <c r="C60" s="395"/>
      <c r="D60" s="378"/>
      <c r="E60" s="396"/>
      <c r="F60" s="396"/>
      <c r="G60" s="396"/>
      <c r="H60" s="276">
        <f t="shared" si="8"/>
        <v>0</v>
      </c>
      <c r="I60" s="13"/>
      <c r="J60" s="198" t="str">
        <f>IF(ISBLANK('Input|Fee Based'!I60),"",'Input|Fee Based'!I60)</f>
        <v/>
      </c>
      <c r="K60" s="198">
        <f>IFERROR(VLOOKUP(J60,'Calc|Labour Rates'!$B$10:$M$14,4,FALSE),0)</f>
        <v>0</v>
      </c>
      <c r="L60" s="222">
        <f>IFERROR(K60*'Input|Fee Based'!K60*'Input|Fee Based'!L60/'Input|Setup'!$E$19,0)</f>
        <v>0</v>
      </c>
      <c r="M60" s="223">
        <f t="shared" si="2"/>
        <v>0</v>
      </c>
      <c r="N60" s="101">
        <f t="shared" si="3"/>
        <v>0</v>
      </c>
      <c r="O60" s="198" t="str">
        <f>IF(ISBLANK('Input|Fee Based'!$N60),"",'Input|Fee Based'!$N60)</f>
        <v/>
      </c>
      <c r="P60" s="198">
        <f>IFERROR(IF(E60='Calc|Labour Rates'!$C$10,VLOOKUP(O60,'Calc|Labour Rates'!$B$10:$M$14,4,FALSE),VLOOKUP(O60,'Calc|Labour Rates'!$B$15:$M$19,4,FALSE)),0)</f>
        <v>0</v>
      </c>
      <c r="Q60" s="198">
        <f>IFERROR((('Input|Fee Based'!Q60*'Input|Fee Based'!P60)/60)*P60,0)</f>
        <v>0</v>
      </c>
      <c r="R60" s="198">
        <f>IFERROR((('Input|Fee Based'!R60*'Input|Fee Based'!P60)/60)*Q60,0)</f>
        <v>0</v>
      </c>
      <c r="S60" s="222">
        <f t="shared" si="4"/>
        <v>0</v>
      </c>
      <c r="T60" s="224">
        <f t="shared" si="5"/>
        <v>0</v>
      </c>
      <c r="U60" s="101">
        <f t="shared" si="6"/>
        <v>0</v>
      </c>
      <c r="V60" s="198">
        <f>'Input|Fee Based'!T60*CPI_Escalator_to_Y1*RealMaterials_Escalator_to_Y1</f>
        <v>0</v>
      </c>
      <c r="W60" s="198">
        <f>'Input|Fee Based'!U60*CPI_Escalator_to_Y1*RealVehicles_Escalator_to_Y1</f>
        <v>0</v>
      </c>
      <c r="X60" s="198">
        <f>'Input|Fee Based'!V60*CPI_Escalator_to_Y1*RealOther_Escalator_to_Y1</f>
        <v>0</v>
      </c>
      <c r="Y60" s="62"/>
      <c r="Z60" s="225">
        <f t="shared" si="9"/>
        <v>0</v>
      </c>
      <c r="AA60" s="59"/>
      <c r="AB60" s="226">
        <f>$Z60*SUMIF('Input|Indirect Cost Rates'!$E$25:$E$26,$F60,'Input|Indirect Cost Rates'!$D$25:$D$26)</f>
        <v>0</v>
      </c>
      <c r="AC60" s="226">
        <f>$Z60*SUMIF('Input|Indirect Cost Rates'!$E$27:$E$28,$F60,'Input|Indirect Cost Rates'!$D$27:$D$28)</f>
        <v>0</v>
      </c>
      <c r="AD60" s="226">
        <f>$Z60*'Input|Fee Based'!Z60</f>
        <v>0</v>
      </c>
      <c r="AE60" s="227">
        <f>SUM($Z60,$AB60:$AD60)*'Input|Fee Based'!$AA60</f>
        <v>0</v>
      </c>
      <c r="AF60" s="75"/>
      <c r="AG60" s="118"/>
      <c r="AH60" s="14"/>
      <c r="AI60"/>
      <c r="AJ60"/>
      <c r="AK60"/>
      <c r="AL60"/>
      <c r="AM60"/>
    </row>
    <row r="61" spans="1:39" x14ac:dyDescent="0.2">
      <c r="A61" s="15">
        <f t="shared" si="7"/>
        <v>50</v>
      </c>
      <c r="B61" s="395"/>
      <c r="C61" s="395"/>
      <c r="D61" s="378"/>
      <c r="E61" s="396"/>
      <c r="F61" s="396"/>
      <c r="G61" s="396"/>
      <c r="H61" s="276">
        <f t="shared" si="8"/>
        <v>0</v>
      </c>
      <c r="I61" s="13"/>
      <c r="J61" s="198" t="str">
        <f>IF(ISBLANK('Input|Fee Based'!I61),"",'Input|Fee Based'!I61)</f>
        <v/>
      </c>
      <c r="K61" s="198">
        <f>IFERROR(VLOOKUP(J61,'Calc|Labour Rates'!$B$10:$M$14,4,FALSE),0)</f>
        <v>0</v>
      </c>
      <c r="L61" s="222">
        <f>IFERROR(K61*'Input|Fee Based'!K61*'Input|Fee Based'!L61/'Input|Setup'!$E$19,0)</f>
        <v>0</v>
      </c>
      <c r="M61" s="223">
        <f t="shared" si="2"/>
        <v>0</v>
      </c>
      <c r="N61" s="101">
        <f t="shared" si="3"/>
        <v>0</v>
      </c>
      <c r="O61" s="198" t="str">
        <f>IF(ISBLANK('Input|Fee Based'!$N61),"",'Input|Fee Based'!$N61)</f>
        <v/>
      </c>
      <c r="P61" s="198">
        <f>IFERROR(IF(E61='Calc|Labour Rates'!$C$10,VLOOKUP(O61,'Calc|Labour Rates'!$B$10:$M$14,4,FALSE),VLOOKUP(O61,'Calc|Labour Rates'!$B$15:$M$19,4,FALSE)),0)</f>
        <v>0</v>
      </c>
      <c r="Q61" s="198">
        <f>IFERROR((('Input|Fee Based'!Q61*'Input|Fee Based'!P61)/60)*P61,0)</f>
        <v>0</v>
      </c>
      <c r="R61" s="198">
        <f>IFERROR((('Input|Fee Based'!R61*'Input|Fee Based'!P61)/60)*Q61,0)</f>
        <v>0</v>
      </c>
      <c r="S61" s="222">
        <f t="shared" si="4"/>
        <v>0</v>
      </c>
      <c r="T61" s="224">
        <f t="shared" si="5"/>
        <v>0</v>
      </c>
      <c r="U61" s="101">
        <f t="shared" si="6"/>
        <v>0</v>
      </c>
      <c r="V61" s="198">
        <f>'Input|Fee Based'!T61*CPI_Escalator_to_Y1*RealMaterials_Escalator_to_Y1</f>
        <v>0</v>
      </c>
      <c r="W61" s="198">
        <f>'Input|Fee Based'!U61*CPI_Escalator_to_Y1*RealVehicles_Escalator_to_Y1</f>
        <v>0</v>
      </c>
      <c r="X61" s="198">
        <f>'Input|Fee Based'!V61*CPI_Escalator_to_Y1*RealOther_Escalator_to_Y1</f>
        <v>0</v>
      </c>
      <c r="Y61" s="62"/>
      <c r="Z61" s="225">
        <f t="shared" si="9"/>
        <v>0</v>
      </c>
      <c r="AA61" s="59"/>
      <c r="AB61" s="226">
        <f>$Z61*SUMIF('Input|Indirect Cost Rates'!$E$25:$E$26,$F61,'Input|Indirect Cost Rates'!$D$25:$D$26)</f>
        <v>0</v>
      </c>
      <c r="AC61" s="226">
        <f>$Z61*SUMIF('Input|Indirect Cost Rates'!$E$27:$E$28,$F61,'Input|Indirect Cost Rates'!$D$27:$D$28)</f>
        <v>0</v>
      </c>
      <c r="AD61" s="226">
        <f>$Z61*'Input|Fee Based'!Z61</f>
        <v>0</v>
      </c>
      <c r="AE61" s="227">
        <f>SUM($Z61,$AB61:$AD61)*'Input|Fee Based'!$AA61</f>
        <v>0</v>
      </c>
      <c r="AF61" s="75"/>
      <c r="AG61" s="118"/>
      <c r="AH61" s="14"/>
      <c r="AI61"/>
      <c r="AJ61"/>
      <c r="AK61"/>
      <c r="AL61"/>
      <c r="AM61"/>
    </row>
    <row r="62" spans="1:39" x14ac:dyDescent="0.2">
      <c r="A62" s="15">
        <f t="shared" si="7"/>
        <v>51</v>
      </c>
      <c r="B62" s="395"/>
      <c r="C62" s="395"/>
      <c r="D62" s="378"/>
      <c r="E62" s="396"/>
      <c r="F62" s="396"/>
      <c r="G62" s="396"/>
      <c r="H62" s="276">
        <f t="shared" si="8"/>
        <v>0</v>
      </c>
      <c r="I62" s="13"/>
      <c r="J62" s="198" t="str">
        <f>IF(ISBLANK('Input|Fee Based'!I62),"",'Input|Fee Based'!I62)</f>
        <v/>
      </c>
      <c r="K62" s="198">
        <f>IFERROR(VLOOKUP(J62,'Calc|Labour Rates'!$B$10:$M$14,4,FALSE),0)</f>
        <v>0</v>
      </c>
      <c r="L62" s="222">
        <f>IFERROR(K62*'Input|Fee Based'!K62*'Input|Fee Based'!L62/'Input|Setup'!$E$19,0)</f>
        <v>0</v>
      </c>
      <c r="M62" s="223">
        <f t="shared" ref="M62:M71" si="10">L62</f>
        <v>0</v>
      </c>
      <c r="N62" s="101">
        <f t="shared" ref="N62:N71" si="11">IF(
AND(K62&lt;&gt;0,L62=0),1,0)</f>
        <v>0</v>
      </c>
      <c r="O62" s="198" t="str">
        <f>IF(ISBLANK('Input|Fee Based'!$N62),"",'Input|Fee Based'!$N62)</f>
        <v/>
      </c>
      <c r="P62" s="198">
        <f>IFERROR(IF(E62='Calc|Labour Rates'!$C$10,VLOOKUP(O62,'Calc|Labour Rates'!$B$10:$M$14,4,FALSE),VLOOKUP(O62,'Calc|Labour Rates'!$B$15:$M$19,4,FALSE)),0)</f>
        <v>0</v>
      </c>
      <c r="Q62" s="198">
        <f>IFERROR((('Input|Fee Based'!Q62*'Input|Fee Based'!P62)/60)*P62,0)</f>
        <v>0</v>
      </c>
      <c r="R62" s="198">
        <f>IFERROR((('Input|Fee Based'!R62*'Input|Fee Based'!P62)/60)*Q62,0)</f>
        <v>0</v>
      </c>
      <c r="S62" s="222">
        <f t="shared" ref="S62:S71" si="12">Q62+R62</f>
        <v>0</v>
      </c>
      <c r="T62" s="224">
        <f t="shared" ref="T62:T71" si="13">S62</f>
        <v>0</v>
      </c>
      <c r="U62" s="101">
        <f t="shared" ref="U62:U71" si="14">IF(
AND(R62&lt;&gt;0,S62=0),1,0)</f>
        <v>0</v>
      </c>
      <c r="V62" s="198">
        <f>'Input|Fee Based'!T62*CPI_Escalator_to_Y1*RealMaterials_Escalator_to_Y1</f>
        <v>0</v>
      </c>
      <c r="W62" s="198">
        <f>'Input|Fee Based'!U62*CPI_Escalator_to_Y1*RealVehicles_Escalator_to_Y1</f>
        <v>0</v>
      </c>
      <c r="X62" s="198">
        <f>'Input|Fee Based'!V62*CPI_Escalator_to_Y1*RealOther_Escalator_to_Y1</f>
        <v>0</v>
      </c>
      <c r="Y62" s="62"/>
      <c r="Z62" s="225">
        <f t="shared" si="9"/>
        <v>0</v>
      </c>
      <c r="AA62" s="59"/>
      <c r="AB62" s="226">
        <f>$Z62*SUMIF('Input|Indirect Cost Rates'!$E$25:$E$26,$F62,'Input|Indirect Cost Rates'!$D$25:$D$26)</f>
        <v>0</v>
      </c>
      <c r="AC62" s="226">
        <f>$Z62*SUMIF('Input|Indirect Cost Rates'!$E$27:$E$28,$F62,'Input|Indirect Cost Rates'!$D$27:$D$28)</f>
        <v>0</v>
      </c>
      <c r="AD62" s="226">
        <f>$Z62*'Input|Fee Based'!Z62</f>
        <v>0</v>
      </c>
      <c r="AE62" s="227">
        <f>SUM($Z62,$AB62:$AD62)*'Input|Fee Based'!$AA62</f>
        <v>0</v>
      </c>
      <c r="AF62" s="59"/>
      <c r="AG62" s="119"/>
      <c r="AH62" s="119"/>
      <c r="AI62" s="119"/>
      <c r="AJ62" s="120"/>
      <c r="AK62" s="75"/>
      <c r="AL62" s="118"/>
      <c r="AM62" s="14"/>
    </row>
    <row r="63" spans="1:39" x14ac:dyDescent="0.2">
      <c r="A63" s="15">
        <f t="shared" si="7"/>
        <v>52</v>
      </c>
      <c r="B63" s="395"/>
      <c r="C63" s="395"/>
      <c r="D63" s="378"/>
      <c r="E63" s="396"/>
      <c r="F63" s="396"/>
      <c r="G63" s="396"/>
      <c r="H63" s="276">
        <f t="shared" si="8"/>
        <v>0</v>
      </c>
      <c r="I63" s="13"/>
      <c r="J63" s="198" t="str">
        <f>IF(ISBLANK('Input|Fee Based'!I63),"",'Input|Fee Based'!I63)</f>
        <v/>
      </c>
      <c r="K63" s="198">
        <f>IFERROR(VLOOKUP(J63,'Calc|Labour Rates'!$B$10:$M$14,4,FALSE),0)</f>
        <v>0</v>
      </c>
      <c r="L63" s="222">
        <f>IFERROR(K63*'Input|Fee Based'!K63*'Input|Fee Based'!L63/'Input|Setup'!$E$19,0)</f>
        <v>0</v>
      </c>
      <c r="M63" s="223">
        <f t="shared" si="10"/>
        <v>0</v>
      </c>
      <c r="N63" s="101">
        <f t="shared" si="11"/>
        <v>0</v>
      </c>
      <c r="O63" s="198" t="str">
        <f>IF(ISBLANK('Input|Fee Based'!$N63),"",'Input|Fee Based'!$N63)</f>
        <v/>
      </c>
      <c r="P63" s="198">
        <f>IFERROR(IF(E63='Calc|Labour Rates'!$C$10,VLOOKUP(O63,'Calc|Labour Rates'!$B$10:$M$14,4,FALSE),VLOOKUP(O63,'Calc|Labour Rates'!$B$15:$M$19,4,FALSE)),0)</f>
        <v>0</v>
      </c>
      <c r="Q63" s="198">
        <f>IFERROR((('Input|Fee Based'!Q63*'Input|Fee Based'!P63)/60)*P63,0)</f>
        <v>0</v>
      </c>
      <c r="R63" s="198">
        <f>IFERROR((('Input|Fee Based'!R63*'Input|Fee Based'!P63)/60)*Q63,0)</f>
        <v>0</v>
      </c>
      <c r="S63" s="222">
        <f t="shared" si="12"/>
        <v>0</v>
      </c>
      <c r="T63" s="224">
        <f t="shared" si="13"/>
        <v>0</v>
      </c>
      <c r="U63" s="101">
        <f t="shared" si="14"/>
        <v>0</v>
      </c>
      <c r="V63" s="198">
        <f>'Input|Fee Based'!T63*CPI_Escalator_to_Y1*RealMaterials_Escalator_to_Y1</f>
        <v>0</v>
      </c>
      <c r="W63" s="198">
        <f>'Input|Fee Based'!U63*CPI_Escalator_to_Y1*RealVehicles_Escalator_to_Y1</f>
        <v>0</v>
      </c>
      <c r="X63" s="198">
        <f>'Input|Fee Based'!V63*CPI_Escalator_to_Y1*RealOther_Escalator_to_Y1</f>
        <v>0</v>
      </c>
      <c r="Y63" s="62"/>
      <c r="Z63" s="225">
        <f t="shared" si="9"/>
        <v>0</v>
      </c>
      <c r="AA63" s="59"/>
      <c r="AB63" s="226">
        <f>$Z63*SUMIF('Input|Indirect Cost Rates'!$E$25:$E$26,$F63,'Input|Indirect Cost Rates'!$D$25:$D$26)</f>
        <v>0</v>
      </c>
      <c r="AC63" s="226">
        <f>$Z63*SUMIF('Input|Indirect Cost Rates'!$E$27:$E$28,$F63,'Input|Indirect Cost Rates'!$D$27:$D$28)</f>
        <v>0</v>
      </c>
      <c r="AD63" s="226">
        <f>$Z63*'Input|Fee Based'!Z63</f>
        <v>0</v>
      </c>
      <c r="AE63" s="227">
        <f>SUM($Z63,$AB63:$AD63)*'Input|Fee Based'!$AA63</f>
        <v>0</v>
      </c>
      <c r="AF63" s="59"/>
      <c r="AG63" s="119"/>
      <c r="AH63" s="119"/>
      <c r="AI63" s="119"/>
      <c r="AJ63" s="120"/>
      <c r="AK63" s="75"/>
      <c r="AL63" s="118"/>
      <c r="AM63" s="14"/>
    </row>
    <row r="64" spans="1:39" x14ac:dyDescent="0.2">
      <c r="A64" s="15">
        <f t="shared" si="7"/>
        <v>53</v>
      </c>
      <c r="B64" s="395"/>
      <c r="C64" s="395"/>
      <c r="D64" s="378"/>
      <c r="E64" s="396"/>
      <c r="F64" s="396"/>
      <c r="G64" s="396"/>
      <c r="H64" s="276">
        <f t="shared" si="8"/>
        <v>0</v>
      </c>
      <c r="I64" s="13"/>
      <c r="J64" s="198" t="str">
        <f>IF(ISBLANK('Input|Fee Based'!I64),"",'Input|Fee Based'!I64)</f>
        <v/>
      </c>
      <c r="K64" s="198">
        <f>IFERROR(VLOOKUP(J64,'Calc|Labour Rates'!$B$10:$M$14,4,FALSE),0)</f>
        <v>0</v>
      </c>
      <c r="L64" s="222">
        <f>IFERROR(K64*'Input|Fee Based'!K64*'Input|Fee Based'!L64/'Input|Setup'!$E$19,0)</f>
        <v>0</v>
      </c>
      <c r="M64" s="223">
        <f t="shared" si="10"/>
        <v>0</v>
      </c>
      <c r="N64" s="101">
        <f t="shared" si="11"/>
        <v>0</v>
      </c>
      <c r="O64" s="198" t="str">
        <f>IF(ISBLANK('Input|Fee Based'!$N64),"",'Input|Fee Based'!$N64)</f>
        <v/>
      </c>
      <c r="P64" s="198">
        <f>IFERROR(IF(E64='Calc|Labour Rates'!$C$10,VLOOKUP(O64,'Calc|Labour Rates'!$B$10:$M$14,4,FALSE),VLOOKUP(O64,'Calc|Labour Rates'!$B$15:$M$19,4,FALSE)),0)</f>
        <v>0</v>
      </c>
      <c r="Q64" s="198">
        <f>IFERROR((('Input|Fee Based'!Q64*'Input|Fee Based'!P64)/60)*P64,0)</f>
        <v>0</v>
      </c>
      <c r="R64" s="198">
        <f>IFERROR((('Input|Fee Based'!R64*'Input|Fee Based'!P64)/60)*Q64,0)</f>
        <v>0</v>
      </c>
      <c r="S64" s="222">
        <f t="shared" si="12"/>
        <v>0</v>
      </c>
      <c r="T64" s="224">
        <f t="shared" si="13"/>
        <v>0</v>
      </c>
      <c r="U64" s="101">
        <f t="shared" si="14"/>
        <v>0</v>
      </c>
      <c r="V64" s="198">
        <f>'Input|Fee Based'!T64*CPI_Escalator_to_Y1*RealMaterials_Escalator_to_Y1</f>
        <v>0</v>
      </c>
      <c r="W64" s="198">
        <f>'Input|Fee Based'!U64*CPI_Escalator_to_Y1*RealVehicles_Escalator_to_Y1</f>
        <v>0</v>
      </c>
      <c r="X64" s="198">
        <f>'Input|Fee Based'!V64*CPI_Escalator_to_Y1*RealOther_Escalator_to_Y1</f>
        <v>0</v>
      </c>
      <c r="Y64" s="62"/>
      <c r="Z64" s="225">
        <f t="shared" si="9"/>
        <v>0</v>
      </c>
      <c r="AA64" s="59"/>
      <c r="AB64" s="226">
        <f>$Z64*SUMIF('Input|Indirect Cost Rates'!$E$25:$E$26,$F64,'Input|Indirect Cost Rates'!$D$25:$D$26)</f>
        <v>0</v>
      </c>
      <c r="AC64" s="226">
        <f>$Z64*SUMIF('Input|Indirect Cost Rates'!$E$27:$E$28,$F64,'Input|Indirect Cost Rates'!$D$27:$D$28)</f>
        <v>0</v>
      </c>
      <c r="AD64" s="226">
        <f>$Z64*'Input|Fee Based'!Z64</f>
        <v>0</v>
      </c>
      <c r="AE64" s="227">
        <f>SUM($Z64,$AB64:$AD64)*'Input|Fee Based'!$AA64</f>
        <v>0</v>
      </c>
      <c r="AF64" s="59"/>
      <c r="AG64" s="119"/>
      <c r="AH64" s="119"/>
      <c r="AI64" s="119"/>
      <c r="AJ64" s="120"/>
      <c r="AK64" s="75"/>
      <c r="AL64" s="118"/>
      <c r="AM64" s="14"/>
    </row>
    <row r="65" spans="1:39" x14ac:dyDescent="0.2">
      <c r="A65" s="15">
        <f t="shared" si="7"/>
        <v>54</v>
      </c>
      <c r="B65" s="395"/>
      <c r="C65" s="395"/>
      <c r="D65" s="378"/>
      <c r="E65" s="396"/>
      <c r="F65" s="396"/>
      <c r="G65" s="396"/>
      <c r="H65" s="276">
        <f t="shared" si="8"/>
        <v>0</v>
      </c>
      <c r="I65" s="13"/>
      <c r="J65" s="198" t="str">
        <f>IF(ISBLANK('Input|Fee Based'!I65),"",'Input|Fee Based'!I65)</f>
        <v/>
      </c>
      <c r="K65" s="198">
        <f>IFERROR(VLOOKUP(J65,'Calc|Labour Rates'!$B$10:$M$14,4,FALSE),0)</f>
        <v>0</v>
      </c>
      <c r="L65" s="222">
        <f>IFERROR(K65*'Input|Fee Based'!K65*'Input|Fee Based'!L65/'Input|Setup'!$E$19,0)</f>
        <v>0</v>
      </c>
      <c r="M65" s="223">
        <f t="shared" si="10"/>
        <v>0</v>
      </c>
      <c r="N65" s="101">
        <f t="shared" si="11"/>
        <v>0</v>
      </c>
      <c r="O65" s="198" t="str">
        <f>IF(ISBLANK('Input|Fee Based'!$N65),"",'Input|Fee Based'!$N65)</f>
        <v/>
      </c>
      <c r="P65" s="198">
        <f>IFERROR(IF(E65='Calc|Labour Rates'!$C$10,VLOOKUP(O65,'Calc|Labour Rates'!$B$10:$M$14,4,FALSE),VLOOKUP(O65,'Calc|Labour Rates'!$B$15:$M$19,4,FALSE)),0)</f>
        <v>0</v>
      </c>
      <c r="Q65" s="198">
        <f>IFERROR((('Input|Fee Based'!Q65*'Input|Fee Based'!P65)/60)*P65,0)</f>
        <v>0</v>
      </c>
      <c r="R65" s="198">
        <f>IFERROR((('Input|Fee Based'!R65*'Input|Fee Based'!P65)/60)*Q65,0)</f>
        <v>0</v>
      </c>
      <c r="S65" s="222">
        <f t="shared" si="12"/>
        <v>0</v>
      </c>
      <c r="T65" s="224">
        <f t="shared" si="13"/>
        <v>0</v>
      </c>
      <c r="U65" s="101">
        <f t="shared" si="14"/>
        <v>0</v>
      </c>
      <c r="V65" s="198">
        <f>'Input|Fee Based'!T65*CPI_Escalator_to_Y1*RealMaterials_Escalator_to_Y1</f>
        <v>0</v>
      </c>
      <c r="W65" s="198">
        <f>'Input|Fee Based'!U65*CPI_Escalator_to_Y1*RealVehicles_Escalator_to_Y1</f>
        <v>0</v>
      </c>
      <c r="X65" s="198">
        <f>'Input|Fee Based'!V65*CPI_Escalator_to_Y1*RealOther_Escalator_to_Y1</f>
        <v>0</v>
      </c>
      <c r="Y65" s="62"/>
      <c r="Z65" s="225">
        <f t="shared" si="9"/>
        <v>0</v>
      </c>
      <c r="AA65" s="59"/>
      <c r="AB65" s="226">
        <f>$Z65*SUMIF('Input|Indirect Cost Rates'!$E$25:$E$26,$F65,'Input|Indirect Cost Rates'!$D$25:$D$26)</f>
        <v>0</v>
      </c>
      <c r="AC65" s="226">
        <f>$Z65*SUMIF('Input|Indirect Cost Rates'!$E$27:$E$28,$F65,'Input|Indirect Cost Rates'!$D$27:$D$28)</f>
        <v>0</v>
      </c>
      <c r="AD65" s="226">
        <f>$Z65*'Input|Fee Based'!Z65</f>
        <v>0</v>
      </c>
      <c r="AE65" s="227">
        <f>SUM($Z65,$AB65:$AD65)*'Input|Fee Based'!$AA65</f>
        <v>0</v>
      </c>
      <c r="AF65" s="59"/>
      <c r="AG65" s="119"/>
      <c r="AH65" s="119"/>
      <c r="AI65" s="119"/>
      <c r="AJ65" s="120"/>
      <c r="AK65" s="75"/>
      <c r="AL65" s="118"/>
      <c r="AM65" s="14"/>
    </row>
    <row r="66" spans="1:39" x14ac:dyDescent="0.2">
      <c r="A66" s="15">
        <f t="shared" si="7"/>
        <v>55</v>
      </c>
      <c r="B66" s="395"/>
      <c r="C66" s="395"/>
      <c r="D66" s="378"/>
      <c r="E66" s="396"/>
      <c r="F66" s="396"/>
      <c r="G66" s="396"/>
      <c r="H66" s="276">
        <f t="shared" si="8"/>
        <v>0</v>
      </c>
      <c r="I66" s="13"/>
      <c r="J66" s="198" t="str">
        <f>IF(ISBLANK('Input|Fee Based'!I66),"",'Input|Fee Based'!I66)</f>
        <v/>
      </c>
      <c r="K66" s="198">
        <f>IFERROR(VLOOKUP(J66,'Calc|Labour Rates'!$B$10:$M$14,4,FALSE),0)</f>
        <v>0</v>
      </c>
      <c r="L66" s="222">
        <f>IFERROR(K66*'Input|Fee Based'!K66*'Input|Fee Based'!L66/'Input|Setup'!$E$19,0)</f>
        <v>0</v>
      </c>
      <c r="M66" s="223">
        <f t="shared" si="10"/>
        <v>0</v>
      </c>
      <c r="N66" s="101">
        <f t="shared" si="11"/>
        <v>0</v>
      </c>
      <c r="O66" s="198" t="str">
        <f>IF(ISBLANK('Input|Fee Based'!$N66),"",'Input|Fee Based'!$N66)</f>
        <v/>
      </c>
      <c r="P66" s="198">
        <f>IFERROR(IF(E66='Calc|Labour Rates'!$C$10,VLOOKUP(O66,'Calc|Labour Rates'!$B$10:$M$14,4,FALSE),VLOOKUP(O66,'Calc|Labour Rates'!$B$15:$M$19,4,FALSE)),0)</f>
        <v>0</v>
      </c>
      <c r="Q66" s="198">
        <f>IFERROR((('Input|Fee Based'!Q66*'Input|Fee Based'!P66)/60)*P66,0)</f>
        <v>0</v>
      </c>
      <c r="R66" s="198">
        <f>IFERROR((('Input|Fee Based'!R66*'Input|Fee Based'!P66)/60)*Q66,0)</f>
        <v>0</v>
      </c>
      <c r="S66" s="222">
        <f t="shared" si="12"/>
        <v>0</v>
      </c>
      <c r="T66" s="224">
        <f t="shared" si="13"/>
        <v>0</v>
      </c>
      <c r="U66" s="101">
        <f t="shared" si="14"/>
        <v>0</v>
      </c>
      <c r="V66" s="198">
        <f>'Input|Fee Based'!T66*CPI_Escalator_to_Y1*RealMaterials_Escalator_to_Y1</f>
        <v>0</v>
      </c>
      <c r="W66" s="198">
        <f>'Input|Fee Based'!U66*CPI_Escalator_to_Y1*RealVehicles_Escalator_to_Y1</f>
        <v>0</v>
      </c>
      <c r="X66" s="198">
        <f>'Input|Fee Based'!V66*CPI_Escalator_to_Y1*RealOther_Escalator_to_Y1</f>
        <v>0</v>
      </c>
      <c r="Y66" s="62"/>
      <c r="Z66" s="225">
        <f t="shared" si="9"/>
        <v>0</v>
      </c>
      <c r="AA66" s="59"/>
      <c r="AB66" s="226">
        <f>$Z66*SUMIF('Input|Indirect Cost Rates'!$E$25:$E$26,$F66,'Input|Indirect Cost Rates'!$D$25:$D$26)</f>
        <v>0</v>
      </c>
      <c r="AC66" s="226">
        <f>$Z66*SUMIF('Input|Indirect Cost Rates'!$E$27:$E$28,$F66,'Input|Indirect Cost Rates'!$D$27:$D$28)</f>
        <v>0</v>
      </c>
      <c r="AD66" s="226">
        <f>$Z66*'Input|Fee Based'!Z66</f>
        <v>0</v>
      </c>
      <c r="AE66" s="227">
        <f>SUM($Z66,$AB66:$AD66)*'Input|Fee Based'!$AA66</f>
        <v>0</v>
      </c>
      <c r="AF66" s="59"/>
      <c r="AG66" s="119"/>
      <c r="AH66" s="119"/>
      <c r="AI66" s="119"/>
      <c r="AJ66" s="120"/>
      <c r="AK66" s="75"/>
      <c r="AL66" s="118"/>
      <c r="AM66" s="14"/>
    </row>
    <row r="67" spans="1:39" x14ac:dyDescent="0.2">
      <c r="A67" s="15">
        <f t="shared" si="7"/>
        <v>56</v>
      </c>
      <c r="B67" s="395"/>
      <c r="C67" s="395"/>
      <c r="D67" s="378"/>
      <c r="E67" s="396"/>
      <c r="F67" s="396"/>
      <c r="G67" s="396"/>
      <c r="H67" s="276">
        <f t="shared" si="8"/>
        <v>0</v>
      </c>
      <c r="I67" s="13"/>
      <c r="J67" s="198" t="str">
        <f>IF(ISBLANK('Input|Fee Based'!I67),"",'Input|Fee Based'!I67)</f>
        <v/>
      </c>
      <c r="K67" s="198">
        <f>IFERROR(VLOOKUP(J67,'Calc|Labour Rates'!$B$10:$M$14,4,FALSE),0)</f>
        <v>0</v>
      </c>
      <c r="L67" s="222">
        <f>IFERROR(K67*'Input|Fee Based'!K67*'Input|Fee Based'!L67/'Input|Setup'!$E$19,0)</f>
        <v>0</v>
      </c>
      <c r="M67" s="223">
        <f t="shared" si="10"/>
        <v>0</v>
      </c>
      <c r="N67" s="101">
        <f t="shared" si="11"/>
        <v>0</v>
      </c>
      <c r="O67" s="198" t="str">
        <f>IF(ISBLANK('Input|Fee Based'!$N67),"",'Input|Fee Based'!$N67)</f>
        <v/>
      </c>
      <c r="P67" s="198">
        <f>IFERROR(IF(E67='Calc|Labour Rates'!$C$10,VLOOKUP(O67,'Calc|Labour Rates'!$B$10:$M$14,4,FALSE),VLOOKUP(O67,'Calc|Labour Rates'!$B$15:$M$19,4,FALSE)),0)</f>
        <v>0</v>
      </c>
      <c r="Q67" s="198">
        <f>IFERROR((('Input|Fee Based'!Q67*'Input|Fee Based'!P67)/60)*P67,0)</f>
        <v>0</v>
      </c>
      <c r="R67" s="198">
        <f>IFERROR((('Input|Fee Based'!R67*'Input|Fee Based'!P67)/60)*Q67,0)</f>
        <v>0</v>
      </c>
      <c r="S67" s="222">
        <f t="shared" si="12"/>
        <v>0</v>
      </c>
      <c r="T67" s="224">
        <f t="shared" si="13"/>
        <v>0</v>
      </c>
      <c r="U67" s="101">
        <f t="shared" si="14"/>
        <v>0</v>
      </c>
      <c r="V67" s="198">
        <f>'Input|Fee Based'!T67*CPI_Escalator_to_Y1*RealMaterials_Escalator_to_Y1</f>
        <v>0</v>
      </c>
      <c r="W67" s="198">
        <f>'Input|Fee Based'!U67*CPI_Escalator_to_Y1*RealVehicles_Escalator_to_Y1</f>
        <v>0</v>
      </c>
      <c r="X67" s="198">
        <f>'Input|Fee Based'!V67*CPI_Escalator_to_Y1*RealOther_Escalator_to_Y1</f>
        <v>0</v>
      </c>
      <c r="Y67" s="62"/>
      <c r="Z67" s="225">
        <f t="shared" si="9"/>
        <v>0</v>
      </c>
      <c r="AA67" s="59"/>
      <c r="AB67" s="226">
        <f>$Z67*SUMIF('Input|Indirect Cost Rates'!$E$25:$E$26,$F67,'Input|Indirect Cost Rates'!$D$25:$D$26)</f>
        <v>0</v>
      </c>
      <c r="AC67" s="226">
        <f>$Z67*SUMIF('Input|Indirect Cost Rates'!$E$27:$E$28,$F67,'Input|Indirect Cost Rates'!$D$27:$D$28)</f>
        <v>0</v>
      </c>
      <c r="AD67" s="226">
        <f>$Z67*'Input|Fee Based'!Z67</f>
        <v>0</v>
      </c>
      <c r="AE67" s="227">
        <f>SUM($Z67,$AB67:$AD67)*'Input|Fee Based'!$AA67</f>
        <v>0</v>
      </c>
      <c r="AF67" s="59"/>
      <c r="AG67" s="119"/>
      <c r="AH67" s="119"/>
      <c r="AI67" s="119"/>
      <c r="AJ67" s="120"/>
      <c r="AK67" s="75"/>
      <c r="AL67" s="118"/>
      <c r="AM67" s="14"/>
    </row>
    <row r="68" spans="1:39" x14ac:dyDescent="0.2">
      <c r="A68" s="15">
        <f t="shared" si="7"/>
        <v>57</v>
      </c>
      <c r="B68" s="395"/>
      <c r="C68" s="395"/>
      <c r="D68" s="378"/>
      <c r="E68" s="396"/>
      <c r="F68" s="396"/>
      <c r="G68" s="396"/>
      <c r="H68" s="276">
        <f t="shared" si="8"/>
        <v>0</v>
      </c>
      <c r="I68" s="13"/>
      <c r="J68" s="198" t="str">
        <f>IF(ISBLANK('Input|Fee Based'!I68),"",'Input|Fee Based'!I68)</f>
        <v/>
      </c>
      <c r="K68" s="198">
        <f>IFERROR(VLOOKUP(J68,'Calc|Labour Rates'!$B$10:$M$14,4,FALSE),0)</f>
        <v>0</v>
      </c>
      <c r="L68" s="222">
        <f>IFERROR(K68*'Input|Fee Based'!K68*'Input|Fee Based'!L68/'Input|Setup'!$E$19,0)</f>
        <v>0</v>
      </c>
      <c r="M68" s="223">
        <f t="shared" si="10"/>
        <v>0</v>
      </c>
      <c r="N68" s="101">
        <f t="shared" si="11"/>
        <v>0</v>
      </c>
      <c r="O68" s="198" t="str">
        <f>IF(ISBLANK('Input|Fee Based'!$N68),"",'Input|Fee Based'!$N68)</f>
        <v/>
      </c>
      <c r="P68" s="198">
        <f>IFERROR(IF(E68='Calc|Labour Rates'!$C$10,VLOOKUP(O68,'Calc|Labour Rates'!$B$10:$M$14,4,FALSE),VLOOKUP(O68,'Calc|Labour Rates'!$B$15:$M$19,4,FALSE)),0)</f>
        <v>0</v>
      </c>
      <c r="Q68" s="198">
        <f>IFERROR((('Input|Fee Based'!Q68*'Input|Fee Based'!P68)/60)*P68,0)</f>
        <v>0</v>
      </c>
      <c r="R68" s="198">
        <f>IFERROR((('Input|Fee Based'!R68*'Input|Fee Based'!P68)/60)*Q68,0)</f>
        <v>0</v>
      </c>
      <c r="S68" s="222">
        <f t="shared" si="12"/>
        <v>0</v>
      </c>
      <c r="T68" s="224">
        <f t="shared" si="13"/>
        <v>0</v>
      </c>
      <c r="U68" s="101">
        <f t="shared" si="14"/>
        <v>0</v>
      </c>
      <c r="V68" s="198">
        <f>'Input|Fee Based'!T68*CPI_Escalator_to_Y1*RealMaterials_Escalator_to_Y1</f>
        <v>0</v>
      </c>
      <c r="W68" s="198">
        <f>'Input|Fee Based'!U68*CPI_Escalator_to_Y1*RealVehicles_Escalator_to_Y1</f>
        <v>0</v>
      </c>
      <c r="X68" s="198">
        <f>'Input|Fee Based'!V68*CPI_Escalator_to_Y1*RealOther_Escalator_to_Y1</f>
        <v>0</v>
      </c>
      <c r="Y68" s="62"/>
      <c r="Z68" s="225">
        <f t="shared" si="9"/>
        <v>0</v>
      </c>
      <c r="AA68" s="59"/>
      <c r="AB68" s="226">
        <f>$Z68*SUMIF('Input|Indirect Cost Rates'!$E$25:$E$26,$F68,'Input|Indirect Cost Rates'!$D$25:$D$26)</f>
        <v>0</v>
      </c>
      <c r="AC68" s="226">
        <f>$Z68*SUMIF('Input|Indirect Cost Rates'!$E$27:$E$28,$F68,'Input|Indirect Cost Rates'!$D$27:$D$28)</f>
        <v>0</v>
      </c>
      <c r="AD68" s="226">
        <f>$Z68*'Input|Fee Based'!Z68</f>
        <v>0</v>
      </c>
      <c r="AE68" s="227">
        <f>SUM($Z68,$AB68:$AD68)*'Input|Fee Based'!$AA68</f>
        <v>0</v>
      </c>
      <c r="AF68" s="59"/>
      <c r="AG68" s="119"/>
      <c r="AH68" s="119"/>
      <c r="AI68" s="119"/>
      <c r="AJ68" s="120"/>
      <c r="AK68" s="75"/>
      <c r="AL68" s="118"/>
      <c r="AM68" s="14"/>
    </row>
    <row r="69" spans="1:39" x14ac:dyDescent="0.2">
      <c r="A69" s="15">
        <f t="shared" si="7"/>
        <v>58</v>
      </c>
      <c r="B69" s="395"/>
      <c r="C69" s="395"/>
      <c r="D69" s="378"/>
      <c r="E69" s="396"/>
      <c r="F69" s="396"/>
      <c r="G69" s="396"/>
      <c r="H69" s="276">
        <f t="shared" si="8"/>
        <v>0</v>
      </c>
      <c r="I69" s="13"/>
      <c r="J69" s="198" t="str">
        <f>IF(ISBLANK('Input|Fee Based'!I69),"",'Input|Fee Based'!I69)</f>
        <v/>
      </c>
      <c r="K69" s="198">
        <f>IFERROR(VLOOKUP(J69,'Calc|Labour Rates'!$B$10:$M$14,4,FALSE),0)</f>
        <v>0</v>
      </c>
      <c r="L69" s="222">
        <f>IFERROR(K69*'Input|Fee Based'!K69*'Input|Fee Based'!L69/'Input|Setup'!$E$19,0)</f>
        <v>0</v>
      </c>
      <c r="M69" s="223">
        <f t="shared" si="10"/>
        <v>0</v>
      </c>
      <c r="N69" s="101">
        <f t="shared" si="11"/>
        <v>0</v>
      </c>
      <c r="O69" s="198" t="str">
        <f>IF(ISBLANK('Input|Fee Based'!$N69),"",'Input|Fee Based'!$N69)</f>
        <v/>
      </c>
      <c r="P69" s="198">
        <f>IFERROR(IF(E69='Calc|Labour Rates'!$C$10,VLOOKUP(O69,'Calc|Labour Rates'!$B$10:$M$14,4,FALSE),VLOOKUP(O69,'Calc|Labour Rates'!$B$15:$M$19,4,FALSE)),0)</f>
        <v>0</v>
      </c>
      <c r="Q69" s="198">
        <f>IFERROR((('Input|Fee Based'!Q69*'Input|Fee Based'!P69)/60)*P69,0)</f>
        <v>0</v>
      </c>
      <c r="R69" s="198">
        <f>IFERROR((('Input|Fee Based'!R69*'Input|Fee Based'!P69)/60)*Q69,0)</f>
        <v>0</v>
      </c>
      <c r="S69" s="222">
        <f t="shared" si="12"/>
        <v>0</v>
      </c>
      <c r="T69" s="224">
        <f t="shared" si="13"/>
        <v>0</v>
      </c>
      <c r="U69" s="101">
        <f t="shared" si="14"/>
        <v>0</v>
      </c>
      <c r="V69" s="198">
        <f>'Input|Fee Based'!T69*CPI_Escalator_to_Y1*RealMaterials_Escalator_to_Y1</f>
        <v>0</v>
      </c>
      <c r="W69" s="198">
        <f>'Input|Fee Based'!U69*CPI_Escalator_to_Y1*RealVehicles_Escalator_to_Y1</f>
        <v>0</v>
      </c>
      <c r="X69" s="198">
        <f>'Input|Fee Based'!V69*CPI_Escalator_to_Y1*RealOther_Escalator_to_Y1</f>
        <v>0</v>
      </c>
      <c r="Y69" s="62"/>
      <c r="Z69" s="225">
        <f t="shared" si="9"/>
        <v>0</v>
      </c>
      <c r="AA69" s="59"/>
      <c r="AB69" s="226">
        <f>$Z69*SUMIF('Input|Indirect Cost Rates'!$E$25:$E$26,$F69,'Input|Indirect Cost Rates'!$D$25:$D$26)</f>
        <v>0</v>
      </c>
      <c r="AC69" s="226">
        <f>$Z69*SUMIF('Input|Indirect Cost Rates'!$E$27:$E$28,$F69,'Input|Indirect Cost Rates'!$D$27:$D$28)</f>
        <v>0</v>
      </c>
      <c r="AD69" s="226">
        <f>$Z69*'Input|Fee Based'!Z69</f>
        <v>0</v>
      </c>
      <c r="AE69" s="227">
        <f>SUM($Z69,$AB69:$AD69)*'Input|Fee Based'!$AA69</f>
        <v>0</v>
      </c>
      <c r="AF69" s="59"/>
      <c r="AG69" s="119"/>
      <c r="AH69" s="119"/>
      <c r="AI69" s="119"/>
      <c r="AJ69" s="120"/>
      <c r="AK69" s="75"/>
      <c r="AL69" s="118"/>
      <c r="AM69" s="14"/>
    </row>
    <row r="70" spans="1:39" x14ac:dyDescent="0.2">
      <c r="A70" s="15">
        <f t="shared" si="7"/>
        <v>59</v>
      </c>
      <c r="B70" s="395"/>
      <c r="C70" s="395"/>
      <c r="D70" s="378"/>
      <c r="E70" s="396"/>
      <c r="F70" s="396"/>
      <c r="G70" s="396"/>
      <c r="H70" s="276">
        <f t="shared" si="8"/>
        <v>0</v>
      </c>
      <c r="I70" s="13"/>
      <c r="J70" s="198" t="str">
        <f>IF(ISBLANK('Input|Fee Based'!I70),"",'Input|Fee Based'!I70)</f>
        <v/>
      </c>
      <c r="K70" s="198">
        <f>IFERROR(VLOOKUP(J70,'Calc|Labour Rates'!$B$10:$M$14,4,FALSE),0)</f>
        <v>0</v>
      </c>
      <c r="L70" s="222">
        <f>IFERROR(K70*'Input|Fee Based'!K70*'Input|Fee Based'!L70/'Input|Setup'!$E$19,0)</f>
        <v>0</v>
      </c>
      <c r="M70" s="223">
        <f t="shared" si="10"/>
        <v>0</v>
      </c>
      <c r="N70" s="101">
        <f t="shared" si="11"/>
        <v>0</v>
      </c>
      <c r="O70" s="198" t="str">
        <f>IF(ISBLANK('Input|Fee Based'!$N70),"",'Input|Fee Based'!$N70)</f>
        <v/>
      </c>
      <c r="P70" s="198">
        <f>IFERROR(IF(E70='Calc|Labour Rates'!$C$10,VLOOKUP(O70,'Calc|Labour Rates'!$B$10:$M$14,4,FALSE),VLOOKUP(O70,'Calc|Labour Rates'!$B$15:$M$19,4,FALSE)),0)</f>
        <v>0</v>
      </c>
      <c r="Q70" s="198">
        <f>IFERROR((('Input|Fee Based'!Q70*'Input|Fee Based'!P70)/60)*P70,0)</f>
        <v>0</v>
      </c>
      <c r="R70" s="198">
        <f>IFERROR((('Input|Fee Based'!R70*'Input|Fee Based'!P70)/60)*Q70,0)</f>
        <v>0</v>
      </c>
      <c r="S70" s="222">
        <f t="shared" si="12"/>
        <v>0</v>
      </c>
      <c r="T70" s="224">
        <f t="shared" si="13"/>
        <v>0</v>
      </c>
      <c r="U70" s="101">
        <f t="shared" si="14"/>
        <v>0</v>
      </c>
      <c r="V70" s="198">
        <f>'Input|Fee Based'!T70*CPI_Escalator_to_Y1*RealMaterials_Escalator_to_Y1</f>
        <v>0</v>
      </c>
      <c r="W70" s="198">
        <f>'Input|Fee Based'!U70*CPI_Escalator_to_Y1*RealVehicles_Escalator_to_Y1</f>
        <v>0</v>
      </c>
      <c r="X70" s="198">
        <f>'Input|Fee Based'!V70*CPI_Escalator_to_Y1*RealOther_Escalator_to_Y1</f>
        <v>0</v>
      </c>
      <c r="Y70" s="62"/>
      <c r="Z70" s="225">
        <f t="shared" si="9"/>
        <v>0</v>
      </c>
      <c r="AA70" s="59"/>
      <c r="AB70" s="226">
        <f>$Z70*SUMIF('Input|Indirect Cost Rates'!$E$25:$E$26,$F70,'Input|Indirect Cost Rates'!$D$25:$D$26)</f>
        <v>0</v>
      </c>
      <c r="AC70" s="226">
        <f>$Z70*SUMIF('Input|Indirect Cost Rates'!$E$27:$E$28,$F70,'Input|Indirect Cost Rates'!$D$27:$D$28)</f>
        <v>0</v>
      </c>
      <c r="AD70" s="226">
        <f>$Z70*'Input|Fee Based'!Z70</f>
        <v>0</v>
      </c>
      <c r="AE70" s="227">
        <f>SUM($Z70,$AB70:$AD70)*'Input|Fee Based'!$AA70</f>
        <v>0</v>
      </c>
      <c r="AF70" s="59"/>
      <c r="AG70" s="119"/>
      <c r="AH70" s="119"/>
      <c r="AI70" s="119"/>
      <c r="AJ70" s="120"/>
      <c r="AK70" s="75"/>
      <c r="AL70" s="118"/>
      <c r="AM70" s="14"/>
    </row>
    <row r="71" spans="1:39" x14ac:dyDescent="0.2">
      <c r="A71" s="15">
        <f t="shared" si="7"/>
        <v>60</v>
      </c>
      <c r="B71" s="395"/>
      <c r="C71" s="395"/>
      <c r="D71" s="378"/>
      <c r="E71" s="396"/>
      <c r="F71" s="396"/>
      <c r="G71" s="396"/>
      <c r="H71" s="276">
        <f t="shared" si="8"/>
        <v>0</v>
      </c>
      <c r="I71" s="13"/>
      <c r="J71" s="198" t="str">
        <f>IF(ISBLANK('Input|Fee Based'!I71),"",'Input|Fee Based'!I71)</f>
        <v/>
      </c>
      <c r="K71" s="198">
        <f>IFERROR(VLOOKUP(J71,'Calc|Labour Rates'!$B$10:$M$14,4,FALSE),0)</f>
        <v>0</v>
      </c>
      <c r="L71" s="222">
        <f>IFERROR(K71*'Input|Fee Based'!K71*'Input|Fee Based'!L71/'Input|Setup'!$E$19,0)</f>
        <v>0</v>
      </c>
      <c r="M71" s="223">
        <f t="shared" si="10"/>
        <v>0</v>
      </c>
      <c r="N71" s="101">
        <f t="shared" si="11"/>
        <v>0</v>
      </c>
      <c r="O71" s="198" t="str">
        <f>IF(ISBLANK('Input|Fee Based'!$N71),"",'Input|Fee Based'!$N71)</f>
        <v/>
      </c>
      <c r="P71" s="198">
        <f>IFERROR(IF(E71='Calc|Labour Rates'!$C$10,VLOOKUP(O71,'Calc|Labour Rates'!$B$10:$M$14,4,FALSE),VLOOKUP(O71,'Calc|Labour Rates'!$B$15:$M$19,4,FALSE)),0)</f>
        <v>0</v>
      </c>
      <c r="Q71" s="198">
        <f>IFERROR((('Input|Fee Based'!Q71*'Input|Fee Based'!P71)/60)*P71,0)</f>
        <v>0</v>
      </c>
      <c r="R71" s="198">
        <f>IFERROR((('Input|Fee Based'!R71*'Input|Fee Based'!P71)/60)*Q71,0)</f>
        <v>0</v>
      </c>
      <c r="S71" s="222">
        <f t="shared" si="12"/>
        <v>0</v>
      </c>
      <c r="T71" s="224">
        <f t="shared" si="13"/>
        <v>0</v>
      </c>
      <c r="U71" s="101">
        <f t="shared" si="14"/>
        <v>0</v>
      </c>
      <c r="V71" s="198">
        <f>'Input|Fee Based'!T71*CPI_Escalator_to_Y1*RealMaterials_Escalator_to_Y1</f>
        <v>0</v>
      </c>
      <c r="W71" s="198">
        <f>'Input|Fee Based'!U71*CPI_Escalator_to_Y1*RealVehicles_Escalator_to_Y1</f>
        <v>0</v>
      </c>
      <c r="X71" s="198">
        <f>'Input|Fee Based'!V71*CPI_Escalator_to_Y1*RealOther_Escalator_to_Y1</f>
        <v>0</v>
      </c>
      <c r="Y71" s="62"/>
      <c r="Z71" s="225">
        <f t="shared" si="9"/>
        <v>0</v>
      </c>
      <c r="AA71" s="59"/>
      <c r="AB71" s="226">
        <f>$Z71*SUMIF('Input|Indirect Cost Rates'!$E$25:$E$26,$F71,'Input|Indirect Cost Rates'!$D$25:$D$26)</f>
        <v>0</v>
      </c>
      <c r="AC71" s="226">
        <f>$Z71*SUMIF('Input|Indirect Cost Rates'!$E$27:$E$28,$F71,'Input|Indirect Cost Rates'!$D$27:$D$28)</f>
        <v>0</v>
      </c>
      <c r="AD71" s="226">
        <f>$Z71*'Input|Fee Based'!Z71</f>
        <v>0</v>
      </c>
      <c r="AE71" s="227">
        <f>SUM($Z71,$AB71:$AD71)*'Input|Fee Based'!$AA71</f>
        <v>0</v>
      </c>
      <c r="AF71" s="59"/>
      <c r="AG71" s="119"/>
      <c r="AH71" s="119"/>
      <c r="AI71" s="119"/>
      <c r="AJ71" s="120"/>
      <c r="AK71" s="75"/>
      <c r="AL71" s="118"/>
      <c r="AM71" s="14"/>
    </row>
    <row r="72" spans="1:39" x14ac:dyDescent="0.2">
      <c r="A72" s="93"/>
      <c r="B72" s="93"/>
      <c r="C72" s="117"/>
      <c r="D72" s="117"/>
      <c r="E72" s="114"/>
      <c r="F72" s="114"/>
      <c r="G72" s="114"/>
      <c r="H72" s="118"/>
      <c r="I72" s="116"/>
      <c r="J72" s="61"/>
      <c r="K72" s="61"/>
      <c r="L72" s="61"/>
      <c r="M72" s="61"/>
      <c r="N72" s="61"/>
      <c r="O72" s="61"/>
      <c r="P72" s="61"/>
      <c r="Q72"/>
      <c r="R72" s="61"/>
      <c r="S72" s="61"/>
      <c r="T72" s="61"/>
      <c r="U72" s="61"/>
      <c r="V72" s="61"/>
      <c r="W72" s="61"/>
      <c r="X72" s="61"/>
      <c r="Y72"/>
      <c r="Z72" s="62"/>
      <c r="AA72" s="62"/>
      <c r="AB72" s="62"/>
      <c r="AC72" s="62"/>
      <c r="AD72" s="62"/>
      <c r="AE72" s="59"/>
      <c r="AF72" s="59"/>
      <c r="AG72" s="119"/>
      <c r="AH72" s="119"/>
      <c r="AI72" s="119"/>
      <c r="AJ72" s="120"/>
      <c r="AK72" s="75"/>
      <c r="AL72" s="118"/>
      <c r="AM72" s="14"/>
    </row>
    <row r="73" spans="1:39" x14ac:dyDescent="0.2">
      <c r="A73" s="93"/>
      <c r="B73" s="93"/>
      <c r="C73" s="117"/>
      <c r="D73" s="117"/>
      <c r="E73" s="114"/>
      <c r="F73" s="114"/>
      <c r="G73" s="114"/>
      <c r="H73" s="118"/>
      <c r="I73" s="116"/>
      <c r="J73" s="61"/>
      <c r="K73" s="61"/>
      <c r="L73" s="61"/>
      <c r="M73" s="61"/>
      <c r="N73" s="61"/>
      <c r="O73" s="61"/>
      <c r="P73" s="61"/>
      <c r="Q73"/>
      <c r="R73" s="61"/>
      <c r="S73" s="61"/>
      <c r="T73" s="61"/>
      <c r="U73" s="61"/>
      <c r="V73" s="61"/>
      <c r="W73" s="61"/>
      <c r="X73" s="61"/>
      <c r="Y73"/>
      <c r="Z73" s="62"/>
      <c r="AA73" s="62"/>
      <c r="AB73" s="62"/>
      <c r="AC73" s="62"/>
      <c r="AD73" s="62"/>
      <c r="AE73" s="59"/>
      <c r="AF73" s="59"/>
      <c r="AG73" s="119"/>
      <c r="AH73" s="119"/>
      <c r="AI73" s="119"/>
      <c r="AJ73" s="120"/>
      <c r="AK73" s="75"/>
      <c r="AL73" s="118"/>
      <c r="AM73" s="14"/>
    </row>
    <row r="74" spans="1:39" x14ac:dyDescent="0.2">
      <c r="A74" s="93"/>
      <c r="B74" s="93"/>
      <c r="C74" s="117"/>
      <c r="D74" s="117"/>
      <c r="E74" s="114"/>
      <c r="F74" s="114"/>
      <c r="G74" s="114"/>
      <c r="H74" s="118"/>
      <c r="I74" s="116"/>
      <c r="J74" s="61"/>
      <c r="K74" s="61"/>
      <c r="L74" s="61"/>
      <c r="M74" s="61"/>
      <c r="N74" s="61"/>
      <c r="O74" s="61"/>
      <c r="P74" s="61"/>
      <c r="Q74"/>
      <c r="R74" s="61"/>
      <c r="S74" s="61"/>
      <c r="T74" s="61"/>
      <c r="U74" s="61"/>
      <c r="V74" s="61"/>
      <c r="W74" s="61"/>
      <c r="X74" s="61"/>
      <c r="Y74"/>
      <c r="Z74" s="62"/>
      <c r="AA74" s="62"/>
      <c r="AB74" s="62"/>
      <c r="AC74" s="62"/>
      <c r="AD74" s="62"/>
      <c r="AE74" s="59"/>
      <c r="AF74" s="59"/>
      <c r="AG74" s="119"/>
      <c r="AH74" s="119"/>
      <c r="AI74" s="119"/>
      <c r="AJ74" s="120"/>
      <c r="AK74" s="75"/>
      <c r="AL74" s="118"/>
      <c r="AM74" s="14"/>
    </row>
    <row r="75" spans="1:39" x14ac:dyDescent="0.2">
      <c r="A75" s="93"/>
      <c r="B75" s="93"/>
      <c r="C75" s="117"/>
      <c r="D75" s="117"/>
      <c r="E75" s="114"/>
      <c r="F75" s="114"/>
      <c r="G75" s="114"/>
      <c r="H75" s="118"/>
      <c r="I75" s="116"/>
      <c r="J75" s="61"/>
      <c r="K75" s="61"/>
      <c r="L75" s="61"/>
      <c r="M75" s="61"/>
      <c r="N75" s="61"/>
      <c r="O75" s="61"/>
      <c r="P75" s="61"/>
      <c r="Q75"/>
      <c r="R75" s="61"/>
      <c r="S75" s="61"/>
      <c r="T75" s="61"/>
      <c r="U75" s="61"/>
      <c r="V75" s="61"/>
      <c r="W75" s="61"/>
      <c r="X75" s="61"/>
      <c r="Y75"/>
      <c r="Z75" s="62"/>
      <c r="AA75" s="62"/>
      <c r="AB75" s="62"/>
      <c r="AC75" s="62"/>
      <c r="AD75" s="62"/>
      <c r="AE75" s="59"/>
      <c r="AF75" s="59"/>
      <c r="AG75" s="119"/>
      <c r="AH75" s="119"/>
      <c r="AI75" s="119"/>
      <c r="AJ75" s="120"/>
      <c r="AK75" s="75"/>
      <c r="AL75" s="118"/>
      <c r="AM75" s="14"/>
    </row>
    <row r="76" spans="1:39" x14ac:dyDescent="0.2">
      <c r="A76" s="93"/>
      <c r="B76" s="93"/>
      <c r="C76" s="117"/>
      <c r="D76" s="117"/>
      <c r="E76" s="114"/>
      <c r="F76" s="114"/>
      <c r="G76" s="114"/>
      <c r="H76" s="118"/>
      <c r="I76" s="116"/>
      <c r="J76" s="61"/>
      <c r="K76" s="61"/>
      <c r="L76" s="61"/>
      <c r="M76" s="61"/>
      <c r="N76" s="61"/>
      <c r="O76" s="61"/>
      <c r="P76" s="61"/>
      <c r="Q76"/>
      <c r="R76" s="61"/>
      <c r="S76" s="61"/>
      <c r="T76" s="61"/>
      <c r="U76" s="61"/>
      <c r="V76" s="61"/>
      <c r="W76" s="61"/>
      <c r="X76" s="61"/>
      <c r="Y76"/>
      <c r="Z76" s="62"/>
      <c r="AA76" s="62"/>
      <c r="AB76" s="62"/>
      <c r="AC76" s="62"/>
      <c r="AD76" s="62"/>
      <c r="AE76" s="59"/>
      <c r="AF76" s="59"/>
      <c r="AG76" s="119"/>
      <c r="AH76" s="119"/>
      <c r="AI76" s="119"/>
      <c r="AJ76" s="120"/>
      <c r="AK76" s="75"/>
      <c r="AL76" s="118"/>
      <c r="AM76" s="14"/>
    </row>
    <row r="77" spans="1:39" x14ac:dyDescent="0.2">
      <c r="A77" s="93"/>
      <c r="B77" s="93"/>
      <c r="C77" s="117"/>
      <c r="D77" s="117"/>
      <c r="E77" s="114"/>
      <c r="F77" s="114"/>
      <c r="G77" s="114"/>
      <c r="H77" s="118"/>
      <c r="I77" s="116"/>
      <c r="J77" s="61"/>
      <c r="K77" s="61"/>
      <c r="L77" s="61"/>
      <c r="M77" s="61"/>
      <c r="N77" s="61"/>
      <c r="O77" s="61"/>
      <c r="P77" s="61"/>
      <c r="Q77"/>
      <c r="R77" s="61"/>
      <c r="S77" s="61"/>
      <c r="T77" s="61"/>
      <c r="U77" s="61"/>
      <c r="V77" s="61"/>
      <c r="W77" s="61"/>
      <c r="X77" s="61"/>
      <c r="Y77"/>
      <c r="Z77" s="62"/>
      <c r="AA77" s="62"/>
      <c r="AB77" s="62"/>
      <c r="AC77" s="62"/>
      <c r="AD77" s="62"/>
      <c r="AE77" s="59"/>
      <c r="AF77" s="59"/>
      <c r="AG77" s="119"/>
      <c r="AH77" s="119"/>
      <c r="AI77" s="119"/>
      <c r="AJ77" s="120"/>
      <c r="AK77" s="75"/>
      <c r="AL77" s="118"/>
      <c r="AM77" s="14"/>
    </row>
    <row r="78" spans="1:39" x14ac:dyDescent="0.2">
      <c r="A78" s="93"/>
      <c r="B78" s="93"/>
      <c r="C78" s="117"/>
      <c r="D78" s="117"/>
      <c r="E78" s="114"/>
      <c r="F78" s="114"/>
      <c r="G78" s="114"/>
      <c r="H78" s="118"/>
      <c r="I78" s="116"/>
      <c r="J78" s="61"/>
      <c r="K78" s="61"/>
      <c r="L78" s="61"/>
      <c r="M78" s="61"/>
      <c r="N78" s="61"/>
      <c r="O78" s="61"/>
      <c r="P78" s="61"/>
      <c r="Q78"/>
      <c r="R78" s="61"/>
      <c r="S78" s="61"/>
      <c r="T78" s="61"/>
      <c r="U78" s="61"/>
      <c r="V78" s="61"/>
      <c r="W78" s="61"/>
      <c r="X78" s="61"/>
      <c r="Y78"/>
      <c r="Z78" s="62"/>
      <c r="AA78" s="62"/>
      <c r="AB78" s="62"/>
      <c r="AC78" s="62"/>
      <c r="AD78" s="62"/>
      <c r="AE78" s="59"/>
      <c r="AF78" s="59"/>
      <c r="AG78" s="119"/>
      <c r="AH78" s="119"/>
      <c r="AI78" s="119"/>
      <c r="AJ78" s="120"/>
      <c r="AK78" s="75"/>
      <c r="AL78" s="118"/>
      <c r="AM78" s="14"/>
    </row>
    <row r="79" spans="1:39" x14ac:dyDescent="0.2">
      <c r="A79" s="93"/>
      <c r="B79" s="93"/>
      <c r="C79" s="117"/>
      <c r="D79" s="117"/>
      <c r="E79" s="114"/>
      <c r="F79" s="114"/>
      <c r="G79" s="114"/>
      <c r="H79" s="118"/>
      <c r="I79" s="116"/>
      <c r="J79" s="61"/>
      <c r="K79" s="61"/>
      <c r="L79" s="61"/>
      <c r="M79" s="61"/>
      <c r="N79" s="61"/>
      <c r="O79" s="61"/>
      <c r="P79" s="61"/>
      <c r="Q79"/>
      <c r="R79" s="61"/>
      <c r="S79" s="61"/>
      <c r="T79" s="61"/>
      <c r="U79" s="61"/>
      <c r="V79" s="61"/>
      <c r="W79" s="61"/>
      <c r="X79" s="61"/>
      <c r="Y79"/>
      <c r="Z79" s="62"/>
      <c r="AA79" s="62"/>
      <c r="AB79" s="62"/>
      <c r="AC79" s="62"/>
      <c r="AD79" s="62"/>
      <c r="AE79" s="59"/>
      <c r="AF79" s="59"/>
      <c r="AG79" s="119"/>
      <c r="AH79" s="119"/>
      <c r="AI79" s="119"/>
      <c r="AJ79" s="120"/>
      <c r="AK79" s="75"/>
      <c r="AL79" s="118"/>
      <c r="AM79" s="14"/>
    </row>
    <row r="80" spans="1:39" x14ac:dyDescent="0.2">
      <c r="A80" s="93"/>
      <c r="B80" s="93"/>
      <c r="C80" s="117"/>
      <c r="D80" s="117"/>
      <c r="E80" s="114"/>
      <c r="F80" s="114"/>
      <c r="G80" s="114"/>
      <c r="H80" s="118"/>
      <c r="I80" s="116"/>
      <c r="J80" s="61"/>
      <c r="K80" s="61"/>
      <c r="L80" s="61"/>
      <c r="M80" s="61"/>
      <c r="N80" s="61"/>
      <c r="O80" s="61"/>
      <c r="P80" s="61"/>
      <c r="Q80"/>
      <c r="R80" s="61"/>
      <c r="S80" s="61"/>
      <c r="T80" s="61"/>
      <c r="U80" s="61"/>
      <c r="V80" s="61"/>
      <c r="W80" s="61"/>
      <c r="X80" s="61"/>
      <c r="Y80"/>
      <c r="Z80" s="62"/>
      <c r="AA80" s="62"/>
      <c r="AB80" s="62"/>
      <c r="AC80" s="62"/>
      <c r="AD80" s="62"/>
      <c r="AE80" s="59"/>
      <c r="AF80" s="59"/>
      <c r="AG80" s="119"/>
      <c r="AH80" s="119"/>
      <c r="AI80" s="119"/>
      <c r="AJ80" s="120"/>
      <c r="AK80" s="75"/>
      <c r="AL80" s="118"/>
      <c r="AM80" s="14"/>
    </row>
    <row r="81" spans="1:39" x14ac:dyDescent="0.2">
      <c r="A81" s="93"/>
      <c r="B81" s="93"/>
      <c r="C81" s="117"/>
      <c r="D81" s="117"/>
      <c r="E81" s="114"/>
      <c r="F81" s="114"/>
      <c r="G81" s="114"/>
      <c r="H81" s="118"/>
      <c r="I81" s="116"/>
      <c r="J81" s="61"/>
      <c r="K81" s="61"/>
      <c r="L81" s="61"/>
      <c r="M81" s="61"/>
      <c r="N81" s="61"/>
      <c r="O81" s="61"/>
      <c r="P81" s="61"/>
      <c r="Q81"/>
      <c r="R81" s="61"/>
      <c r="S81" s="61"/>
      <c r="T81" s="61"/>
      <c r="U81" s="61"/>
      <c r="V81" s="61"/>
      <c r="W81" s="61"/>
      <c r="X81" s="61"/>
      <c r="Y81"/>
      <c r="Z81" s="62"/>
      <c r="AA81" s="62"/>
      <c r="AB81" s="62"/>
      <c r="AC81" s="62"/>
      <c r="AD81" s="62"/>
      <c r="AE81" s="59"/>
      <c r="AF81" s="59"/>
      <c r="AG81" s="119"/>
      <c r="AH81" s="119"/>
      <c r="AI81" s="119"/>
      <c r="AJ81" s="120"/>
      <c r="AK81" s="75"/>
      <c r="AL81" s="118"/>
      <c r="AM81" s="14"/>
    </row>
    <row r="82" spans="1:39" x14ac:dyDescent="0.2"/>
    <row r="83" spans="1:39" x14ac:dyDescent="0.2"/>
    <row r="84" spans="1:39" x14ac:dyDescent="0.2"/>
    <row r="85" spans="1:39" x14ac:dyDescent="0.2"/>
    <row r="86" spans="1:39" x14ac:dyDescent="0.2"/>
    <row r="87" spans="1:39" x14ac:dyDescent="0.2"/>
    <row r="88" spans="1:39" x14ac:dyDescent="0.2"/>
    <row r="89" spans="1:39" x14ac:dyDescent="0.2"/>
    <row r="90" spans="1:39" x14ac:dyDescent="0.2"/>
    <row r="91" spans="1:39" x14ac:dyDescent="0.2"/>
    <row r="92" spans="1:39" x14ac:dyDescent="0.2"/>
    <row r="93" spans="1:39" x14ac:dyDescent="0.2"/>
    <row r="94" spans="1:39" x14ac:dyDescent="0.2"/>
    <row r="95" spans="1:39" x14ac:dyDescent="0.2"/>
    <row r="96" spans="1:39"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sheetData>
  <sheetProtection formatColumns="0"/>
  <mergeCells count="1">
    <mergeCell ref="AB6:AE6"/>
  </mergeCells>
  <conditionalFormatting sqref="H1">
    <cfRule type="cellIs" dxfId="82" priority="6" operator="equal">
      <formula>"Check"</formula>
    </cfRule>
    <cfRule type="cellIs" dxfId="81" priority="7"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0" id="{50F04632-B45E-464A-8923-391E1C906EF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N10:N11</xm:sqref>
        </x14:conditionalFormatting>
        <x14:conditionalFormatting xmlns:xm="http://schemas.microsoft.com/office/excel/2006/main">
          <x14:cfRule type="iconSet" priority="209" id="{0391E6CF-A150-49A3-B734-BEC821012E3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N12:N25 N27:N30 N32:N71</xm:sqref>
        </x14:conditionalFormatting>
        <x14:conditionalFormatting xmlns:xm="http://schemas.microsoft.com/office/excel/2006/main">
          <x14:cfRule type="iconSet" priority="213" id="{6CA66931-1993-43F6-83A7-B5EE901600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N26:N30 N32:N71</xm:sqref>
        </x14:conditionalFormatting>
        <x14:conditionalFormatting xmlns:xm="http://schemas.microsoft.com/office/excel/2006/main">
          <x14:cfRule type="iconSet" priority="2" id="{CD9488B1-B265-4344-A684-CBDC9B7A86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N31</xm:sqref>
        </x14:conditionalFormatting>
        <x14:conditionalFormatting xmlns:xm="http://schemas.microsoft.com/office/excel/2006/main">
          <x14:cfRule type="iconSet" priority="8" id="{6E31DC0A-A110-42BB-8FE0-8C3CA7B83E7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U10</xm:sqref>
        </x14:conditionalFormatting>
        <x14:conditionalFormatting xmlns:xm="http://schemas.microsoft.com/office/excel/2006/main">
          <x14:cfRule type="iconSet" priority="1" id="{BF0F604F-EBE5-4FF3-8428-387BC36514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U11</xm:sqref>
        </x14:conditionalFormatting>
        <x14:conditionalFormatting xmlns:xm="http://schemas.microsoft.com/office/excel/2006/main">
          <x14:cfRule type="iconSet" priority="212" id="{D4C6C09A-5033-4C5A-B65C-4BDE17E7D1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U12:U71</xm:sqref>
        </x14:conditionalFormatting>
        <x14:conditionalFormatting xmlns:xm="http://schemas.microsoft.com/office/excel/2006/main">
          <x14:cfRule type="iconSet" priority="14" id="{555BA799-5B94-45CB-A4B8-3687B2C25603}">
            <x14:iconSet showValue="0" custom="1">
              <x14:cfvo type="percent">
                <xm:f>0</xm:f>
              </x14:cfvo>
              <x14:cfvo type="num">
                <xm:f>0</xm:f>
              </x14:cfvo>
              <x14:cfvo type="num">
                <xm:f>1000</xm:f>
              </x14:cfvo>
              <x14:cfIcon iconSet="NoIcons" iconId="0"/>
              <x14:cfIcon iconSet="3TrafficLights1" iconId="0"/>
              <x14:cfIcon iconSet="3TrafficLights1" iconId="2"/>
            </x14:iconSet>
          </x14:cfRule>
          <xm:sqref>AJ11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CAE0-5C2F-4A52-829C-1D0F2015E891}">
  <sheetPr>
    <tabColor theme="6" tint="0.79998168889431442"/>
  </sheetPr>
  <dimension ref="A1:L105"/>
  <sheetViews>
    <sheetView topLeftCell="A6" workbookViewId="0">
      <selection activeCell="C39" sqref="C39"/>
    </sheetView>
  </sheetViews>
  <sheetFormatPr defaultColWidth="0" defaultRowHeight="12.75" zeroHeight="1" x14ac:dyDescent="0.2"/>
  <cols>
    <col min="1" max="1" width="9.140625" customWidth="1"/>
    <col min="2" max="2" width="12.7109375" customWidth="1"/>
    <col min="3" max="3" width="97.140625" bestFit="1" customWidth="1"/>
    <col min="4" max="4" width="19.5703125" customWidth="1"/>
    <col min="5" max="5" width="30.85546875" customWidth="1"/>
    <col min="6" max="6" width="23.5703125" customWidth="1"/>
    <col min="7" max="7" width="23.85546875" bestFit="1" customWidth="1"/>
    <col min="8" max="12" width="9.140625" customWidth="1"/>
  </cols>
  <sheetData>
    <row r="1" spans="1:12" s="5" customFormat="1" ht="15.75" x14ac:dyDescent="0.2">
      <c r="B1" s="434" t="str">
        <f>'AER Final Decision - Labour'!B1</f>
        <v>AER Final Decision - Ancillary Network Services - Jemena - 2026–31</v>
      </c>
    </row>
    <row r="2" spans="1:12" s="5" customFormat="1" x14ac:dyDescent="0.2"/>
    <row r="3" spans="1:12" s="5" customFormat="1" ht="15.75" x14ac:dyDescent="0.2">
      <c r="B3" s="434" t="s">
        <v>0</v>
      </c>
    </row>
    <row r="4" spans="1:12" s="5" customFormat="1" x14ac:dyDescent="0.2">
      <c r="B4" s="496" t="s">
        <v>12</v>
      </c>
      <c r="C4" s="458" t="s">
        <v>727</v>
      </c>
    </row>
    <row r="5" spans="1:12" s="5" customFormat="1" x14ac:dyDescent="0.2">
      <c r="B5" s="459"/>
      <c r="C5" s="458"/>
    </row>
    <row r="6" spans="1:12" s="5" customFormat="1" x14ac:dyDescent="0.2"/>
    <row r="7" spans="1:12" s="5" customFormat="1" x14ac:dyDescent="0.2"/>
    <row r="8" spans="1:12" s="5" customFormat="1" x14ac:dyDescent="0.2"/>
    <row r="9" spans="1:12" x14ac:dyDescent="0.2">
      <c r="A9" s="436"/>
      <c r="B9" s="436" t="s">
        <v>12</v>
      </c>
      <c r="C9" s="436" t="s">
        <v>726</v>
      </c>
      <c r="D9" s="436"/>
      <c r="E9" s="436"/>
      <c r="F9" s="436"/>
      <c r="G9" s="436"/>
      <c r="H9" s="436"/>
      <c r="I9" s="436"/>
      <c r="J9" s="436"/>
      <c r="K9" s="436"/>
      <c r="L9" s="436"/>
    </row>
    <row r="10" spans="1:12" s="5" customFormat="1" x14ac:dyDescent="0.2"/>
    <row r="11" spans="1:12" s="5" customFormat="1" x14ac:dyDescent="0.2"/>
    <row r="12" spans="1:12" s="5" customFormat="1" x14ac:dyDescent="0.2">
      <c r="A12" s="508"/>
      <c r="B12" s="509"/>
      <c r="C12" s="509"/>
      <c r="D12" s="509"/>
      <c r="E12" s="460"/>
      <c r="F12" s="509" t="s">
        <v>13</v>
      </c>
      <c r="G12" s="509"/>
    </row>
    <row r="13" spans="1:12" s="5" customFormat="1" x14ac:dyDescent="0.2">
      <c r="A13" s="438"/>
      <c r="B13" s="438" t="s">
        <v>14</v>
      </c>
      <c r="C13" s="438" t="s">
        <v>15</v>
      </c>
      <c r="D13" s="438" t="s">
        <v>16</v>
      </c>
      <c r="E13" s="438" t="s">
        <v>17</v>
      </c>
      <c r="F13" s="439" t="s">
        <v>700</v>
      </c>
      <c r="G13" s="439" t="s">
        <v>710</v>
      </c>
    </row>
    <row r="14" spans="1:12" s="5" customFormat="1" ht="13.5" customHeight="1" x14ac:dyDescent="0.2">
      <c r="A14" s="444">
        <v>1</v>
      </c>
      <c r="B14" s="440" t="str">
        <f>'Output|Fee Based'!B12</f>
        <v>ND1P</v>
      </c>
      <c r="C14" s="461" t="str">
        <f>'Output|Fee Based'!C12</f>
        <v>Basic connection, single-phase BH</v>
      </c>
      <c r="D14" s="461" t="str">
        <f>'Output|Fee Based'!D12</f>
        <v>Business Hours</v>
      </c>
      <c r="E14" s="457" t="str">
        <f>'Output|Fee Based'!E12</f>
        <v>Basic connection services</v>
      </c>
      <c r="F14" s="447">
        <v>813.88694355687608</v>
      </c>
      <c r="G14" s="446">
        <f>'Output|Fee Based'!H12</f>
        <v>816.75607668400971</v>
      </c>
      <c r="H14" s="493"/>
    </row>
    <row r="15" spans="1:12" s="5" customFormat="1" ht="13.5" customHeight="1" x14ac:dyDescent="0.2">
      <c r="A15" s="444">
        <v>2</v>
      </c>
      <c r="B15" s="440" t="str">
        <f>'Output|Fee Based'!B13</f>
        <v>ND1P</v>
      </c>
      <c r="C15" s="461" t="str">
        <f>'Output|Fee Based'!C13</f>
        <v>Basic connection, single-phase AH</v>
      </c>
      <c r="D15" s="461" t="str">
        <f>'Output|Fee Based'!D13</f>
        <v>After Hours</v>
      </c>
      <c r="E15" s="461" t="str">
        <f>'Output|Fee Based'!E13</f>
        <v>Basic connection services</v>
      </c>
      <c r="F15" s="447">
        <v>1162.5069369647772</v>
      </c>
      <c r="G15" s="446">
        <f>'Output|Fee Based'!H13</f>
        <v>1198.3979733013819</v>
      </c>
      <c r="H15" s="493"/>
    </row>
    <row r="16" spans="1:12" s="5" customFormat="1" ht="13.5" customHeight="1" x14ac:dyDescent="0.2">
      <c r="A16" s="444">
        <v>3</v>
      </c>
      <c r="B16" s="440" t="str">
        <f>'Output|Fee Based'!B14</f>
        <v>ND3P</v>
      </c>
      <c r="C16" s="461" t="str">
        <f>'Output|Fee Based'!C14</f>
        <v>Basic connection, three-phase BH</v>
      </c>
      <c r="D16" s="461" t="str">
        <f>'Output|Fee Based'!D14</f>
        <v>Business Hours</v>
      </c>
      <c r="E16" s="461" t="str">
        <f>'Output|Fee Based'!E14</f>
        <v>Basic connection services</v>
      </c>
      <c r="F16" s="447">
        <v>1074.0954652601863</v>
      </c>
      <c r="G16" s="446">
        <f>'Output|Fee Based'!H14</f>
        <v>1079.7718462563191</v>
      </c>
      <c r="H16" s="493"/>
    </row>
    <row r="17" spans="1:8" s="5" customFormat="1" ht="13.5" customHeight="1" x14ac:dyDescent="0.2">
      <c r="A17" s="444">
        <v>4</v>
      </c>
      <c r="B17" s="440" t="str">
        <f>'Output|Fee Based'!B15</f>
        <v>ND3P</v>
      </c>
      <c r="C17" s="461" t="str">
        <f>'Output|Fee Based'!C15</f>
        <v>Basic connection, three-phase AH</v>
      </c>
      <c r="D17" s="461" t="str">
        <f>'Output|Fee Based'!D15</f>
        <v>After Hours</v>
      </c>
      <c r="E17" s="461" t="str">
        <f>'Output|Fee Based'!E15</f>
        <v>Basic connection services</v>
      </c>
      <c r="F17" s="447">
        <v>1422.7154586680876</v>
      </c>
      <c r="G17" s="446">
        <f>'Output|Fee Based'!H15</f>
        <v>1461.4137428736913</v>
      </c>
      <c r="H17" s="493"/>
    </row>
    <row r="18" spans="1:8" s="5" customFormat="1" ht="13.5" customHeight="1" x14ac:dyDescent="0.2">
      <c r="A18" s="444">
        <v>5</v>
      </c>
      <c r="B18" s="440" t="str">
        <f>'Output|Fee Based'!B16</f>
        <v>BTSO</v>
      </c>
      <c r="C18" s="461" t="str">
        <f>'Output|Fee Based'!C16</f>
        <v>Temporary connection, single-phase BH</v>
      </c>
      <c r="D18" s="461" t="str">
        <f>'Output|Fee Based'!D16</f>
        <v>Business Hours</v>
      </c>
      <c r="E18" s="461" t="str">
        <f>'Output|Fee Based'!E16</f>
        <v>Connection service</v>
      </c>
      <c r="F18" s="447">
        <v>773.41494346260379</v>
      </c>
      <c r="G18" s="446">
        <f>'Output|Fee Based'!H16</f>
        <v>775.84744624698351</v>
      </c>
      <c r="H18" s="493"/>
    </row>
    <row r="19" spans="1:8" s="5" customFormat="1" ht="13.5" customHeight="1" x14ac:dyDescent="0.2">
      <c r="A19" s="444">
        <v>6</v>
      </c>
      <c r="B19" s="440" t="str">
        <f>'Output|Fee Based'!B17</f>
        <v>BTSO</v>
      </c>
      <c r="C19" s="461" t="str">
        <f>'Output|Fee Based'!C17</f>
        <v>Temporary connection, single-phase AH</v>
      </c>
      <c r="D19" s="461" t="str">
        <f>'Output|Fee Based'!D17</f>
        <v>After Hours</v>
      </c>
      <c r="E19" s="461" t="str">
        <f>'Output|Fee Based'!E17</f>
        <v>Connection service</v>
      </c>
      <c r="F19" s="447">
        <v>1122.0349368705049</v>
      </c>
      <c r="G19" s="446">
        <f>'Output|Fee Based'!H17</f>
        <v>1157.4893428643556</v>
      </c>
      <c r="H19" s="493"/>
    </row>
    <row r="20" spans="1:8" s="5" customFormat="1" ht="13.5" customHeight="1" x14ac:dyDescent="0.2">
      <c r="A20" s="444">
        <v>7</v>
      </c>
      <c r="B20" s="440" t="str">
        <f>'Output|Fee Based'!B18</f>
        <v>BTSP</v>
      </c>
      <c r="C20" s="461" t="str">
        <f>'Output|Fee Based'!C18</f>
        <v>Temporary connection, three-phase BH</v>
      </c>
      <c r="D20" s="461" t="str">
        <f>'Output|Fee Based'!D18</f>
        <v>Business Hours</v>
      </c>
      <c r="E20" s="461" t="str">
        <f>'Output|Fee Based'!E18</f>
        <v>Connection service</v>
      </c>
      <c r="F20" s="447">
        <v>822.97345796823811</v>
      </c>
      <c r="G20" s="446">
        <f>'Output|Fee Based'!H18</f>
        <v>825.94062054517963</v>
      </c>
      <c r="H20" s="493"/>
    </row>
    <row r="21" spans="1:8" s="5" customFormat="1" ht="13.5" customHeight="1" x14ac:dyDescent="0.2">
      <c r="A21" s="444">
        <v>8</v>
      </c>
      <c r="B21" s="440" t="str">
        <f>'Output|Fee Based'!B19</f>
        <v>BTSP</v>
      </c>
      <c r="C21" s="461" t="str">
        <f>'Output|Fee Based'!C19</f>
        <v>Temporary connection, three-phase AH</v>
      </c>
      <c r="D21" s="461" t="str">
        <f>'Output|Fee Based'!D19</f>
        <v>After Hours</v>
      </c>
      <c r="E21" s="461" t="str">
        <f>'Output|Fee Based'!E19</f>
        <v>Connection service</v>
      </c>
      <c r="F21" s="447">
        <v>1171.5934513761392</v>
      </c>
      <c r="G21" s="446">
        <f>'Output|Fee Based'!H19</f>
        <v>1207.5825171625515</v>
      </c>
      <c r="H21" s="493"/>
    </row>
    <row r="22" spans="1:8" s="5" customFormat="1" ht="13.5" customHeight="1" x14ac:dyDescent="0.2">
      <c r="A22" s="444">
        <v>9</v>
      </c>
      <c r="B22" s="440" t="str">
        <f>'Output|Fee Based'!B20</f>
        <v>SUTK</v>
      </c>
      <c r="C22" s="461" t="str">
        <f>'Output|Fee Based'!C20</f>
        <v>Supply upgrade/enhancement (1ph to 3ph) BH</v>
      </c>
      <c r="D22" s="461" t="str">
        <f>'Output|Fee Based'!D20</f>
        <v>Business Hours</v>
      </c>
      <c r="E22" s="461" t="str">
        <f>'Output|Fee Based'!E20</f>
        <v>Connection service</v>
      </c>
      <c r="F22" s="447">
        <v>1045.3210685913175</v>
      </c>
      <c r="G22" s="446">
        <f>'Output|Fee Based'!H20</f>
        <v>1050.687018310251</v>
      </c>
      <c r="H22" s="493"/>
    </row>
    <row r="23" spans="1:8" s="5" customFormat="1" ht="13.5" customHeight="1" x14ac:dyDescent="0.2">
      <c r="A23" s="444">
        <v>10</v>
      </c>
      <c r="B23" s="440" t="str">
        <f>'Output|Fee Based'!B21</f>
        <v>SUTK</v>
      </c>
      <c r="C23" s="461" t="str">
        <f>'Output|Fee Based'!C21</f>
        <v>Supply upgrade/enhancement (1ph to 3ph) AH</v>
      </c>
      <c r="D23" s="461" t="str">
        <f>'Output|Fee Based'!D21</f>
        <v>After Hours</v>
      </c>
      <c r="E23" s="461" t="str">
        <f>'Output|Fee Based'!E21</f>
        <v>Connection service</v>
      </c>
      <c r="F23" s="447">
        <v>1393.9410619992186</v>
      </c>
      <c r="G23" s="446">
        <f>'Output|Fee Based'!H21</f>
        <v>1432.3289149276234</v>
      </c>
      <c r="H23" s="493"/>
    </row>
    <row r="24" spans="1:8" s="5" customFormat="1" ht="13.5" customHeight="1" x14ac:dyDescent="0.2">
      <c r="A24" s="444">
        <v>11</v>
      </c>
      <c r="B24" s="440" t="str">
        <f>'Output|Fee Based'!B22</f>
        <v>RTK1</v>
      </c>
      <c r="C24" s="461" t="str">
        <f>'Output|Fee Based'!C22</f>
        <v>Replacement of 1-phase overhead service line BH</v>
      </c>
      <c r="D24" s="461" t="str">
        <f>'Output|Fee Based'!D22</f>
        <v>Business Hours</v>
      </c>
      <c r="E24" s="461" t="str">
        <f>'Output|Fee Based'!E22</f>
        <v>Connection service</v>
      </c>
      <c r="F24" s="447">
        <v>773.41494346260379</v>
      </c>
      <c r="G24" s="446">
        <f>'Output|Fee Based'!H22</f>
        <v>775.84744624698351</v>
      </c>
      <c r="H24" s="493"/>
    </row>
    <row r="25" spans="1:8" s="5" customFormat="1" ht="13.5" customHeight="1" x14ac:dyDescent="0.2">
      <c r="A25" s="444">
        <v>12</v>
      </c>
      <c r="B25" s="440" t="str">
        <f>'Output|Fee Based'!B23</f>
        <v>RTK1</v>
      </c>
      <c r="C25" s="461" t="str">
        <f>'Output|Fee Based'!C23</f>
        <v>Replacement of 1-phase overhead service line AH</v>
      </c>
      <c r="D25" s="461" t="str">
        <f>'Output|Fee Based'!D23</f>
        <v>After Hours</v>
      </c>
      <c r="E25" s="461" t="str">
        <f>'Output|Fee Based'!E23</f>
        <v>Connection service</v>
      </c>
      <c r="F25" s="447">
        <v>1122.0349368705049</v>
      </c>
      <c r="G25" s="446">
        <f>'Output|Fee Based'!H23</f>
        <v>1157.4893428643556</v>
      </c>
      <c r="H25" s="493"/>
    </row>
    <row r="26" spans="1:8" s="5" customFormat="1" ht="13.5" customHeight="1" x14ac:dyDescent="0.2">
      <c r="A26" s="444">
        <v>13</v>
      </c>
      <c r="B26" s="440" t="str">
        <f>'Output|Fee Based'!B24</f>
        <v>REEN</v>
      </c>
      <c r="C26" s="461" t="str">
        <f>'Output|Fee Based'!C24</f>
        <v>Field-based energisation BH</v>
      </c>
      <c r="D26" s="461" t="str">
        <f>'Output|Fee Based'!D24</f>
        <v>Business Hours</v>
      </c>
      <c r="E26" s="461" t="str">
        <f>'Output|Fee Based'!E24</f>
        <v>Connection service</v>
      </c>
      <c r="F26" s="447">
        <v>63.71469046289495</v>
      </c>
      <c r="G26" s="446">
        <f>'Output|Fee Based'!H24</f>
        <v>64.351625299667774</v>
      </c>
      <c r="H26" s="493"/>
    </row>
    <row r="27" spans="1:8" s="5" customFormat="1" ht="13.5" customHeight="1" x14ac:dyDescent="0.2">
      <c r="A27" s="444">
        <v>14</v>
      </c>
      <c r="B27" s="440" t="str">
        <f>'Output|Fee Based'!B25</f>
        <v>REEN</v>
      </c>
      <c r="C27" s="461" t="str">
        <f>'Output|Fee Based'!C25</f>
        <v>Field-based energisation AH</v>
      </c>
      <c r="D27" s="461" t="str">
        <f>'Output|Fee Based'!D25</f>
        <v>After Hours</v>
      </c>
      <c r="E27" s="461" t="str">
        <f>'Output|Fee Based'!E25</f>
        <v>Connection service</v>
      </c>
      <c r="F27" s="447">
        <v>111.22485301983839</v>
      </c>
      <c r="G27" s="446">
        <f>'Output|Fee Based'!H25</f>
        <v>112.33673134944479</v>
      </c>
      <c r="H27" s="493"/>
    </row>
    <row r="28" spans="1:8" s="5" customFormat="1" ht="13.5" customHeight="1" x14ac:dyDescent="0.2">
      <c r="A28" s="444">
        <v>15</v>
      </c>
      <c r="B28" s="440" t="str">
        <f>'Output|Fee Based'!B26</f>
        <v>DEEN</v>
      </c>
      <c r="C28" s="461" t="str">
        <f>'Output|Fee Based'!C26</f>
        <v>Field-based de-energisation BH</v>
      </c>
      <c r="D28" s="461" t="str">
        <f>'Output|Fee Based'!D26</f>
        <v>Business Hours</v>
      </c>
      <c r="E28" s="461" t="str">
        <f>'Output|Fee Based'!E26</f>
        <v>Connection service</v>
      </c>
      <c r="F28" s="447">
        <v>91.373780896399737</v>
      </c>
      <c r="G28" s="446">
        <f>'Output|Fee Based'!H26</f>
        <v>92.287214577042931</v>
      </c>
      <c r="H28" s="493"/>
    </row>
    <row r="29" spans="1:8" s="5" customFormat="1" ht="13.5" customHeight="1" x14ac:dyDescent="0.2">
      <c r="A29" s="444">
        <v>16</v>
      </c>
      <c r="B29" s="440" t="str">
        <f>'Output|Fee Based'!B27</f>
        <v>DCTK</v>
      </c>
      <c r="C29" s="461" t="str">
        <f>'Output|Fee Based'!C27</f>
        <v>Disconnection (temporary) BH</v>
      </c>
      <c r="D29" s="461" t="str">
        <f>'Output|Fee Based'!D27</f>
        <v>Business Hours</v>
      </c>
      <c r="E29" s="461" t="str">
        <f>'Output|Fee Based'!E27</f>
        <v>Customer requested supply outage</v>
      </c>
      <c r="F29" s="447">
        <v>511.51511108105359</v>
      </c>
      <c r="G29" s="446">
        <f>'Output|Fee Based'!H27</f>
        <v>512.14286253462149</v>
      </c>
      <c r="H29" s="493"/>
    </row>
    <row r="30" spans="1:8" s="5" customFormat="1" ht="13.5" customHeight="1" x14ac:dyDescent="0.2">
      <c r="A30" s="444">
        <v>17</v>
      </c>
      <c r="B30" s="440" t="str">
        <f>'Output|Fee Based'!B28</f>
        <v>DCTK</v>
      </c>
      <c r="C30" s="461" t="str">
        <f>'Output|Fee Based'!C28</f>
        <v>Disconnection (temporary) AH</v>
      </c>
      <c r="D30" s="461" t="str">
        <f>'Output|Fee Based'!D28</f>
        <v>After Hours</v>
      </c>
      <c r="E30" s="461" t="str">
        <f>'Output|Fee Based'!E28</f>
        <v>Customer requested supply outage</v>
      </c>
      <c r="F30" s="447">
        <v>793.62452785073265</v>
      </c>
      <c r="G30" s="446">
        <f>'Output|Fee Based'!H28</f>
        <v>820.73226537192193</v>
      </c>
      <c r="H30" s="493"/>
    </row>
    <row r="31" spans="1:8" s="5" customFormat="1" ht="13.5" customHeight="1" x14ac:dyDescent="0.2">
      <c r="A31" s="444">
        <v>18</v>
      </c>
      <c r="B31" s="440" t="str">
        <f>'Output|Fee Based'!B29</f>
        <v>RCTK</v>
      </c>
      <c r="C31" s="461" t="str">
        <f>'Output|Fee Based'!C29</f>
        <v>Reconnection after temp discon BH</v>
      </c>
      <c r="D31" s="461" t="str">
        <f>'Output|Fee Based'!D29</f>
        <v>Business Hours</v>
      </c>
      <c r="E31" s="461" t="str">
        <f>'Output|Fee Based'!E29</f>
        <v>Customer requested supply outage</v>
      </c>
      <c r="F31" s="447">
        <v>593.67090496757783</v>
      </c>
      <c r="G31" s="446">
        <f>'Output|Fee Based'!H29</f>
        <v>594.38162537760184</v>
      </c>
      <c r="H31" s="493"/>
    </row>
    <row r="32" spans="1:8" s="5" customFormat="1" ht="13.5" customHeight="1" x14ac:dyDescent="0.2">
      <c r="A32" s="444">
        <v>19</v>
      </c>
      <c r="B32" s="440" t="str">
        <f>'Output|Fee Based'!B30</f>
        <v>RCTK</v>
      </c>
      <c r="C32" s="461" t="str">
        <f>'Output|Fee Based'!C30</f>
        <v>Reconnection after temp discon AH</v>
      </c>
      <c r="D32" s="461" t="str">
        <f>'Output|Fee Based'!D30</f>
        <v>After Hours</v>
      </c>
      <c r="E32" s="461" t="str">
        <f>'Output|Fee Based'!E30</f>
        <v>Customer requested supply outage</v>
      </c>
      <c r="F32" s="447">
        <v>927.07294296810744</v>
      </c>
      <c r="G32" s="446">
        <f>'Output|Fee Based'!H30</f>
        <v>959.07819236713851</v>
      </c>
      <c r="H32" s="493"/>
    </row>
    <row r="33" spans="1:8" s="5" customFormat="1" ht="13.5" customHeight="1" x14ac:dyDescent="0.2">
      <c r="A33" s="444">
        <v>20</v>
      </c>
      <c r="B33" s="440" t="str">
        <f>'Output|Fee Based'!B31</f>
        <v>SLOM</v>
      </c>
      <c r="C33" s="461" t="str">
        <f>'Output|Fee Based'!C31</f>
        <v>Security Lighting - O&amp;M</v>
      </c>
      <c r="D33" s="461" t="str">
        <f>'Output|Fee Based'!D31</f>
        <v>Business Hours</v>
      </c>
      <c r="E33" s="461" t="str">
        <f>'Output|Fee Based'!E31</f>
        <v>Security lights</v>
      </c>
      <c r="F33" s="447">
        <v>177.44133250857195</v>
      </c>
      <c r="G33" s="446">
        <f>'Output|Fee Based'!H31</f>
        <v>179.35565029992011</v>
      </c>
      <c r="H33" s="493"/>
    </row>
    <row r="34" spans="1:8" s="5" customFormat="1" ht="13.5" customHeight="1" x14ac:dyDescent="0.2">
      <c r="A34" s="444">
        <v>21</v>
      </c>
      <c r="B34" s="440" t="str">
        <f>'Output|Fee Based'!B32</f>
        <v>RFOM</v>
      </c>
      <c r="C34" s="461" t="str">
        <f>'Output|Fee Based'!C32</f>
        <v>Enhanced Connection Operation and Maintenance</v>
      </c>
      <c r="D34" s="461" t="str">
        <f>'Output|Fee Based'!D32</f>
        <v>Business Hours</v>
      </c>
      <c r="E34" s="461" t="str">
        <f>'Output|Fee Based'!E32</f>
        <v>Enhanced connection services</v>
      </c>
      <c r="F34" s="447">
        <v>16.162492814107278</v>
      </c>
      <c r="G34" s="446">
        <f>'Output|Fee Based'!H32</f>
        <v>16.324063947037612</v>
      </c>
      <c r="H34" s="493"/>
    </row>
    <row r="35" spans="1:8" s="5" customFormat="1" ht="13.5" customHeight="1" x14ac:dyDescent="0.2">
      <c r="A35" s="444">
        <v>22</v>
      </c>
      <c r="B35" s="440" t="str">
        <f>'Output|Fee Based'!B33</f>
        <v>REENRM</v>
      </c>
      <c r="C35" s="461" t="str">
        <f>'Output|Fee Based'!C33</f>
        <v>Remote  energisation</v>
      </c>
      <c r="D35" s="461" t="str">
        <f>'Output|Fee Based'!D33</f>
        <v>Business Hours</v>
      </c>
      <c r="E35" s="461" t="str">
        <f>'Output|Fee Based'!E33</f>
        <v>Auxiliary metering services</v>
      </c>
      <c r="F35" s="447">
        <v>0</v>
      </c>
      <c r="G35" s="446">
        <f>'Output|Fee Based'!H33</f>
        <v>0</v>
      </c>
      <c r="H35" s="493"/>
    </row>
    <row r="36" spans="1:8" s="5" customFormat="1" ht="13.5" customHeight="1" x14ac:dyDescent="0.2">
      <c r="A36" s="444">
        <v>23</v>
      </c>
      <c r="B36" s="440" t="str">
        <f>'Output|Fee Based'!B34</f>
        <v>DEENRM</v>
      </c>
      <c r="C36" s="461" t="str">
        <f>'Output|Fee Based'!C34</f>
        <v>Remote de-energisation</v>
      </c>
      <c r="D36" s="461" t="str">
        <f>'Output|Fee Based'!D34</f>
        <v>Business Hours</v>
      </c>
      <c r="E36" s="461" t="str">
        <f>'Output|Fee Based'!E34</f>
        <v>Auxiliary metering services</v>
      </c>
      <c r="F36" s="447">
        <v>0</v>
      </c>
      <c r="G36" s="446">
        <f>'Output|Fee Based'!H34</f>
        <v>0</v>
      </c>
      <c r="H36" s="493"/>
    </row>
    <row r="37" spans="1:8" s="5" customFormat="1" ht="13.5" customHeight="1" x14ac:dyDescent="0.2">
      <c r="A37" s="444">
        <v>24</v>
      </c>
      <c r="B37" s="440" t="str">
        <f>'Output|Fee Based'!B35</f>
        <v>MCTK</v>
      </c>
      <c r="C37" s="461" t="str">
        <f>'Output|Fee Based'!C35</f>
        <v>Meter Alteration BH</v>
      </c>
      <c r="D37" s="461" t="str">
        <f>'Output|Fee Based'!D35</f>
        <v>Business Hours</v>
      </c>
      <c r="E37" s="461" t="str">
        <f>'Output|Fee Based'!E35</f>
        <v>Auxiliary metering services</v>
      </c>
      <c r="F37" s="447">
        <v>653.32914967274814</v>
      </c>
      <c r="G37" s="446">
        <f>'Output|Fee Based'!H35</f>
        <v>654.21129227583151</v>
      </c>
      <c r="H37" s="493"/>
    </row>
    <row r="38" spans="1:8" s="5" customFormat="1" ht="13.5" customHeight="1" x14ac:dyDescent="0.2">
      <c r="A38" s="444">
        <v>25</v>
      </c>
      <c r="B38" s="440" t="str">
        <f>'Output|Fee Based'!B36</f>
        <v>MCTK</v>
      </c>
      <c r="C38" s="461" t="str">
        <f>'Output|Fee Based'!C36</f>
        <v>Meter Alteration AH</v>
      </c>
      <c r="D38" s="461" t="str">
        <f>'Output|Fee Based'!D36</f>
        <v>After Hours</v>
      </c>
      <c r="E38" s="461" t="str">
        <f>'Output|Fee Based'!E36</f>
        <v>Auxiliary metering services</v>
      </c>
      <c r="F38" s="447">
        <v>986.73118767327787</v>
      </c>
      <c r="G38" s="446">
        <f>'Output|Fee Based'!H36</f>
        <v>1018.9078592653684</v>
      </c>
      <c r="H38" s="493"/>
    </row>
    <row r="39" spans="1:8" s="5" customFormat="1" ht="13.5" customHeight="1" x14ac:dyDescent="0.2">
      <c r="A39" s="444">
        <v>26</v>
      </c>
      <c r="B39" s="440" t="str">
        <f>'Output|Fee Based'!B37</f>
        <v>SPRDRM</v>
      </c>
      <c r="C39" s="461" t="str">
        <f>'Output|Fee Based'!C37</f>
        <v>Remote special meter read</v>
      </c>
      <c r="D39" s="461" t="str">
        <f>'Output|Fee Based'!D37</f>
        <v>Business Hours</v>
      </c>
      <c r="E39" s="461" t="str">
        <f>'Output|Fee Based'!E37</f>
        <v>Auxiliary metering services</v>
      </c>
      <c r="F39" s="447">
        <v>0</v>
      </c>
      <c r="G39" s="446">
        <f>'Output|Fee Based'!H37</f>
        <v>0</v>
      </c>
      <c r="H39" s="493"/>
    </row>
    <row r="40" spans="1:8" s="5" customFormat="1" ht="13.5" customHeight="1" x14ac:dyDescent="0.2">
      <c r="A40" s="444">
        <v>27</v>
      </c>
      <c r="B40" s="440" t="str">
        <f>'Output|Fee Based'!B38</f>
        <v>MECFRM</v>
      </c>
      <c r="C40" s="461" t="str">
        <f>'Output|Fee Based'!C38</f>
        <v>Remote meter reconfiguration</v>
      </c>
      <c r="D40" s="461" t="str">
        <f>'Output|Fee Based'!D38</f>
        <v>Business Hours</v>
      </c>
      <c r="E40" s="461" t="str">
        <f>'Output|Fee Based'!E38</f>
        <v>Auxiliary metering services</v>
      </c>
      <c r="F40" s="447">
        <v>63.635461018848396</v>
      </c>
      <c r="G40" s="446">
        <f>'Output|Fee Based'!H38</f>
        <v>63.818311358111771</v>
      </c>
      <c r="H40" s="493"/>
    </row>
    <row r="41" spans="1:8" s="5" customFormat="1" ht="13.5" customHeight="1" x14ac:dyDescent="0.2">
      <c r="A41" s="444">
        <v>28</v>
      </c>
      <c r="B41" s="440" t="str">
        <f>'Output|Fee Based'!B39</f>
        <v>SPRD</v>
      </c>
      <c r="C41" s="461" t="str">
        <f>'Output|Fee Based'!C39</f>
        <v xml:space="preserve">Field-based special meter reads </v>
      </c>
      <c r="D41" s="461" t="str">
        <f>'Output|Fee Based'!D39</f>
        <v>Business Hours</v>
      </c>
      <c r="E41" s="461" t="str">
        <f>'Output|Fee Based'!E39</f>
        <v>Auxiliary metering services</v>
      </c>
      <c r="F41" s="447">
        <v>61.402760411462175</v>
      </c>
      <c r="G41" s="446">
        <f>'Output|Fee Based'!H39</f>
        <v>62.016583642744322</v>
      </c>
      <c r="H41" s="493"/>
    </row>
    <row r="42" spans="1:8" s="5" customFormat="1" ht="13.5" customHeight="1" x14ac:dyDescent="0.2">
      <c r="A42" s="444">
        <v>29</v>
      </c>
      <c r="B42" s="440" t="str">
        <f>'Output|Fee Based'!B40</f>
        <v>MTAL</v>
      </c>
      <c r="C42" s="461" t="str">
        <f>'Output|Fee Based'!C40</f>
        <v>Meter test of types 5, 6 and AMI smart metering installations BH</v>
      </c>
      <c r="D42" s="461" t="str">
        <f>'Output|Fee Based'!D40</f>
        <v>Business Hours</v>
      </c>
      <c r="E42" s="461" t="str">
        <f>'Output|Fee Based'!E40</f>
        <v>Auxiliary metering services</v>
      </c>
      <c r="F42" s="447">
        <v>661.87404740631905</v>
      </c>
      <c r="G42" s="446">
        <f>'Output|Fee Based'!H40</f>
        <v>668.49058490004552</v>
      </c>
      <c r="H42" s="493"/>
    </row>
    <row r="43" spans="1:8" s="5" customFormat="1" ht="13.5" customHeight="1" x14ac:dyDescent="0.2">
      <c r="A43" s="444">
        <v>30</v>
      </c>
      <c r="B43" s="440" t="str">
        <f>'Output|Fee Based'!B41</f>
        <v>MTAL</v>
      </c>
      <c r="C43" s="461" t="str">
        <f>'Output|Fee Based'!C41</f>
        <v>Meter test of types 5, 6 and AMI smart metering installations AH</v>
      </c>
      <c r="D43" s="461" t="str">
        <f>'Output|Fee Based'!D41</f>
        <v>After Hours</v>
      </c>
      <c r="E43" s="461" t="str">
        <f>'Output|Fee Based'!E41</f>
        <v>Auxiliary metering services</v>
      </c>
      <c r="F43" s="447">
        <v>898.58415835415167</v>
      </c>
      <c r="G43" s="446">
        <f>'Output|Fee Based'!H41</f>
        <v>907.56700909186748</v>
      </c>
      <c r="H43" s="493"/>
    </row>
    <row r="44" spans="1:8" s="5" customFormat="1" ht="13.5" customHeight="1" x14ac:dyDescent="0.2">
      <c r="A44" s="444">
        <v>31</v>
      </c>
      <c r="B44" s="440" t="str">
        <f>'Output|Fee Based'!B42</f>
        <v>MDCH</v>
      </c>
      <c r="C44" s="461" t="str">
        <f>'Output|Fee Based'!C42</f>
        <v>Type 7 metering</v>
      </c>
      <c r="D44" s="461" t="str">
        <f>'Output|Fee Based'!D42</f>
        <v>Business Hours</v>
      </c>
      <c r="E44" s="461" t="str">
        <f>'Output|Fee Based'!E42</f>
        <v>Type 7 metering services</v>
      </c>
      <c r="F44" s="447">
        <v>0</v>
      </c>
      <c r="G44" s="446">
        <f>'Output|Fee Based'!H42</f>
        <v>0</v>
      </c>
      <c r="H44" s="493"/>
    </row>
    <row r="45" spans="1:8" s="5" customFormat="1" ht="13.5" customHeight="1" x14ac:dyDescent="0.2">
      <c r="A45" s="444">
        <v>32</v>
      </c>
      <c r="B45" s="440" t="str">
        <f>'Output|Fee Based'!B43</f>
        <v>NCUM</v>
      </c>
      <c r="C45" s="461" t="str">
        <f>'Output|Fee Based'!C43</f>
        <v>Non-contestable unmetered loads</v>
      </c>
      <c r="D45" s="461" t="str">
        <f>'Output|Fee Based'!D43</f>
        <v>Business Hours</v>
      </c>
      <c r="E45" s="461" t="str">
        <f>'Output|Fee Based'!E43</f>
        <v>Auxiliary metering services</v>
      </c>
      <c r="F45" s="447">
        <v>0</v>
      </c>
      <c r="G45" s="446">
        <f>'Output|Fee Based'!H43</f>
        <v>0</v>
      </c>
      <c r="H45" s="493"/>
    </row>
    <row r="46" spans="1:8" s="5" customFormat="1" ht="13.5" customHeight="1" x14ac:dyDescent="0.2">
      <c r="A46" s="444">
        <v>33</v>
      </c>
      <c r="B46" s="440" t="str">
        <f>'Output|Fee Based'!B44</f>
        <v>WSVR</v>
      </c>
      <c r="C46" s="461" t="str">
        <f>'Output|Fee Based'!C44</f>
        <v>Wasted site attendance BH</v>
      </c>
      <c r="D46" s="461" t="str">
        <f>'Output|Fee Based'!D44</f>
        <v>Business Hours</v>
      </c>
      <c r="E46" s="461" t="str">
        <f>'Output|Fee Based'!E44</f>
        <v>Connection service</v>
      </c>
      <c r="F46" s="447">
        <v>653.32914967274814</v>
      </c>
      <c r="G46" s="446">
        <f>'Output|Fee Based'!H44</f>
        <v>654.21129227583151</v>
      </c>
      <c r="H46" s="493"/>
    </row>
    <row r="47" spans="1:8" s="5" customFormat="1" ht="13.5" customHeight="1" x14ac:dyDescent="0.2">
      <c r="A47" s="444">
        <v>34</v>
      </c>
      <c r="B47" s="440" t="str">
        <f>'Output|Fee Based'!B45</f>
        <v>WSVR</v>
      </c>
      <c r="C47" s="461" t="str">
        <f>'Output|Fee Based'!C45</f>
        <v>Wasted site attendance AH</v>
      </c>
      <c r="D47" s="461" t="str">
        <f>'Output|Fee Based'!D45</f>
        <v>After Hours</v>
      </c>
      <c r="E47" s="461" t="str">
        <f>'Output|Fee Based'!E45</f>
        <v>Connection service</v>
      </c>
      <c r="F47" s="447">
        <v>986.73118767327787</v>
      </c>
      <c r="G47" s="446">
        <f>'Output|Fee Based'!H45</f>
        <v>1018.9078592653684</v>
      </c>
      <c r="H47" s="493"/>
    </row>
    <row r="48" spans="1:8" s="5" customFormat="1" ht="13.5" customHeight="1" x14ac:dyDescent="0.2">
      <c r="A48" s="444">
        <v>35</v>
      </c>
      <c r="B48" s="440" t="str">
        <f>'Output|Fee Based'!B46</f>
        <v>RTK3</v>
      </c>
      <c r="C48" s="461" t="str">
        <f>'Output|Fee Based'!C46</f>
        <v>Replacement of 3-phase overhead service line BH</v>
      </c>
      <c r="D48" s="461" t="str">
        <f>'Output|Fee Based'!D46</f>
        <v>Business Hours</v>
      </c>
      <c r="E48" s="461" t="str">
        <f>'Output|Fee Based'!E46</f>
        <v>Connection service</v>
      </c>
      <c r="F48" s="447">
        <v>827.26037136244247</v>
      </c>
      <c r="G48" s="446">
        <f>'Output|Fee Based'!H46</f>
        <v>830.27378311067059</v>
      </c>
      <c r="H48" s="493"/>
    </row>
    <row r="49" spans="1:12" s="5" customFormat="1" ht="13.5" customHeight="1" x14ac:dyDescent="0.2">
      <c r="A49" s="444">
        <v>36</v>
      </c>
      <c r="B49" s="440" t="str">
        <f>'Output|Fee Based'!B47</f>
        <v>RTK3</v>
      </c>
      <c r="C49" s="461" t="str">
        <f>'Output|Fee Based'!C47</f>
        <v>Replacement of 3-phase overhead service line AH</v>
      </c>
      <c r="D49" s="461" t="str">
        <f>'Output|Fee Based'!D47</f>
        <v>After Hours</v>
      </c>
      <c r="E49" s="461" t="str">
        <f>'Output|Fee Based'!E47</f>
        <v>Connection service</v>
      </c>
      <c r="F49" s="447">
        <v>1175.8803647703437</v>
      </c>
      <c r="G49" s="446">
        <f>'Output|Fee Based'!H47</f>
        <v>1211.9156797280427</v>
      </c>
      <c r="H49" s="493"/>
    </row>
    <row r="50" spans="1:12" s="5" customFormat="1" x14ac:dyDescent="0.2"/>
    <row r="51" spans="1:12" s="5" customFormat="1" x14ac:dyDescent="0.2"/>
    <row r="52" spans="1:12" x14ac:dyDescent="0.2">
      <c r="A52" s="436" t="s">
        <v>11</v>
      </c>
      <c r="B52" s="436"/>
      <c r="C52" s="436"/>
      <c r="D52" s="436"/>
      <c r="E52" s="436"/>
      <c r="F52" s="436"/>
      <c r="G52" s="436"/>
      <c r="H52" s="436"/>
      <c r="I52" s="436"/>
      <c r="J52" s="436"/>
      <c r="K52" s="436"/>
      <c r="L52" s="436"/>
    </row>
    <row r="53" spans="1:12" s="5" customFormat="1" hidden="1" x14ac:dyDescent="0.2">
      <c r="A53"/>
      <c r="B53"/>
      <c r="C53"/>
      <c r="D53"/>
      <c r="E53"/>
    </row>
    <row r="54" spans="1:12" s="5" customFormat="1" hidden="1" x14ac:dyDescent="0.2">
      <c r="A54"/>
      <c r="B54"/>
      <c r="C54"/>
      <c r="D54"/>
      <c r="E54"/>
    </row>
    <row r="55" spans="1:12" s="5" customFormat="1" hidden="1" x14ac:dyDescent="0.2">
      <c r="A55"/>
      <c r="B55"/>
      <c r="C55"/>
      <c r="D55"/>
      <c r="E55"/>
    </row>
    <row r="56" spans="1:12" s="5" customFormat="1" hidden="1" x14ac:dyDescent="0.2">
      <c r="A56"/>
      <c r="B56"/>
      <c r="C56"/>
      <c r="D56"/>
      <c r="E56"/>
    </row>
    <row r="57" spans="1:12" s="5" customFormat="1" hidden="1" x14ac:dyDescent="0.2">
      <c r="A57"/>
      <c r="B57"/>
      <c r="C57"/>
      <c r="D57"/>
      <c r="E57"/>
    </row>
    <row r="58" spans="1:12" s="5" customFormat="1" hidden="1" x14ac:dyDescent="0.2">
      <c r="A58"/>
      <c r="B58"/>
      <c r="C58"/>
      <c r="D58"/>
      <c r="E58"/>
    </row>
    <row r="59" spans="1:12" s="5" customFormat="1" hidden="1" x14ac:dyDescent="0.2">
      <c r="A59"/>
      <c r="B59"/>
      <c r="C59"/>
      <c r="D59"/>
      <c r="E59"/>
    </row>
    <row r="60" spans="1:12" s="5" customFormat="1" hidden="1" x14ac:dyDescent="0.2">
      <c r="A60"/>
      <c r="B60"/>
      <c r="C60"/>
      <c r="D60"/>
      <c r="E60"/>
    </row>
    <row r="61" spans="1:12" s="5" customFormat="1" hidden="1" x14ac:dyDescent="0.2">
      <c r="A61"/>
      <c r="B61"/>
      <c r="C61"/>
      <c r="D61"/>
      <c r="E61"/>
    </row>
    <row r="62" spans="1:12" s="5" customFormat="1" hidden="1" x14ac:dyDescent="0.2">
      <c r="A62"/>
      <c r="B62"/>
      <c r="C62"/>
      <c r="D62"/>
      <c r="E62"/>
    </row>
    <row r="63" spans="1:12" s="5" customFormat="1" hidden="1" x14ac:dyDescent="0.2">
      <c r="A63"/>
      <c r="B63"/>
      <c r="C63"/>
      <c r="D63"/>
      <c r="E63"/>
    </row>
    <row r="64" spans="1:12" s="5" customFormat="1" hidden="1" x14ac:dyDescent="0.2">
      <c r="A64"/>
      <c r="B64"/>
      <c r="C64"/>
      <c r="D64"/>
      <c r="E64"/>
    </row>
    <row r="65" spans="1:5" s="5" customFormat="1" hidden="1" x14ac:dyDescent="0.2">
      <c r="A65"/>
      <c r="B65"/>
      <c r="C65"/>
      <c r="D65"/>
      <c r="E65"/>
    </row>
    <row r="66" spans="1:5" s="5" customFormat="1" hidden="1" x14ac:dyDescent="0.2">
      <c r="A66"/>
      <c r="B66"/>
      <c r="C66"/>
      <c r="D66"/>
      <c r="E66"/>
    </row>
    <row r="67" spans="1:5" s="5" customFormat="1" hidden="1" x14ac:dyDescent="0.2">
      <c r="A67"/>
      <c r="B67"/>
      <c r="C67"/>
      <c r="D67"/>
      <c r="E67"/>
    </row>
    <row r="68" spans="1:5" s="5" customFormat="1" hidden="1" x14ac:dyDescent="0.2">
      <c r="A68"/>
      <c r="B68"/>
      <c r="C68"/>
      <c r="D68"/>
      <c r="E68"/>
    </row>
    <row r="69" spans="1:5" s="5" customFormat="1" hidden="1" x14ac:dyDescent="0.2">
      <c r="A69"/>
      <c r="B69"/>
      <c r="C69"/>
      <c r="D69"/>
      <c r="E69"/>
    </row>
    <row r="70" spans="1:5" s="5" customFormat="1" hidden="1" x14ac:dyDescent="0.2">
      <c r="A70"/>
      <c r="B70"/>
      <c r="C70"/>
      <c r="D70"/>
      <c r="E70"/>
    </row>
    <row r="71" spans="1:5" s="5" customFormat="1" hidden="1" x14ac:dyDescent="0.2">
      <c r="A71"/>
      <c r="B71"/>
      <c r="C71"/>
      <c r="D71"/>
      <c r="E71"/>
    </row>
    <row r="72" spans="1:5" s="5" customFormat="1" hidden="1" x14ac:dyDescent="0.2">
      <c r="A72"/>
      <c r="B72"/>
      <c r="C72"/>
      <c r="D72"/>
      <c r="E72"/>
    </row>
    <row r="73" spans="1:5" s="5" customFormat="1" hidden="1" x14ac:dyDescent="0.2">
      <c r="A73"/>
      <c r="B73"/>
      <c r="C73"/>
      <c r="D73"/>
      <c r="E73"/>
    </row>
    <row r="74" spans="1:5" s="5" customFormat="1" hidden="1" x14ac:dyDescent="0.2">
      <c r="A74"/>
      <c r="B74"/>
      <c r="C74"/>
      <c r="D74"/>
      <c r="E74"/>
    </row>
    <row r="75" spans="1:5" s="5" customFormat="1" hidden="1" x14ac:dyDescent="0.2">
      <c r="A75"/>
      <c r="B75"/>
      <c r="C75"/>
      <c r="D75"/>
      <c r="E75"/>
    </row>
    <row r="76" spans="1:5" s="5" customFormat="1" hidden="1" x14ac:dyDescent="0.2">
      <c r="A76"/>
      <c r="B76"/>
      <c r="C76"/>
      <c r="D76"/>
      <c r="E76"/>
    </row>
    <row r="77" spans="1:5" s="5" customFormat="1" hidden="1" x14ac:dyDescent="0.2">
      <c r="A77"/>
      <c r="B77"/>
      <c r="C77"/>
      <c r="D77"/>
      <c r="E77"/>
    </row>
    <row r="78" spans="1:5" s="5" customFormat="1" hidden="1" x14ac:dyDescent="0.2">
      <c r="A78"/>
      <c r="B78"/>
      <c r="C78"/>
      <c r="D78"/>
      <c r="E78"/>
    </row>
    <row r="79" spans="1:5" s="5" customFormat="1" hidden="1" x14ac:dyDescent="0.2">
      <c r="A79"/>
      <c r="B79"/>
      <c r="C79"/>
      <c r="D79"/>
      <c r="E79"/>
    </row>
    <row r="80" spans="1:5" s="5" customFormat="1" hidden="1" x14ac:dyDescent="0.2">
      <c r="A80"/>
      <c r="B80"/>
      <c r="C80"/>
      <c r="D80"/>
      <c r="E80"/>
    </row>
    <row r="81" spans="1:5" s="5" customFormat="1" hidden="1" x14ac:dyDescent="0.2">
      <c r="A81"/>
      <c r="B81"/>
      <c r="C81"/>
      <c r="D81"/>
      <c r="E81"/>
    </row>
    <row r="82" spans="1:5" s="5" customFormat="1" hidden="1" x14ac:dyDescent="0.2">
      <c r="A82"/>
      <c r="B82"/>
      <c r="C82"/>
      <c r="D82"/>
      <c r="E82"/>
    </row>
    <row r="83" spans="1:5" s="5" customFormat="1" hidden="1" x14ac:dyDescent="0.2">
      <c r="A83"/>
      <c r="B83"/>
      <c r="C83"/>
      <c r="D83"/>
      <c r="E83"/>
    </row>
    <row r="84" spans="1:5" s="5" customFormat="1" hidden="1" x14ac:dyDescent="0.2">
      <c r="A84"/>
      <c r="B84"/>
      <c r="C84"/>
      <c r="D84"/>
      <c r="E84"/>
    </row>
    <row r="85" spans="1:5" s="5" customFormat="1" hidden="1" x14ac:dyDescent="0.2">
      <c r="A85"/>
      <c r="B85"/>
      <c r="C85"/>
      <c r="D85"/>
      <c r="E85"/>
    </row>
    <row r="86" spans="1:5" s="5" customFormat="1" hidden="1" x14ac:dyDescent="0.2">
      <c r="A86"/>
      <c r="B86"/>
      <c r="C86"/>
      <c r="D86"/>
      <c r="E86"/>
    </row>
    <row r="87" spans="1:5" s="5" customFormat="1" hidden="1" x14ac:dyDescent="0.2">
      <c r="A87"/>
      <c r="B87"/>
      <c r="C87"/>
      <c r="D87"/>
      <c r="E87"/>
    </row>
    <row r="88" spans="1:5" s="5" customFormat="1" hidden="1" x14ac:dyDescent="0.2">
      <c r="A88"/>
      <c r="B88"/>
      <c r="C88"/>
      <c r="D88"/>
      <c r="E88"/>
    </row>
    <row r="89" spans="1:5" s="5" customFormat="1" hidden="1" x14ac:dyDescent="0.2">
      <c r="A89"/>
      <c r="B89"/>
      <c r="C89"/>
      <c r="D89"/>
      <c r="E89"/>
    </row>
    <row r="90" spans="1:5" s="5" customFormat="1" hidden="1" x14ac:dyDescent="0.2">
      <c r="A90"/>
      <c r="B90"/>
      <c r="C90"/>
      <c r="D90"/>
      <c r="E90"/>
    </row>
    <row r="91" spans="1:5" s="5" customFormat="1" hidden="1" x14ac:dyDescent="0.2">
      <c r="A91"/>
      <c r="B91"/>
      <c r="C91"/>
      <c r="D91"/>
      <c r="E91"/>
    </row>
    <row r="92" spans="1:5" s="5" customFormat="1" hidden="1" x14ac:dyDescent="0.2">
      <c r="A92"/>
      <c r="B92"/>
      <c r="C92"/>
      <c r="D92"/>
      <c r="E92"/>
    </row>
    <row r="93" spans="1:5" s="5" customFormat="1" hidden="1" x14ac:dyDescent="0.2">
      <c r="A93"/>
      <c r="B93"/>
      <c r="C93"/>
      <c r="D93"/>
      <c r="E93"/>
    </row>
    <row r="94" spans="1:5" s="5" customFormat="1" hidden="1" x14ac:dyDescent="0.2">
      <c r="A94"/>
      <c r="B94"/>
      <c r="C94"/>
      <c r="D94"/>
      <c r="E94"/>
    </row>
    <row r="95" spans="1:5" s="5" customFormat="1" hidden="1" x14ac:dyDescent="0.2">
      <c r="A95"/>
      <c r="B95"/>
      <c r="C95"/>
      <c r="D95"/>
      <c r="E95"/>
    </row>
    <row r="96" spans="1:5" s="5" customFormat="1" hidden="1" x14ac:dyDescent="0.2">
      <c r="A96"/>
      <c r="B96"/>
      <c r="C96"/>
      <c r="D96"/>
      <c r="E96"/>
    </row>
    <row r="97" spans="1:5" s="5" customFormat="1" hidden="1" x14ac:dyDescent="0.2">
      <c r="A97"/>
      <c r="B97"/>
      <c r="C97"/>
      <c r="D97"/>
      <c r="E97"/>
    </row>
    <row r="98" spans="1:5" s="5" customFormat="1" hidden="1" x14ac:dyDescent="0.2">
      <c r="A98"/>
      <c r="B98"/>
      <c r="C98"/>
      <c r="D98"/>
      <c r="E98"/>
    </row>
    <row r="99" spans="1:5" s="5" customFormat="1" hidden="1" x14ac:dyDescent="0.2">
      <c r="A99"/>
      <c r="B99"/>
      <c r="C99"/>
      <c r="D99"/>
      <c r="E99"/>
    </row>
    <row r="100" spans="1:5" s="5" customFormat="1" hidden="1" x14ac:dyDescent="0.2">
      <c r="A100"/>
      <c r="B100"/>
      <c r="C100"/>
      <c r="D100"/>
      <c r="E100"/>
    </row>
    <row r="101" spans="1:5" s="5" customFormat="1" hidden="1" x14ac:dyDescent="0.2">
      <c r="A101"/>
      <c r="B101"/>
      <c r="C101"/>
      <c r="D101"/>
      <c r="E101"/>
    </row>
    <row r="102" spans="1:5" s="5" customFormat="1" hidden="1" x14ac:dyDescent="0.2">
      <c r="A102"/>
      <c r="B102"/>
      <c r="C102"/>
      <c r="D102"/>
      <c r="E102"/>
    </row>
    <row r="103" spans="1:5" s="5" customFormat="1" hidden="1" x14ac:dyDescent="0.2">
      <c r="A103"/>
      <c r="B103"/>
      <c r="C103"/>
      <c r="D103"/>
      <c r="E103"/>
    </row>
    <row r="104" spans="1:5" s="5" customFormat="1" hidden="1" x14ac:dyDescent="0.2">
      <c r="A104"/>
      <c r="B104"/>
      <c r="C104"/>
      <c r="D104"/>
      <c r="E104"/>
    </row>
    <row r="105" spans="1:5" s="5" customFormat="1" hidden="1" x14ac:dyDescent="0.2">
      <c r="A105"/>
      <c r="B105"/>
      <c r="C105"/>
      <c r="D105"/>
      <c r="E105"/>
    </row>
  </sheetData>
  <mergeCells count="3">
    <mergeCell ref="A12:B12"/>
    <mergeCell ref="C12:D12"/>
    <mergeCell ref="F12:G12"/>
  </mergeCells>
  <phoneticPr fontId="24" type="noConversion"/>
  <hyperlinks>
    <hyperlink ref="B4" location="'AER Final Decision - Services'!B9" display="Table 3" xr:uid="{5A5A3D92-64CA-4BDB-B1FD-01688BE77E37}"/>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G79"/>
  <sheetViews>
    <sheetView showGridLines="0" zoomScaleNormal="100" workbookViewId="0"/>
  </sheetViews>
  <sheetFormatPr defaultRowHeight="12.6" customHeight="1" x14ac:dyDescent="0.2"/>
  <cols>
    <col min="1" max="1" width="5.85546875" customWidth="1"/>
    <col min="2" max="2" width="70.85546875" customWidth="1"/>
    <col min="3" max="3" width="7" customWidth="1"/>
    <col min="4" max="7" width="8.7109375" customWidth="1"/>
  </cols>
  <sheetData>
    <row r="1" spans="1:3" s="28" customFormat="1" ht="24.95" customHeight="1" x14ac:dyDescent="0.2">
      <c r="A1" s="27"/>
      <c r="B1" s="35" t="str">
        <f>Index!B1</f>
        <v>Jemena Electricity Networks – Alternative Control Services Forecast model</v>
      </c>
    </row>
    <row r="2" spans="1:3" s="28" customFormat="1" ht="24.95" customHeight="1" x14ac:dyDescent="0.2">
      <c r="A2" s="27"/>
      <c r="B2" s="35" t="str">
        <f ca="1">MID(CELL("filename",A1),FIND("]",CELL("filename",A1))+1,255)</f>
        <v>Model Validation</v>
      </c>
    </row>
    <row r="3" spans="1:3" s="4" customFormat="1" ht="8.25" customHeight="1" x14ac:dyDescent="0.2">
      <c r="A3" s="5"/>
      <c r="B3" s="5"/>
    </row>
    <row r="4" spans="1:3" ht="12.75" x14ac:dyDescent="0.2">
      <c r="A4" s="5"/>
      <c r="B4" s="94" t="s">
        <v>601</v>
      </c>
      <c r="C4" s="101">
        <f>IF(SUM(C8:C17)=0,0,1)</f>
        <v>1</v>
      </c>
    </row>
    <row r="5" spans="1:3" ht="6.75" customHeight="1" x14ac:dyDescent="0.2">
      <c r="A5" s="5"/>
      <c r="B5" s="5"/>
      <c r="C5" s="5"/>
    </row>
    <row r="6" spans="1:3" ht="6.75" customHeight="1" x14ac:dyDescent="0.2">
      <c r="A6" s="5"/>
      <c r="B6" s="5"/>
      <c r="C6" s="5"/>
    </row>
    <row r="7" spans="1:3" ht="12.75" x14ac:dyDescent="0.2">
      <c r="A7" s="5"/>
      <c r="B7" s="9" t="str">
        <f>Index!B7</f>
        <v>Worksheet name</v>
      </c>
      <c r="C7" s="5"/>
    </row>
    <row r="8" spans="1:3" ht="12.75" x14ac:dyDescent="0.2">
      <c r="A8" s="5"/>
      <c r="B8" s="5" t="str">
        <f ca="1">Index!B8</f>
        <v>Output|Fee Based</v>
      </c>
      <c r="C8" s="101">
        <f>IF(SUM(C44:C45)=0,0,1)</f>
        <v>0</v>
      </c>
    </row>
    <row r="9" spans="1:3" ht="12.75" x14ac:dyDescent="0.2">
      <c r="A9" s="5"/>
      <c r="B9" s="5" t="str">
        <f ca="1">Index!B9</f>
        <v>Output|Quoted</v>
      </c>
      <c r="C9" s="101">
        <f>IF(SUM(C48:C50)=0,0,1)</f>
        <v>0</v>
      </c>
    </row>
    <row r="10" spans="1:3" ht="12.75" x14ac:dyDescent="0.2">
      <c r="A10" s="5"/>
      <c r="B10" s="5" t="str">
        <f ca="1">Index!B10</f>
        <v>Input|Setup</v>
      </c>
      <c r="C10" s="101">
        <f>IF(SUM(C53:C58)=0,0,1)</f>
        <v>0</v>
      </c>
    </row>
    <row r="11" spans="1:3" ht="12.75" x14ac:dyDescent="0.2">
      <c r="A11" s="5"/>
      <c r="B11" s="5" t="str">
        <f ca="1">Index!B11</f>
        <v>Input|Escalations</v>
      </c>
      <c r="C11" s="101">
        <f>IF(SUM(C61:C62)=0,0,1)</f>
        <v>0</v>
      </c>
    </row>
    <row r="12" spans="1:3" ht="12.75" x14ac:dyDescent="0.2">
      <c r="A12" s="5"/>
      <c r="B12" s="5" t="str">
        <f ca="1">Index!B12</f>
        <v>Input|Indirect Cost Rates</v>
      </c>
      <c r="C12" s="4" t="s">
        <v>293</v>
      </c>
    </row>
    <row r="13" spans="1:3" ht="12.75" x14ac:dyDescent="0.2">
      <c r="A13" s="5"/>
      <c r="B13" s="5" t="str">
        <f ca="1">Index!B13</f>
        <v>Input|Labour Rates</v>
      </c>
      <c r="C13" s="101">
        <f>IF(SUM(C65:C66)=0,0,1)</f>
        <v>0</v>
      </c>
    </row>
    <row r="14" spans="1:3" ht="12.75" x14ac:dyDescent="0.2">
      <c r="A14" s="5"/>
      <c r="B14" s="5" t="str">
        <f>Index!B14</f>
        <v>Input|Fee Based</v>
      </c>
      <c r="C14" s="101">
        <f>IF(SUM(C69:C72)=0,0,1)</f>
        <v>1</v>
      </c>
    </row>
    <row r="15" spans="1:3" ht="12.75" x14ac:dyDescent="0.2">
      <c r="A15" s="5"/>
      <c r="B15" s="5" t="str">
        <f ca="1">Index!B15</f>
        <v>Input|Fee Based Mapping</v>
      </c>
      <c r="C15" s="101">
        <f>IF(SUM(C75)=0,0,1)</f>
        <v>0</v>
      </c>
    </row>
    <row r="16" spans="1:3" ht="12.75" x14ac:dyDescent="0.2">
      <c r="A16" s="5"/>
      <c r="B16" s="5" t="str">
        <f ca="1">Index!B17</f>
        <v>Calc|Labour Rates</v>
      </c>
      <c r="C16" s="4" t="s">
        <v>293</v>
      </c>
    </row>
    <row r="17" spans="1:7" ht="12.75" x14ac:dyDescent="0.2">
      <c r="A17" s="5"/>
      <c r="B17" s="5" t="str">
        <f ca="1">Index!B18</f>
        <v>Calc|Fee Based</v>
      </c>
      <c r="C17" s="101">
        <f>IF(SUM(C78)=0,0,1)</f>
        <v>0</v>
      </c>
    </row>
    <row r="18" spans="1:7" ht="12.75" x14ac:dyDescent="0.2">
      <c r="A18" s="5"/>
      <c r="B18" s="5" t="str">
        <f ca="1">Index!B19</f>
        <v>Model Validation</v>
      </c>
      <c r="C18" s="4" t="s">
        <v>293</v>
      </c>
      <c r="G18" s="167"/>
    </row>
    <row r="19" spans="1:7" ht="12.75" x14ac:dyDescent="0.2">
      <c r="A19" s="5"/>
      <c r="B19" s="167" t="str">
        <f>'Input|Labour Rates'!B100</f>
        <v>ND1P</v>
      </c>
      <c r="C19" s="101" cm="1">
        <f t="array" aca="1" ref="C19" ca="1">INDIRECT("'"&amp;$B19&amp;"'!J1",TRUE)</f>
        <v>0</v>
      </c>
      <c r="G19" s="167"/>
    </row>
    <row r="20" spans="1:7" ht="12.75" x14ac:dyDescent="0.2">
      <c r="A20" s="5"/>
      <c r="B20" s="167" t="str">
        <f>'Input|Labour Rates'!B101</f>
        <v>ND3P</v>
      </c>
      <c r="C20" s="101" cm="1">
        <f t="array" aca="1" ref="C20" ca="1">INDIRECT("'"&amp;$B20&amp;"'!J1",TRUE)</f>
        <v>0</v>
      </c>
      <c r="G20" s="167"/>
    </row>
    <row r="21" spans="1:7" ht="12.75" x14ac:dyDescent="0.2">
      <c r="A21" s="5"/>
      <c r="B21" s="167" t="str">
        <f>'Input|Labour Rates'!B102</f>
        <v>BTSO</v>
      </c>
      <c r="C21" s="101" cm="1">
        <f t="array" aca="1" ref="C21" ca="1">INDIRECT("'"&amp;$B21&amp;"'!J1",TRUE)</f>
        <v>0</v>
      </c>
      <c r="G21" s="167"/>
    </row>
    <row r="22" spans="1:7" ht="12.75" x14ac:dyDescent="0.2">
      <c r="A22" s="5"/>
      <c r="B22" s="167" t="str">
        <f>'Input|Labour Rates'!B103</f>
        <v>BTSP</v>
      </c>
      <c r="C22" s="101" cm="1">
        <f t="array" aca="1" ref="C22" ca="1">INDIRECT("'"&amp;$B22&amp;"'!J1",TRUE)</f>
        <v>0</v>
      </c>
      <c r="G22" s="167"/>
    </row>
    <row r="23" spans="1:7" ht="12.75" x14ac:dyDescent="0.2">
      <c r="A23" s="5"/>
      <c r="B23" s="167" t="str">
        <f>'Input|Labour Rates'!B104</f>
        <v>SUTK</v>
      </c>
      <c r="C23" s="101" cm="1">
        <f t="array" aca="1" ref="C23" ca="1">INDIRECT("'"&amp;$B23&amp;"'!J1",TRUE)</f>
        <v>0</v>
      </c>
      <c r="G23" s="167"/>
    </row>
    <row r="24" spans="1:7" ht="12.75" x14ac:dyDescent="0.2">
      <c r="A24" s="5"/>
      <c r="B24" s="167" t="str">
        <f>'Input|Labour Rates'!B105</f>
        <v>RTK1</v>
      </c>
      <c r="C24" s="101" cm="1">
        <f t="array" aca="1" ref="C24" ca="1">INDIRECT("'"&amp;$B24&amp;"'!J1",TRUE)</f>
        <v>0</v>
      </c>
      <c r="G24" s="167"/>
    </row>
    <row r="25" spans="1:7" ht="12.75" x14ac:dyDescent="0.2">
      <c r="A25" s="5"/>
      <c r="B25" s="167" t="str">
        <f>'Input|Labour Rates'!B106</f>
        <v>REEN</v>
      </c>
      <c r="C25" s="101" cm="1">
        <f t="array" aca="1" ref="C25" ca="1">INDIRECT("'"&amp;$B25&amp;"'!J1",TRUE)</f>
        <v>0</v>
      </c>
      <c r="G25" s="167"/>
    </row>
    <row r="26" spans="1:7" ht="12.75" x14ac:dyDescent="0.2">
      <c r="A26" s="5"/>
      <c r="B26" s="167" t="str">
        <f>'Input|Labour Rates'!B107</f>
        <v>DEEN</v>
      </c>
      <c r="C26" s="101" cm="1">
        <f t="array" aca="1" ref="C26" ca="1">INDIRECT("'"&amp;$B26&amp;"'!J1",TRUE)</f>
        <v>0</v>
      </c>
      <c r="G26" s="167"/>
    </row>
    <row r="27" spans="1:7" ht="12.75" x14ac:dyDescent="0.2">
      <c r="A27" s="5"/>
      <c r="B27" s="167" t="str">
        <f>'Input|Labour Rates'!B108</f>
        <v>DCTK</v>
      </c>
      <c r="C27" s="101" cm="1">
        <f t="array" aca="1" ref="C27" ca="1">INDIRECT("'"&amp;$B27&amp;"'!J1",TRUE)</f>
        <v>0</v>
      </c>
      <c r="G27" s="167"/>
    </row>
    <row r="28" spans="1:7" ht="12.75" x14ac:dyDescent="0.2">
      <c r="A28" s="5"/>
      <c r="B28" s="167" t="str">
        <f>'Input|Labour Rates'!B109</f>
        <v>RCTK</v>
      </c>
      <c r="C28" s="101" cm="1">
        <f t="array" aca="1" ref="C28" ca="1">INDIRECT("'"&amp;$B28&amp;"'!J1",TRUE)</f>
        <v>0</v>
      </c>
      <c r="G28" s="167"/>
    </row>
    <row r="29" spans="1:7" ht="12.75" x14ac:dyDescent="0.2">
      <c r="A29" s="5"/>
      <c r="B29" s="167" t="str">
        <f>'Input|Labour Rates'!B110</f>
        <v>SLOM</v>
      </c>
      <c r="C29" s="101" cm="1">
        <f t="array" aca="1" ref="C29" ca="1">INDIRECT("'"&amp;$B29&amp;"'!J1",TRUE)</f>
        <v>0</v>
      </c>
      <c r="G29" s="167"/>
    </row>
    <row r="30" spans="1:7" ht="12.75" x14ac:dyDescent="0.2">
      <c r="A30" s="5"/>
      <c r="B30" s="167" t="str">
        <f>'Input|Labour Rates'!B112</f>
        <v>RFOM</v>
      </c>
      <c r="C30" s="101" cm="1">
        <f t="array" aca="1" ref="C30" ca="1">INDIRECT("'"&amp;$B30&amp;"'!J1",TRUE)</f>
        <v>0</v>
      </c>
      <c r="G30" s="167"/>
    </row>
    <row r="31" spans="1:7" ht="12.75" x14ac:dyDescent="0.2">
      <c r="A31" s="5"/>
      <c r="B31" s="167" t="str">
        <f>'Input|Labour Rates'!B113</f>
        <v>REENRM</v>
      </c>
      <c r="C31" s="101" cm="1">
        <f t="array" aca="1" ref="C31" ca="1">INDIRECT("'"&amp;$B31&amp;"'!J1",TRUE)</f>
        <v>0</v>
      </c>
      <c r="G31" s="167"/>
    </row>
    <row r="32" spans="1:7" ht="12.75" x14ac:dyDescent="0.2">
      <c r="A32" s="5"/>
      <c r="B32" s="167" t="str">
        <f>'Input|Labour Rates'!B114</f>
        <v>DEENRM</v>
      </c>
      <c r="C32" s="101" cm="1">
        <f t="array" aca="1" ref="C32" ca="1">INDIRECT("'"&amp;$B32&amp;"'!J1",TRUE)</f>
        <v>0</v>
      </c>
      <c r="G32" s="167"/>
    </row>
    <row r="33" spans="1:7" ht="12.75" x14ac:dyDescent="0.2">
      <c r="A33" s="5"/>
      <c r="B33" s="167" t="str">
        <f>'Input|Labour Rates'!B115</f>
        <v>MCTK</v>
      </c>
      <c r="C33" s="101" cm="1">
        <f t="array" aca="1" ref="C33" ca="1">INDIRECT("'"&amp;$B33&amp;"'!J1",TRUE)</f>
        <v>0</v>
      </c>
      <c r="G33" s="167"/>
    </row>
    <row r="34" spans="1:7" ht="12.75" x14ac:dyDescent="0.2">
      <c r="A34" s="5"/>
      <c r="B34" s="167" t="str">
        <f>'Input|Labour Rates'!B116</f>
        <v>SPRDRM</v>
      </c>
      <c r="C34" s="101" cm="1">
        <f t="array" aca="1" ref="C34" ca="1">INDIRECT("'"&amp;$B34&amp;"'!J1",TRUE)</f>
        <v>0</v>
      </c>
      <c r="G34" s="167"/>
    </row>
    <row r="35" spans="1:7" ht="12.75" x14ac:dyDescent="0.2">
      <c r="A35" s="5"/>
      <c r="B35" s="167" t="str">
        <f>'Input|Labour Rates'!B117</f>
        <v>MECFRM</v>
      </c>
      <c r="C35" s="101" cm="1">
        <f t="array" aca="1" ref="C35" ca="1">INDIRECT("'"&amp;$B35&amp;"'!J1",TRUE)</f>
        <v>0</v>
      </c>
      <c r="G35" s="167"/>
    </row>
    <row r="36" spans="1:7" ht="12.75" x14ac:dyDescent="0.2">
      <c r="A36" s="5"/>
      <c r="B36" s="167" t="str">
        <f>'Input|Labour Rates'!B118</f>
        <v>SPRD</v>
      </c>
      <c r="C36" s="101" cm="1">
        <f t="array" aca="1" ref="C36" ca="1">INDIRECT("'"&amp;$B36&amp;"'!J1",TRUE)</f>
        <v>0</v>
      </c>
      <c r="G36" s="167"/>
    </row>
    <row r="37" spans="1:7" ht="12.75" x14ac:dyDescent="0.2">
      <c r="A37" s="5"/>
      <c r="B37" s="167" t="str">
        <f>'Input|Labour Rates'!B119</f>
        <v>MTAL</v>
      </c>
      <c r="C37" s="101" cm="1">
        <f t="array" aca="1" ref="C37" ca="1">INDIRECT("'"&amp;$B37&amp;"'!J1",TRUE)</f>
        <v>0</v>
      </c>
      <c r="G37" s="167"/>
    </row>
    <row r="38" spans="1:7" ht="12.75" x14ac:dyDescent="0.2">
      <c r="A38" s="5"/>
      <c r="B38" s="167" t="str">
        <f>'Input|Labour Rates'!B120</f>
        <v>MDCH</v>
      </c>
      <c r="C38" s="101" cm="1">
        <f t="array" aca="1" ref="C38" ca="1">INDIRECT("'"&amp;$B38&amp;"'!J1",TRUE)</f>
        <v>0</v>
      </c>
      <c r="G38" s="167"/>
    </row>
    <row r="39" spans="1:7" ht="12.75" x14ac:dyDescent="0.2">
      <c r="A39" s="5"/>
      <c r="B39" s="167" t="str">
        <f>'Input|Labour Rates'!B121</f>
        <v>NCUM</v>
      </c>
      <c r="C39" s="101" cm="1">
        <f t="array" aca="1" ref="C39" ca="1">INDIRECT("'"&amp;$B39&amp;"'!J1",TRUE)</f>
        <v>0</v>
      </c>
      <c r="G39" s="167"/>
    </row>
    <row r="40" spans="1:7" ht="12.75" x14ac:dyDescent="0.2">
      <c r="A40" s="5"/>
      <c r="B40" s="167" t="str">
        <f>'Input|Labour Rates'!B122</f>
        <v>WSVR</v>
      </c>
      <c r="C40" s="101" cm="1">
        <f t="array" aca="1" ref="C40" ca="1">INDIRECT("'"&amp;$B40&amp;"'!J1",TRUE)</f>
        <v>0</v>
      </c>
      <c r="G40" s="167"/>
    </row>
    <row r="41" spans="1:7" ht="12.75" x14ac:dyDescent="0.2">
      <c r="A41" s="5"/>
      <c r="B41" s="167" t="str">
        <f>'Input|Labour Rates'!B123</f>
        <v>RTK3</v>
      </c>
      <c r="C41" s="101" cm="1">
        <f t="array" aca="1" ref="C41" ca="1">INDIRECT("'"&amp;$B41&amp;"'!J1",TRUE)</f>
        <v>0</v>
      </c>
      <c r="G41" s="167"/>
    </row>
    <row r="42" spans="1:7" ht="12.6" customHeight="1" x14ac:dyDescent="0.2">
      <c r="A42" s="5"/>
      <c r="B42" s="167"/>
      <c r="C42" s="101"/>
    </row>
    <row r="43" spans="1:7" ht="12.6" customHeight="1" x14ac:dyDescent="0.2">
      <c r="A43" s="95"/>
      <c r="B43" s="97" t="str">
        <f ca="1">B8</f>
        <v>Output|Fee Based</v>
      </c>
      <c r="C43" s="96"/>
    </row>
    <row r="44" spans="1:7" ht="12.6" customHeight="1" x14ac:dyDescent="0.2">
      <c r="A44" s="5"/>
      <c r="B44" s="5" t="str">
        <f>Index!B48</f>
        <v>1.1 X-factors for each year of 2026-27 to 2030-31 regulatory period, (per cent)</v>
      </c>
      <c r="C44" s="123">
        <f>'Output|Fee Based'!H5</f>
        <v>0</v>
      </c>
    </row>
    <row r="45" spans="1:7" ht="12.6" customHeight="1" x14ac:dyDescent="0.2">
      <c r="A45" s="5"/>
      <c r="B45" s="5" t="str">
        <f>Index!B49</f>
        <v>1.2 Fee based services for 2026-27</v>
      </c>
      <c r="C45" s="101">
        <f>'Output|Fee Based'!I10</f>
        <v>0</v>
      </c>
    </row>
    <row r="46" spans="1:7" ht="12.6" customHeight="1" x14ac:dyDescent="0.2">
      <c r="A46" s="5"/>
      <c r="B46" s="5"/>
      <c r="C46" s="101"/>
    </row>
    <row r="47" spans="1:7" ht="12.6" customHeight="1" x14ac:dyDescent="0.2">
      <c r="A47" s="95"/>
      <c r="B47" s="98" t="str">
        <f ca="1">B9</f>
        <v>Output|Quoted</v>
      </c>
      <c r="C47" s="124"/>
    </row>
    <row r="48" spans="1:7" ht="12.6" customHeight="1" x14ac:dyDescent="0.2">
      <c r="A48" s="99"/>
      <c r="B48" s="5" t="str">
        <f>Index!B50</f>
        <v>2.1 X-factors for each year of 2026-27 to 2030-31 regulatory period, (per cent)</v>
      </c>
      <c r="C48" s="101">
        <f>IF(SUM('Output|Quoted'!D4:G4)=0,0,1)</f>
        <v>0</v>
      </c>
    </row>
    <row r="49" spans="1:3" ht="12.6" customHeight="1" x14ac:dyDescent="0.2">
      <c r="A49" s="99"/>
      <c r="B49" s="5" t="str">
        <f>Index!B51</f>
        <v>2.2 Labour rates for 2026-27, ($2026-27)</v>
      </c>
      <c r="C49" s="101">
        <f>IF(SUM('Output|Quoted'!G12:G31)=0,0,1)</f>
        <v>0</v>
      </c>
    </row>
    <row r="50" spans="1:3" ht="12.6" customHeight="1" x14ac:dyDescent="0.2">
      <c r="A50" s="99"/>
      <c r="B50" s="5" t="str">
        <f>Index!B52</f>
        <v>2.3 List of quoted services for 2026-27 to 2030-31 regulatory period</v>
      </c>
      <c r="C50" s="101">
        <f>IF(SUM('Output|Quoted'!G36:G85)=0,0,1)</f>
        <v>0</v>
      </c>
    </row>
    <row r="51" spans="1:3" ht="12.6" customHeight="1" x14ac:dyDescent="0.2">
      <c r="A51" s="99"/>
      <c r="B51" s="100"/>
      <c r="C51" s="125"/>
    </row>
    <row r="52" spans="1:3" ht="12.6" customHeight="1" x14ac:dyDescent="0.2">
      <c r="A52" s="95"/>
      <c r="B52" s="98" t="str">
        <f ca="1">B10</f>
        <v>Input|Setup</v>
      </c>
      <c r="C52" s="124"/>
    </row>
    <row r="53" spans="1:3" ht="12.6" customHeight="1" x14ac:dyDescent="0.2">
      <c r="A53" s="99"/>
      <c r="B53" s="5" t="str">
        <f>Index!B53</f>
        <v>3.1 Years setup</v>
      </c>
      <c r="C53" s="125">
        <f>'Input|Setup'!F5</f>
        <v>0</v>
      </c>
    </row>
    <row r="54" spans="1:3" ht="12.6" customHeight="1" x14ac:dyDescent="0.2">
      <c r="A54" s="99"/>
      <c r="B54" s="5" t="str">
        <f>Index!B58</f>
        <v>3.6 Hours</v>
      </c>
      <c r="C54" s="125">
        <f>'Input|Setup'!C24</f>
        <v>0</v>
      </c>
    </row>
    <row r="55" spans="1:3" ht="12.6" customHeight="1" x14ac:dyDescent="0.2">
      <c r="A55" s="99"/>
      <c r="B55" s="5" t="str">
        <f>Index!B59</f>
        <v>3.7 Labour type</v>
      </c>
      <c r="C55" s="125">
        <f>'Input|Setup'!C30</f>
        <v>0</v>
      </c>
    </row>
    <row r="56" spans="1:3" ht="12.6" customHeight="1" x14ac:dyDescent="0.2">
      <c r="A56" s="99"/>
      <c r="B56" s="5" t="str">
        <f>Index!B60</f>
        <v>3.8 Service category</v>
      </c>
      <c r="C56" s="125">
        <f>'Input|Setup'!F30</f>
        <v>0</v>
      </c>
    </row>
    <row r="57" spans="1:3" ht="12.6" customHeight="1" x14ac:dyDescent="0.2">
      <c r="A57" s="99"/>
      <c r="B57" s="5" t="str">
        <f>Index!B61</f>
        <v>3.9 Expense Type</v>
      </c>
      <c r="C57" s="125">
        <f>'Input|Setup'!I30</f>
        <v>0</v>
      </c>
    </row>
    <row r="58" spans="1:3" ht="12.6" customHeight="1" x14ac:dyDescent="0.2">
      <c r="A58" s="99"/>
      <c r="B58" s="5" t="str">
        <f>Index!B62</f>
        <v>3.10 Control Mechanism</v>
      </c>
      <c r="C58" s="125">
        <f>'Input|Setup'!I40</f>
        <v>0</v>
      </c>
    </row>
    <row r="59" spans="1:3" ht="12.6" customHeight="1" x14ac:dyDescent="0.2">
      <c r="A59" s="99"/>
      <c r="B59" s="100"/>
      <c r="C59" s="125"/>
    </row>
    <row r="60" spans="1:3" ht="12.6" customHeight="1" x14ac:dyDescent="0.2">
      <c r="A60" s="95"/>
      <c r="B60" s="98" t="str">
        <f ca="1">B11</f>
        <v>Input|Escalations</v>
      </c>
      <c r="C60" s="124"/>
    </row>
    <row r="61" spans="1:3" ht="12.6" customHeight="1" x14ac:dyDescent="0.2">
      <c r="A61" s="99"/>
      <c r="B61" s="5" t="str">
        <f>Index!B64</f>
        <v>4.2 Inflation</v>
      </c>
      <c r="C61" s="125">
        <f>IF(SUM('Input|Escalations'!N20:N21)=0,0,1)</f>
        <v>0</v>
      </c>
    </row>
    <row r="62" spans="1:3" ht="12.6" customHeight="1" x14ac:dyDescent="0.2">
      <c r="A62" s="99"/>
      <c r="B62" s="5" t="str">
        <f>Index!B66</f>
        <v>4.3.1 Real wage price escalation</v>
      </c>
      <c r="C62" s="125">
        <f>IF('Input|Escalations'!N41+'Input|Escalations'!N47+'Input|Escalations'!N52=0,0,1)</f>
        <v>0</v>
      </c>
    </row>
    <row r="63" spans="1:3" ht="12.6" customHeight="1" x14ac:dyDescent="0.2">
      <c r="A63" s="99"/>
      <c r="B63" s="100"/>
      <c r="C63" s="125"/>
    </row>
    <row r="64" spans="1:3" ht="12.6" customHeight="1" x14ac:dyDescent="0.2">
      <c r="A64" s="95"/>
      <c r="B64" s="98" t="str">
        <f ca="1">B13</f>
        <v>Input|Labour Rates</v>
      </c>
      <c r="C64" s="124"/>
    </row>
    <row r="65" spans="1:3" ht="12.6" customHeight="1" x14ac:dyDescent="0.2">
      <c r="A65" s="99"/>
      <c r="B65" s="5" t="str">
        <f>Index!B72</f>
        <v>6.1 Labour rates</v>
      </c>
      <c r="C65" s="125">
        <f>IF(SUM('Input|Labour Rates'!J10:J29)=0,0,1)</f>
        <v>0</v>
      </c>
    </row>
    <row r="66" spans="1:3" ht="12.6" customHeight="1" x14ac:dyDescent="0.2">
      <c r="A66" s="99"/>
      <c r="B66" t="str">
        <f>Index!B73</f>
        <v>6.2 Notes and sources for "Other costs"</v>
      </c>
      <c r="C66" s="125">
        <f>IF(SUM('Input|Labour Rates'!L10:L29)=0,0,1)</f>
        <v>0</v>
      </c>
    </row>
    <row r="67" spans="1:3" ht="12.6" customHeight="1" x14ac:dyDescent="0.2">
      <c r="C67" s="126"/>
    </row>
    <row r="68" spans="1:3" ht="12.6" customHeight="1" x14ac:dyDescent="0.2">
      <c r="A68" s="95"/>
      <c r="B68" s="98" t="str">
        <f>B14</f>
        <v>Input|Fee Based</v>
      </c>
      <c r="C68" s="124"/>
    </row>
    <row r="69" spans="1:3" ht="12.6" customHeight="1" x14ac:dyDescent="0.2">
      <c r="A69" s="99"/>
      <c r="B69" s="5" t="str">
        <f>Index!B75</f>
        <v>7.1 Fee based services</v>
      </c>
      <c r="C69" s="125">
        <f>IF(SUM('Input|Fee Based'!H12:H61)=0,0,1)</f>
        <v>0</v>
      </c>
    </row>
    <row r="70" spans="1:3" ht="12.6" customHeight="1" x14ac:dyDescent="0.2">
      <c r="A70" s="99"/>
      <c r="B70" s="5" t="str">
        <f>Index!B76</f>
        <v>7.2 Service cost build up - DIRECT COSTS, $'s ($2024-25)</v>
      </c>
      <c r="C70" s="125">
        <f>IF(SUM('Input|Fee Based'!M10,'Input|Fee Based'!S10)=0,0,1)</f>
        <v>0</v>
      </c>
    </row>
    <row r="71" spans="1:3" ht="12.6" customHeight="1" x14ac:dyDescent="0.2">
      <c r="B71" s="5" t="str">
        <f>Index!B77</f>
        <v>7.3 Service cost build - INDIRECT COSTS (per cent)</v>
      </c>
      <c r="C71" s="125">
        <f>IF(SUM('Input|Fee Based'!AB12:AE61)=0,0,1)</f>
        <v>0</v>
      </c>
    </row>
    <row r="72" spans="1:3" ht="12.6" customHeight="1" x14ac:dyDescent="0.2">
      <c r="B72" s="5" t="str">
        <f>Index!B78</f>
        <v>7.4 Notes and sources for "Other costs"</v>
      </c>
      <c r="C72" s="125">
        <f>IF(SUM('Input|Fee Based'!AG12:AG61)=0,0,1)</f>
        <v>1</v>
      </c>
    </row>
    <row r="73" spans="1:3" ht="12.6" customHeight="1" x14ac:dyDescent="0.2">
      <c r="C73" s="126"/>
    </row>
    <row r="74" spans="1:3" ht="12.6" customHeight="1" x14ac:dyDescent="0.2">
      <c r="A74" s="95"/>
      <c r="B74" s="98" t="str">
        <f ca="1">B15</f>
        <v>Input|Fee Based Mapping</v>
      </c>
      <c r="C74" s="124"/>
    </row>
    <row r="75" spans="1:3" ht="12.6" customHeight="1" x14ac:dyDescent="0.2">
      <c r="A75" s="99"/>
      <c r="B75" s="5" t="str">
        <f>Index!B79</f>
        <v>8.1 Current regulatory period - Fee based services</v>
      </c>
      <c r="C75" s="125">
        <f>IF(SUM('Input|Fee Based Mapping'!N10:R10)=0,0,1)</f>
        <v>0</v>
      </c>
    </row>
    <row r="76" spans="1:3" ht="12.6" customHeight="1" x14ac:dyDescent="0.2">
      <c r="A76" s="99"/>
    </row>
    <row r="77" spans="1:3" ht="12.6" customHeight="1" x14ac:dyDescent="0.2">
      <c r="A77" s="95"/>
      <c r="B77" s="98" t="str">
        <f ca="1">B17</f>
        <v>Calc|Fee Based</v>
      </c>
      <c r="C77" s="124"/>
    </row>
    <row r="78" spans="1:3" ht="12.6" customHeight="1" x14ac:dyDescent="0.2">
      <c r="A78" s="99"/>
      <c r="B78" s="5" t="str">
        <f>Index!B84</f>
        <v>10.2 Year 1 service cost build up - DIRECT COSTS, $'s ($2026-27)</v>
      </c>
      <c r="C78" s="125">
        <f>IF('Calc|Fee Based'!N10+'Calc|Fee Based'!U10=0,0,1)</f>
        <v>0</v>
      </c>
    </row>
    <row r="79" spans="1:3" ht="12.6" customHeight="1" x14ac:dyDescent="0.2">
      <c r="A79" s="99"/>
      <c r="B79" s="5" t="str">
        <f>Index!B85</f>
        <v>10.3 Year 1 Service cost build up - INDIRECT COSTS, $'s ($2026-27)</v>
      </c>
      <c r="C79" s="125">
        <f>IF('Calc|Fee Based'!N11+'Calc|Fee Based'!U11=0,0,1)</f>
        <v>0</v>
      </c>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3" id="{1492ADD2-AAAF-4C2A-9DDE-18C68E89D63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C8:C9</xm:sqref>
        </x14:conditionalFormatting>
        <x14:conditionalFormatting xmlns:xm="http://schemas.microsoft.com/office/excel/2006/main">
          <x14:cfRule type="iconSet" priority="12" id="{53CF164E-D6FA-4423-A442-0B48B663CB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C10:C17</xm:sqref>
        </x14:conditionalFormatting>
        <x14:conditionalFormatting xmlns:xm="http://schemas.microsoft.com/office/excel/2006/main">
          <x14:cfRule type="iconSet" priority="7" id="{747BF724-4803-4BCF-9B75-4B6DB7E09C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C18</xm:sqref>
        </x14:conditionalFormatting>
        <x14:conditionalFormatting xmlns:xm="http://schemas.microsoft.com/office/excel/2006/main">
          <x14:cfRule type="iconSet" priority="225" id="{70DD392E-B914-42F2-8CA0-7E7EBE33B0E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C19:C42</xm:sqref>
        </x14:conditionalFormatting>
        <x14:conditionalFormatting xmlns:xm="http://schemas.microsoft.com/office/excel/2006/main">
          <x14:cfRule type="iconSet" priority="15" id="{CED27B23-256C-4315-A53F-380393581AA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C61:C63 C4 C44:C45 C48:C50 C53:C58</xm:sqref>
        </x14:conditionalFormatting>
        <x14:conditionalFormatting xmlns:xm="http://schemas.microsoft.com/office/excel/2006/main">
          <x14:cfRule type="iconSet" priority="2" id="{2C21FDBF-A7ED-4881-8E46-CE6ACBDDA5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C65</xm:sqref>
        </x14:conditionalFormatting>
        <x14:conditionalFormatting xmlns:xm="http://schemas.microsoft.com/office/excel/2006/main">
          <x14:cfRule type="iconSet" priority="11" id="{ABF4AD9E-6DA4-400B-AFD0-1C0F1B8661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C66</xm:sqref>
        </x14:conditionalFormatting>
        <x14:conditionalFormatting xmlns:xm="http://schemas.microsoft.com/office/excel/2006/main">
          <x14:cfRule type="iconSet" priority="1" id="{4207E2A7-A54A-436A-A114-2C14CD07A14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C69</xm:sqref>
        </x14:conditionalFormatting>
        <x14:conditionalFormatting xmlns:xm="http://schemas.microsoft.com/office/excel/2006/main">
          <x14:cfRule type="iconSet" priority="10" id="{16AC93F7-C044-47B8-AD5C-083FEB9A66C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C70:C72</xm:sqref>
        </x14:conditionalFormatting>
        <x14:conditionalFormatting xmlns:xm="http://schemas.microsoft.com/office/excel/2006/main">
          <x14:cfRule type="iconSet" priority="9" id="{ECA020CE-21B3-4C98-A7E1-EBA10B4916C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C75</xm:sqref>
        </x14:conditionalFormatting>
        <x14:conditionalFormatting xmlns:xm="http://schemas.microsoft.com/office/excel/2006/main">
          <x14:cfRule type="iconSet" priority="8" id="{B7780B47-4A8A-41BC-B5BC-A05DDB6D7A6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C78:C79</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BC1CC-2C58-4B40-B7D1-27BC08E07AA6}">
  <sheetPr codeName="Sheet13">
    <tabColor theme="8" tint="0.79998168889431442"/>
  </sheetPr>
  <dimension ref="A1:HO1257"/>
  <sheetViews>
    <sheetView showGridLines="0" topLeftCell="A14" zoomScale="70" zoomScaleNormal="70" workbookViewId="0">
      <selection activeCell="B36" sqref="B36:G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12.8554687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17.42578125" style="2" bestFit="1" customWidth="1"/>
    <col min="18" max="18" width="12.7109375" style="2" bestFit="1"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372</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729</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275" t="s">
        <v>235</v>
      </c>
      <c r="C10" s="158" t="s">
        <v>605</v>
      </c>
      <c r="D10" s="155">
        <v>1</v>
      </c>
      <c r="E10" s="151">
        <v>6</v>
      </c>
      <c r="F10" s="166">
        <v>6</v>
      </c>
      <c r="G10" s="101">
        <v>0</v>
      </c>
      <c r="H10" s="121" t="s">
        <v>238</v>
      </c>
      <c r="I10" s="158" t="s">
        <v>606</v>
      </c>
      <c r="J10" s="121">
        <v>2</v>
      </c>
      <c r="K10" s="151">
        <v>30</v>
      </c>
      <c r="L10" s="164">
        <v>60</v>
      </c>
      <c r="M10" s="101">
        <v>0</v>
      </c>
    </row>
    <row r="11" spans="1:23" ht="12.75" x14ac:dyDescent="0.2">
      <c r="A11" s="15">
        <v>2</v>
      </c>
      <c r="B11" s="121" t="s">
        <v>235</v>
      </c>
      <c r="C11" s="158" t="s">
        <v>607</v>
      </c>
      <c r="D11" s="155">
        <v>1</v>
      </c>
      <c r="E11" s="151">
        <v>3</v>
      </c>
      <c r="F11" s="166">
        <v>3</v>
      </c>
      <c r="G11" s="101">
        <v>0</v>
      </c>
      <c r="H11" s="121" t="s">
        <v>238</v>
      </c>
      <c r="I11" s="158" t="s">
        <v>608</v>
      </c>
      <c r="J11" s="121">
        <v>2</v>
      </c>
      <c r="K11" s="151">
        <v>5</v>
      </c>
      <c r="L11" s="164">
        <v>10</v>
      </c>
      <c r="M11" s="101">
        <v>0</v>
      </c>
    </row>
    <row r="12" spans="1:23" ht="12.75" x14ac:dyDescent="0.2">
      <c r="A12" s="15">
        <v>3</v>
      </c>
      <c r="B12" s="121" t="s">
        <v>235</v>
      </c>
      <c r="C12" s="158" t="s">
        <v>609</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611</v>
      </c>
      <c r="D13" s="155">
        <v>1</v>
      </c>
      <c r="E13" s="151">
        <v>8</v>
      </c>
      <c r="F13" s="166">
        <v>8</v>
      </c>
      <c r="G13" s="101">
        <v>0</v>
      </c>
      <c r="H13" s="121" t="s">
        <v>238</v>
      </c>
      <c r="I13" s="158" t="s">
        <v>612</v>
      </c>
      <c r="J13" s="121">
        <v>2</v>
      </c>
      <c r="K13" s="151">
        <v>15</v>
      </c>
      <c r="L13" s="164">
        <v>30</v>
      </c>
      <c r="M13" s="101">
        <v>0</v>
      </c>
    </row>
    <row r="14" spans="1:23" ht="12.75" x14ac:dyDescent="0.2">
      <c r="A14" s="15">
        <v>5</v>
      </c>
      <c r="B14" s="121" t="s">
        <v>235</v>
      </c>
      <c r="C14" s="158" t="s">
        <v>613</v>
      </c>
      <c r="D14" s="155">
        <v>1</v>
      </c>
      <c r="E14" s="151">
        <v>3</v>
      </c>
      <c r="F14" s="166">
        <v>3</v>
      </c>
      <c r="G14" s="101">
        <v>0</v>
      </c>
      <c r="H14" s="121" t="s">
        <v>238</v>
      </c>
      <c r="I14" s="158" t="s">
        <v>614</v>
      </c>
      <c r="J14" s="121">
        <v>2</v>
      </c>
      <c r="K14" s="151">
        <v>5</v>
      </c>
      <c r="L14" s="164">
        <v>10</v>
      </c>
      <c r="M14" s="101">
        <v>0</v>
      </c>
    </row>
    <row r="15" spans="1:23" ht="12.75" x14ac:dyDescent="0.2">
      <c r="A15" s="15">
        <v>6</v>
      </c>
      <c r="B15" s="121" t="s">
        <v>235</v>
      </c>
      <c r="C15" s="158" t="s">
        <v>615</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617</v>
      </c>
      <c r="D16" s="155">
        <v>1</v>
      </c>
      <c r="E16" s="151">
        <v>7.5</v>
      </c>
      <c r="F16" s="166">
        <v>7.5</v>
      </c>
      <c r="G16" s="101">
        <v>0</v>
      </c>
      <c r="H16" s="121"/>
      <c r="I16" s="158"/>
      <c r="J16" s="155"/>
      <c r="K16" s="151"/>
      <c r="L16" s="164">
        <v>0</v>
      </c>
      <c r="M16" s="101">
        <v>0</v>
      </c>
    </row>
    <row r="17" spans="1:24" ht="12.75" x14ac:dyDescent="0.2">
      <c r="A17" s="15">
        <v>8</v>
      </c>
      <c r="B17" s="121" t="s">
        <v>235</v>
      </c>
      <c r="C17" s="158" t="s">
        <v>618</v>
      </c>
      <c r="D17" s="155">
        <v>1</v>
      </c>
      <c r="E17" s="151">
        <v>6.5</v>
      </c>
      <c r="F17" s="166">
        <v>6.5</v>
      </c>
      <c r="G17" s="101">
        <v>0</v>
      </c>
      <c r="H17" s="121"/>
      <c r="I17" s="158"/>
      <c r="J17" s="155"/>
      <c r="K17" s="151"/>
      <c r="L17" s="164">
        <v>0</v>
      </c>
      <c r="M17" s="101">
        <v>0</v>
      </c>
    </row>
    <row r="18" spans="1:24" ht="12.75" x14ac:dyDescent="0.2">
      <c r="A18" s="15">
        <v>9</v>
      </c>
      <c r="B18" s="121" t="s">
        <v>235</v>
      </c>
      <c r="C18" s="158" t="s">
        <v>619</v>
      </c>
      <c r="D18" s="155">
        <v>1</v>
      </c>
      <c r="E18" s="151">
        <v>5.5</v>
      </c>
      <c r="F18" s="166">
        <v>5.5</v>
      </c>
      <c r="G18" s="101">
        <v>0</v>
      </c>
      <c r="H18" s="121"/>
      <c r="I18" s="158"/>
      <c r="J18" s="155"/>
      <c r="K18" s="151"/>
      <c r="L18" s="164">
        <v>0</v>
      </c>
      <c r="M18" s="101">
        <v>0</v>
      </c>
    </row>
    <row r="19" spans="1:24" ht="12.75" x14ac:dyDescent="0.2">
      <c r="A19" s="15">
        <v>10</v>
      </c>
      <c r="B19" s="121" t="s">
        <v>235</v>
      </c>
      <c r="C19" s="158" t="s">
        <v>620</v>
      </c>
      <c r="D19" s="155">
        <v>1</v>
      </c>
      <c r="E19" s="151">
        <v>7.5</v>
      </c>
      <c r="F19" s="166">
        <v>7.5</v>
      </c>
      <c r="G19" s="101">
        <v>0</v>
      </c>
      <c r="H19" s="121"/>
      <c r="I19" s="158"/>
      <c r="J19" s="155"/>
      <c r="K19" s="151"/>
      <c r="L19" s="164">
        <v>0</v>
      </c>
      <c r="M19" s="101">
        <v>0</v>
      </c>
    </row>
    <row r="20" spans="1:24" ht="12.75" x14ac:dyDescent="0.2">
      <c r="A20" s="15">
        <v>11</v>
      </c>
      <c r="B20" s="121" t="s">
        <v>235</v>
      </c>
      <c r="C20" s="158" t="s">
        <v>621</v>
      </c>
      <c r="D20" s="155">
        <v>1</v>
      </c>
      <c r="E20" s="151">
        <v>3</v>
      </c>
      <c r="F20" s="166">
        <v>3</v>
      </c>
      <c r="G20" s="101">
        <v>0</v>
      </c>
      <c r="H20" s="121"/>
      <c r="I20" s="158"/>
      <c r="J20" s="155"/>
      <c r="K20" s="151"/>
      <c r="L20" s="164">
        <v>0</v>
      </c>
      <c r="M20" s="101">
        <v>0</v>
      </c>
    </row>
    <row r="21" spans="1:24" ht="12.75" x14ac:dyDescent="0.2">
      <c r="A21" s="15">
        <v>12</v>
      </c>
      <c r="B21" s="121" t="s">
        <v>235</v>
      </c>
      <c r="C21" s="158" t="s">
        <v>622</v>
      </c>
      <c r="D21" s="155">
        <v>1</v>
      </c>
      <c r="E21" s="151">
        <v>2</v>
      </c>
      <c r="F21" s="166">
        <v>2</v>
      </c>
      <c r="G21" s="101">
        <v>0</v>
      </c>
      <c r="H21" s="121"/>
      <c r="I21" s="158"/>
      <c r="J21" s="155"/>
      <c r="K21" s="151"/>
      <c r="L21" s="164">
        <v>0</v>
      </c>
      <c r="M21" s="101">
        <v>0</v>
      </c>
    </row>
    <row r="22" spans="1:24" ht="12.75" x14ac:dyDescent="0.2">
      <c r="A22" s="15">
        <v>13</v>
      </c>
      <c r="B22" s="121" t="s">
        <v>235</v>
      </c>
      <c r="C22" s="158" t="s">
        <v>623</v>
      </c>
      <c r="D22" s="155">
        <v>1</v>
      </c>
      <c r="E22" s="151">
        <v>2</v>
      </c>
      <c r="F22" s="166">
        <v>2</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5">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730</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5" x14ac:dyDescent="0.25">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2.75" x14ac:dyDescent="0.2">
      <c r="A34" s="93"/>
      <c r="B34" s="129" t="s">
        <v>276</v>
      </c>
      <c r="C34" s="53"/>
      <c r="D34" s="53"/>
      <c r="E34" s="53"/>
      <c r="F34" s="53"/>
      <c r="G34" s="53"/>
      <c r="H34" s="101">
        <v>0</v>
      </c>
      <c r="I34" s="129" t="s">
        <v>625</v>
      </c>
      <c r="J34" s="53"/>
      <c r="K34" s="53"/>
      <c r="L34" s="53"/>
      <c r="M34" s="53"/>
      <c r="N34" s="53"/>
      <c r="O34" s="101">
        <v>0</v>
      </c>
      <c r="P34" s="129" t="s">
        <v>626</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x14ac:dyDescent="0.2">
      <c r="A35" s="40"/>
      <c r="B35" s="40" t="s">
        <v>579</v>
      </c>
      <c r="C35" s="40" t="s">
        <v>580</v>
      </c>
      <c r="D35" s="40" t="s">
        <v>627</v>
      </c>
      <c r="E35" s="49" t="s">
        <v>628</v>
      </c>
      <c r="F35" s="40" t="s">
        <v>629</v>
      </c>
      <c r="G35" s="40" t="s">
        <v>630</v>
      </c>
      <c r="H35" s="101"/>
      <c r="I35" s="40" t="s">
        <v>631</v>
      </c>
      <c r="J35" s="40" t="s">
        <v>632</v>
      </c>
      <c r="K35" s="40" t="s">
        <v>627</v>
      </c>
      <c r="L35" s="49" t="s">
        <v>633</v>
      </c>
      <c r="M35" s="40" t="s">
        <v>634</v>
      </c>
      <c r="N35" s="40" t="s">
        <v>629</v>
      </c>
      <c r="O35" s="101"/>
      <c r="P35" s="40" t="s">
        <v>422</v>
      </c>
      <c r="Q35" s="40" t="s">
        <v>635</v>
      </c>
      <c r="R35" s="40" t="s">
        <v>629</v>
      </c>
      <c r="S35" s="101"/>
      <c r="X35" s="2"/>
    </row>
    <row r="36" spans="1:196" ht="12.75" x14ac:dyDescent="0.2">
      <c r="A36" s="15">
        <v>1</v>
      </c>
      <c r="B36" s="542"/>
      <c r="C36" s="543"/>
      <c r="D36" s="544"/>
      <c r="E36" s="545"/>
      <c r="F36" s="546"/>
      <c r="G36" s="547"/>
      <c r="H36" s="101">
        <v>0</v>
      </c>
      <c r="I36" s="156"/>
      <c r="J36" s="159" t="s">
        <v>636</v>
      </c>
      <c r="K36" s="121">
        <v>1</v>
      </c>
      <c r="L36" s="121">
        <v>65</v>
      </c>
      <c r="M36" s="433">
        <v>53.78</v>
      </c>
      <c r="N36" s="180">
        <v>58.261666666666663</v>
      </c>
      <c r="O36" s="101">
        <v>0</v>
      </c>
      <c r="P36" s="168"/>
      <c r="Q36" s="169"/>
      <c r="R36" s="180">
        <v>0</v>
      </c>
      <c r="S36" s="101">
        <v>0</v>
      </c>
      <c r="X36" s="2"/>
    </row>
    <row r="37" spans="1:196" ht="12.75" x14ac:dyDescent="0.2">
      <c r="A37" s="15">
        <v>2</v>
      </c>
      <c r="B37" s="542"/>
      <c r="C37" s="543"/>
      <c r="D37" s="544"/>
      <c r="E37" s="545"/>
      <c r="F37" s="546"/>
      <c r="G37" s="547"/>
      <c r="H37" s="101">
        <v>0</v>
      </c>
      <c r="I37" s="156"/>
      <c r="J37" s="159"/>
      <c r="K37" s="159"/>
      <c r="L37" s="121"/>
      <c r="M37" s="169"/>
      <c r="N37" s="180">
        <v>0</v>
      </c>
      <c r="O37" s="101">
        <v>0</v>
      </c>
      <c r="P37" s="168"/>
      <c r="Q37" s="169"/>
      <c r="R37" s="180">
        <v>0</v>
      </c>
      <c r="S37" s="101">
        <v>0</v>
      </c>
      <c r="X37" s="2"/>
    </row>
    <row r="38" spans="1:196" ht="12.75" x14ac:dyDescent="0.2">
      <c r="A38" s="15">
        <v>3</v>
      </c>
      <c r="B38" s="542"/>
      <c r="C38" s="543"/>
      <c r="D38" s="544"/>
      <c r="E38" s="545"/>
      <c r="F38" s="546"/>
      <c r="G38" s="547"/>
      <c r="H38" s="101">
        <v>0</v>
      </c>
      <c r="I38" s="156"/>
      <c r="J38" s="159"/>
      <c r="K38" s="159"/>
      <c r="L38" s="121"/>
      <c r="M38" s="169"/>
      <c r="N38" s="180">
        <v>0</v>
      </c>
      <c r="O38" s="101">
        <v>0</v>
      </c>
      <c r="P38" s="168"/>
      <c r="Q38" s="169"/>
      <c r="R38" s="180">
        <v>0</v>
      </c>
      <c r="S38" s="101">
        <v>0</v>
      </c>
      <c r="X38" s="2"/>
    </row>
    <row r="39" spans="1:196" ht="12.75" x14ac:dyDescent="0.2">
      <c r="A39" s="15">
        <v>4</v>
      </c>
      <c r="B39" s="542"/>
      <c r="C39" s="543"/>
      <c r="D39" s="544"/>
      <c r="E39" s="545"/>
      <c r="F39" s="546"/>
      <c r="G39" s="547"/>
      <c r="H39" s="101">
        <v>0</v>
      </c>
      <c r="I39" s="156"/>
      <c r="J39" s="159"/>
      <c r="K39" s="159"/>
      <c r="L39" s="121"/>
      <c r="M39" s="169"/>
      <c r="N39" s="180">
        <v>0</v>
      </c>
      <c r="O39" s="101">
        <v>0</v>
      </c>
      <c r="P39" s="168"/>
      <c r="Q39" s="169"/>
      <c r="R39" s="180">
        <v>0</v>
      </c>
      <c r="S39" s="101">
        <v>0</v>
      </c>
      <c r="X39" s="2"/>
    </row>
    <row r="40" spans="1:196" ht="12.75" x14ac:dyDescent="0.2">
      <c r="A40" s="15">
        <v>5</v>
      </c>
      <c r="B40" s="542"/>
      <c r="C40" s="543"/>
      <c r="D40" s="544"/>
      <c r="E40" s="545"/>
      <c r="F40" s="546"/>
      <c r="G40" s="547"/>
      <c r="H40" s="101">
        <v>0</v>
      </c>
      <c r="I40" s="156"/>
      <c r="J40" s="159"/>
      <c r="K40" s="159"/>
      <c r="L40" s="121"/>
      <c r="M40" s="169"/>
      <c r="N40" s="180">
        <v>0</v>
      </c>
      <c r="O40" s="101">
        <v>0</v>
      </c>
      <c r="P40" s="168"/>
      <c r="Q40" s="169"/>
      <c r="R40" s="180">
        <v>0</v>
      </c>
      <c r="S40" s="101">
        <v>0</v>
      </c>
      <c r="X40" s="2"/>
    </row>
    <row r="41" spans="1:196" ht="12.75" x14ac:dyDescent="0.2">
      <c r="A41" s="15">
        <v>6</v>
      </c>
      <c r="B41" s="542"/>
      <c r="C41" s="543"/>
      <c r="D41" s="544"/>
      <c r="E41" s="545"/>
      <c r="F41" s="546"/>
      <c r="G41" s="547"/>
      <c r="H41" s="101">
        <v>0</v>
      </c>
      <c r="I41" s="156"/>
      <c r="J41" s="159"/>
      <c r="K41" s="159"/>
      <c r="L41" s="121"/>
      <c r="M41" s="169"/>
      <c r="N41" s="180">
        <v>0</v>
      </c>
      <c r="O41" s="101">
        <v>0</v>
      </c>
      <c r="P41" s="168"/>
      <c r="Q41" s="169"/>
      <c r="R41" s="180">
        <v>0</v>
      </c>
      <c r="S41" s="101">
        <v>0</v>
      </c>
      <c r="X41" s="2"/>
    </row>
    <row r="42" spans="1:196" ht="12.75" x14ac:dyDescent="0.2">
      <c r="A42" s="15">
        <v>7</v>
      </c>
      <c r="B42" s="542"/>
      <c r="C42" s="543"/>
      <c r="D42" s="544"/>
      <c r="E42" s="545"/>
      <c r="F42" s="546"/>
      <c r="G42" s="547"/>
      <c r="H42" s="101">
        <v>0</v>
      </c>
      <c r="I42" s="156"/>
      <c r="J42" s="159"/>
      <c r="K42" s="159"/>
      <c r="L42" s="121"/>
      <c r="M42" s="169"/>
      <c r="N42" s="180">
        <v>0</v>
      </c>
      <c r="O42" s="101">
        <v>0</v>
      </c>
      <c r="P42" s="168"/>
      <c r="Q42" s="169"/>
      <c r="R42" s="180">
        <v>0</v>
      </c>
      <c r="S42" s="101">
        <v>0</v>
      </c>
      <c r="X42" s="2"/>
    </row>
    <row r="43" spans="1:196" ht="12.75" x14ac:dyDescent="0.2">
      <c r="A43" s="15">
        <v>8</v>
      </c>
      <c r="B43" s="542"/>
      <c r="C43" s="543"/>
      <c r="D43" s="544"/>
      <c r="E43" s="545"/>
      <c r="F43" s="546"/>
      <c r="G43" s="547"/>
      <c r="H43" s="101">
        <v>0</v>
      </c>
      <c r="I43" s="156"/>
      <c r="J43" s="159"/>
      <c r="K43" s="159"/>
      <c r="L43" s="121"/>
      <c r="M43" s="169"/>
      <c r="N43" s="180">
        <v>0</v>
      </c>
      <c r="O43" s="101">
        <v>0</v>
      </c>
      <c r="P43" s="168"/>
      <c r="Q43" s="169"/>
      <c r="R43" s="180">
        <v>0</v>
      </c>
      <c r="S43" s="101">
        <v>0</v>
      </c>
      <c r="X43" s="2"/>
    </row>
    <row r="44" spans="1:196" ht="12.75" x14ac:dyDescent="0.2">
      <c r="A44" s="15">
        <v>9</v>
      </c>
      <c r="B44" s="542"/>
      <c r="C44" s="543"/>
      <c r="D44" s="544"/>
      <c r="E44" s="545"/>
      <c r="F44" s="546"/>
      <c r="G44" s="547"/>
      <c r="H44" s="101">
        <v>0</v>
      </c>
      <c r="I44" s="156"/>
      <c r="J44" s="159"/>
      <c r="K44" s="159"/>
      <c r="L44" s="121"/>
      <c r="M44" s="169"/>
      <c r="N44" s="180">
        <v>0</v>
      </c>
      <c r="O44" s="101">
        <v>0</v>
      </c>
      <c r="P44" s="168"/>
      <c r="Q44" s="169"/>
      <c r="R44" s="180">
        <v>0</v>
      </c>
      <c r="S44" s="101">
        <v>0</v>
      </c>
      <c r="X44" s="2"/>
    </row>
    <row r="45" spans="1:196" ht="12.75" x14ac:dyDescent="0.2">
      <c r="A45" s="15">
        <v>10</v>
      </c>
      <c r="B45" s="544"/>
      <c r="C45" s="543"/>
      <c r="D45" s="544"/>
      <c r="E45" s="545"/>
      <c r="F45" s="546"/>
      <c r="G45" s="547"/>
      <c r="H45" s="101">
        <v>0</v>
      </c>
      <c r="I45" s="156"/>
      <c r="J45" s="159"/>
      <c r="K45" s="159"/>
      <c r="L45" s="121"/>
      <c r="M45" s="169"/>
      <c r="N45" s="180">
        <v>0</v>
      </c>
      <c r="O45" s="101">
        <v>0</v>
      </c>
      <c r="P45" s="168"/>
      <c r="Q45" s="169"/>
      <c r="R45" s="180">
        <v>0</v>
      </c>
      <c r="S45" s="101">
        <v>0</v>
      </c>
      <c r="X45" s="2"/>
    </row>
    <row r="46" spans="1:196" ht="12.75" x14ac:dyDescent="0.2">
      <c r="A46" s="15">
        <v>11</v>
      </c>
      <c r="B46" s="544"/>
      <c r="C46" s="543"/>
      <c r="D46" s="544"/>
      <c r="E46" s="545"/>
      <c r="F46" s="546"/>
      <c r="G46" s="547"/>
      <c r="H46" s="101">
        <v>0</v>
      </c>
      <c r="I46" s="156"/>
      <c r="J46" s="159"/>
      <c r="K46" s="159"/>
      <c r="L46" s="121"/>
      <c r="M46" s="169"/>
      <c r="N46" s="180">
        <v>0</v>
      </c>
      <c r="O46" s="101">
        <v>0</v>
      </c>
      <c r="P46" s="168"/>
      <c r="Q46" s="169"/>
      <c r="R46" s="180">
        <v>0</v>
      </c>
      <c r="S46" s="101">
        <v>0</v>
      </c>
      <c r="X46" s="2"/>
    </row>
    <row r="47" spans="1:196" ht="12.75" x14ac:dyDescent="0.2">
      <c r="A47" s="15">
        <v>12</v>
      </c>
      <c r="B47" s="544"/>
      <c r="C47" s="543"/>
      <c r="D47" s="544"/>
      <c r="E47" s="545"/>
      <c r="F47" s="546"/>
      <c r="G47" s="543"/>
      <c r="H47" s="101">
        <v>0</v>
      </c>
      <c r="I47" s="156"/>
      <c r="J47" s="159"/>
      <c r="K47" s="159"/>
      <c r="L47" s="121"/>
      <c r="M47" s="169"/>
      <c r="N47" s="180">
        <v>0</v>
      </c>
      <c r="O47" s="101">
        <v>0</v>
      </c>
      <c r="P47" s="168"/>
      <c r="Q47" s="169"/>
      <c r="R47" s="180">
        <v>0</v>
      </c>
      <c r="S47" s="101">
        <v>0</v>
      </c>
      <c r="X47" s="2"/>
    </row>
    <row r="48" spans="1:196" ht="12.75" x14ac:dyDescent="0.2">
      <c r="A48" s="15">
        <v>13</v>
      </c>
      <c r="B48" s="544"/>
      <c r="C48" s="543"/>
      <c r="D48" s="544"/>
      <c r="E48" s="545"/>
      <c r="F48" s="546"/>
      <c r="G48" s="543"/>
      <c r="H48" s="101">
        <v>0</v>
      </c>
      <c r="I48" s="156"/>
      <c r="J48" s="159"/>
      <c r="K48" s="159"/>
      <c r="L48" s="121"/>
      <c r="M48" s="169"/>
      <c r="N48" s="180">
        <v>0</v>
      </c>
      <c r="O48" s="101">
        <v>0</v>
      </c>
      <c r="P48" s="168"/>
      <c r="Q48" s="169"/>
      <c r="R48" s="180">
        <v>0</v>
      </c>
      <c r="S48" s="101">
        <v>0</v>
      </c>
      <c r="X48" s="2"/>
    </row>
    <row r="49" spans="1:24" ht="12.75" x14ac:dyDescent="0.2">
      <c r="A49" s="15">
        <v>14</v>
      </c>
      <c r="B49" s="544"/>
      <c r="C49" s="548"/>
      <c r="D49" s="544"/>
      <c r="E49" s="545"/>
      <c r="F49" s="546"/>
      <c r="G49" s="548"/>
      <c r="H49" s="101">
        <v>0</v>
      </c>
      <c r="I49" s="156"/>
      <c r="J49" s="159"/>
      <c r="K49" s="159"/>
      <c r="L49" s="121"/>
      <c r="M49" s="169"/>
      <c r="N49" s="180">
        <v>0</v>
      </c>
      <c r="O49" s="101">
        <v>0</v>
      </c>
      <c r="P49" s="168"/>
      <c r="Q49" s="169"/>
      <c r="R49" s="180">
        <v>0</v>
      </c>
      <c r="S49" s="101">
        <v>0</v>
      </c>
      <c r="X49" s="2"/>
    </row>
    <row r="50" spans="1:24" ht="12.75" x14ac:dyDescent="0.2">
      <c r="A50" s="15">
        <v>15</v>
      </c>
      <c r="B50" s="544"/>
      <c r="C50" s="548"/>
      <c r="D50" s="544"/>
      <c r="E50" s="545"/>
      <c r="F50" s="546"/>
      <c r="G50" s="548"/>
      <c r="H50" s="101">
        <v>0</v>
      </c>
      <c r="I50" s="156"/>
      <c r="J50" s="159"/>
      <c r="K50" s="159"/>
      <c r="L50" s="121"/>
      <c r="M50" s="169"/>
      <c r="N50" s="180">
        <v>0</v>
      </c>
      <c r="O50" s="101">
        <v>0</v>
      </c>
      <c r="P50" s="168"/>
      <c r="Q50" s="169"/>
      <c r="R50" s="180">
        <v>0</v>
      </c>
      <c r="S50" s="101">
        <v>0</v>
      </c>
      <c r="X50" s="2"/>
    </row>
    <row r="51" spans="1:24" ht="12.75" x14ac:dyDescent="0.2">
      <c r="A51" s="15">
        <v>16</v>
      </c>
      <c r="B51" s="544"/>
      <c r="C51" s="548"/>
      <c r="D51" s="544"/>
      <c r="E51" s="545"/>
      <c r="F51" s="546"/>
      <c r="G51" s="548"/>
      <c r="H51" s="101">
        <v>0</v>
      </c>
      <c r="I51" s="156"/>
      <c r="J51" s="159"/>
      <c r="K51" s="159"/>
      <c r="L51" s="121"/>
      <c r="M51" s="169"/>
      <c r="N51" s="180">
        <v>0</v>
      </c>
      <c r="O51" s="101">
        <v>0</v>
      </c>
      <c r="P51" s="168"/>
      <c r="Q51" s="169"/>
      <c r="R51" s="180">
        <v>0</v>
      </c>
      <c r="S51" s="101">
        <v>0</v>
      </c>
      <c r="X51" s="2"/>
    </row>
    <row r="52" spans="1:24" ht="12.75" x14ac:dyDescent="0.2">
      <c r="A52" s="15">
        <v>17</v>
      </c>
      <c r="B52" s="544"/>
      <c r="C52" s="548"/>
      <c r="D52" s="544"/>
      <c r="E52" s="545"/>
      <c r="F52" s="546"/>
      <c r="G52" s="548"/>
      <c r="H52" s="101">
        <v>0</v>
      </c>
      <c r="I52" s="156"/>
      <c r="J52" s="159"/>
      <c r="K52" s="159"/>
      <c r="L52" s="121"/>
      <c r="M52" s="169"/>
      <c r="N52" s="180">
        <v>0</v>
      </c>
      <c r="O52" s="101">
        <v>0</v>
      </c>
      <c r="P52" s="168"/>
      <c r="Q52" s="169"/>
      <c r="R52" s="180">
        <v>0</v>
      </c>
      <c r="S52" s="101">
        <v>0</v>
      </c>
      <c r="X52" s="2"/>
    </row>
    <row r="53" spans="1:24" ht="12.75" x14ac:dyDescent="0.2">
      <c r="A53" s="15">
        <v>18</v>
      </c>
      <c r="B53" s="544"/>
      <c r="C53" s="548"/>
      <c r="D53" s="544"/>
      <c r="E53" s="545"/>
      <c r="F53" s="546"/>
      <c r="G53" s="548"/>
      <c r="H53" s="101">
        <v>0</v>
      </c>
      <c r="I53" s="156"/>
      <c r="J53" s="159"/>
      <c r="K53" s="159"/>
      <c r="L53" s="121"/>
      <c r="M53" s="169"/>
      <c r="N53" s="180">
        <v>0</v>
      </c>
      <c r="O53" s="101">
        <v>0</v>
      </c>
      <c r="P53" s="168"/>
      <c r="Q53" s="169"/>
      <c r="R53" s="180">
        <v>0</v>
      </c>
      <c r="S53" s="101">
        <v>0</v>
      </c>
      <c r="X53" s="2"/>
    </row>
    <row r="54" spans="1:24" ht="12.75" x14ac:dyDescent="0.2">
      <c r="A54" s="15">
        <v>19</v>
      </c>
      <c r="B54" s="544"/>
      <c r="C54" s="548"/>
      <c r="D54" s="544"/>
      <c r="E54" s="545"/>
      <c r="F54" s="546"/>
      <c r="G54" s="548"/>
      <c r="H54" s="101">
        <v>0</v>
      </c>
      <c r="I54" s="156"/>
      <c r="J54" s="159"/>
      <c r="K54" s="159"/>
      <c r="L54" s="121"/>
      <c r="M54" s="169"/>
      <c r="N54" s="180">
        <v>0</v>
      </c>
      <c r="O54" s="101">
        <v>0</v>
      </c>
      <c r="P54" s="168"/>
      <c r="Q54" s="169"/>
      <c r="R54" s="180">
        <v>0</v>
      </c>
      <c r="S54" s="101">
        <v>0</v>
      </c>
      <c r="X54" s="2"/>
    </row>
    <row r="55" spans="1:24" ht="12.75" x14ac:dyDescent="0.2">
      <c r="A55" s="15">
        <v>20</v>
      </c>
      <c r="B55" s="544"/>
      <c r="C55" s="548"/>
      <c r="D55" s="544"/>
      <c r="E55" s="545"/>
      <c r="F55" s="549"/>
      <c r="G55" s="548"/>
      <c r="H55" s="101">
        <v>0</v>
      </c>
      <c r="I55" s="156"/>
      <c r="J55" s="159"/>
      <c r="K55" s="159"/>
      <c r="L55" s="121"/>
      <c r="M55" s="169"/>
      <c r="N55" s="181">
        <v>0</v>
      </c>
      <c r="O55" s="101">
        <v>0</v>
      </c>
      <c r="P55" s="168"/>
      <c r="Q55" s="169"/>
      <c r="R55" s="181">
        <v>0</v>
      </c>
      <c r="S55" s="101">
        <v>0</v>
      </c>
      <c r="X55" s="2"/>
    </row>
    <row r="56" spans="1:24" ht="13.5" thickBot="1" x14ac:dyDescent="0.25">
      <c r="E56" s="161" t="s">
        <v>637</v>
      </c>
      <c r="F56" s="162">
        <v>73.884835960000004</v>
      </c>
      <c r="G56" s="161" t="s">
        <v>638</v>
      </c>
      <c r="I56"/>
      <c r="M56" s="161" t="s">
        <v>639</v>
      </c>
      <c r="N56" s="162">
        <v>58.261666666666663</v>
      </c>
      <c r="P56"/>
      <c r="Q56" s="161" t="s">
        <v>640</v>
      </c>
      <c r="R56" s="162">
        <v>0</v>
      </c>
      <c r="X56" s="2"/>
    </row>
    <row r="57" spans="1:24" ht="12.95" customHeight="1" x14ac:dyDescent="0.2">
      <c r="E57" s="17" t="s">
        <v>641</v>
      </c>
      <c r="F57" s="401">
        <v>51.012439559999997</v>
      </c>
      <c r="G57" s="402">
        <v>0.02</v>
      </c>
      <c r="X57" s="2"/>
    </row>
    <row r="58" spans="1:24" ht="12.95" customHeight="1" x14ac:dyDescent="0.2">
      <c r="E58" s="17" t="s">
        <v>642</v>
      </c>
      <c r="F58" s="401">
        <v>74.351619560000003</v>
      </c>
      <c r="G58" s="402">
        <v>0.98</v>
      </c>
      <c r="X58" s="2"/>
    </row>
    <row r="59" spans="1:24" ht="12.95" customHeight="1" thickBot="1" x14ac:dyDescent="0.25">
      <c r="E59" s="161" t="s">
        <v>643</v>
      </c>
      <c r="F59" s="162">
        <v>125.36405911999999</v>
      </c>
      <c r="G59" s="161"/>
      <c r="X59" s="2"/>
    </row>
    <row r="60" spans="1:24" ht="12.95" customHeight="1" x14ac:dyDescent="0.2">
      <c r="G60" s="17"/>
      <c r="H60"/>
      <c r="X60" s="2"/>
    </row>
    <row r="61" spans="1:24" ht="12.95" customHeight="1" x14ac:dyDescent="0.2"/>
    <row r="62" spans="1:24" ht="12.95" customHeight="1" x14ac:dyDescent="0.2"/>
    <row r="63" spans="1:24" ht="12.95" customHeight="1" x14ac:dyDescent="0.2"/>
    <row r="64" spans="1:24"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10" priority="26" operator="equal">
      <formula>"Check"</formula>
    </cfRule>
    <cfRule type="cellIs" dxfId="9" priority="27" operator="equal">
      <formula>"Ok"</formula>
    </cfRule>
  </conditionalFormatting>
  <dataValidations disablePrompts="1" count="1">
    <dataValidation type="list" allowBlank="1" showInputMessage="1" showErrorMessage="1" sqref="C30:D31 G30:M30 M8" xr:uid="{A7ED0564-F436-4C68-A1F8-406CB1550B98}">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34" id="{8D751ABD-6483-48F1-A20F-7D7EFFFD33E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6" id="{1CEE4029-FAC1-4F4C-A00D-C1BB961405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69" id="{4AE5C728-8310-4DD9-90EC-956C90970C2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DC07BDDC-A711-4957-93FF-A16F08E1AD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73C278DA-71E5-4C39-8EBE-B661212D3C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71" id="{BF3D00FF-3B6E-489F-8310-26638CF9EB2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4" id="{0EE2CEBA-40F2-450B-8ADE-1A39714BB6B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5" id="{079B9BF3-B652-431D-B4F9-BD57D42032C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70" id="{A8FFA849-C09F-4C2F-ACC4-B5C9AC3944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EB254FB5-04A7-4F06-B0CD-74A15DF0C7E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A9EDBADD-A858-425C-910D-6764A8F39CD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72" id="{9BD02C7A-9926-4BEA-BBAD-E28B4CFA70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F9FD12A2-4D5E-4D80-AACD-46B435D47A7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9549211C-F15E-4E20-BA6E-4EC07CA356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73" id="{0D4F447F-9F0D-4FF8-9DC8-BB30FEC9BF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62824475-C9EF-4EE4-9D45-E7F587017D38}">
          <x14:formula1>
            <xm:f>'Input|Setup'!$B$31:$B$49</xm:f>
          </x14:formula1>
          <xm:sqref>H10:H29 B10:B29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0EF50-1A8A-4924-8E05-B34D7318DF0A}">
  <sheetPr codeName="Sheet14">
    <tabColor theme="8" tint="0.79998168889431442"/>
  </sheetPr>
  <dimension ref="A1:HO1257"/>
  <sheetViews>
    <sheetView showGridLines="0" topLeftCell="A20" zoomScale="80" zoomScaleNormal="80" workbookViewId="0">
      <selection activeCell="B37" sqref="B37"/>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12.8554687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17.42578125" style="2" bestFit="1" customWidth="1"/>
    <col min="18" max="18" width="12.7109375" style="2" bestFit="1"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373</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731</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605</v>
      </c>
      <c r="D10" s="155">
        <v>1</v>
      </c>
      <c r="E10" s="151">
        <v>6</v>
      </c>
      <c r="F10" s="166">
        <v>6</v>
      </c>
      <c r="G10" s="101">
        <v>0</v>
      </c>
      <c r="H10" s="121" t="s">
        <v>238</v>
      </c>
      <c r="I10" s="158" t="s">
        <v>606</v>
      </c>
      <c r="J10" s="121">
        <v>2</v>
      </c>
      <c r="K10" s="151">
        <v>30</v>
      </c>
      <c r="L10" s="164">
        <v>60</v>
      </c>
      <c r="M10" s="101">
        <v>0</v>
      </c>
    </row>
    <row r="11" spans="1:23" ht="12.75" x14ac:dyDescent="0.2">
      <c r="A11" s="15">
        <v>2</v>
      </c>
      <c r="B11" s="121" t="s">
        <v>235</v>
      </c>
      <c r="C11" s="158" t="s">
        <v>607</v>
      </c>
      <c r="D11" s="155">
        <v>1</v>
      </c>
      <c r="E11" s="151">
        <v>3</v>
      </c>
      <c r="F11" s="166">
        <v>3</v>
      </c>
      <c r="G11" s="101">
        <v>0</v>
      </c>
      <c r="H11" s="121" t="s">
        <v>238</v>
      </c>
      <c r="I11" s="158" t="s">
        <v>608</v>
      </c>
      <c r="J11" s="121">
        <v>2</v>
      </c>
      <c r="K11" s="151">
        <v>5</v>
      </c>
      <c r="L11" s="164">
        <v>10</v>
      </c>
      <c r="M11" s="101">
        <v>0</v>
      </c>
    </row>
    <row r="12" spans="1:23" ht="12.75" x14ac:dyDescent="0.2">
      <c r="A12" s="15">
        <v>3</v>
      </c>
      <c r="B12" s="121" t="s">
        <v>235</v>
      </c>
      <c r="C12" s="158" t="s">
        <v>609</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611</v>
      </c>
      <c r="D13" s="155">
        <v>1</v>
      </c>
      <c r="E13" s="151">
        <v>8</v>
      </c>
      <c r="F13" s="166">
        <v>8</v>
      </c>
      <c r="G13" s="101">
        <v>0</v>
      </c>
      <c r="H13" s="121" t="s">
        <v>238</v>
      </c>
      <c r="I13" s="158" t="s">
        <v>612</v>
      </c>
      <c r="J13" s="121">
        <v>2</v>
      </c>
      <c r="K13" s="151">
        <v>15</v>
      </c>
      <c r="L13" s="164">
        <v>30</v>
      </c>
      <c r="M13" s="101">
        <v>0</v>
      </c>
    </row>
    <row r="14" spans="1:23" ht="12.75" x14ac:dyDescent="0.2">
      <c r="A14" s="15">
        <v>5</v>
      </c>
      <c r="B14" s="121" t="s">
        <v>235</v>
      </c>
      <c r="C14" s="158" t="s">
        <v>613</v>
      </c>
      <c r="D14" s="155">
        <v>1</v>
      </c>
      <c r="E14" s="151">
        <v>3</v>
      </c>
      <c r="F14" s="166">
        <v>3</v>
      </c>
      <c r="G14" s="101">
        <v>0</v>
      </c>
      <c r="H14" s="121" t="s">
        <v>238</v>
      </c>
      <c r="I14" s="158" t="s">
        <v>614</v>
      </c>
      <c r="J14" s="121">
        <v>2</v>
      </c>
      <c r="K14" s="151">
        <v>5</v>
      </c>
      <c r="L14" s="164">
        <v>10</v>
      </c>
      <c r="M14" s="101">
        <v>0</v>
      </c>
    </row>
    <row r="15" spans="1:23" ht="12.75" x14ac:dyDescent="0.2">
      <c r="A15" s="15">
        <v>6</v>
      </c>
      <c r="B15" s="121" t="s">
        <v>235</v>
      </c>
      <c r="C15" s="158" t="s">
        <v>615</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617</v>
      </c>
      <c r="D16" s="155">
        <v>1</v>
      </c>
      <c r="E16" s="151">
        <v>7.5</v>
      </c>
      <c r="F16" s="166">
        <v>7.5</v>
      </c>
      <c r="G16" s="101">
        <v>0</v>
      </c>
      <c r="H16" s="121"/>
      <c r="I16" s="158"/>
      <c r="J16" s="155"/>
      <c r="K16" s="151"/>
      <c r="L16" s="164">
        <v>0</v>
      </c>
      <c r="M16" s="101">
        <v>0</v>
      </c>
    </row>
    <row r="17" spans="1:24" ht="12.75" x14ac:dyDescent="0.2">
      <c r="A17" s="15">
        <v>8</v>
      </c>
      <c r="B17" s="121" t="s">
        <v>235</v>
      </c>
      <c r="C17" s="158" t="s">
        <v>618</v>
      </c>
      <c r="D17" s="155">
        <v>1</v>
      </c>
      <c r="E17" s="151">
        <v>6.5</v>
      </c>
      <c r="F17" s="166">
        <v>6.5</v>
      </c>
      <c r="G17" s="101">
        <v>0</v>
      </c>
      <c r="H17" s="121"/>
      <c r="I17" s="158"/>
      <c r="J17" s="155"/>
      <c r="K17" s="151"/>
      <c r="L17" s="164">
        <v>0</v>
      </c>
      <c r="M17" s="101">
        <v>0</v>
      </c>
    </row>
    <row r="18" spans="1:24" ht="12.75" x14ac:dyDescent="0.2">
      <c r="A18" s="15">
        <v>9</v>
      </c>
      <c r="B18" s="121" t="s">
        <v>235</v>
      </c>
      <c r="C18" s="158" t="s">
        <v>619</v>
      </c>
      <c r="D18" s="155">
        <v>1</v>
      </c>
      <c r="E18" s="151">
        <v>5.5</v>
      </c>
      <c r="F18" s="166">
        <v>5.5</v>
      </c>
      <c r="G18" s="101">
        <v>0</v>
      </c>
      <c r="H18" s="121"/>
      <c r="I18" s="158"/>
      <c r="J18" s="155"/>
      <c r="K18" s="151"/>
      <c r="L18" s="164">
        <v>0</v>
      </c>
      <c r="M18" s="101">
        <v>0</v>
      </c>
    </row>
    <row r="19" spans="1:24" ht="12.75" x14ac:dyDescent="0.2">
      <c r="A19" s="15">
        <v>10</v>
      </c>
      <c r="B19" s="121" t="s">
        <v>235</v>
      </c>
      <c r="C19" s="158" t="s">
        <v>620</v>
      </c>
      <c r="D19" s="155">
        <v>1</v>
      </c>
      <c r="E19" s="151">
        <v>7.5</v>
      </c>
      <c r="F19" s="166">
        <v>7.5</v>
      </c>
      <c r="G19" s="101">
        <v>0</v>
      </c>
      <c r="H19" s="121"/>
      <c r="I19" s="158"/>
      <c r="J19" s="155"/>
      <c r="K19" s="151"/>
      <c r="L19" s="164">
        <v>0</v>
      </c>
      <c r="M19" s="101">
        <v>0</v>
      </c>
    </row>
    <row r="20" spans="1:24" ht="12.75" x14ac:dyDescent="0.2">
      <c r="A20" s="15">
        <v>11</v>
      </c>
      <c r="B20" s="121" t="s">
        <v>235</v>
      </c>
      <c r="C20" s="158" t="s">
        <v>621</v>
      </c>
      <c r="D20" s="155">
        <v>1</v>
      </c>
      <c r="E20" s="151">
        <v>3</v>
      </c>
      <c r="F20" s="166">
        <v>3</v>
      </c>
      <c r="G20" s="101">
        <v>0</v>
      </c>
      <c r="H20" s="121"/>
      <c r="I20" s="158"/>
      <c r="J20" s="155"/>
      <c r="K20" s="151"/>
      <c r="L20" s="164">
        <v>0</v>
      </c>
      <c r="M20" s="101">
        <v>0</v>
      </c>
    </row>
    <row r="21" spans="1:24" ht="12.75" x14ac:dyDescent="0.2">
      <c r="A21" s="15">
        <v>12</v>
      </c>
      <c r="B21" s="121" t="s">
        <v>235</v>
      </c>
      <c r="C21" s="158" t="s">
        <v>622</v>
      </c>
      <c r="D21" s="155">
        <v>1</v>
      </c>
      <c r="E21" s="151">
        <v>2</v>
      </c>
      <c r="F21" s="166">
        <v>2</v>
      </c>
      <c r="G21" s="101">
        <v>0</v>
      </c>
      <c r="H21" s="121"/>
      <c r="I21" s="158"/>
      <c r="J21" s="155"/>
      <c r="K21" s="151"/>
      <c r="L21" s="164">
        <v>0</v>
      </c>
      <c r="M21" s="101">
        <v>0</v>
      </c>
    </row>
    <row r="22" spans="1:24" ht="12.75" x14ac:dyDescent="0.2">
      <c r="A22" s="15">
        <v>13</v>
      </c>
      <c r="B22" s="121" t="s">
        <v>235</v>
      </c>
      <c r="C22" s="158" t="s">
        <v>623</v>
      </c>
      <c r="D22" s="155">
        <v>1</v>
      </c>
      <c r="E22" s="151">
        <v>2</v>
      </c>
      <c r="F22" s="166">
        <v>2</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732</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5" x14ac:dyDescent="0.25">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2.75" x14ac:dyDescent="0.2">
      <c r="A34" s="93"/>
      <c r="B34" s="129" t="s">
        <v>276</v>
      </c>
      <c r="C34" s="53"/>
      <c r="D34" s="53"/>
      <c r="E34" s="53"/>
      <c r="F34" s="53"/>
      <c r="G34" s="53"/>
      <c r="H34" s="101">
        <v>0</v>
      </c>
      <c r="I34" s="129" t="s">
        <v>625</v>
      </c>
      <c r="J34" s="53"/>
      <c r="K34" s="53"/>
      <c r="L34" s="53"/>
      <c r="M34" s="53"/>
      <c r="N34" s="53"/>
      <c r="O34" s="101">
        <v>0</v>
      </c>
      <c r="P34" s="129" t="s">
        <v>626</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x14ac:dyDescent="0.2">
      <c r="A35" s="40"/>
      <c r="B35" s="40" t="s">
        <v>579</v>
      </c>
      <c r="C35" s="40" t="s">
        <v>580</v>
      </c>
      <c r="D35" s="40" t="s">
        <v>627</v>
      </c>
      <c r="E35" s="49" t="s">
        <v>628</v>
      </c>
      <c r="F35" s="40" t="s">
        <v>629</v>
      </c>
      <c r="G35" s="40" t="s">
        <v>630</v>
      </c>
      <c r="H35" s="101"/>
      <c r="I35" s="40" t="s">
        <v>631</v>
      </c>
      <c r="J35" s="40" t="s">
        <v>632</v>
      </c>
      <c r="K35" s="40" t="s">
        <v>627</v>
      </c>
      <c r="L35" s="49" t="s">
        <v>633</v>
      </c>
      <c r="M35" s="40" t="s">
        <v>634</v>
      </c>
      <c r="N35" s="40" t="s">
        <v>629</v>
      </c>
      <c r="O35" s="101"/>
      <c r="P35" s="40" t="s">
        <v>422</v>
      </c>
      <c r="Q35" s="40" t="s">
        <v>635</v>
      </c>
      <c r="R35" s="40" t="s">
        <v>629</v>
      </c>
      <c r="S35" s="101"/>
      <c r="X35" s="2"/>
    </row>
    <row r="36" spans="1:196" ht="12.75" x14ac:dyDescent="0.2">
      <c r="A36" s="15">
        <v>1</v>
      </c>
      <c r="B36" s="542"/>
      <c r="C36" s="543"/>
      <c r="D36" s="544"/>
      <c r="E36" s="545"/>
      <c r="F36" s="546"/>
      <c r="G36" s="547"/>
      <c r="H36" s="101">
        <v>0</v>
      </c>
      <c r="I36" s="156"/>
      <c r="J36" s="159" t="s">
        <v>644</v>
      </c>
      <c r="K36" s="121">
        <v>1</v>
      </c>
      <c r="L36" s="121">
        <v>65</v>
      </c>
      <c r="M36" s="433">
        <v>53.78</v>
      </c>
      <c r="N36" s="180">
        <v>58.261666666666663</v>
      </c>
      <c r="O36" s="101">
        <v>0</v>
      </c>
      <c r="P36" s="168"/>
      <c r="Q36" s="169"/>
      <c r="R36" s="180">
        <v>0</v>
      </c>
      <c r="S36" s="101">
        <v>0</v>
      </c>
      <c r="X36" s="2"/>
    </row>
    <row r="37" spans="1:196" ht="12.75" x14ac:dyDescent="0.2">
      <c r="A37" s="15">
        <v>2</v>
      </c>
      <c r="B37" s="542"/>
      <c r="C37" s="543"/>
      <c r="D37" s="544"/>
      <c r="E37" s="545"/>
      <c r="F37" s="546"/>
      <c r="G37" s="547"/>
      <c r="H37" s="101">
        <v>0</v>
      </c>
      <c r="I37" s="156"/>
      <c r="J37" s="159"/>
      <c r="K37" s="159"/>
      <c r="L37" s="121"/>
      <c r="M37" s="169"/>
      <c r="N37" s="180">
        <v>0</v>
      </c>
      <c r="O37" s="101">
        <v>0</v>
      </c>
      <c r="P37" s="168"/>
      <c r="Q37" s="169"/>
      <c r="R37" s="180">
        <v>0</v>
      </c>
      <c r="S37" s="101">
        <v>0</v>
      </c>
      <c r="X37" s="2"/>
    </row>
    <row r="38" spans="1:196" ht="12.75" x14ac:dyDescent="0.2">
      <c r="A38" s="15">
        <v>3</v>
      </c>
      <c r="B38" s="542"/>
      <c r="C38" s="543"/>
      <c r="D38" s="544"/>
      <c r="E38" s="545"/>
      <c r="F38" s="546"/>
      <c r="G38" s="547"/>
      <c r="H38" s="101">
        <v>0</v>
      </c>
      <c r="I38" s="156"/>
      <c r="J38" s="159"/>
      <c r="K38" s="159"/>
      <c r="L38" s="121"/>
      <c r="M38" s="169"/>
      <c r="N38" s="180">
        <v>0</v>
      </c>
      <c r="O38" s="101">
        <v>0</v>
      </c>
      <c r="P38" s="168"/>
      <c r="Q38" s="169"/>
      <c r="R38" s="180">
        <v>0</v>
      </c>
      <c r="S38" s="101">
        <v>0</v>
      </c>
      <c r="X38" s="2"/>
    </row>
    <row r="39" spans="1:196" ht="12.75" x14ac:dyDescent="0.2">
      <c r="A39" s="15">
        <v>4</v>
      </c>
      <c r="B39" s="542"/>
      <c r="C39" s="543"/>
      <c r="D39" s="544"/>
      <c r="E39" s="545"/>
      <c r="F39" s="546"/>
      <c r="G39" s="547"/>
      <c r="H39" s="101">
        <v>0</v>
      </c>
      <c r="I39" s="156"/>
      <c r="J39" s="159"/>
      <c r="K39" s="159"/>
      <c r="L39" s="121"/>
      <c r="M39" s="169"/>
      <c r="N39" s="180">
        <v>0</v>
      </c>
      <c r="O39" s="101">
        <v>0</v>
      </c>
      <c r="P39" s="168"/>
      <c r="Q39" s="169"/>
      <c r="R39" s="180">
        <v>0</v>
      </c>
      <c r="S39" s="101">
        <v>0</v>
      </c>
      <c r="X39" s="2"/>
    </row>
    <row r="40" spans="1:196" ht="12.75" x14ac:dyDescent="0.2">
      <c r="A40" s="15">
        <v>5</v>
      </c>
      <c r="B40" s="542"/>
      <c r="C40" s="543"/>
      <c r="D40" s="544"/>
      <c r="E40" s="545"/>
      <c r="F40" s="546"/>
      <c r="G40" s="547"/>
      <c r="H40" s="101">
        <v>0</v>
      </c>
      <c r="I40" s="156"/>
      <c r="J40" s="159"/>
      <c r="K40" s="159"/>
      <c r="L40" s="121"/>
      <c r="M40" s="169"/>
      <c r="N40" s="180">
        <v>0</v>
      </c>
      <c r="O40" s="101">
        <v>0</v>
      </c>
      <c r="P40" s="168"/>
      <c r="Q40" s="169"/>
      <c r="R40" s="180">
        <v>0</v>
      </c>
      <c r="S40" s="101">
        <v>0</v>
      </c>
      <c r="X40" s="2"/>
    </row>
    <row r="41" spans="1:196" ht="12.75" x14ac:dyDescent="0.2">
      <c r="A41" s="15">
        <v>6</v>
      </c>
      <c r="B41" s="542"/>
      <c r="C41" s="543"/>
      <c r="D41" s="544"/>
      <c r="E41" s="545"/>
      <c r="F41" s="546"/>
      <c r="G41" s="547"/>
      <c r="H41" s="101">
        <v>0</v>
      </c>
      <c r="I41" s="156"/>
      <c r="J41" s="159"/>
      <c r="K41" s="159"/>
      <c r="L41" s="121"/>
      <c r="M41" s="169"/>
      <c r="N41" s="180">
        <v>0</v>
      </c>
      <c r="O41" s="101">
        <v>0</v>
      </c>
      <c r="P41" s="168"/>
      <c r="Q41" s="169"/>
      <c r="R41" s="180">
        <v>0</v>
      </c>
      <c r="S41" s="101">
        <v>0</v>
      </c>
      <c r="X41" s="2"/>
    </row>
    <row r="42" spans="1:196" ht="12.75" x14ac:dyDescent="0.2">
      <c r="A42" s="15">
        <v>7</v>
      </c>
      <c r="B42" s="542"/>
      <c r="C42" s="543"/>
      <c r="D42" s="544"/>
      <c r="E42" s="545"/>
      <c r="F42" s="546"/>
      <c r="G42" s="547"/>
      <c r="H42" s="101">
        <v>0</v>
      </c>
      <c r="I42" s="156"/>
      <c r="J42" s="159"/>
      <c r="K42" s="159"/>
      <c r="L42" s="121"/>
      <c r="M42" s="169"/>
      <c r="N42" s="180">
        <v>0</v>
      </c>
      <c r="O42" s="101">
        <v>0</v>
      </c>
      <c r="P42" s="168"/>
      <c r="Q42" s="169"/>
      <c r="R42" s="180">
        <v>0</v>
      </c>
      <c r="S42" s="101">
        <v>0</v>
      </c>
      <c r="X42" s="2"/>
    </row>
    <row r="43" spans="1:196" ht="12.75" x14ac:dyDescent="0.2">
      <c r="A43" s="15">
        <v>8</v>
      </c>
      <c r="B43" s="542"/>
      <c r="C43" s="543"/>
      <c r="D43" s="544"/>
      <c r="E43" s="545"/>
      <c r="F43" s="546"/>
      <c r="G43" s="547"/>
      <c r="H43" s="101">
        <v>0</v>
      </c>
      <c r="I43" s="156"/>
      <c r="J43" s="159"/>
      <c r="K43" s="159"/>
      <c r="L43" s="121"/>
      <c r="M43" s="169"/>
      <c r="N43" s="180">
        <v>0</v>
      </c>
      <c r="O43" s="101">
        <v>0</v>
      </c>
      <c r="P43" s="168"/>
      <c r="Q43" s="169"/>
      <c r="R43" s="180">
        <v>0</v>
      </c>
      <c r="S43" s="101">
        <v>0</v>
      </c>
      <c r="X43" s="2"/>
    </row>
    <row r="44" spans="1:196" ht="12.75" x14ac:dyDescent="0.2">
      <c r="A44" s="15">
        <v>9</v>
      </c>
      <c r="B44" s="542"/>
      <c r="C44" s="543"/>
      <c r="D44" s="544"/>
      <c r="E44" s="545"/>
      <c r="F44" s="546"/>
      <c r="G44" s="547"/>
      <c r="H44" s="101">
        <v>0</v>
      </c>
      <c r="I44" s="156"/>
      <c r="J44" s="159"/>
      <c r="K44" s="159"/>
      <c r="L44" s="121"/>
      <c r="M44" s="169"/>
      <c r="N44" s="180">
        <v>0</v>
      </c>
      <c r="O44" s="101">
        <v>0</v>
      </c>
      <c r="P44" s="168"/>
      <c r="Q44" s="169"/>
      <c r="R44" s="180">
        <v>0</v>
      </c>
      <c r="S44" s="101">
        <v>0</v>
      </c>
      <c r="X44" s="2"/>
    </row>
    <row r="45" spans="1:196" ht="12.75" x14ac:dyDescent="0.2">
      <c r="A45" s="15">
        <v>10</v>
      </c>
      <c r="B45" s="544"/>
      <c r="C45" s="543"/>
      <c r="D45" s="544"/>
      <c r="E45" s="545"/>
      <c r="F45" s="546"/>
      <c r="G45" s="547"/>
      <c r="H45" s="101">
        <v>0</v>
      </c>
      <c r="I45" s="156"/>
      <c r="J45" s="159"/>
      <c r="K45" s="159"/>
      <c r="L45" s="121"/>
      <c r="M45" s="169"/>
      <c r="N45" s="180">
        <v>0</v>
      </c>
      <c r="O45" s="101">
        <v>0</v>
      </c>
      <c r="P45" s="168"/>
      <c r="Q45" s="169"/>
      <c r="R45" s="180">
        <v>0</v>
      </c>
      <c r="S45" s="101">
        <v>0</v>
      </c>
      <c r="X45" s="2"/>
    </row>
    <row r="46" spans="1:196" ht="12.75" x14ac:dyDescent="0.2">
      <c r="A46" s="15">
        <v>11</v>
      </c>
      <c r="B46" s="544"/>
      <c r="C46" s="543"/>
      <c r="D46" s="544"/>
      <c r="E46" s="545"/>
      <c r="F46" s="546"/>
      <c r="G46" s="547"/>
      <c r="H46" s="101">
        <v>0</v>
      </c>
      <c r="I46" s="156"/>
      <c r="J46" s="159"/>
      <c r="K46" s="159"/>
      <c r="L46" s="121"/>
      <c r="M46" s="169"/>
      <c r="N46" s="180">
        <v>0</v>
      </c>
      <c r="O46" s="101">
        <v>0</v>
      </c>
      <c r="P46" s="168"/>
      <c r="Q46" s="169"/>
      <c r="R46" s="180">
        <v>0</v>
      </c>
      <c r="S46" s="101">
        <v>0</v>
      </c>
      <c r="X46" s="2"/>
    </row>
    <row r="47" spans="1:196" ht="12.75" x14ac:dyDescent="0.2">
      <c r="A47" s="15">
        <v>12</v>
      </c>
      <c r="B47" s="544"/>
      <c r="C47" s="543"/>
      <c r="D47" s="544"/>
      <c r="E47" s="545"/>
      <c r="F47" s="546"/>
      <c r="G47" s="543"/>
      <c r="H47" s="101">
        <v>0</v>
      </c>
      <c r="I47" s="156"/>
      <c r="J47" s="159"/>
      <c r="K47" s="159"/>
      <c r="L47" s="121"/>
      <c r="M47" s="169"/>
      <c r="N47" s="180">
        <v>0</v>
      </c>
      <c r="O47" s="101">
        <v>0</v>
      </c>
      <c r="P47" s="168"/>
      <c r="Q47" s="169"/>
      <c r="R47" s="180">
        <v>0</v>
      </c>
      <c r="S47" s="101">
        <v>0</v>
      </c>
      <c r="X47" s="2"/>
    </row>
    <row r="48" spans="1:196" ht="12.75" x14ac:dyDescent="0.2">
      <c r="A48" s="15">
        <v>13</v>
      </c>
      <c r="B48" s="544"/>
      <c r="C48" s="543"/>
      <c r="D48" s="544"/>
      <c r="E48" s="545"/>
      <c r="F48" s="546"/>
      <c r="G48" s="543"/>
      <c r="H48" s="101">
        <v>0</v>
      </c>
      <c r="I48" s="156"/>
      <c r="J48" s="159"/>
      <c r="K48" s="159"/>
      <c r="L48" s="121"/>
      <c r="M48" s="169"/>
      <c r="N48" s="180">
        <v>0</v>
      </c>
      <c r="O48" s="101">
        <v>0</v>
      </c>
      <c r="P48" s="168"/>
      <c r="Q48" s="169"/>
      <c r="R48" s="180">
        <v>0</v>
      </c>
      <c r="S48" s="101">
        <v>0</v>
      </c>
      <c r="X48" s="2"/>
    </row>
    <row r="49" spans="1:24" ht="12.75" x14ac:dyDescent="0.2">
      <c r="A49" s="15">
        <v>14</v>
      </c>
      <c r="B49" s="544"/>
      <c r="C49" s="548"/>
      <c r="D49" s="544"/>
      <c r="E49" s="545"/>
      <c r="F49" s="546"/>
      <c r="G49" s="548"/>
      <c r="H49" s="101">
        <v>0</v>
      </c>
      <c r="I49" s="156"/>
      <c r="J49" s="159"/>
      <c r="K49" s="159"/>
      <c r="L49" s="121"/>
      <c r="M49" s="169"/>
      <c r="N49" s="180">
        <v>0</v>
      </c>
      <c r="O49" s="101">
        <v>0</v>
      </c>
      <c r="P49" s="168"/>
      <c r="Q49" s="169"/>
      <c r="R49" s="180">
        <v>0</v>
      </c>
      <c r="S49" s="101">
        <v>0</v>
      </c>
      <c r="X49" s="2"/>
    </row>
    <row r="50" spans="1:24" ht="12.75" x14ac:dyDescent="0.2">
      <c r="A50" s="15">
        <v>15</v>
      </c>
      <c r="B50" s="544"/>
      <c r="C50" s="548"/>
      <c r="D50" s="544"/>
      <c r="E50" s="545"/>
      <c r="F50" s="546"/>
      <c r="G50" s="548"/>
      <c r="H50" s="101">
        <v>0</v>
      </c>
      <c r="I50" s="156"/>
      <c r="J50" s="159"/>
      <c r="K50" s="159"/>
      <c r="L50" s="121"/>
      <c r="M50" s="169"/>
      <c r="N50" s="180">
        <v>0</v>
      </c>
      <c r="O50" s="101">
        <v>0</v>
      </c>
      <c r="P50" s="168"/>
      <c r="Q50" s="169"/>
      <c r="R50" s="180">
        <v>0</v>
      </c>
      <c r="S50" s="101">
        <v>0</v>
      </c>
      <c r="X50" s="2"/>
    </row>
    <row r="51" spans="1:24" ht="12.75" x14ac:dyDescent="0.2">
      <c r="A51" s="15">
        <v>16</v>
      </c>
      <c r="B51" s="544"/>
      <c r="C51" s="548"/>
      <c r="D51" s="544"/>
      <c r="E51" s="545"/>
      <c r="F51" s="546"/>
      <c r="G51" s="548"/>
      <c r="H51" s="101">
        <v>0</v>
      </c>
      <c r="I51" s="156"/>
      <c r="J51" s="159"/>
      <c r="K51" s="159"/>
      <c r="L51" s="121"/>
      <c r="M51" s="169"/>
      <c r="N51" s="180">
        <v>0</v>
      </c>
      <c r="O51" s="101">
        <v>0</v>
      </c>
      <c r="P51" s="168"/>
      <c r="Q51" s="169"/>
      <c r="R51" s="180">
        <v>0</v>
      </c>
      <c r="S51" s="101">
        <v>0</v>
      </c>
      <c r="X51" s="2"/>
    </row>
    <row r="52" spans="1:24" ht="12.75" x14ac:dyDescent="0.2">
      <c r="A52" s="15">
        <v>17</v>
      </c>
      <c r="B52" s="544"/>
      <c r="C52" s="548"/>
      <c r="D52" s="544"/>
      <c r="E52" s="545"/>
      <c r="F52" s="546"/>
      <c r="G52" s="548"/>
      <c r="H52" s="101">
        <v>0</v>
      </c>
      <c r="I52" s="156"/>
      <c r="J52" s="159"/>
      <c r="K52" s="159"/>
      <c r="L52" s="121"/>
      <c r="M52" s="169"/>
      <c r="N52" s="180">
        <v>0</v>
      </c>
      <c r="O52" s="101">
        <v>0</v>
      </c>
      <c r="P52" s="168"/>
      <c r="Q52" s="169"/>
      <c r="R52" s="180">
        <v>0</v>
      </c>
      <c r="S52" s="101">
        <v>0</v>
      </c>
      <c r="X52" s="2"/>
    </row>
    <row r="53" spans="1:24" ht="12.75" x14ac:dyDescent="0.2">
      <c r="A53" s="15">
        <v>18</v>
      </c>
      <c r="B53" s="544"/>
      <c r="C53" s="548"/>
      <c r="D53" s="544"/>
      <c r="E53" s="545"/>
      <c r="F53" s="546"/>
      <c r="G53" s="548"/>
      <c r="H53" s="101">
        <v>0</v>
      </c>
      <c r="I53" s="156"/>
      <c r="J53" s="159"/>
      <c r="K53" s="159"/>
      <c r="L53" s="121"/>
      <c r="M53" s="169"/>
      <c r="N53" s="180">
        <v>0</v>
      </c>
      <c r="O53" s="101">
        <v>0</v>
      </c>
      <c r="P53" s="168"/>
      <c r="Q53" s="169"/>
      <c r="R53" s="180">
        <v>0</v>
      </c>
      <c r="S53" s="101">
        <v>0</v>
      </c>
      <c r="X53" s="2"/>
    </row>
    <row r="54" spans="1:24" ht="12.75" x14ac:dyDescent="0.2">
      <c r="A54" s="15">
        <v>19</v>
      </c>
      <c r="B54" s="544"/>
      <c r="C54" s="548"/>
      <c r="D54" s="544"/>
      <c r="E54" s="545"/>
      <c r="F54" s="546"/>
      <c r="G54" s="548"/>
      <c r="H54" s="101">
        <v>0</v>
      </c>
      <c r="I54" s="156"/>
      <c r="J54" s="159"/>
      <c r="K54" s="159"/>
      <c r="L54" s="121"/>
      <c r="M54" s="169"/>
      <c r="N54" s="180">
        <v>0</v>
      </c>
      <c r="O54" s="101">
        <v>0</v>
      </c>
      <c r="P54" s="168"/>
      <c r="Q54" s="169"/>
      <c r="R54" s="180">
        <v>0</v>
      </c>
      <c r="S54" s="101">
        <v>0</v>
      </c>
      <c r="X54" s="2"/>
    </row>
    <row r="55" spans="1:24" ht="12.75" x14ac:dyDescent="0.2">
      <c r="A55" s="15">
        <v>20</v>
      </c>
      <c r="B55" s="544"/>
      <c r="C55" s="548"/>
      <c r="D55" s="544"/>
      <c r="E55" s="545"/>
      <c r="F55" s="549"/>
      <c r="G55" s="548"/>
      <c r="H55" s="101">
        <v>0</v>
      </c>
      <c r="I55" s="156"/>
      <c r="J55" s="159"/>
      <c r="K55" s="159"/>
      <c r="L55" s="121"/>
      <c r="M55" s="169"/>
      <c r="N55" s="181">
        <v>0</v>
      </c>
      <c r="O55" s="101">
        <v>0</v>
      </c>
      <c r="P55" s="168"/>
      <c r="Q55" s="169"/>
      <c r="R55" s="181">
        <v>0</v>
      </c>
      <c r="S55" s="101">
        <v>0</v>
      </c>
      <c r="X55" s="2"/>
    </row>
    <row r="56" spans="1:24" ht="13.5" thickBot="1" x14ac:dyDescent="0.25">
      <c r="E56" s="161" t="s">
        <v>637</v>
      </c>
      <c r="F56" s="162">
        <v>220.93940309760001</v>
      </c>
      <c r="G56" s="161" t="s">
        <v>638</v>
      </c>
      <c r="I56"/>
      <c r="M56" s="161" t="s">
        <v>639</v>
      </c>
      <c r="N56" s="162">
        <v>58.261666666666663</v>
      </c>
      <c r="P56"/>
      <c r="Q56" s="161" t="s">
        <v>640</v>
      </c>
      <c r="R56" s="162">
        <v>0</v>
      </c>
      <c r="X56" s="2"/>
    </row>
    <row r="57" spans="1:24" ht="12.95" customHeight="1" x14ac:dyDescent="0.2">
      <c r="E57" s="17" t="s">
        <v>641</v>
      </c>
      <c r="F57" s="401">
        <v>79.02</v>
      </c>
      <c r="G57" s="402">
        <v>0.04</v>
      </c>
      <c r="X57" s="2"/>
    </row>
    <row r="58" spans="1:24" ht="12.95" customHeight="1" x14ac:dyDescent="0.2">
      <c r="E58" s="17" t="s">
        <v>642</v>
      </c>
      <c r="F58" s="401">
        <v>226.85271156000002</v>
      </c>
      <c r="G58" s="402">
        <v>0.96</v>
      </c>
      <c r="X58" s="2"/>
    </row>
    <row r="59" spans="1:24" ht="12.95" customHeight="1" thickBot="1" x14ac:dyDescent="0.25">
      <c r="E59" s="161" t="s">
        <v>643</v>
      </c>
      <c r="F59" s="162">
        <v>305.87271155999997</v>
      </c>
      <c r="G59" s="161"/>
      <c r="X59" s="2"/>
    </row>
    <row r="60" spans="1:24" ht="12.95" customHeight="1" x14ac:dyDescent="0.2">
      <c r="G60" s="17"/>
      <c r="H60"/>
      <c r="X60" s="2"/>
    </row>
    <row r="61" spans="1:24" ht="12.95" customHeight="1" x14ac:dyDescent="0.2"/>
    <row r="62" spans="1:24" ht="12.95" customHeight="1" x14ac:dyDescent="0.2"/>
    <row r="63" spans="1:24" ht="12.95" customHeight="1" x14ac:dyDescent="0.2"/>
    <row r="64" spans="1:24"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79" priority="2" operator="equal">
      <formula>"Check"</formula>
    </cfRule>
    <cfRule type="cellIs" dxfId="78" priority="3" operator="equal">
      <formula>"Ok"</formula>
    </cfRule>
  </conditionalFormatting>
  <dataValidations disablePrompts="1" count="1">
    <dataValidation type="list" allowBlank="1" showInputMessage="1" showErrorMessage="1" sqref="M8 G30:J30 M30 C30:D31" xr:uid="{EC731C37-B813-42AB-9764-AB726CD1BC6C}">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7854D01C-3C38-4ABE-89DA-2869A7D999F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2D042F7-9FE7-466E-A789-DEEAAF12556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7" id="{A6DC57C7-FDD8-4775-BD9A-91FAA67110F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FCBC76E-52D4-472A-8B7E-0C3C590DCF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97EFA44C-40A6-445E-B303-A6D2261090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6" id="{C9E28BD8-E9E1-45DC-80D0-F35B8C6AAE9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CD9FD4AF-FC37-43C1-BCFB-F9578B912B0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3BE081D4-04CE-4C7D-AC67-37AD70001E1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8" id="{B0C70ADB-D65F-4A29-B215-BB00D05662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DF3C702-EA33-421A-8D6C-63E9854539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D5FB5B88-4FA2-4B7C-AB01-1E38F885A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7" id="{D90F1FEB-6A1F-4EDC-B1F2-67012E752CC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629F518C-90AC-431A-A6A4-82A6F53B6B0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52AB367B-8E0E-4B04-A1E4-16BD5A93BD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8" id="{29551142-0747-4D61-8F2E-A5015D996A3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AC5DBBA6-1B3D-4E42-87E6-83522C3EA1F7}">
          <x14:formula1>
            <xm:f>'Input|Setup'!$B$31:$B$49</xm:f>
          </x14:formula1>
          <xm:sqref>H10:H29 B10:B29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AB247-A5CF-4139-971E-4B96422D8F11}">
  <sheetPr codeName="Sheet17">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12.8554687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17.42578125" style="2" bestFit="1" customWidth="1"/>
    <col min="18" max="18" width="12.7109375" style="2" bestFit="1"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374</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733</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605</v>
      </c>
      <c r="D10" s="155">
        <v>1</v>
      </c>
      <c r="E10" s="151">
        <v>6</v>
      </c>
      <c r="F10" s="166">
        <v>6</v>
      </c>
      <c r="G10" s="101">
        <v>0</v>
      </c>
      <c r="H10" s="121" t="s">
        <v>238</v>
      </c>
      <c r="I10" s="158" t="s">
        <v>606</v>
      </c>
      <c r="J10" s="121">
        <v>2</v>
      </c>
      <c r="K10" s="151">
        <v>30</v>
      </c>
      <c r="L10" s="164">
        <v>60</v>
      </c>
      <c r="M10" s="101">
        <v>0</v>
      </c>
    </row>
    <row r="11" spans="1:23" ht="12.75" x14ac:dyDescent="0.2">
      <c r="A11" s="15">
        <v>2</v>
      </c>
      <c r="B11" s="121" t="s">
        <v>235</v>
      </c>
      <c r="C11" s="158" t="s">
        <v>607</v>
      </c>
      <c r="D11" s="155">
        <v>1</v>
      </c>
      <c r="E11" s="151">
        <v>3</v>
      </c>
      <c r="F11" s="166">
        <v>3</v>
      </c>
      <c r="G11" s="101">
        <v>0</v>
      </c>
      <c r="H11" s="121" t="s">
        <v>238</v>
      </c>
      <c r="I11" s="158" t="s">
        <v>608</v>
      </c>
      <c r="J11" s="121">
        <v>2</v>
      </c>
      <c r="K11" s="151">
        <v>5</v>
      </c>
      <c r="L11" s="164">
        <v>10</v>
      </c>
      <c r="M11" s="101">
        <v>0</v>
      </c>
    </row>
    <row r="12" spans="1:23" ht="12.75" x14ac:dyDescent="0.2">
      <c r="A12" s="15">
        <v>3</v>
      </c>
      <c r="B12" s="121" t="s">
        <v>235</v>
      </c>
      <c r="C12" s="158" t="s">
        <v>609</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611</v>
      </c>
      <c r="D13" s="155">
        <v>1</v>
      </c>
      <c r="E13" s="151">
        <v>8</v>
      </c>
      <c r="F13" s="166">
        <v>8</v>
      </c>
      <c r="G13" s="101">
        <v>0</v>
      </c>
      <c r="H13" s="121" t="s">
        <v>238</v>
      </c>
      <c r="I13" s="158" t="s">
        <v>612</v>
      </c>
      <c r="J13" s="121">
        <v>2</v>
      </c>
      <c r="K13" s="151">
        <v>15</v>
      </c>
      <c r="L13" s="164">
        <v>30</v>
      </c>
      <c r="M13" s="101">
        <v>0</v>
      </c>
    </row>
    <row r="14" spans="1:23" ht="12.75" x14ac:dyDescent="0.2">
      <c r="A14" s="15">
        <v>5</v>
      </c>
      <c r="B14" s="121" t="s">
        <v>235</v>
      </c>
      <c r="C14" s="158" t="s">
        <v>613</v>
      </c>
      <c r="D14" s="155">
        <v>1</v>
      </c>
      <c r="E14" s="151">
        <v>3</v>
      </c>
      <c r="F14" s="166">
        <v>3</v>
      </c>
      <c r="G14" s="101">
        <v>0</v>
      </c>
      <c r="H14" s="121" t="s">
        <v>238</v>
      </c>
      <c r="I14" s="158" t="s">
        <v>614</v>
      </c>
      <c r="J14" s="121">
        <v>2</v>
      </c>
      <c r="K14" s="151">
        <v>5</v>
      </c>
      <c r="L14" s="164">
        <v>10</v>
      </c>
      <c r="M14" s="101">
        <v>0</v>
      </c>
    </row>
    <row r="15" spans="1:23" ht="12.75" x14ac:dyDescent="0.2">
      <c r="A15" s="15">
        <v>6</v>
      </c>
      <c r="B15" s="121" t="s">
        <v>235</v>
      </c>
      <c r="C15" s="158" t="s">
        <v>615</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617</v>
      </c>
      <c r="D16" s="155">
        <v>1</v>
      </c>
      <c r="E16" s="151">
        <v>7.5</v>
      </c>
      <c r="F16" s="166">
        <v>7.5</v>
      </c>
      <c r="G16" s="101">
        <v>0</v>
      </c>
      <c r="H16" s="121"/>
      <c r="I16" s="158"/>
      <c r="J16" s="155"/>
      <c r="K16" s="151"/>
      <c r="L16" s="164">
        <v>0</v>
      </c>
      <c r="M16" s="101">
        <v>0</v>
      </c>
    </row>
    <row r="17" spans="1:24" ht="12.75" x14ac:dyDescent="0.2">
      <c r="A17" s="15">
        <v>8</v>
      </c>
      <c r="B17" s="121" t="s">
        <v>235</v>
      </c>
      <c r="C17" s="158" t="s">
        <v>618</v>
      </c>
      <c r="D17" s="155">
        <v>1</v>
      </c>
      <c r="E17" s="151">
        <v>6.5</v>
      </c>
      <c r="F17" s="166">
        <v>6.5</v>
      </c>
      <c r="G17" s="101">
        <v>0</v>
      </c>
      <c r="H17" s="121"/>
      <c r="I17" s="158"/>
      <c r="J17" s="155"/>
      <c r="K17" s="151"/>
      <c r="L17" s="164">
        <v>0</v>
      </c>
      <c r="M17" s="101">
        <v>0</v>
      </c>
    </row>
    <row r="18" spans="1:24" ht="12.75" x14ac:dyDescent="0.2">
      <c r="A18" s="15">
        <v>9</v>
      </c>
      <c r="B18" s="121" t="s">
        <v>235</v>
      </c>
      <c r="C18" s="158" t="s">
        <v>619</v>
      </c>
      <c r="D18" s="155">
        <v>1</v>
      </c>
      <c r="E18" s="151">
        <v>5.5</v>
      </c>
      <c r="F18" s="166">
        <v>5.5</v>
      </c>
      <c r="G18" s="101">
        <v>0</v>
      </c>
      <c r="H18" s="121"/>
      <c r="I18" s="158"/>
      <c r="J18" s="155"/>
      <c r="K18" s="151"/>
      <c r="L18" s="164">
        <v>0</v>
      </c>
      <c r="M18" s="101">
        <v>0</v>
      </c>
    </row>
    <row r="19" spans="1:24" ht="12.75" x14ac:dyDescent="0.2">
      <c r="A19" s="15">
        <v>10</v>
      </c>
      <c r="B19" s="121" t="s">
        <v>235</v>
      </c>
      <c r="C19" s="158" t="s">
        <v>620</v>
      </c>
      <c r="D19" s="155">
        <v>1</v>
      </c>
      <c r="E19" s="151">
        <v>7.5</v>
      </c>
      <c r="F19" s="166">
        <v>7.5</v>
      </c>
      <c r="G19" s="101">
        <v>0</v>
      </c>
      <c r="H19" s="121"/>
      <c r="I19" s="158"/>
      <c r="J19" s="155"/>
      <c r="K19" s="151"/>
      <c r="L19" s="164">
        <v>0</v>
      </c>
      <c r="M19" s="101">
        <v>0</v>
      </c>
    </row>
    <row r="20" spans="1:24" ht="12.75" x14ac:dyDescent="0.2">
      <c r="A20" s="15">
        <v>11</v>
      </c>
      <c r="B20" s="121" t="s">
        <v>235</v>
      </c>
      <c r="C20" s="158" t="s">
        <v>621</v>
      </c>
      <c r="D20" s="155">
        <v>1</v>
      </c>
      <c r="E20" s="151">
        <v>3</v>
      </c>
      <c r="F20" s="166">
        <v>3</v>
      </c>
      <c r="G20" s="101">
        <v>0</v>
      </c>
      <c r="H20" s="121"/>
      <c r="I20" s="158"/>
      <c r="J20" s="155"/>
      <c r="K20" s="151"/>
      <c r="L20" s="164">
        <v>0</v>
      </c>
      <c r="M20" s="101">
        <v>0</v>
      </c>
    </row>
    <row r="21" spans="1:24" ht="12.75" x14ac:dyDescent="0.2">
      <c r="A21" s="15">
        <v>12</v>
      </c>
      <c r="B21" s="121" t="s">
        <v>235</v>
      </c>
      <c r="C21" s="158" t="s">
        <v>622</v>
      </c>
      <c r="D21" s="155">
        <v>1</v>
      </c>
      <c r="E21" s="151">
        <v>2</v>
      </c>
      <c r="F21" s="166">
        <v>2</v>
      </c>
      <c r="G21" s="101">
        <v>0</v>
      </c>
      <c r="H21" s="121"/>
      <c r="I21" s="158"/>
      <c r="J21" s="155"/>
      <c r="K21" s="151"/>
      <c r="L21" s="164">
        <v>0</v>
      </c>
      <c r="M21" s="101">
        <v>0</v>
      </c>
    </row>
    <row r="22" spans="1:24" ht="12.75" x14ac:dyDescent="0.2">
      <c r="A22" s="15">
        <v>13</v>
      </c>
      <c r="B22" s="121" t="s">
        <v>235</v>
      </c>
      <c r="C22" s="158" t="s">
        <v>623</v>
      </c>
      <c r="D22" s="155">
        <v>1</v>
      </c>
      <c r="E22" s="151">
        <v>2</v>
      </c>
      <c r="F22" s="166">
        <v>2</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4"/>
      <c r="C30" s="114"/>
      <c r="D30" s="114"/>
      <c r="E30" s="161" t="s">
        <v>624</v>
      </c>
      <c r="F30" s="161">
        <v>60</v>
      </c>
      <c r="G30" s="115"/>
      <c r="H30" s="6"/>
      <c r="I30" s="10"/>
      <c r="J30" s="10"/>
      <c r="K30" s="161" t="s">
        <v>624</v>
      </c>
      <c r="L30" s="161">
        <v>130</v>
      </c>
      <c r="M30" s="5"/>
      <c r="N30" s="61"/>
      <c r="O30"/>
    </row>
    <row r="31" spans="1:24" ht="12.75" x14ac:dyDescent="0.2">
      <c r="A31" s="117"/>
      <c r="B31" s="114"/>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734</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5" x14ac:dyDescent="0.25">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2.75" x14ac:dyDescent="0.2">
      <c r="A34" s="93"/>
      <c r="B34" s="129" t="s">
        <v>276</v>
      </c>
      <c r="C34" s="53"/>
      <c r="D34" s="53"/>
      <c r="E34" s="53"/>
      <c r="F34" s="53"/>
      <c r="G34" s="53"/>
      <c r="H34" s="101">
        <v>0</v>
      </c>
      <c r="I34" s="129" t="s">
        <v>625</v>
      </c>
      <c r="J34" s="53"/>
      <c r="K34" s="53"/>
      <c r="L34" s="53"/>
      <c r="M34" s="53"/>
      <c r="N34" s="53"/>
      <c r="O34" s="101">
        <v>0</v>
      </c>
      <c r="P34" s="129" t="s">
        <v>626</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x14ac:dyDescent="0.2">
      <c r="A35" s="40"/>
      <c r="B35" s="40" t="s">
        <v>579</v>
      </c>
      <c r="C35" s="40" t="s">
        <v>580</v>
      </c>
      <c r="D35" s="40" t="s">
        <v>627</v>
      </c>
      <c r="E35" s="49" t="s">
        <v>628</v>
      </c>
      <c r="F35" s="40" t="s">
        <v>629</v>
      </c>
      <c r="G35" s="40" t="s">
        <v>630</v>
      </c>
      <c r="H35" s="101"/>
      <c r="I35" s="40" t="s">
        <v>631</v>
      </c>
      <c r="J35" s="40" t="s">
        <v>632</v>
      </c>
      <c r="K35" s="40" t="s">
        <v>627</v>
      </c>
      <c r="L35" s="49" t="s">
        <v>633</v>
      </c>
      <c r="M35" s="40" t="s">
        <v>634</v>
      </c>
      <c r="N35" s="40" t="s">
        <v>629</v>
      </c>
      <c r="O35" s="101"/>
      <c r="P35" s="40" t="s">
        <v>422</v>
      </c>
      <c r="Q35" s="40" t="s">
        <v>635</v>
      </c>
      <c r="R35" s="40" t="s">
        <v>629</v>
      </c>
      <c r="S35" s="101"/>
      <c r="X35" s="2"/>
    </row>
    <row r="36" spans="1:196" ht="12.75" x14ac:dyDescent="0.2">
      <c r="A36" s="15">
        <v>1</v>
      </c>
      <c r="B36" s="542"/>
      <c r="C36" s="543"/>
      <c r="D36" s="544"/>
      <c r="E36" s="545"/>
      <c r="F36" s="546"/>
      <c r="G36" s="547"/>
      <c r="H36" s="101">
        <v>0</v>
      </c>
      <c r="I36" s="156"/>
      <c r="J36" s="159" t="s">
        <v>644</v>
      </c>
      <c r="K36" s="121">
        <v>1</v>
      </c>
      <c r="L36" s="121">
        <v>65</v>
      </c>
      <c r="M36" s="433">
        <v>53.78</v>
      </c>
      <c r="N36" s="180">
        <v>58.261666666666663</v>
      </c>
      <c r="O36" s="101">
        <v>0</v>
      </c>
      <c r="P36" s="168"/>
      <c r="Q36" s="169"/>
      <c r="R36" s="180">
        <v>0</v>
      </c>
      <c r="S36" s="101">
        <v>0</v>
      </c>
      <c r="X36" s="2"/>
    </row>
    <row r="37" spans="1:196" ht="12.75" x14ac:dyDescent="0.2">
      <c r="A37" s="15">
        <v>2</v>
      </c>
      <c r="B37" s="542"/>
      <c r="C37" s="543"/>
      <c r="D37" s="544"/>
      <c r="E37" s="545"/>
      <c r="F37" s="546"/>
      <c r="G37" s="547"/>
      <c r="H37" s="101">
        <v>0</v>
      </c>
      <c r="I37" s="156"/>
      <c r="J37" s="159"/>
      <c r="K37" s="159"/>
      <c r="L37" s="121"/>
      <c r="M37" s="169"/>
      <c r="N37" s="180">
        <v>0</v>
      </c>
      <c r="O37" s="101">
        <v>0</v>
      </c>
      <c r="P37" s="168"/>
      <c r="Q37" s="169"/>
      <c r="R37" s="180">
        <v>0</v>
      </c>
      <c r="S37" s="101">
        <v>0</v>
      </c>
      <c r="X37" s="2"/>
    </row>
    <row r="38" spans="1:196" ht="12.75" x14ac:dyDescent="0.2">
      <c r="A38" s="15">
        <v>3</v>
      </c>
      <c r="B38" s="542"/>
      <c r="C38" s="543"/>
      <c r="D38" s="544"/>
      <c r="E38" s="545"/>
      <c r="F38" s="546"/>
      <c r="G38" s="547"/>
      <c r="H38" s="101">
        <v>0</v>
      </c>
      <c r="I38" s="156"/>
      <c r="J38" s="159"/>
      <c r="K38" s="159"/>
      <c r="L38" s="121"/>
      <c r="M38" s="169"/>
      <c r="N38" s="180">
        <v>0</v>
      </c>
      <c r="O38" s="101">
        <v>0</v>
      </c>
      <c r="P38" s="168"/>
      <c r="Q38" s="169"/>
      <c r="R38" s="180">
        <v>0</v>
      </c>
      <c r="S38" s="101">
        <v>0</v>
      </c>
      <c r="X38" s="2"/>
    </row>
    <row r="39" spans="1:196" ht="12.75" x14ac:dyDescent="0.2">
      <c r="A39" s="15">
        <v>4</v>
      </c>
      <c r="B39" s="542"/>
      <c r="C39" s="543"/>
      <c r="D39" s="544"/>
      <c r="E39" s="545"/>
      <c r="F39" s="546"/>
      <c r="G39" s="547"/>
      <c r="H39" s="101">
        <v>0</v>
      </c>
      <c r="I39" s="156"/>
      <c r="J39" s="159"/>
      <c r="K39" s="159"/>
      <c r="L39" s="121"/>
      <c r="M39" s="169"/>
      <c r="N39" s="180">
        <v>0</v>
      </c>
      <c r="O39" s="101">
        <v>0</v>
      </c>
      <c r="P39" s="168"/>
      <c r="Q39" s="169"/>
      <c r="R39" s="180">
        <v>0</v>
      </c>
      <c r="S39" s="101">
        <v>0</v>
      </c>
      <c r="X39" s="2"/>
    </row>
    <row r="40" spans="1:196" ht="12.75" x14ac:dyDescent="0.2">
      <c r="A40" s="15">
        <v>5</v>
      </c>
      <c r="B40" s="542"/>
      <c r="C40" s="543"/>
      <c r="D40" s="544"/>
      <c r="E40" s="545"/>
      <c r="F40" s="546"/>
      <c r="G40" s="547"/>
      <c r="H40" s="101">
        <v>0</v>
      </c>
      <c r="I40" s="156"/>
      <c r="J40" s="159"/>
      <c r="K40" s="159"/>
      <c r="L40" s="121"/>
      <c r="M40" s="169"/>
      <c r="N40" s="180">
        <v>0</v>
      </c>
      <c r="O40" s="101">
        <v>0</v>
      </c>
      <c r="P40" s="168"/>
      <c r="Q40" s="169"/>
      <c r="R40" s="180">
        <v>0</v>
      </c>
      <c r="S40" s="101">
        <v>0</v>
      </c>
      <c r="X40" s="2"/>
    </row>
    <row r="41" spans="1:196" ht="12.75" x14ac:dyDescent="0.2">
      <c r="A41" s="15">
        <v>6</v>
      </c>
      <c r="B41" s="542"/>
      <c r="C41" s="543"/>
      <c r="D41" s="544"/>
      <c r="E41" s="545"/>
      <c r="F41" s="546"/>
      <c r="G41" s="547"/>
      <c r="H41" s="101">
        <v>0</v>
      </c>
      <c r="I41" s="156"/>
      <c r="J41" s="159"/>
      <c r="K41" s="159"/>
      <c r="L41" s="121"/>
      <c r="M41" s="169"/>
      <c r="N41" s="180">
        <v>0</v>
      </c>
      <c r="O41" s="101">
        <v>0</v>
      </c>
      <c r="P41" s="168"/>
      <c r="Q41" s="169"/>
      <c r="R41" s="180">
        <v>0</v>
      </c>
      <c r="S41" s="101">
        <v>0</v>
      </c>
      <c r="X41" s="2"/>
    </row>
    <row r="42" spans="1:196" ht="12.75" x14ac:dyDescent="0.2">
      <c r="A42" s="15">
        <v>7</v>
      </c>
      <c r="B42" s="542"/>
      <c r="C42" s="543"/>
      <c r="D42" s="544"/>
      <c r="E42" s="545"/>
      <c r="F42" s="546"/>
      <c r="G42" s="547"/>
      <c r="H42" s="101">
        <v>0</v>
      </c>
      <c r="I42" s="156"/>
      <c r="J42" s="159"/>
      <c r="K42" s="159"/>
      <c r="L42" s="121"/>
      <c r="M42" s="169"/>
      <c r="N42" s="180">
        <v>0</v>
      </c>
      <c r="O42" s="101">
        <v>0</v>
      </c>
      <c r="P42" s="168"/>
      <c r="Q42" s="169"/>
      <c r="R42" s="180">
        <v>0</v>
      </c>
      <c r="S42" s="101">
        <v>0</v>
      </c>
      <c r="X42" s="2"/>
    </row>
    <row r="43" spans="1:196" ht="12.75" x14ac:dyDescent="0.2">
      <c r="A43" s="15">
        <v>8</v>
      </c>
      <c r="B43" s="542"/>
      <c r="C43" s="543"/>
      <c r="D43" s="544"/>
      <c r="E43" s="545"/>
      <c r="F43" s="546"/>
      <c r="G43" s="547"/>
      <c r="H43" s="101">
        <v>0</v>
      </c>
      <c r="I43" s="156"/>
      <c r="J43" s="159"/>
      <c r="K43" s="159"/>
      <c r="L43" s="121"/>
      <c r="M43" s="169"/>
      <c r="N43" s="180">
        <v>0</v>
      </c>
      <c r="O43" s="101">
        <v>0</v>
      </c>
      <c r="P43" s="168"/>
      <c r="Q43" s="169"/>
      <c r="R43" s="180">
        <v>0</v>
      </c>
      <c r="S43" s="101">
        <v>0</v>
      </c>
      <c r="X43" s="2"/>
    </row>
    <row r="44" spans="1:196" ht="12.75" x14ac:dyDescent="0.2">
      <c r="A44" s="15">
        <v>9</v>
      </c>
      <c r="B44" s="542"/>
      <c r="C44" s="543"/>
      <c r="D44" s="544"/>
      <c r="E44" s="545"/>
      <c r="F44" s="546"/>
      <c r="G44" s="547"/>
      <c r="H44" s="101">
        <v>0</v>
      </c>
      <c r="I44" s="156"/>
      <c r="J44" s="159"/>
      <c r="K44" s="159"/>
      <c r="L44" s="121"/>
      <c r="M44" s="169"/>
      <c r="N44" s="180">
        <v>0</v>
      </c>
      <c r="O44" s="101">
        <v>0</v>
      </c>
      <c r="P44" s="168"/>
      <c r="Q44" s="169"/>
      <c r="R44" s="180">
        <v>0</v>
      </c>
      <c r="S44" s="101">
        <v>0</v>
      </c>
      <c r="X44" s="2"/>
    </row>
    <row r="45" spans="1:196" ht="12.75" x14ac:dyDescent="0.2">
      <c r="A45" s="15">
        <v>10</v>
      </c>
      <c r="B45" s="544"/>
      <c r="C45" s="543"/>
      <c r="D45" s="544"/>
      <c r="E45" s="545"/>
      <c r="F45" s="546"/>
      <c r="G45" s="547"/>
      <c r="H45" s="101">
        <v>0</v>
      </c>
      <c r="I45" s="156"/>
      <c r="J45" s="159"/>
      <c r="K45" s="159"/>
      <c r="L45" s="121"/>
      <c r="M45" s="169"/>
      <c r="N45" s="180">
        <v>0</v>
      </c>
      <c r="O45" s="101">
        <v>0</v>
      </c>
      <c r="P45" s="168"/>
      <c r="Q45" s="169"/>
      <c r="R45" s="180">
        <v>0</v>
      </c>
      <c r="S45" s="101">
        <v>0</v>
      </c>
      <c r="X45" s="2"/>
    </row>
    <row r="46" spans="1:196" ht="12.75" x14ac:dyDescent="0.2">
      <c r="A46" s="15">
        <v>11</v>
      </c>
      <c r="B46" s="544"/>
      <c r="C46" s="543"/>
      <c r="D46" s="544"/>
      <c r="E46" s="545"/>
      <c r="F46" s="546"/>
      <c r="G46" s="547"/>
      <c r="H46" s="101">
        <v>0</v>
      </c>
      <c r="I46" s="156"/>
      <c r="J46" s="159"/>
      <c r="K46" s="159"/>
      <c r="L46" s="121"/>
      <c r="M46" s="169"/>
      <c r="N46" s="180">
        <v>0</v>
      </c>
      <c r="O46" s="101">
        <v>0</v>
      </c>
      <c r="P46" s="168"/>
      <c r="Q46" s="169"/>
      <c r="R46" s="180">
        <v>0</v>
      </c>
      <c r="S46" s="101">
        <v>0</v>
      </c>
      <c r="X46" s="2"/>
    </row>
    <row r="47" spans="1:196" ht="12.75" x14ac:dyDescent="0.2">
      <c r="A47" s="15">
        <v>12</v>
      </c>
      <c r="B47" s="544"/>
      <c r="C47" s="543"/>
      <c r="D47" s="544"/>
      <c r="E47" s="545"/>
      <c r="F47" s="546"/>
      <c r="G47" s="543"/>
      <c r="H47" s="101">
        <v>0</v>
      </c>
      <c r="I47" s="156"/>
      <c r="J47" s="159"/>
      <c r="K47" s="159"/>
      <c r="L47" s="121"/>
      <c r="M47" s="169"/>
      <c r="N47" s="180">
        <v>0</v>
      </c>
      <c r="O47" s="101">
        <v>0</v>
      </c>
      <c r="P47" s="168"/>
      <c r="Q47" s="169"/>
      <c r="R47" s="180">
        <v>0</v>
      </c>
      <c r="S47" s="101">
        <v>0</v>
      </c>
      <c r="X47" s="2"/>
    </row>
    <row r="48" spans="1:196" ht="12.75" x14ac:dyDescent="0.2">
      <c r="A48" s="15">
        <v>13</v>
      </c>
      <c r="B48" s="544"/>
      <c r="C48" s="543"/>
      <c r="D48" s="544"/>
      <c r="E48" s="545"/>
      <c r="F48" s="546"/>
      <c r="G48" s="543"/>
      <c r="H48" s="101">
        <v>0</v>
      </c>
      <c r="I48" s="156"/>
      <c r="J48" s="159"/>
      <c r="K48" s="159"/>
      <c r="L48" s="121"/>
      <c r="M48" s="169"/>
      <c r="N48" s="180">
        <v>0</v>
      </c>
      <c r="O48" s="101">
        <v>0</v>
      </c>
      <c r="P48" s="168"/>
      <c r="Q48" s="169"/>
      <c r="R48" s="180">
        <v>0</v>
      </c>
      <c r="S48" s="101">
        <v>0</v>
      </c>
      <c r="X48" s="2"/>
    </row>
    <row r="49" spans="1:24" ht="12.75" x14ac:dyDescent="0.2">
      <c r="A49" s="15">
        <v>14</v>
      </c>
      <c r="B49" s="544"/>
      <c r="C49" s="548"/>
      <c r="D49" s="544"/>
      <c r="E49" s="545"/>
      <c r="F49" s="546"/>
      <c r="G49" s="548"/>
      <c r="H49" s="101">
        <v>0</v>
      </c>
      <c r="I49" s="156"/>
      <c r="J49" s="159"/>
      <c r="K49" s="159"/>
      <c r="L49" s="121"/>
      <c r="M49" s="169"/>
      <c r="N49" s="180">
        <v>0</v>
      </c>
      <c r="O49" s="101">
        <v>0</v>
      </c>
      <c r="P49" s="168"/>
      <c r="Q49" s="169"/>
      <c r="R49" s="180">
        <v>0</v>
      </c>
      <c r="S49" s="101">
        <v>0</v>
      </c>
      <c r="X49" s="2"/>
    </row>
    <row r="50" spans="1:24" ht="12.75" x14ac:dyDescent="0.2">
      <c r="A50" s="15">
        <v>15</v>
      </c>
      <c r="B50" s="544"/>
      <c r="C50" s="548"/>
      <c r="D50" s="544"/>
      <c r="E50" s="545"/>
      <c r="F50" s="546"/>
      <c r="G50" s="548"/>
      <c r="H50" s="101">
        <v>0</v>
      </c>
      <c r="I50" s="156"/>
      <c r="J50" s="159"/>
      <c r="K50" s="159"/>
      <c r="L50" s="121"/>
      <c r="M50" s="169"/>
      <c r="N50" s="180">
        <v>0</v>
      </c>
      <c r="O50" s="101">
        <v>0</v>
      </c>
      <c r="P50" s="168"/>
      <c r="Q50" s="169"/>
      <c r="R50" s="180">
        <v>0</v>
      </c>
      <c r="S50" s="101">
        <v>0</v>
      </c>
      <c r="X50" s="2"/>
    </row>
    <row r="51" spans="1:24" ht="12.75" x14ac:dyDescent="0.2">
      <c r="A51" s="15">
        <v>16</v>
      </c>
      <c r="B51" s="544"/>
      <c r="C51" s="548"/>
      <c r="D51" s="544"/>
      <c r="E51" s="545"/>
      <c r="F51" s="546"/>
      <c r="G51" s="548"/>
      <c r="H51" s="101">
        <v>0</v>
      </c>
      <c r="I51" s="156"/>
      <c r="J51" s="159"/>
      <c r="K51" s="159"/>
      <c r="L51" s="121"/>
      <c r="M51" s="169"/>
      <c r="N51" s="180">
        <v>0</v>
      </c>
      <c r="O51" s="101">
        <v>0</v>
      </c>
      <c r="P51" s="168"/>
      <c r="Q51" s="169"/>
      <c r="R51" s="180">
        <v>0</v>
      </c>
      <c r="S51" s="101">
        <v>0</v>
      </c>
      <c r="X51" s="2"/>
    </row>
    <row r="52" spans="1:24" ht="12.75" x14ac:dyDescent="0.2">
      <c r="A52" s="15">
        <v>17</v>
      </c>
      <c r="B52" s="544"/>
      <c r="C52" s="548"/>
      <c r="D52" s="544"/>
      <c r="E52" s="545"/>
      <c r="F52" s="546"/>
      <c r="G52" s="548"/>
      <c r="H52" s="101">
        <v>0</v>
      </c>
      <c r="I52" s="156"/>
      <c r="J52" s="159"/>
      <c r="K52" s="159"/>
      <c r="L52" s="121"/>
      <c r="M52" s="169"/>
      <c r="N52" s="180">
        <v>0</v>
      </c>
      <c r="O52" s="101">
        <v>0</v>
      </c>
      <c r="P52" s="168"/>
      <c r="Q52" s="169"/>
      <c r="R52" s="180">
        <v>0</v>
      </c>
      <c r="S52" s="101">
        <v>0</v>
      </c>
      <c r="X52" s="2"/>
    </row>
    <row r="53" spans="1:24" ht="12.75" x14ac:dyDescent="0.2">
      <c r="A53" s="15">
        <v>18</v>
      </c>
      <c r="B53" s="544"/>
      <c r="C53" s="548"/>
      <c r="D53" s="544"/>
      <c r="E53" s="545"/>
      <c r="F53" s="546"/>
      <c r="G53" s="548"/>
      <c r="H53" s="101">
        <v>0</v>
      </c>
      <c r="I53" s="156"/>
      <c r="J53" s="159"/>
      <c r="K53" s="159"/>
      <c r="L53" s="121"/>
      <c r="M53" s="169"/>
      <c r="N53" s="180">
        <v>0</v>
      </c>
      <c r="O53" s="101">
        <v>0</v>
      </c>
      <c r="P53" s="168"/>
      <c r="Q53" s="169"/>
      <c r="R53" s="180">
        <v>0</v>
      </c>
      <c r="S53" s="101">
        <v>0</v>
      </c>
      <c r="X53" s="2"/>
    </row>
    <row r="54" spans="1:24" ht="12.75" x14ac:dyDescent="0.2">
      <c r="A54" s="15">
        <v>19</v>
      </c>
      <c r="B54" s="544"/>
      <c r="C54" s="548"/>
      <c r="D54" s="544"/>
      <c r="E54" s="545"/>
      <c r="F54" s="546"/>
      <c r="G54" s="548"/>
      <c r="H54" s="101">
        <v>0</v>
      </c>
      <c r="I54" s="156"/>
      <c r="J54" s="159"/>
      <c r="K54" s="159"/>
      <c r="L54" s="121"/>
      <c r="M54" s="169"/>
      <c r="N54" s="180">
        <v>0</v>
      </c>
      <c r="O54" s="101">
        <v>0</v>
      </c>
      <c r="P54" s="168"/>
      <c r="Q54" s="169"/>
      <c r="R54" s="180">
        <v>0</v>
      </c>
      <c r="S54" s="101">
        <v>0</v>
      </c>
      <c r="X54" s="2"/>
    </row>
    <row r="55" spans="1:24" ht="12.75" x14ac:dyDescent="0.2">
      <c r="A55" s="15">
        <v>20</v>
      </c>
      <c r="B55" s="544"/>
      <c r="C55" s="548"/>
      <c r="D55" s="544"/>
      <c r="E55" s="545"/>
      <c r="F55" s="549"/>
      <c r="G55" s="548"/>
      <c r="H55" s="101">
        <v>0</v>
      </c>
      <c r="I55" s="156"/>
      <c r="J55" s="159"/>
      <c r="K55" s="159"/>
      <c r="L55" s="121"/>
      <c r="M55" s="169"/>
      <c r="N55" s="181">
        <v>0</v>
      </c>
      <c r="O55" s="101">
        <v>0</v>
      </c>
      <c r="P55" s="168"/>
      <c r="Q55" s="169"/>
      <c r="R55" s="181">
        <v>0</v>
      </c>
      <c r="S55" s="101">
        <v>0</v>
      </c>
      <c r="X55" s="2"/>
    </row>
    <row r="56" spans="1:24" ht="13.5" thickBot="1" x14ac:dyDescent="0.25">
      <c r="E56" s="161" t="s">
        <v>637</v>
      </c>
      <c r="F56" s="162">
        <v>51.012439559999997</v>
      </c>
      <c r="G56" s="161" t="s">
        <v>638</v>
      </c>
      <c r="H56" s="17"/>
      <c r="I56"/>
      <c r="M56" s="161" t="s">
        <v>639</v>
      </c>
      <c r="N56" s="162">
        <v>58.261666666666663</v>
      </c>
      <c r="P56"/>
      <c r="Q56" s="161" t="s">
        <v>640</v>
      </c>
      <c r="R56" s="162">
        <v>0</v>
      </c>
      <c r="X56" s="2"/>
    </row>
    <row r="57" spans="1:24" ht="12.95" customHeight="1" x14ac:dyDescent="0.2">
      <c r="E57" s="17" t="s">
        <v>641</v>
      </c>
      <c r="F57" s="401">
        <v>51.012439559999997</v>
      </c>
      <c r="G57" s="402">
        <v>1</v>
      </c>
      <c r="H57" s="17"/>
      <c r="X57" s="2"/>
    </row>
    <row r="58" spans="1:24" ht="12.95" customHeight="1" x14ac:dyDescent="0.2">
      <c r="E58" s="17" t="s">
        <v>642</v>
      </c>
      <c r="F58" s="401">
        <v>74.351619560000003</v>
      </c>
      <c r="G58" s="402">
        <v>0</v>
      </c>
      <c r="H58" s="17"/>
      <c r="X58" s="2"/>
    </row>
    <row r="59" spans="1:24" ht="12.95" customHeight="1" thickBot="1" x14ac:dyDescent="0.25">
      <c r="E59" s="161" t="s">
        <v>643</v>
      </c>
      <c r="F59" s="162">
        <v>125.36405911999999</v>
      </c>
      <c r="G59" s="161"/>
      <c r="H59" s="17"/>
      <c r="X59" s="2"/>
    </row>
    <row r="60" spans="1:24" ht="12.95" customHeight="1" x14ac:dyDescent="0.2">
      <c r="G60" s="17"/>
      <c r="H60"/>
      <c r="X60" s="2"/>
    </row>
    <row r="61" spans="1:24" ht="12.95" customHeight="1" x14ac:dyDescent="0.2"/>
    <row r="62" spans="1:24" ht="12.95" customHeight="1" x14ac:dyDescent="0.2"/>
    <row r="63" spans="1:24" ht="12.95" customHeight="1" x14ac:dyDescent="0.2"/>
    <row r="64" spans="1:24"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76" priority="2" operator="equal">
      <formula>"Check"</formula>
    </cfRule>
    <cfRule type="cellIs" dxfId="75" priority="3" operator="equal">
      <formula>"Ok"</formula>
    </cfRule>
  </conditionalFormatting>
  <dataValidations count="1">
    <dataValidation type="list" allowBlank="1" showInputMessage="1" showErrorMessage="1" sqref="M8 G30:J30 M30" xr:uid="{3F1C7632-2780-417D-98F8-861C70E699FF}">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97C34198-6645-4936-82C5-20426D2DA85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0E02DAA-35D8-4EB4-8927-6D7E634E33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5" id="{E2EAA665-CB6C-4C4B-95D4-A752B56D1C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D555F71F-9FB4-45B4-89FB-D49D8BBE27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9718D689-FC29-4E95-89F2-ADAE32DF46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3" id="{15939397-3D0A-4687-B434-A4F2AEDE935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0EE88830-BFEF-4BD6-9140-85379496367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1A512D53-AB16-4817-A74C-33A5C5E41B6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6" id="{907F1F44-8FEB-44AB-AB3A-DB6E05E40F2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0604100C-7099-4426-9E1A-82695B82E84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02D49201-6059-4DC6-A45A-4AB69795ECD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4" id="{760F9D97-3AE7-44F9-841A-3AC722259D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320C1930-D62B-4EE3-825D-AACB6F05DB2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5A3F8162-D7DB-47B6-9B5E-7B52CE4053F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5" id="{D5B4B9A0-C088-4E83-AE38-87CDFC3AFA0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F54F874-DC88-495C-ABB4-117772ECB9D4}">
          <x14:formula1>
            <xm:f>'Input|Setup'!$B$31:$B$49</xm:f>
          </x14:formula1>
          <xm:sqref>B10:B29 H10:H29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C4234-C361-410B-87F5-FDBE031828DE}">
  <sheetPr codeName="Sheet18">
    <tabColor theme="8" tint="0.79998168889431442"/>
  </sheetPr>
  <dimension ref="A1:HO1257"/>
  <sheetViews>
    <sheetView showGridLines="0" topLeftCell="A20" zoomScale="80" zoomScaleNormal="80" workbookViewId="0">
      <selection activeCell="B36" sqref="B36:G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12.8554687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17.42578125" style="2" bestFit="1" customWidth="1"/>
    <col min="18" max="18" width="12.7109375" style="2" bestFit="1"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375</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735</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605</v>
      </c>
      <c r="D10" s="155">
        <v>1</v>
      </c>
      <c r="E10" s="151">
        <v>6</v>
      </c>
      <c r="F10" s="166">
        <v>6</v>
      </c>
      <c r="G10" s="101">
        <v>0</v>
      </c>
      <c r="H10" s="121" t="s">
        <v>238</v>
      </c>
      <c r="I10" s="158" t="s">
        <v>606</v>
      </c>
      <c r="J10" s="121">
        <v>2</v>
      </c>
      <c r="K10" s="151">
        <v>30</v>
      </c>
      <c r="L10" s="164">
        <v>60</v>
      </c>
      <c r="M10" s="101">
        <v>0</v>
      </c>
    </row>
    <row r="11" spans="1:23" ht="12.75" x14ac:dyDescent="0.2">
      <c r="A11" s="15">
        <v>2</v>
      </c>
      <c r="B11" s="121" t="s">
        <v>235</v>
      </c>
      <c r="C11" s="158" t="s">
        <v>607</v>
      </c>
      <c r="D11" s="155">
        <v>1</v>
      </c>
      <c r="E11" s="151">
        <v>3</v>
      </c>
      <c r="F11" s="166">
        <v>3</v>
      </c>
      <c r="G11" s="101">
        <v>0</v>
      </c>
      <c r="H11" s="121" t="s">
        <v>238</v>
      </c>
      <c r="I11" s="158" t="s">
        <v>608</v>
      </c>
      <c r="J11" s="121">
        <v>2</v>
      </c>
      <c r="K11" s="151">
        <v>5</v>
      </c>
      <c r="L11" s="164">
        <v>10</v>
      </c>
      <c r="M11" s="101">
        <v>0</v>
      </c>
    </row>
    <row r="12" spans="1:23" ht="12.75" x14ac:dyDescent="0.2">
      <c r="A12" s="15">
        <v>3</v>
      </c>
      <c r="B12" s="121" t="s">
        <v>235</v>
      </c>
      <c r="C12" s="158" t="s">
        <v>609</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611</v>
      </c>
      <c r="D13" s="155">
        <v>1</v>
      </c>
      <c r="E13" s="151">
        <v>8</v>
      </c>
      <c r="F13" s="166">
        <v>8</v>
      </c>
      <c r="G13" s="101">
        <v>0</v>
      </c>
      <c r="H13" s="121" t="s">
        <v>238</v>
      </c>
      <c r="I13" s="158" t="s">
        <v>612</v>
      </c>
      <c r="J13" s="121">
        <v>2</v>
      </c>
      <c r="K13" s="151">
        <v>15</v>
      </c>
      <c r="L13" s="164">
        <v>30</v>
      </c>
      <c r="M13" s="101">
        <v>0</v>
      </c>
    </row>
    <row r="14" spans="1:23" ht="12.75" x14ac:dyDescent="0.2">
      <c r="A14" s="15">
        <v>5</v>
      </c>
      <c r="B14" s="121" t="s">
        <v>235</v>
      </c>
      <c r="C14" s="158" t="s">
        <v>613</v>
      </c>
      <c r="D14" s="155">
        <v>1</v>
      </c>
      <c r="E14" s="151">
        <v>3</v>
      </c>
      <c r="F14" s="166">
        <v>3</v>
      </c>
      <c r="G14" s="101">
        <v>0</v>
      </c>
      <c r="H14" s="121" t="s">
        <v>238</v>
      </c>
      <c r="I14" s="158" t="s">
        <v>614</v>
      </c>
      <c r="J14" s="121">
        <v>2</v>
      </c>
      <c r="K14" s="151">
        <v>5</v>
      </c>
      <c r="L14" s="164">
        <v>10</v>
      </c>
      <c r="M14" s="101">
        <v>0</v>
      </c>
    </row>
    <row r="15" spans="1:23" ht="12.75" x14ac:dyDescent="0.2">
      <c r="A15" s="15">
        <v>6</v>
      </c>
      <c r="B15" s="121" t="s">
        <v>235</v>
      </c>
      <c r="C15" s="158" t="s">
        <v>615</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617</v>
      </c>
      <c r="D16" s="155">
        <v>1</v>
      </c>
      <c r="E16" s="151">
        <v>7.5</v>
      </c>
      <c r="F16" s="166">
        <v>7.5</v>
      </c>
      <c r="G16" s="101">
        <v>0</v>
      </c>
      <c r="H16" s="121"/>
      <c r="I16" s="158"/>
      <c r="J16" s="155"/>
      <c r="K16" s="151"/>
      <c r="L16" s="164">
        <v>0</v>
      </c>
      <c r="M16" s="101">
        <v>0</v>
      </c>
    </row>
    <row r="17" spans="1:24" ht="12.75" x14ac:dyDescent="0.2">
      <c r="A17" s="15">
        <v>8</v>
      </c>
      <c r="B17" s="121" t="s">
        <v>235</v>
      </c>
      <c r="C17" s="158" t="s">
        <v>618</v>
      </c>
      <c r="D17" s="155">
        <v>1</v>
      </c>
      <c r="E17" s="151">
        <v>6.5</v>
      </c>
      <c r="F17" s="166">
        <v>6.5</v>
      </c>
      <c r="G17" s="101">
        <v>0</v>
      </c>
      <c r="H17" s="121"/>
      <c r="I17" s="158"/>
      <c r="J17" s="155"/>
      <c r="K17" s="151"/>
      <c r="L17" s="164">
        <v>0</v>
      </c>
      <c r="M17" s="101">
        <v>0</v>
      </c>
    </row>
    <row r="18" spans="1:24" ht="12.75" x14ac:dyDescent="0.2">
      <c r="A18" s="15">
        <v>9</v>
      </c>
      <c r="B18" s="121" t="s">
        <v>235</v>
      </c>
      <c r="C18" s="158" t="s">
        <v>619</v>
      </c>
      <c r="D18" s="155">
        <v>1</v>
      </c>
      <c r="E18" s="151">
        <v>5.5</v>
      </c>
      <c r="F18" s="166">
        <v>5.5</v>
      </c>
      <c r="G18" s="101">
        <v>0</v>
      </c>
      <c r="H18" s="121"/>
      <c r="I18" s="158"/>
      <c r="J18" s="155"/>
      <c r="K18" s="151"/>
      <c r="L18" s="164">
        <v>0</v>
      </c>
      <c r="M18" s="101">
        <v>0</v>
      </c>
    </row>
    <row r="19" spans="1:24" ht="12.75" x14ac:dyDescent="0.2">
      <c r="A19" s="15">
        <v>10</v>
      </c>
      <c r="B19" s="121" t="s">
        <v>235</v>
      </c>
      <c r="C19" s="158" t="s">
        <v>620</v>
      </c>
      <c r="D19" s="155">
        <v>1</v>
      </c>
      <c r="E19" s="151">
        <v>7.5</v>
      </c>
      <c r="F19" s="166">
        <v>7.5</v>
      </c>
      <c r="G19" s="101">
        <v>0</v>
      </c>
      <c r="H19" s="121"/>
      <c r="I19" s="158"/>
      <c r="J19" s="155"/>
      <c r="K19" s="151"/>
      <c r="L19" s="164">
        <v>0</v>
      </c>
      <c r="M19" s="101">
        <v>0</v>
      </c>
    </row>
    <row r="20" spans="1:24" ht="12.75" x14ac:dyDescent="0.2">
      <c r="A20" s="15">
        <v>11</v>
      </c>
      <c r="B20" s="121" t="s">
        <v>235</v>
      </c>
      <c r="C20" s="158" t="s">
        <v>621</v>
      </c>
      <c r="D20" s="155">
        <v>1</v>
      </c>
      <c r="E20" s="151">
        <v>3</v>
      </c>
      <c r="F20" s="166">
        <v>3</v>
      </c>
      <c r="G20" s="101">
        <v>0</v>
      </c>
      <c r="H20" s="121"/>
      <c r="I20" s="158"/>
      <c r="J20" s="155"/>
      <c r="K20" s="151"/>
      <c r="L20" s="164">
        <v>0</v>
      </c>
      <c r="M20" s="101">
        <v>0</v>
      </c>
    </row>
    <row r="21" spans="1:24" ht="12.75" x14ac:dyDescent="0.2">
      <c r="A21" s="15">
        <v>12</v>
      </c>
      <c r="B21" s="121" t="s">
        <v>235</v>
      </c>
      <c r="C21" s="158" t="s">
        <v>622</v>
      </c>
      <c r="D21" s="155">
        <v>1</v>
      </c>
      <c r="E21" s="151">
        <v>2</v>
      </c>
      <c r="F21" s="166">
        <v>2</v>
      </c>
      <c r="G21" s="101">
        <v>0</v>
      </c>
      <c r="H21" s="121"/>
      <c r="I21" s="158"/>
      <c r="J21" s="155"/>
      <c r="K21" s="151"/>
      <c r="L21" s="164">
        <v>0</v>
      </c>
      <c r="M21" s="101">
        <v>0</v>
      </c>
    </row>
    <row r="22" spans="1:24" ht="12.75" x14ac:dyDescent="0.2">
      <c r="A22" s="15">
        <v>13</v>
      </c>
      <c r="B22" s="121" t="s">
        <v>235</v>
      </c>
      <c r="C22" s="158" t="s">
        <v>623</v>
      </c>
      <c r="D22" s="155">
        <v>1</v>
      </c>
      <c r="E22" s="151">
        <v>2</v>
      </c>
      <c r="F22" s="166">
        <v>2</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736</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5" x14ac:dyDescent="0.25">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2.75" x14ac:dyDescent="0.2">
      <c r="A34" s="93"/>
      <c r="B34" s="129" t="s">
        <v>276</v>
      </c>
      <c r="C34" s="53"/>
      <c r="D34" s="53"/>
      <c r="E34" s="53"/>
      <c r="F34" s="53"/>
      <c r="G34" s="53"/>
      <c r="H34" s="101">
        <v>0</v>
      </c>
      <c r="I34" s="129" t="s">
        <v>625</v>
      </c>
      <c r="J34" s="53"/>
      <c r="K34" s="53"/>
      <c r="L34" s="53"/>
      <c r="M34" s="53"/>
      <c r="N34" s="53"/>
      <c r="O34" s="101">
        <v>0</v>
      </c>
      <c r="P34" s="129" t="s">
        <v>626</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x14ac:dyDescent="0.2">
      <c r="A35" s="40"/>
      <c r="B35" s="40" t="s">
        <v>579</v>
      </c>
      <c r="C35" s="40" t="s">
        <v>580</v>
      </c>
      <c r="D35" s="40" t="s">
        <v>627</v>
      </c>
      <c r="E35" s="49" t="s">
        <v>628</v>
      </c>
      <c r="F35" s="40" t="s">
        <v>629</v>
      </c>
      <c r="G35" s="40" t="s">
        <v>630</v>
      </c>
      <c r="H35" s="101"/>
      <c r="I35" s="40" t="s">
        <v>631</v>
      </c>
      <c r="J35" s="40" t="s">
        <v>632</v>
      </c>
      <c r="K35" s="40" t="s">
        <v>627</v>
      </c>
      <c r="L35" s="49" t="s">
        <v>633</v>
      </c>
      <c r="M35" s="40" t="s">
        <v>634</v>
      </c>
      <c r="N35" s="40" t="s">
        <v>629</v>
      </c>
      <c r="O35" s="101"/>
      <c r="P35" s="40" t="s">
        <v>422</v>
      </c>
      <c r="Q35" s="40" t="s">
        <v>635</v>
      </c>
      <c r="R35" s="40" t="s">
        <v>629</v>
      </c>
      <c r="S35" s="101"/>
      <c r="X35" s="2"/>
    </row>
    <row r="36" spans="1:196" ht="12.75" x14ac:dyDescent="0.2">
      <c r="A36" s="15">
        <v>1</v>
      </c>
      <c r="B36" s="542"/>
      <c r="C36" s="543"/>
      <c r="D36" s="544"/>
      <c r="E36" s="545"/>
      <c r="F36" s="546"/>
      <c r="G36" s="547"/>
      <c r="H36" s="101">
        <v>0</v>
      </c>
      <c r="I36" s="156"/>
      <c r="J36" s="159" t="s">
        <v>644</v>
      </c>
      <c r="K36" s="121">
        <v>1</v>
      </c>
      <c r="L36" s="121">
        <v>65</v>
      </c>
      <c r="M36" s="433">
        <v>53.78</v>
      </c>
      <c r="N36" s="180">
        <v>58.261666666666663</v>
      </c>
      <c r="O36" s="101">
        <v>0</v>
      </c>
      <c r="P36" s="168"/>
      <c r="Q36" s="169"/>
      <c r="R36" s="180">
        <v>0</v>
      </c>
      <c r="S36" s="101">
        <v>0</v>
      </c>
      <c r="X36" s="2"/>
    </row>
    <row r="37" spans="1:196" ht="12.75" x14ac:dyDescent="0.2">
      <c r="A37" s="15">
        <v>2</v>
      </c>
      <c r="B37" s="542"/>
      <c r="C37" s="543"/>
      <c r="D37" s="544"/>
      <c r="E37" s="545"/>
      <c r="F37" s="546"/>
      <c r="G37" s="547"/>
      <c r="H37" s="101">
        <v>0</v>
      </c>
      <c r="I37" s="156"/>
      <c r="J37" s="159"/>
      <c r="K37" s="159"/>
      <c r="L37" s="121"/>
      <c r="M37" s="169"/>
      <c r="N37" s="180">
        <v>0</v>
      </c>
      <c r="O37" s="101">
        <v>0</v>
      </c>
      <c r="P37" s="168"/>
      <c r="Q37" s="169"/>
      <c r="R37" s="180">
        <v>0</v>
      </c>
      <c r="S37" s="101">
        <v>0</v>
      </c>
      <c r="X37" s="2"/>
    </row>
    <row r="38" spans="1:196" ht="12.75" x14ac:dyDescent="0.2">
      <c r="A38" s="15">
        <v>3</v>
      </c>
      <c r="B38" s="542"/>
      <c r="C38" s="543"/>
      <c r="D38" s="544"/>
      <c r="E38" s="545"/>
      <c r="F38" s="546"/>
      <c r="G38" s="547"/>
      <c r="H38" s="101">
        <v>0</v>
      </c>
      <c r="I38" s="156"/>
      <c r="J38" s="159"/>
      <c r="K38" s="159"/>
      <c r="L38" s="121"/>
      <c r="M38" s="169"/>
      <c r="N38" s="180">
        <v>0</v>
      </c>
      <c r="O38" s="101">
        <v>0</v>
      </c>
      <c r="P38" s="168"/>
      <c r="Q38" s="169"/>
      <c r="R38" s="180">
        <v>0</v>
      </c>
      <c r="S38" s="101">
        <v>0</v>
      </c>
      <c r="X38" s="2"/>
    </row>
    <row r="39" spans="1:196" ht="12.75" x14ac:dyDescent="0.2">
      <c r="A39" s="15">
        <v>4</v>
      </c>
      <c r="B39" s="542"/>
      <c r="C39" s="543"/>
      <c r="D39" s="544"/>
      <c r="E39" s="545"/>
      <c r="F39" s="546"/>
      <c r="G39" s="547"/>
      <c r="H39" s="101">
        <v>0</v>
      </c>
      <c r="I39" s="156"/>
      <c r="J39" s="159"/>
      <c r="K39" s="159"/>
      <c r="L39" s="121"/>
      <c r="M39" s="169"/>
      <c r="N39" s="180">
        <v>0</v>
      </c>
      <c r="O39" s="101">
        <v>0</v>
      </c>
      <c r="P39" s="168"/>
      <c r="Q39" s="169"/>
      <c r="R39" s="180">
        <v>0</v>
      </c>
      <c r="S39" s="101">
        <v>0</v>
      </c>
      <c r="X39" s="2"/>
    </row>
    <row r="40" spans="1:196" ht="12.75" x14ac:dyDescent="0.2">
      <c r="A40" s="15">
        <v>5</v>
      </c>
      <c r="B40" s="542"/>
      <c r="C40" s="543"/>
      <c r="D40" s="544"/>
      <c r="E40" s="545"/>
      <c r="F40" s="546"/>
      <c r="G40" s="547"/>
      <c r="H40" s="101">
        <v>0</v>
      </c>
      <c r="I40" s="156"/>
      <c r="J40" s="159"/>
      <c r="K40" s="159"/>
      <c r="L40" s="121"/>
      <c r="M40" s="169"/>
      <c r="N40" s="180">
        <v>0</v>
      </c>
      <c r="O40" s="101">
        <v>0</v>
      </c>
      <c r="P40" s="168"/>
      <c r="Q40" s="169"/>
      <c r="R40" s="180">
        <v>0</v>
      </c>
      <c r="S40" s="101">
        <v>0</v>
      </c>
      <c r="X40" s="2"/>
    </row>
    <row r="41" spans="1:196" ht="12.75" x14ac:dyDescent="0.2">
      <c r="A41" s="15">
        <v>6</v>
      </c>
      <c r="B41" s="542"/>
      <c r="C41" s="543"/>
      <c r="D41" s="544"/>
      <c r="E41" s="545"/>
      <c r="F41" s="546"/>
      <c r="G41" s="547"/>
      <c r="H41" s="101">
        <v>0</v>
      </c>
      <c r="I41" s="156"/>
      <c r="J41" s="159"/>
      <c r="K41" s="159"/>
      <c r="L41" s="121"/>
      <c r="M41" s="169"/>
      <c r="N41" s="180">
        <v>0</v>
      </c>
      <c r="O41" s="101">
        <v>0</v>
      </c>
      <c r="P41" s="168"/>
      <c r="Q41" s="169"/>
      <c r="R41" s="180">
        <v>0</v>
      </c>
      <c r="S41" s="101">
        <v>0</v>
      </c>
      <c r="X41" s="2"/>
    </row>
    <row r="42" spans="1:196" ht="12.75" x14ac:dyDescent="0.2">
      <c r="A42" s="15">
        <v>7</v>
      </c>
      <c r="B42" s="542"/>
      <c r="C42" s="543"/>
      <c r="D42" s="544"/>
      <c r="E42" s="545"/>
      <c r="F42" s="546"/>
      <c r="G42" s="547"/>
      <c r="H42" s="101">
        <v>0</v>
      </c>
      <c r="I42" s="156"/>
      <c r="J42" s="159"/>
      <c r="K42" s="159"/>
      <c r="L42" s="121"/>
      <c r="M42" s="169"/>
      <c r="N42" s="180">
        <v>0</v>
      </c>
      <c r="O42" s="101">
        <v>0</v>
      </c>
      <c r="P42" s="168"/>
      <c r="Q42" s="169"/>
      <c r="R42" s="180">
        <v>0</v>
      </c>
      <c r="S42" s="101">
        <v>0</v>
      </c>
      <c r="X42" s="2"/>
    </row>
    <row r="43" spans="1:196" ht="12.75" x14ac:dyDescent="0.2">
      <c r="A43" s="15">
        <v>8</v>
      </c>
      <c r="B43" s="542"/>
      <c r="C43" s="543"/>
      <c r="D43" s="544"/>
      <c r="E43" s="545"/>
      <c r="F43" s="546"/>
      <c r="G43" s="547"/>
      <c r="H43" s="101">
        <v>0</v>
      </c>
      <c r="I43" s="156"/>
      <c r="J43" s="159"/>
      <c r="K43" s="159"/>
      <c r="L43" s="121"/>
      <c r="M43" s="169"/>
      <c r="N43" s="180">
        <v>0</v>
      </c>
      <c r="O43" s="101">
        <v>0</v>
      </c>
      <c r="P43" s="168"/>
      <c r="Q43" s="169"/>
      <c r="R43" s="180">
        <v>0</v>
      </c>
      <c r="S43" s="101">
        <v>0</v>
      </c>
      <c r="X43" s="2"/>
    </row>
    <row r="44" spans="1:196" ht="12.75" x14ac:dyDescent="0.2">
      <c r="A44" s="15">
        <v>9</v>
      </c>
      <c r="B44" s="542"/>
      <c r="C44" s="543"/>
      <c r="D44" s="544"/>
      <c r="E44" s="545"/>
      <c r="F44" s="546"/>
      <c r="G44" s="547"/>
      <c r="H44" s="101">
        <v>0</v>
      </c>
      <c r="I44" s="156"/>
      <c r="J44" s="159"/>
      <c r="K44" s="159"/>
      <c r="L44" s="121"/>
      <c r="M44" s="169"/>
      <c r="N44" s="180">
        <v>0</v>
      </c>
      <c r="O44" s="101">
        <v>0</v>
      </c>
      <c r="P44" s="168"/>
      <c r="Q44" s="169"/>
      <c r="R44" s="180">
        <v>0</v>
      </c>
      <c r="S44" s="101">
        <v>0</v>
      </c>
      <c r="X44" s="2"/>
    </row>
    <row r="45" spans="1:196" ht="12.75" x14ac:dyDescent="0.2">
      <c r="A45" s="15">
        <v>10</v>
      </c>
      <c r="B45" s="544"/>
      <c r="C45" s="543"/>
      <c r="D45" s="544"/>
      <c r="E45" s="545"/>
      <c r="F45" s="546"/>
      <c r="G45" s="547"/>
      <c r="H45" s="101">
        <v>0</v>
      </c>
      <c r="I45" s="156"/>
      <c r="J45" s="159"/>
      <c r="K45" s="159"/>
      <c r="L45" s="121"/>
      <c r="M45" s="169"/>
      <c r="N45" s="180">
        <v>0</v>
      </c>
      <c r="O45" s="101">
        <v>0</v>
      </c>
      <c r="P45" s="168"/>
      <c r="Q45" s="169"/>
      <c r="R45" s="180">
        <v>0</v>
      </c>
      <c r="S45" s="101">
        <v>0</v>
      </c>
      <c r="X45" s="2"/>
    </row>
    <row r="46" spans="1:196" ht="12.75" x14ac:dyDescent="0.2">
      <c r="A46" s="15">
        <v>11</v>
      </c>
      <c r="B46" s="544"/>
      <c r="C46" s="543"/>
      <c r="D46" s="544"/>
      <c r="E46" s="545"/>
      <c r="F46" s="546"/>
      <c r="G46" s="547"/>
      <c r="H46" s="101">
        <v>0</v>
      </c>
      <c r="I46" s="156"/>
      <c r="J46" s="159"/>
      <c r="K46" s="159"/>
      <c r="L46" s="121"/>
      <c r="M46" s="169"/>
      <c r="N46" s="180">
        <v>0</v>
      </c>
      <c r="O46" s="101">
        <v>0</v>
      </c>
      <c r="P46" s="168"/>
      <c r="Q46" s="169"/>
      <c r="R46" s="180">
        <v>0</v>
      </c>
      <c r="S46" s="101">
        <v>0</v>
      </c>
      <c r="X46" s="2"/>
    </row>
    <row r="47" spans="1:196" ht="12.75" x14ac:dyDescent="0.2">
      <c r="A47" s="15">
        <v>12</v>
      </c>
      <c r="B47" s="544"/>
      <c r="C47" s="543"/>
      <c r="D47" s="544"/>
      <c r="E47" s="545"/>
      <c r="F47" s="546"/>
      <c r="G47" s="543"/>
      <c r="H47" s="101">
        <v>0</v>
      </c>
      <c r="I47" s="156"/>
      <c r="J47" s="159"/>
      <c r="K47" s="159"/>
      <c r="L47" s="121"/>
      <c r="M47" s="169"/>
      <c r="N47" s="180">
        <v>0</v>
      </c>
      <c r="O47" s="101">
        <v>0</v>
      </c>
      <c r="P47" s="168"/>
      <c r="Q47" s="169"/>
      <c r="R47" s="180">
        <v>0</v>
      </c>
      <c r="S47" s="101">
        <v>0</v>
      </c>
      <c r="X47" s="2"/>
    </row>
    <row r="48" spans="1:196" ht="12.75" x14ac:dyDescent="0.2">
      <c r="A48" s="15">
        <v>13</v>
      </c>
      <c r="B48" s="544"/>
      <c r="C48" s="543"/>
      <c r="D48" s="544"/>
      <c r="E48" s="545"/>
      <c r="F48" s="546"/>
      <c r="G48" s="543"/>
      <c r="H48" s="101">
        <v>0</v>
      </c>
      <c r="I48" s="156"/>
      <c r="J48" s="159"/>
      <c r="K48" s="159"/>
      <c r="L48" s="121"/>
      <c r="M48" s="169"/>
      <c r="N48" s="180">
        <v>0</v>
      </c>
      <c r="O48" s="101">
        <v>0</v>
      </c>
      <c r="P48" s="168"/>
      <c r="Q48" s="169"/>
      <c r="R48" s="180">
        <v>0</v>
      </c>
      <c r="S48" s="101">
        <v>0</v>
      </c>
      <c r="X48" s="2"/>
    </row>
    <row r="49" spans="1:24" ht="12.75" x14ac:dyDescent="0.2">
      <c r="A49" s="15">
        <v>14</v>
      </c>
      <c r="B49" s="544"/>
      <c r="C49" s="548"/>
      <c r="D49" s="544"/>
      <c r="E49" s="545"/>
      <c r="F49" s="546"/>
      <c r="G49" s="548"/>
      <c r="H49" s="101">
        <v>0</v>
      </c>
      <c r="I49" s="156"/>
      <c r="J49" s="159"/>
      <c r="K49" s="159"/>
      <c r="L49" s="121"/>
      <c r="M49" s="169"/>
      <c r="N49" s="180">
        <v>0</v>
      </c>
      <c r="O49" s="101">
        <v>0</v>
      </c>
      <c r="P49" s="168"/>
      <c r="Q49" s="169"/>
      <c r="R49" s="180">
        <v>0</v>
      </c>
      <c r="S49" s="101">
        <v>0</v>
      </c>
      <c r="X49" s="2"/>
    </row>
    <row r="50" spans="1:24" ht="12.75" x14ac:dyDescent="0.2">
      <c r="A50" s="15">
        <v>15</v>
      </c>
      <c r="B50" s="544"/>
      <c r="C50" s="548"/>
      <c r="D50" s="544"/>
      <c r="E50" s="545"/>
      <c r="F50" s="546"/>
      <c r="G50" s="548"/>
      <c r="H50" s="101">
        <v>0</v>
      </c>
      <c r="I50" s="156"/>
      <c r="J50" s="159"/>
      <c r="K50" s="159"/>
      <c r="L50" s="121"/>
      <c r="M50" s="169"/>
      <c r="N50" s="180">
        <v>0</v>
      </c>
      <c r="O50" s="101">
        <v>0</v>
      </c>
      <c r="P50" s="168"/>
      <c r="Q50" s="169"/>
      <c r="R50" s="180">
        <v>0</v>
      </c>
      <c r="S50" s="101">
        <v>0</v>
      </c>
      <c r="X50" s="2"/>
    </row>
    <row r="51" spans="1:24" ht="12.75" x14ac:dyDescent="0.2">
      <c r="A51" s="15">
        <v>16</v>
      </c>
      <c r="B51" s="544"/>
      <c r="C51" s="548"/>
      <c r="D51" s="544"/>
      <c r="E51" s="545"/>
      <c r="F51" s="546"/>
      <c r="G51" s="548"/>
      <c r="H51" s="101">
        <v>0</v>
      </c>
      <c r="I51" s="156"/>
      <c r="J51" s="159"/>
      <c r="K51" s="159"/>
      <c r="L51" s="121"/>
      <c r="M51" s="169"/>
      <c r="N51" s="180">
        <v>0</v>
      </c>
      <c r="O51" s="101">
        <v>0</v>
      </c>
      <c r="P51" s="168"/>
      <c r="Q51" s="169"/>
      <c r="R51" s="180">
        <v>0</v>
      </c>
      <c r="S51" s="101">
        <v>0</v>
      </c>
      <c r="X51" s="2"/>
    </row>
    <row r="52" spans="1:24" ht="12.75" x14ac:dyDescent="0.2">
      <c r="A52" s="15">
        <v>17</v>
      </c>
      <c r="B52" s="544"/>
      <c r="C52" s="548"/>
      <c r="D52" s="544"/>
      <c r="E52" s="545"/>
      <c r="F52" s="546"/>
      <c r="G52" s="548"/>
      <c r="H52" s="101">
        <v>0</v>
      </c>
      <c r="I52" s="156"/>
      <c r="J52" s="159"/>
      <c r="K52" s="159"/>
      <c r="L52" s="121"/>
      <c r="M52" s="169"/>
      <c r="N52" s="180">
        <v>0</v>
      </c>
      <c r="O52" s="101">
        <v>0</v>
      </c>
      <c r="P52" s="168"/>
      <c r="Q52" s="169"/>
      <c r="R52" s="180">
        <v>0</v>
      </c>
      <c r="S52" s="101">
        <v>0</v>
      </c>
      <c r="X52" s="2"/>
    </row>
    <row r="53" spans="1:24" ht="12.75" x14ac:dyDescent="0.2">
      <c r="A53" s="15">
        <v>18</v>
      </c>
      <c r="B53" s="544"/>
      <c r="C53" s="548"/>
      <c r="D53" s="544"/>
      <c r="E53" s="545"/>
      <c r="F53" s="546"/>
      <c r="G53" s="548"/>
      <c r="H53" s="101">
        <v>0</v>
      </c>
      <c r="I53" s="156"/>
      <c r="J53" s="159"/>
      <c r="K53" s="159"/>
      <c r="L53" s="121"/>
      <c r="M53" s="169"/>
      <c r="N53" s="180">
        <v>0</v>
      </c>
      <c r="O53" s="101">
        <v>0</v>
      </c>
      <c r="P53" s="168"/>
      <c r="Q53" s="169"/>
      <c r="R53" s="180">
        <v>0</v>
      </c>
      <c r="S53" s="101">
        <v>0</v>
      </c>
      <c r="X53" s="2"/>
    </row>
    <row r="54" spans="1:24" ht="12.75" x14ac:dyDescent="0.2">
      <c r="A54" s="15">
        <v>19</v>
      </c>
      <c r="B54" s="544"/>
      <c r="C54" s="548"/>
      <c r="D54" s="544"/>
      <c r="E54" s="545"/>
      <c r="F54" s="546"/>
      <c r="G54" s="548"/>
      <c r="H54" s="101">
        <v>0</v>
      </c>
      <c r="I54" s="156"/>
      <c r="J54" s="159"/>
      <c r="K54" s="159"/>
      <c r="L54" s="121"/>
      <c r="M54" s="169"/>
      <c r="N54" s="180">
        <v>0</v>
      </c>
      <c r="O54" s="101">
        <v>0</v>
      </c>
      <c r="P54" s="168"/>
      <c r="Q54" s="169"/>
      <c r="R54" s="180">
        <v>0</v>
      </c>
      <c r="S54" s="101">
        <v>0</v>
      </c>
      <c r="X54" s="2"/>
    </row>
    <row r="55" spans="1:24" ht="12.75" x14ac:dyDescent="0.2">
      <c r="A55" s="15">
        <v>20</v>
      </c>
      <c r="B55" s="544"/>
      <c r="C55" s="548"/>
      <c r="D55" s="544"/>
      <c r="E55" s="545"/>
      <c r="F55" s="549"/>
      <c r="G55" s="548"/>
      <c r="H55" s="101">
        <v>0</v>
      </c>
      <c r="I55" s="156"/>
      <c r="J55" s="159"/>
      <c r="K55" s="159"/>
      <c r="L55" s="121"/>
      <c r="M55" s="169"/>
      <c r="N55" s="181">
        <v>0</v>
      </c>
      <c r="O55" s="101">
        <v>0</v>
      </c>
      <c r="P55" s="168"/>
      <c r="Q55" s="169"/>
      <c r="R55" s="181">
        <v>0</v>
      </c>
      <c r="S55" s="101">
        <v>0</v>
      </c>
      <c r="X55" s="2"/>
    </row>
    <row r="56" spans="1:24" ht="13.5" thickBot="1" x14ac:dyDescent="0.25">
      <c r="E56" s="161" t="s">
        <v>637</v>
      </c>
      <c r="F56" s="162">
        <v>79.02</v>
      </c>
      <c r="G56" s="161" t="s">
        <v>638</v>
      </c>
      <c r="H56" s="17"/>
      <c r="I56"/>
      <c r="M56" s="161" t="s">
        <v>639</v>
      </c>
      <c r="N56" s="162">
        <v>58.261666666666663</v>
      </c>
      <c r="P56"/>
      <c r="Q56" s="161" t="s">
        <v>640</v>
      </c>
      <c r="R56" s="162">
        <v>0</v>
      </c>
      <c r="X56" s="2"/>
    </row>
    <row r="57" spans="1:24" ht="12.95" customHeight="1" x14ac:dyDescent="0.2">
      <c r="E57" s="17" t="s">
        <v>641</v>
      </c>
      <c r="F57" s="401">
        <v>79.02</v>
      </c>
      <c r="G57" s="402">
        <v>1</v>
      </c>
      <c r="H57" s="17"/>
      <c r="X57" s="2"/>
    </row>
    <row r="58" spans="1:24" ht="12.95" customHeight="1" x14ac:dyDescent="0.2">
      <c r="E58" s="17" t="s">
        <v>642</v>
      </c>
      <c r="F58" s="401">
        <v>226.85271156000002</v>
      </c>
      <c r="G58" s="402">
        <v>0</v>
      </c>
      <c r="H58" s="17"/>
      <c r="X58" s="2"/>
    </row>
    <row r="59" spans="1:24" ht="12.95" customHeight="1" thickBot="1" x14ac:dyDescent="0.25">
      <c r="E59" s="161" t="s">
        <v>643</v>
      </c>
      <c r="F59" s="162">
        <v>305.87271155999997</v>
      </c>
      <c r="G59" s="161"/>
      <c r="H59" s="17"/>
      <c r="X59" s="2"/>
    </row>
    <row r="60" spans="1:24" ht="12.95" customHeight="1" x14ac:dyDescent="0.2">
      <c r="G60" s="17"/>
      <c r="H60"/>
      <c r="X60" s="2"/>
    </row>
    <row r="61" spans="1:24" ht="12.95" customHeight="1" x14ac:dyDescent="0.2"/>
    <row r="62" spans="1:24" ht="12.95" customHeight="1" x14ac:dyDescent="0.2"/>
    <row r="63" spans="1:24" ht="12.95" customHeight="1" x14ac:dyDescent="0.2"/>
    <row r="64" spans="1:24"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73" priority="2" operator="equal">
      <formula>"Check"</formula>
    </cfRule>
    <cfRule type="cellIs" dxfId="72" priority="3" operator="equal">
      <formula>"Ok"</formula>
    </cfRule>
  </conditionalFormatting>
  <dataValidations count="1">
    <dataValidation type="list" allowBlank="1" showInputMessage="1" showErrorMessage="1" sqref="M8 G30:J30 M30 C30:D31" xr:uid="{4D735E59-3D4F-474D-B9A2-5740BDB1EF43}">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93B2289-2E47-4496-AC9A-FBC94617136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182864A-CA56-45E1-BEA4-6B148DBCB1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3" id="{8B6E9340-639D-4F90-85AA-3768EA84FB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81B17C7D-96BC-4145-9DF0-118F5BBB7B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D6F9079A-37B0-4BDB-8F24-408C1E7287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0" id="{0B3EE121-8EB2-4A16-8899-42B50B8DA4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E0A97F42-E0CA-42FA-84B3-556728D53A3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4AE17C1-4A3C-4394-AECE-6FB266BFB24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4" id="{A21E88B0-3ACC-4DA2-8767-B325C7EA76A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B756C1B5-6901-4416-8423-F7DA4AFEF0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B35F853B-9E7A-47BA-9634-93E2D58A8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1" id="{6FCF3439-482A-4C18-BB9D-39CD92FE428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8A7E8874-33A2-45B3-B603-1A35A2BD876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60D28638-0B9D-4870-A4CF-0D511B7F741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2" id="{869D7881-DFE9-4076-9E0F-E708D0381A2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A4DF9F3-ECFB-4FF3-AD87-14ADC891E744}">
          <x14:formula1>
            <xm:f>'Input|Setup'!$B$31:$B$49</xm:f>
          </x14:formula1>
          <xm:sqref>B10:B29 H10:H29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903A0-566A-40F5-A23F-246032FCE12A}">
  <sheetPr codeName="Sheet16">
    <tabColor theme="8" tint="0.79998168889431442"/>
  </sheetPr>
  <dimension ref="A1:HO1257"/>
  <sheetViews>
    <sheetView showGridLines="0" topLeftCell="A23" zoomScale="80" zoomScaleNormal="80" workbookViewId="0">
      <selection activeCell="B36" sqref="B36:G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12.8554687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17.42578125" style="2" bestFit="1" customWidth="1"/>
    <col min="18" max="18" width="12.7109375" style="2" bestFit="1"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376</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737</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9</v>
      </c>
      <c r="F10" s="166">
        <v>9</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3</v>
      </c>
      <c r="F11" s="166">
        <v>3</v>
      </c>
      <c r="G11" s="101">
        <v>0</v>
      </c>
      <c r="H11" s="121" t="s">
        <v>238</v>
      </c>
      <c r="I11" s="158" t="s">
        <v>646</v>
      </c>
      <c r="J11" s="121">
        <v>2</v>
      </c>
      <c r="K11" s="151">
        <v>5</v>
      </c>
      <c r="L11" s="164">
        <v>10</v>
      </c>
      <c r="M11" s="101">
        <v>0</v>
      </c>
    </row>
    <row r="12" spans="1:23" ht="12.75" x14ac:dyDescent="0.2">
      <c r="A12" s="15">
        <v>3</v>
      </c>
      <c r="B12" s="121" t="s">
        <v>235</v>
      </c>
      <c r="C12" s="158" t="s">
        <v>615</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617</v>
      </c>
      <c r="D13" s="155">
        <v>1</v>
      </c>
      <c r="E13" s="151">
        <v>8</v>
      </c>
      <c r="F13" s="166">
        <v>8</v>
      </c>
      <c r="G13" s="101">
        <v>0</v>
      </c>
      <c r="H13" s="121" t="s">
        <v>238</v>
      </c>
      <c r="I13" s="158" t="s">
        <v>647</v>
      </c>
      <c r="J13" s="121">
        <v>2</v>
      </c>
      <c r="K13" s="151">
        <v>15</v>
      </c>
      <c r="L13" s="164">
        <v>30</v>
      </c>
      <c r="M13" s="101">
        <v>0</v>
      </c>
    </row>
    <row r="14" spans="1:23" ht="12.75" x14ac:dyDescent="0.2">
      <c r="A14" s="15">
        <v>5</v>
      </c>
      <c r="B14" s="121" t="s">
        <v>235</v>
      </c>
      <c r="C14" s="158" t="s">
        <v>618</v>
      </c>
      <c r="D14" s="155">
        <v>1</v>
      </c>
      <c r="E14" s="151">
        <v>7</v>
      </c>
      <c r="F14" s="166">
        <v>7</v>
      </c>
      <c r="G14" s="101">
        <v>0</v>
      </c>
      <c r="H14" s="121" t="s">
        <v>238</v>
      </c>
      <c r="I14" s="158" t="s">
        <v>648</v>
      </c>
      <c r="J14" s="121">
        <v>2</v>
      </c>
      <c r="K14" s="151">
        <v>5</v>
      </c>
      <c r="L14" s="164">
        <v>10</v>
      </c>
      <c r="M14" s="101">
        <v>0</v>
      </c>
    </row>
    <row r="15" spans="1:23" ht="12.75" x14ac:dyDescent="0.2">
      <c r="A15" s="15">
        <v>6</v>
      </c>
      <c r="B15" s="121" t="s">
        <v>235</v>
      </c>
      <c r="C15" s="158" t="s">
        <v>619</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620</v>
      </c>
      <c r="D16" s="155">
        <v>1</v>
      </c>
      <c r="E16" s="151">
        <v>8</v>
      </c>
      <c r="F16" s="166">
        <v>8</v>
      </c>
      <c r="G16" s="101">
        <v>0</v>
      </c>
      <c r="H16" s="121"/>
      <c r="I16" s="158"/>
      <c r="J16" s="121"/>
      <c r="K16" s="151"/>
      <c r="L16" s="164">
        <v>0</v>
      </c>
      <c r="M16" s="101">
        <v>0</v>
      </c>
    </row>
    <row r="17" spans="1:24" ht="12.75" x14ac:dyDescent="0.2">
      <c r="A17" s="15">
        <v>8</v>
      </c>
      <c r="B17" s="121" t="s">
        <v>235</v>
      </c>
      <c r="C17" s="158" t="s">
        <v>621</v>
      </c>
      <c r="D17" s="155">
        <v>1</v>
      </c>
      <c r="E17" s="151">
        <v>6</v>
      </c>
      <c r="F17" s="166">
        <v>6</v>
      </c>
      <c r="G17" s="101">
        <v>0</v>
      </c>
      <c r="H17" s="121"/>
      <c r="I17" s="158"/>
      <c r="J17" s="121"/>
      <c r="K17" s="151"/>
      <c r="L17" s="164">
        <v>0</v>
      </c>
      <c r="M17" s="101">
        <v>0</v>
      </c>
    </row>
    <row r="18" spans="1:24" ht="12.75" x14ac:dyDescent="0.2">
      <c r="A18" s="15">
        <v>9</v>
      </c>
      <c r="B18" s="121" t="s">
        <v>235</v>
      </c>
      <c r="C18" s="158" t="s">
        <v>622</v>
      </c>
      <c r="D18" s="155">
        <v>1</v>
      </c>
      <c r="E18" s="151">
        <v>7</v>
      </c>
      <c r="F18" s="166">
        <v>7</v>
      </c>
      <c r="G18" s="101">
        <v>0</v>
      </c>
      <c r="H18" s="121"/>
      <c r="I18" s="158"/>
      <c r="J18" s="121"/>
      <c r="K18" s="151"/>
      <c r="L18" s="164">
        <v>0</v>
      </c>
      <c r="M18" s="101">
        <v>0</v>
      </c>
    </row>
    <row r="19" spans="1:24" ht="12.75" x14ac:dyDescent="0.2">
      <c r="A19" s="15">
        <v>10</v>
      </c>
      <c r="B19" s="121" t="s">
        <v>235</v>
      </c>
      <c r="C19" s="158" t="s">
        <v>623</v>
      </c>
      <c r="D19" s="155">
        <v>1</v>
      </c>
      <c r="E19" s="151">
        <v>6</v>
      </c>
      <c r="F19" s="166">
        <v>6</v>
      </c>
      <c r="G19" s="101">
        <v>0</v>
      </c>
      <c r="H19" s="121"/>
      <c r="I19" s="158"/>
      <c r="J19" s="121"/>
      <c r="K19" s="151"/>
      <c r="L19" s="164">
        <v>0</v>
      </c>
      <c r="M19" s="101">
        <v>0</v>
      </c>
    </row>
    <row r="20" spans="1:24" ht="12.75" x14ac:dyDescent="0.2">
      <c r="A20" s="15">
        <v>11</v>
      </c>
      <c r="B20" s="121"/>
      <c r="C20" s="158"/>
      <c r="D20" s="155"/>
      <c r="E20" s="151"/>
      <c r="F20" s="166">
        <v>0</v>
      </c>
      <c r="G20" s="101">
        <v>0</v>
      </c>
      <c r="H20" s="121"/>
      <c r="I20" s="158"/>
      <c r="J20" s="121"/>
      <c r="K20" s="151"/>
      <c r="L20" s="164">
        <v>0</v>
      </c>
      <c r="M20" s="101">
        <v>0</v>
      </c>
    </row>
    <row r="21" spans="1:24" ht="12.75" x14ac:dyDescent="0.2">
      <c r="A21" s="15">
        <v>12</v>
      </c>
      <c r="B21" s="121"/>
      <c r="C21" s="158"/>
      <c r="D21" s="155"/>
      <c r="E21" s="151"/>
      <c r="F21" s="166">
        <v>0</v>
      </c>
      <c r="G21" s="101">
        <v>0</v>
      </c>
      <c r="H21" s="121"/>
      <c r="I21" s="158"/>
      <c r="J21" s="121"/>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738</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5" x14ac:dyDescent="0.25">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2.75" x14ac:dyDescent="0.2">
      <c r="A34" s="93"/>
      <c r="B34" s="129" t="s">
        <v>276</v>
      </c>
      <c r="C34" s="53"/>
      <c r="D34" s="53"/>
      <c r="E34" s="53"/>
      <c r="F34" s="53"/>
      <c r="G34" s="53"/>
      <c r="H34" s="101">
        <v>0</v>
      </c>
      <c r="I34" s="129" t="s">
        <v>625</v>
      </c>
      <c r="J34" s="53"/>
      <c r="K34" s="53"/>
      <c r="L34" s="53"/>
      <c r="M34" s="53"/>
      <c r="N34" s="53"/>
      <c r="O34" s="101">
        <v>0</v>
      </c>
      <c r="P34" s="129" t="s">
        <v>626</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x14ac:dyDescent="0.2">
      <c r="A35" s="40"/>
      <c r="B35" s="40" t="s">
        <v>579</v>
      </c>
      <c r="C35" s="40" t="s">
        <v>580</v>
      </c>
      <c r="D35" s="40" t="s">
        <v>627</v>
      </c>
      <c r="E35" s="49" t="s">
        <v>628</v>
      </c>
      <c r="F35" s="40" t="s">
        <v>629</v>
      </c>
      <c r="G35" s="40" t="s">
        <v>630</v>
      </c>
      <c r="H35" s="101"/>
      <c r="I35" s="40" t="s">
        <v>631</v>
      </c>
      <c r="J35" s="40" t="s">
        <v>632</v>
      </c>
      <c r="K35" s="40" t="s">
        <v>627</v>
      </c>
      <c r="L35" s="49" t="s">
        <v>633</v>
      </c>
      <c r="M35" s="40" t="s">
        <v>634</v>
      </c>
      <c r="N35" s="40" t="s">
        <v>629</v>
      </c>
      <c r="O35" s="101"/>
      <c r="P35" s="40" t="s">
        <v>422</v>
      </c>
      <c r="Q35" s="40" t="s">
        <v>635</v>
      </c>
      <c r="R35" s="40" t="s">
        <v>629</v>
      </c>
      <c r="S35" s="101"/>
      <c r="X35" s="2"/>
    </row>
    <row r="36" spans="1:196" ht="12.75" x14ac:dyDescent="0.2">
      <c r="A36" s="15">
        <v>1</v>
      </c>
      <c r="B36" s="542"/>
      <c r="C36" s="543"/>
      <c r="D36" s="544"/>
      <c r="E36" s="545"/>
      <c r="F36" s="546"/>
      <c r="G36" s="547"/>
      <c r="H36" s="101">
        <v>0</v>
      </c>
      <c r="I36" s="156"/>
      <c r="J36" s="159" t="s">
        <v>644</v>
      </c>
      <c r="K36" s="121">
        <v>1</v>
      </c>
      <c r="L36" s="121">
        <v>65</v>
      </c>
      <c r="M36" s="433">
        <v>53.78</v>
      </c>
      <c r="N36" s="180">
        <v>58.261666666666663</v>
      </c>
      <c r="O36" s="101">
        <v>0</v>
      </c>
      <c r="P36" s="168"/>
      <c r="Q36" s="169"/>
      <c r="R36" s="180">
        <v>0</v>
      </c>
      <c r="S36" s="101">
        <v>0</v>
      </c>
      <c r="X36" s="2"/>
    </row>
    <row r="37" spans="1:196" ht="12.75" x14ac:dyDescent="0.2">
      <c r="A37" s="15">
        <v>2</v>
      </c>
      <c r="B37" s="542"/>
      <c r="C37" s="543"/>
      <c r="D37" s="544"/>
      <c r="E37" s="545"/>
      <c r="F37" s="546"/>
      <c r="G37" s="547"/>
      <c r="H37" s="101">
        <v>0</v>
      </c>
      <c r="I37" s="156"/>
      <c r="J37" s="159"/>
      <c r="K37" s="121"/>
      <c r="L37" s="121"/>
      <c r="M37" s="169"/>
      <c r="N37" s="180">
        <v>0</v>
      </c>
      <c r="O37" s="101">
        <v>0</v>
      </c>
      <c r="P37" s="168"/>
      <c r="Q37" s="169"/>
      <c r="R37" s="180">
        <v>0</v>
      </c>
      <c r="S37" s="101">
        <v>0</v>
      </c>
      <c r="X37" s="2"/>
    </row>
    <row r="38" spans="1:196" ht="12.75" x14ac:dyDescent="0.2">
      <c r="A38" s="15">
        <v>3</v>
      </c>
      <c r="B38" s="542"/>
      <c r="C38" s="543"/>
      <c r="D38" s="544"/>
      <c r="E38" s="545"/>
      <c r="F38" s="546"/>
      <c r="G38" s="547"/>
      <c r="H38" s="101">
        <v>0</v>
      </c>
      <c r="I38" s="156"/>
      <c r="J38" s="159"/>
      <c r="K38" s="159"/>
      <c r="L38" s="121"/>
      <c r="M38" s="169"/>
      <c r="N38" s="180">
        <v>0</v>
      </c>
      <c r="O38" s="101">
        <v>0</v>
      </c>
      <c r="P38" s="168"/>
      <c r="Q38" s="169"/>
      <c r="R38" s="180">
        <v>0</v>
      </c>
      <c r="S38" s="101">
        <v>0</v>
      </c>
      <c r="X38" s="2"/>
    </row>
    <row r="39" spans="1:196" ht="12.75" x14ac:dyDescent="0.2">
      <c r="A39" s="15">
        <v>4</v>
      </c>
      <c r="B39" s="542"/>
      <c r="C39" s="543"/>
      <c r="D39" s="544"/>
      <c r="E39" s="545"/>
      <c r="F39" s="546"/>
      <c r="G39" s="547"/>
      <c r="H39" s="101">
        <v>0</v>
      </c>
      <c r="I39" s="156"/>
      <c r="J39" s="159"/>
      <c r="K39" s="159"/>
      <c r="L39" s="121"/>
      <c r="M39" s="169"/>
      <c r="N39" s="180">
        <v>0</v>
      </c>
      <c r="O39" s="101">
        <v>0</v>
      </c>
      <c r="P39" s="168"/>
      <c r="Q39" s="169"/>
      <c r="R39" s="180">
        <v>0</v>
      </c>
      <c r="S39" s="101">
        <v>0</v>
      </c>
      <c r="X39" s="2"/>
    </row>
    <row r="40" spans="1:196" ht="12.75" x14ac:dyDescent="0.2">
      <c r="A40" s="15">
        <v>5</v>
      </c>
      <c r="B40" s="542"/>
      <c r="C40" s="543"/>
      <c r="D40" s="544"/>
      <c r="E40" s="545"/>
      <c r="F40" s="546"/>
      <c r="G40" s="547"/>
      <c r="H40" s="101">
        <v>0</v>
      </c>
      <c r="I40" s="156"/>
      <c r="J40" s="159"/>
      <c r="K40" s="159"/>
      <c r="L40" s="121"/>
      <c r="M40" s="169"/>
      <c r="N40" s="180">
        <v>0</v>
      </c>
      <c r="O40" s="101">
        <v>0</v>
      </c>
      <c r="P40" s="168"/>
      <c r="Q40" s="169"/>
      <c r="R40" s="180">
        <v>0</v>
      </c>
      <c r="S40" s="101">
        <v>0</v>
      </c>
      <c r="X40" s="2"/>
    </row>
    <row r="41" spans="1:196" ht="12.75" x14ac:dyDescent="0.2">
      <c r="A41" s="15">
        <v>6</v>
      </c>
      <c r="B41" s="542"/>
      <c r="C41" s="543"/>
      <c r="D41" s="544"/>
      <c r="E41" s="545"/>
      <c r="F41" s="546"/>
      <c r="G41" s="547"/>
      <c r="H41" s="101">
        <v>0</v>
      </c>
      <c r="I41" s="156"/>
      <c r="J41" s="159"/>
      <c r="K41" s="159"/>
      <c r="L41" s="121"/>
      <c r="M41" s="169"/>
      <c r="N41" s="180">
        <v>0</v>
      </c>
      <c r="O41" s="101">
        <v>0</v>
      </c>
      <c r="P41" s="168"/>
      <c r="Q41" s="169"/>
      <c r="R41" s="180">
        <v>0</v>
      </c>
      <c r="S41" s="101">
        <v>0</v>
      </c>
      <c r="X41" s="2"/>
    </row>
    <row r="42" spans="1:196" ht="12.75" x14ac:dyDescent="0.2">
      <c r="A42" s="15">
        <v>7</v>
      </c>
      <c r="B42" s="542"/>
      <c r="C42" s="543"/>
      <c r="D42" s="544"/>
      <c r="E42" s="545"/>
      <c r="F42" s="546"/>
      <c r="G42" s="547"/>
      <c r="H42" s="101">
        <v>0</v>
      </c>
      <c r="I42" s="156"/>
      <c r="J42" s="159"/>
      <c r="K42" s="159"/>
      <c r="L42" s="121"/>
      <c r="M42" s="169"/>
      <c r="N42" s="180">
        <v>0</v>
      </c>
      <c r="O42" s="101">
        <v>0</v>
      </c>
      <c r="P42" s="168"/>
      <c r="Q42" s="169"/>
      <c r="R42" s="180">
        <v>0</v>
      </c>
      <c r="S42" s="101">
        <v>0</v>
      </c>
      <c r="X42" s="2"/>
    </row>
    <row r="43" spans="1:196" ht="12.75" x14ac:dyDescent="0.2">
      <c r="A43" s="15">
        <v>8</v>
      </c>
      <c r="B43" s="542"/>
      <c r="C43" s="543"/>
      <c r="D43" s="544"/>
      <c r="E43" s="545"/>
      <c r="F43" s="546"/>
      <c r="G43" s="547"/>
      <c r="H43" s="101">
        <v>0</v>
      </c>
      <c r="I43" s="156"/>
      <c r="J43" s="159"/>
      <c r="K43" s="159"/>
      <c r="L43" s="121"/>
      <c r="M43" s="169"/>
      <c r="N43" s="180">
        <v>0</v>
      </c>
      <c r="O43" s="101">
        <v>0</v>
      </c>
      <c r="P43" s="168"/>
      <c r="Q43" s="169"/>
      <c r="R43" s="180">
        <v>0</v>
      </c>
      <c r="S43" s="101">
        <v>0</v>
      </c>
      <c r="X43" s="2"/>
    </row>
    <row r="44" spans="1:196" ht="12.75" x14ac:dyDescent="0.2">
      <c r="A44" s="15">
        <v>9</v>
      </c>
      <c r="B44" s="542"/>
      <c r="C44" s="543"/>
      <c r="D44" s="544"/>
      <c r="E44" s="545"/>
      <c r="F44" s="546"/>
      <c r="G44" s="547"/>
      <c r="H44" s="101">
        <v>0</v>
      </c>
      <c r="I44" s="156"/>
      <c r="J44" s="159"/>
      <c r="K44" s="159"/>
      <c r="L44" s="121"/>
      <c r="M44" s="169"/>
      <c r="N44" s="180">
        <v>0</v>
      </c>
      <c r="O44" s="101">
        <v>0</v>
      </c>
      <c r="P44" s="168"/>
      <c r="Q44" s="169"/>
      <c r="R44" s="180">
        <v>0</v>
      </c>
      <c r="S44" s="101">
        <v>0</v>
      </c>
      <c r="X44" s="2"/>
    </row>
    <row r="45" spans="1:196" ht="12.75" x14ac:dyDescent="0.2">
      <c r="A45" s="15">
        <v>10</v>
      </c>
      <c r="B45" s="544"/>
      <c r="C45" s="543"/>
      <c r="D45" s="544"/>
      <c r="E45" s="545"/>
      <c r="F45" s="546"/>
      <c r="G45" s="547"/>
      <c r="H45" s="101">
        <v>0</v>
      </c>
      <c r="I45" s="156"/>
      <c r="J45" s="159"/>
      <c r="K45" s="159"/>
      <c r="L45" s="121"/>
      <c r="M45" s="169"/>
      <c r="N45" s="180">
        <v>0</v>
      </c>
      <c r="O45" s="101">
        <v>0</v>
      </c>
      <c r="P45" s="168"/>
      <c r="Q45" s="169"/>
      <c r="R45" s="180">
        <v>0</v>
      </c>
      <c r="S45" s="101">
        <v>0</v>
      </c>
      <c r="X45" s="2"/>
    </row>
    <row r="46" spans="1:196" ht="12.75" x14ac:dyDescent="0.2">
      <c r="A46" s="15">
        <v>11</v>
      </c>
      <c r="B46" s="544"/>
      <c r="C46" s="543"/>
      <c r="D46" s="544"/>
      <c r="E46" s="545"/>
      <c r="F46" s="546"/>
      <c r="G46" s="547"/>
      <c r="H46" s="101">
        <v>0</v>
      </c>
      <c r="I46" s="156"/>
      <c r="J46" s="159"/>
      <c r="K46" s="159"/>
      <c r="L46" s="121"/>
      <c r="M46" s="169"/>
      <c r="N46" s="180">
        <v>0</v>
      </c>
      <c r="O46" s="101">
        <v>0</v>
      </c>
      <c r="P46" s="168"/>
      <c r="Q46" s="169"/>
      <c r="R46" s="180">
        <v>0</v>
      </c>
      <c r="S46" s="101">
        <v>0</v>
      </c>
      <c r="X46" s="2"/>
    </row>
    <row r="47" spans="1:196" ht="12.75" x14ac:dyDescent="0.2">
      <c r="A47" s="15">
        <v>12</v>
      </c>
      <c r="B47" s="544"/>
      <c r="C47" s="543"/>
      <c r="D47" s="544"/>
      <c r="E47" s="545"/>
      <c r="F47" s="546"/>
      <c r="G47" s="543"/>
      <c r="H47" s="101">
        <v>0</v>
      </c>
      <c r="I47" s="156"/>
      <c r="J47" s="159"/>
      <c r="K47" s="159"/>
      <c r="L47" s="121"/>
      <c r="M47" s="169"/>
      <c r="N47" s="180">
        <v>0</v>
      </c>
      <c r="O47" s="101">
        <v>0</v>
      </c>
      <c r="P47" s="168"/>
      <c r="Q47" s="169"/>
      <c r="R47" s="180">
        <v>0</v>
      </c>
      <c r="S47" s="101">
        <v>0</v>
      </c>
      <c r="X47" s="2"/>
    </row>
    <row r="48" spans="1:196" ht="12.75" x14ac:dyDescent="0.2">
      <c r="A48" s="15">
        <v>13</v>
      </c>
      <c r="B48" s="544"/>
      <c r="C48" s="543"/>
      <c r="D48" s="544"/>
      <c r="E48" s="545"/>
      <c r="F48" s="546"/>
      <c r="G48" s="543"/>
      <c r="H48" s="101">
        <v>0</v>
      </c>
      <c r="I48" s="156"/>
      <c r="J48" s="159"/>
      <c r="K48" s="159"/>
      <c r="L48" s="121"/>
      <c r="M48" s="169"/>
      <c r="N48" s="180">
        <v>0</v>
      </c>
      <c r="O48" s="101">
        <v>0</v>
      </c>
      <c r="P48" s="168"/>
      <c r="Q48" s="169"/>
      <c r="R48" s="180">
        <v>0</v>
      </c>
      <c r="S48" s="101">
        <v>0</v>
      </c>
      <c r="X48" s="2"/>
    </row>
    <row r="49" spans="1:24" ht="12.75" x14ac:dyDescent="0.2">
      <c r="A49" s="15">
        <v>14</v>
      </c>
      <c r="B49" s="544"/>
      <c r="C49" s="548"/>
      <c r="D49" s="544"/>
      <c r="E49" s="545"/>
      <c r="F49" s="546"/>
      <c r="G49" s="548"/>
      <c r="H49" s="101">
        <v>0</v>
      </c>
      <c r="I49" s="156"/>
      <c r="J49" s="159"/>
      <c r="K49" s="159"/>
      <c r="L49" s="121"/>
      <c r="M49" s="169"/>
      <c r="N49" s="180">
        <v>0</v>
      </c>
      <c r="O49" s="101">
        <v>0</v>
      </c>
      <c r="P49" s="168"/>
      <c r="Q49" s="169"/>
      <c r="R49" s="180">
        <v>0</v>
      </c>
      <c r="S49" s="101">
        <v>0</v>
      </c>
      <c r="X49" s="2"/>
    </row>
    <row r="50" spans="1:24" ht="12.75" x14ac:dyDescent="0.2">
      <c r="A50" s="15">
        <v>15</v>
      </c>
      <c r="B50" s="544"/>
      <c r="C50" s="548"/>
      <c r="D50" s="544"/>
      <c r="E50" s="545"/>
      <c r="F50" s="546"/>
      <c r="G50" s="548"/>
      <c r="H50" s="101">
        <v>0</v>
      </c>
      <c r="I50" s="156"/>
      <c r="J50" s="159"/>
      <c r="K50" s="159"/>
      <c r="L50" s="121"/>
      <c r="M50" s="169"/>
      <c r="N50" s="180">
        <v>0</v>
      </c>
      <c r="O50" s="101">
        <v>0</v>
      </c>
      <c r="P50" s="168"/>
      <c r="Q50" s="169"/>
      <c r="R50" s="180">
        <v>0</v>
      </c>
      <c r="S50" s="101">
        <v>0</v>
      </c>
      <c r="X50" s="2"/>
    </row>
    <row r="51" spans="1:24" ht="12.75" x14ac:dyDescent="0.2">
      <c r="A51" s="15">
        <v>16</v>
      </c>
      <c r="B51" s="544"/>
      <c r="C51" s="548"/>
      <c r="D51" s="544"/>
      <c r="E51" s="545"/>
      <c r="F51" s="546"/>
      <c r="G51" s="548"/>
      <c r="H51" s="101">
        <v>0</v>
      </c>
      <c r="I51" s="156"/>
      <c r="J51" s="159"/>
      <c r="K51" s="159"/>
      <c r="L51" s="121"/>
      <c r="M51" s="169"/>
      <c r="N51" s="180">
        <v>0</v>
      </c>
      <c r="O51" s="101">
        <v>0</v>
      </c>
      <c r="P51" s="168"/>
      <c r="Q51" s="169"/>
      <c r="R51" s="180">
        <v>0</v>
      </c>
      <c r="S51" s="101">
        <v>0</v>
      </c>
      <c r="X51" s="2"/>
    </row>
    <row r="52" spans="1:24" ht="12.75" x14ac:dyDescent="0.2">
      <c r="A52" s="15">
        <v>17</v>
      </c>
      <c r="B52" s="544"/>
      <c r="C52" s="548"/>
      <c r="D52" s="544"/>
      <c r="E52" s="545"/>
      <c r="F52" s="546"/>
      <c r="G52" s="548"/>
      <c r="H52" s="101">
        <v>0</v>
      </c>
      <c r="I52" s="156"/>
      <c r="J52" s="159"/>
      <c r="K52" s="159"/>
      <c r="L52" s="121"/>
      <c r="M52" s="169"/>
      <c r="N52" s="180">
        <v>0</v>
      </c>
      <c r="O52" s="101">
        <v>0</v>
      </c>
      <c r="P52" s="168"/>
      <c r="Q52" s="169"/>
      <c r="R52" s="180">
        <v>0</v>
      </c>
      <c r="S52" s="101">
        <v>0</v>
      </c>
      <c r="X52" s="2"/>
    </row>
    <row r="53" spans="1:24" ht="12.75" x14ac:dyDescent="0.2">
      <c r="A53" s="15">
        <v>18</v>
      </c>
      <c r="B53" s="544"/>
      <c r="C53" s="548"/>
      <c r="D53" s="544"/>
      <c r="E53" s="545"/>
      <c r="F53" s="546"/>
      <c r="G53" s="548"/>
      <c r="H53" s="101">
        <v>0</v>
      </c>
      <c r="I53" s="156"/>
      <c r="J53" s="159"/>
      <c r="K53" s="159"/>
      <c r="L53" s="121"/>
      <c r="M53" s="169"/>
      <c r="N53" s="180">
        <v>0</v>
      </c>
      <c r="O53" s="101">
        <v>0</v>
      </c>
      <c r="P53" s="168"/>
      <c r="Q53" s="169"/>
      <c r="R53" s="180">
        <v>0</v>
      </c>
      <c r="S53" s="101">
        <v>0</v>
      </c>
      <c r="X53" s="2"/>
    </row>
    <row r="54" spans="1:24" ht="12.75" x14ac:dyDescent="0.2">
      <c r="A54" s="15">
        <v>19</v>
      </c>
      <c r="B54" s="544"/>
      <c r="C54" s="548"/>
      <c r="D54" s="544"/>
      <c r="E54" s="545"/>
      <c r="F54" s="546"/>
      <c r="G54" s="548"/>
      <c r="H54" s="101">
        <v>0</v>
      </c>
      <c r="I54" s="156"/>
      <c r="J54" s="159"/>
      <c r="K54" s="159"/>
      <c r="L54" s="121"/>
      <c r="M54" s="169"/>
      <c r="N54" s="180">
        <v>0</v>
      </c>
      <c r="O54" s="101">
        <v>0</v>
      </c>
      <c r="P54" s="168"/>
      <c r="Q54" s="169"/>
      <c r="R54" s="180">
        <v>0</v>
      </c>
      <c r="S54" s="101">
        <v>0</v>
      </c>
      <c r="X54" s="2"/>
    </row>
    <row r="55" spans="1:24" ht="12.75" x14ac:dyDescent="0.2">
      <c r="A55" s="15">
        <v>20</v>
      </c>
      <c r="B55" s="544"/>
      <c r="C55" s="548"/>
      <c r="D55" s="544"/>
      <c r="E55" s="545"/>
      <c r="F55" s="549"/>
      <c r="G55" s="548"/>
      <c r="H55" s="101">
        <v>0</v>
      </c>
      <c r="I55" s="156"/>
      <c r="J55" s="159"/>
      <c r="K55" s="159"/>
      <c r="L55" s="121"/>
      <c r="M55" s="169"/>
      <c r="N55" s="181">
        <v>0</v>
      </c>
      <c r="O55" s="101">
        <v>0</v>
      </c>
      <c r="P55" s="168"/>
      <c r="Q55" s="169"/>
      <c r="R55" s="181">
        <v>0</v>
      </c>
      <c r="S55" s="101">
        <v>0</v>
      </c>
      <c r="X55" s="2"/>
    </row>
    <row r="56" spans="1:24" ht="13.5" thickBot="1" x14ac:dyDescent="0.25">
      <c r="E56" s="161" t="s">
        <v>637</v>
      </c>
      <c r="F56" s="162">
        <v>204.67780482600003</v>
      </c>
      <c r="G56" s="161" t="s">
        <v>638</v>
      </c>
      <c r="H56" s="17"/>
      <c r="I56"/>
      <c r="M56" s="161" t="s">
        <v>639</v>
      </c>
      <c r="N56" s="162">
        <v>58.261666666666663</v>
      </c>
      <c r="P56"/>
      <c r="Q56" s="161" t="s">
        <v>640</v>
      </c>
      <c r="R56" s="162">
        <v>0</v>
      </c>
      <c r="X56" s="2"/>
    </row>
    <row r="57" spans="1:24" ht="12.95" customHeight="1" x14ac:dyDescent="0.2">
      <c r="E57" s="17" t="s">
        <v>641</v>
      </c>
      <c r="F57" s="401">
        <v>79.02</v>
      </c>
      <c r="G57" s="402">
        <v>0.15</v>
      </c>
      <c r="H57" s="17"/>
      <c r="X57" s="2"/>
    </row>
    <row r="58" spans="1:24" ht="12.95" customHeight="1" x14ac:dyDescent="0.2">
      <c r="E58" s="17" t="s">
        <v>642</v>
      </c>
      <c r="F58" s="401">
        <v>226.85271156000002</v>
      </c>
      <c r="G58" s="402">
        <v>0.85</v>
      </c>
      <c r="H58" s="17"/>
      <c r="X58" s="2"/>
    </row>
    <row r="59" spans="1:24" ht="12.95" customHeight="1" thickBot="1" x14ac:dyDescent="0.25">
      <c r="E59" s="161" t="s">
        <v>643</v>
      </c>
      <c r="F59" s="162">
        <v>305.87271155999997</v>
      </c>
      <c r="G59" s="161"/>
      <c r="H59" s="17"/>
      <c r="X59" s="2"/>
    </row>
    <row r="60" spans="1:24" ht="12.95" customHeight="1" x14ac:dyDescent="0.2">
      <c r="G60" s="17"/>
      <c r="H60"/>
      <c r="X60" s="2"/>
    </row>
    <row r="61" spans="1:24" ht="12.95" customHeight="1" x14ac:dyDescent="0.2"/>
    <row r="62" spans="1:24" ht="12.95" customHeight="1" x14ac:dyDescent="0.2"/>
    <row r="63" spans="1:24" ht="12.95" customHeight="1" x14ac:dyDescent="0.2"/>
    <row r="64" spans="1:24"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70" priority="2" operator="equal">
      <formula>"Check"</formula>
    </cfRule>
    <cfRule type="cellIs" dxfId="69" priority="3" operator="equal">
      <formula>"Ok"</formula>
    </cfRule>
  </conditionalFormatting>
  <dataValidations count="1">
    <dataValidation type="list" allowBlank="1" showInputMessage="1" showErrorMessage="1" sqref="M8 G30:J30 M30 C30:D31" xr:uid="{FD6B776C-24F8-4AD4-8489-3965F13A84C0}">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C918D241-8BF7-43A9-9E3F-367B66A5035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70D04E94-0E60-485E-B3D3-52A8D89FF8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1" id="{5F760235-46BC-4631-BE7C-DC47DDF3DA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CF2ED39D-291B-4D2C-A3B4-631608371E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04A7F767-08C0-47FA-A230-6B8B500356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37" id="{BCFCA9EE-D1A1-4392-B9D5-57CC53F3652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616842EF-4FAD-4EE7-9B6A-181A77491C4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1B6EABF5-D229-4EAA-B2FC-1E78DE10F26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2" id="{81EFF0CB-4BF0-4E51-9BC7-2E5ED63852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392C626-480A-46A3-9183-91180A1110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5D4AA3E9-F97B-413A-B83E-82FCA1F31EC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38" id="{A1F08979-0B87-4322-B458-12A36DD18B7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05DA64C1-7FCF-41D3-8DF8-08B7C9CB21A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4AC6126B-4682-4544-9D1F-72F5F2EEB1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39" id="{8C2F23A2-CD97-488F-A77D-08DE0E9F90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402D197-A38D-462B-A50C-0CBA89A4336E}">
          <x14:formula1>
            <xm:f>'Input|Setup'!$B$31:$B$49</xm:f>
          </x14:formula1>
          <xm:sqref>B10:B29 H10:H29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A05E9-6E4F-473C-A8DB-E69C17BAA9D5}">
  <sheetPr codeName="Sheet19">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377</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739</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9</v>
      </c>
      <c r="F10" s="166">
        <v>9</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3</v>
      </c>
      <c r="F11" s="166">
        <v>3</v>
      </c>
      <c r="G11" s="101">
        <v>0</v>
      </c>
      <c r="H11" s="121" t="s">
        <v>238</v>
      </c>
      <c r="I11" s="158" t="s">
        <v>646</v>
      </c>
      <c r="J11" s="121">
        <v>2</v>
      </c>
      <c r="K11" s="151">
        <v>5</v>
      </c>
      <c r="L11" s="164">
        <v>10</v>
      </c>
      <c r="M11" s="101">
        <v>0</v>
      </c>
    </row>
    <row r="12" spans="1:23" ht="12.75" x14ac:dyDescent="0.2">
      <c r="A12" s="15">
        <v>3</v>
      </c>
      <c r="B12" s="121" t="s">
        <v>235</v>
      </c>
      <c r="C12" s="158" t="s">
        <v>615</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617</v>
      </c>
      <c r="D13" s="155">
        <v>1</v>
      </c>
      <c r="E13" s="151">
        <v>8</v>
      </c>
      <c r="F13" s="166">
        <v>8</v>
      </c>
      <c r="G13" s="101">
        <v>0</v>
      </c>
      <c r="H13" s="121" t="s">
        <v>238</v>
      </c>
      <c r="I13" s="158" t="s">
        <v>649</v>
      </c>
      <c r="J13" s="121">
        <v>2</v>
      </c>
      <c r="K13" s="151">
        <v>15</v>
      </c>
      <c r="L13" s="164">
        <v>30</v>
      </c>
      <c r="M13" s="101">
        <v>0</v>
      </c>
    </row>
    <row r="14" spans="1:23" ht="12.75" x14ac:dyDescent="0.2">
      <c r="A14" s="15">
        <v>5</v>
      </c>
      <c r="B14" s="121" t="s">
        <v>235</v>
      </c>
      <c r="C14" s="158" t="s">
        <v>618</v>
      </c>
      <c r="D14" s="155">
        <v>1</v>
      </c>
      <c r="E14" s="151">
        <v>7</v>
      </c>
      <c r="F14" s="166">
        <v>7</v>
      </c>
      <c r="G14" s="101">
        <v>0</v>
      </c>
      <c r="H14" s="121" t="s">
        <v>238</v>
      </c>
      <c r="I14" s="158" t="s">
        <v>650</v>
      </c>
      <c r="J14" s="121">
        <v>2</v>
      </c>
      <c r="K14" s="151">
        <v>5</v>
      </c>
      <c r="L14" s="164">
        <v>10</v>
      </c>
      <c r="M14" s="101">
        <v>0</v>
      </c>
    </row>
    <row r="15" spans="1:23" ht="12.75" x14ac:dyDescent="0.2">
      <c r="A15" s="15">
        <v>6</v>
      </c>
      <c r="B15" s="121" t="s">
        <v>235</v>
      </c>
      <c r="C15" s="158" t="s">
        <v>619</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620</v>
      </c>
      <c r="D16" s="155">
        <v>1</v>
      </c>
      <c r="E16" s="151">
        <v>8</v>
      </c>
      <c r="F16" s="166">
        <v>8</v>
      </c>
      <c r="G16" s="101">
        <v>0</v>
      </c>
      <c r="H16" s="121"/>
      <c r="I16" s="158"/>
      <c r="J16" s="121"/>
      <c r="K16" s="151"/>
      <c r="L16" s="164">
        <v>0</v>
      </c>
      <c r="M16" s="101">
        <v>0</v>
      </c>
    </row>
    <row r="17" spans="1:24" ht="12.75" x14ac:dyDescent="0.2">
      <c r="A17" s="15">
        <v>8</v>
      </c>
      <c r="B17" s="121" t="s">
        <v>235</v>
      </c>
      <c r="C17" s="158" t="s">
        <v>621</v>
      </c>
      <c r="D17" s="155">
        <v>1</v>
      </c>
      <c r="E17" s="151">
        <v>6</v>
      </c>
      <c r="F17" s="166">
        <v>6</v>
      </c>
      <c r="G17" s="101">
        <v>0</v>
      </c>
      <c r="H17" s="121"/>
      <c r="I17" s="158"/>
      <c r="J17" s="121"/>
      <c r="K17" s="151"/>
      <c r="L17" s="164">
        <v>0</v>
      </c>
      <c r="M17" s="101">
        <v>0</v>
      </c>
    </row>
    <row r="18" spans="1:24" ht="12.75" x14ac:dyDescent="0.2">
      <c r="A18" s="15">
        <v>9</v>
      </c>
      <c r="B18" s="121" t="s">
        <v>235</v>
      </c>
      <c r="C18" s="158" t="s">
        <v>622</v>
      </c>
      <c r="D18" s="155">
        <v>1</v>
      </c>
      <c r="E18" s="151">
        <v>7</v>
      </c>
      <c r="F18" s="166">
        <v>7</v>
      </c>
      <c r="G18" s="101">
        <v>0</v>
      </c>
      <c r="H18" s="121"/>
      <c r="I18" s="158"/>
      <c r="J18" s="121"/>
      <c r="K18" s="151"/>
      <c r="L18" s="164">
        <v>0</v>
      </c>
      <c r="M18" s="101">
        <v>0</v>
      </c>
    </row>
    <row r="19" spans="1:24" ht="12.75" x14ac:dyDescent="0.2">
      <c r="A19" s="15">
        <v>10</v>
      </c>
      <c r="B19" s="121" t="s">
        <v>235</v>
      </c>
      <c r="C19" s="158" t="s">
        <v>623</v>
      </c>
      <c r="D19" s="155">
        <v>1</v>
      </c>
      <c r="E19" s="151">
        <v>6</v>
      </c>
      <c r="F19" s="166">
        <v>6</v>
      </c>
      <c r="G19" s="101">
        <v>0</v>
      </c>
      <c r="H19" s="121"/>
      <c r="I19" s="158"/>
      <c r="J19" s="121"/>
      <c r="K19" s="151"/>
      <c r="L19" s="164">
        <v>0</v>
      </c>
      <c r="M19" s="101">
        <v>0</v>
      </c>
    </row>
    <row r="20" spans="1:24" ht="12.75" x14ac:dyDescent="0.2">
      <c r="A20" s="15">
        <v>11</v>
      </c>
      <c r="B20" s="121"/>
      <c r="C20" s="158"/>
      <c r="D20" s="155"/>
      <c r="E20" s="151"/>
      <c r="F20" s="166">
        <v>0</v>
      </c>
      <c r="G20" s="101">
        <v>0</v>
      </c>
      <c r="H20" s="121"/>
      <c r="I20" s="158"/>
      <c r="J20" s="121"/>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740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651</v>
      </c>
      <c r="J36" s="121">
        <v>1</v>
      </c>
      <c r="K36" s="121">
        <v>65</v>
      </c>
      <c r="L36" s="433">
        <v>53.78</v>
      </c>
      <c r="M36" s="180">
        <v>58.261666666666663</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51.012439559999997</v>
      </c>
      <c r="G56" s="17"/>
      <c r="H56"/>
      <c r="L56" s="161" t="s">
        <v>639</v>
      </c>
      <c r="M56" s="162">
        <v>58.261666666666663</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67" priority="2" operator="equal">
      <formula>"Check"</formula>
    </cfRule>
    <cfRule type="cellIs" dxfId="66" priority="3" operator="equal">
      <formula>"Ok"</formula>
    </cfRule>
  </conditionalFormatting>
  <dataValidations count="1">
    <dataValidation type="list" allowBlank="1" showInputMessage="1" showErrorMessage="1" sqref="M8 G30:J30 M30 C30:D31" xr:uid="{C7CF261A-199B-4D8D-A67A-26F3300D615A}">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DABE0D8F-3A58-40B7-A1B9-EA2B5F0D67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C10A503E-7A67-47A9-AE63-EF80EEDEDA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9" id="{99E34CCA-5149-46FF-B0F2-E09899B857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33F2F7F5-2EB7-42A7-9E52-432E7FBE8D5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49050349-62EF-4BB1-A795-06FD70BD8E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4" id="{88002969-C948-423C-A06C-C267D6AA37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F0516ECE-8631-4344-80B7-E8F88F3DC7F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5D5F6F4D-99CB-49AB-852D-6ED2C29469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0" id="{E70A862B-0B5C-4E69-B62C-99561F07B69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8AB5C19-7513-4F5A-880D-8C1705FE10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F5FF416F-D42D-4E7F-A458-EBC987E2A1F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35" id="{4BDE2B0B-2D6B-4CF5-A0C1-8E09ECFAF57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EAC66651-BCAC-48E9-AE24-3C06E0FE48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DEFEA7B8-5538-4824-8F6C-D3295B6503B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6" id="{9A08CA72-9C8A-4AD0-AA31-C430E69A6B8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FC9DE30-E6C8-48B2-B009-DE88195AB4B4}">
          <x14:formula1>
            <xm:f>'Input|Setup'!$B$31:$B$49</xm:f>
          </x14:formula1>
          <xm:sqref>B10:B29 H10:H29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C146C-9D0E-4AC7-B540-71CEE6A4A93E}">
  <sheetPr codeName="Sheet21">
    <tabColor theme="8" tint="0.79998168889431442"/>
  </sheetPr>
  <dimension ref="A1:HO1257"/>
  <sheetViews>
    <sheetView showGridLines="0" topLeftCell="A17"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378</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741</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652</v>
      </c>
      <c r="D10" s="155">
        <v>1</v>
      </c>
      <c r="E10" s="151">
        <v>3</v>
      </c>
      <c r="F10" s="166">
        <v>3</v>
      </c>
      <c r="G10" s="101">
        <v>0</v>
      </c>
      <c r="H10" s="121" t="s">
        <v>238</v>
      </c>
      <c r="I10" s="158" t="s">
        <v>606</v>
      </c>
      <c r="J10" s="121">
        <v>1</v>
      </c>
      <c r="K10" s="151">
        <v>20</v>
      </c>
      <c r="L10" s="164">
        <v>20</v>
      </c>
      <c r="M10" s="101">
        <v>0</v>
      </c>
    </row>
    <row r="11" spans="1:23" ht="12.75" x14ac:dyDescent="0.2">
      <c r="A11" s="15">
        <v>2</v>
      </c>
      <c r="B11" s="121" t="s">
        <v>235</v>
      </c>
      <c r="C11" s="158" t="s">
        <v>653</v>
      </c>
      <c r="D11" s="155">
        <v>1</v>
      </c>
      <c r="E11" s="151">
        <v>2.2999999999999998</v>
      </c>
      <c r="F11" s="166">
        <v>2.2999999999999998</v>
      </c>
      <c r="G11" s="101">
        <v>0</v>
      </c>
      <c r="H11" s="121" t="s">
        <v>238</v>
      </c>
      <c r="I11" s="158" t="s">
        <v>654</v>
      </c>
      <c r="J11" s="121">
        <v>1</v>
      </c>
      <c r="K11" s="151">
        <v>15</v>
      </c>
      <c r="L11" s="164">
        <v>15</v>
      </c>
      <c r="M11" s="101">
        <v>0</v>
      </c>
    </row>
    <row r="12" spans="1:23" ht="12.75" x14ac:dyDescent="0.2">
      <c r="A12" s="15">
        <v>3</v>
      </c>
      <c r="B12" s="121" t="s">
        <v>235</v>
      </c>
      <c r="C12" s="158" t="s">
        <v>655</v>
      </c>
      <c r="D12" s="155">
        <v>1</v>
      </c>
      <c r="E12" s="151">
        <v>3.9</v>
      </c>
      <c r="F12" s="166">
        <v>3.9</v>
      </c>
      <c r="G12" s="101">
        <v>0</v>
      </c>
      <c r="H12" s="121"/>
      <c r="I12" s="158"/>
      <c r="J12" s="121"/>
      <c r="K12" s="151"/>
      <c r="L12" s="164">
        <v>0</v>
      </c>
      <c r="M12" s="101">
        <v>0</v>
      </c>
    </row>
    <row r="13" spans="1:23" ht="12.75" x14ac:dyDescent="0.2">
      <c r="A13" s="15">
        <v>4</v>
      </c>
      <c r="B13" s="121" t="s">
        <v>235</v>
      </c>
      <c r="C13" s="158" t="s">
        <v>621</v>
      </c>
      <c r="D13" s="155">
        <v>1</v>
      </c>
      <c r="E13" s="151">
        <v>3.5</v>
      </c>
      <c r="F13" s="166">
        <v>3.5</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12.7</v>
      </c>
      <c r="G30" s="115"/>
      <c r="H30" s="6"/>
      <c r="I30" s="10"/>
      <c r="J30" s="10"/>
      <c r="K30" s="161" t="s">
        <v>624</v>
      </c>
      <c r="L30" s="161">
        <v>35</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742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636</v>
      </c>
      <c r="J36" s="121">
        <v>1</v>
      </c>
      <c r="K36" s="121">
        <v>35</v>
      </c>
      <c r="L36" s="433">
        <v>53.78</v>
      </c>
      <c r="M36" s="180">
        <v>31.37166666666667</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31.37166666666667</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64" priority="2" operator="equal">
      <formula>"Check"</formula>
    </cfRule>
    <cfRule type="cellIs" dxfId="63" priority="3" operator="equal">
      <formula>"Ok"</formula>
    </cfRule>
  </conditionalFormatting>
  <dataValidations count="1">
    <dataValidation type="list" allowBlank="1" showInputMessage="1" showErrorMessage="1" sqref="C30:D31 M8 G30:J30 M30" xr:uid="{374E21BF-DD9C-475D-9B77-DB95A98D6C00}">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234224BF-09AC-4C72-98E9-C79D2C2D7A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32EDB6DB-05AC-4743-BE74-CA0824E3A0A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7" id="{23D640A0-BCBB-40E2-9DBE-DF48A65E7A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AA493FE4-5269-4F19-A272-9A81ABCA9F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1358B26A-AAE2-4AB4-959F-B4A97DFD08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1" id="{0AC403B9-D671-4B2C-9ADF-F40733F8D69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8EDF282E-5D53-40DE-84EE-44D3670BAB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060000C5-4283-487F-8558-AFCAE03A5E1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8" id="{52E1320E-DFAB-41ED-8A4E-5F16D67D25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67DAAA63-922C-4190-A88D-5C6EF753BE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E41D7B58-21C4-4739-B8E7-761D15173F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32" id="{AEDC39D3-CBF6-42FD-84A0-8744D2FC06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03B94F89-D944-488D-8935-F2F930DFEF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2CBF0CEB-6533-483F-A9C1-F4A9B13B663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3" id="{DB682F15-EC68-47C2-99BF-86C34387A3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B52FEA4-0579-44DB-9131-77D0CAF526D5}">
          <x14:formula1>
            <xm:f>'Input|Setup'!$B$31:$B$49</xm:f>
          </x14:formula1>
          <xm:sqref>B10:B29 H10:H29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5C00D-944B-4788-B119-0D074B674AF8}">
  <sheetPr codeName="Sheet22">
    <tabColor theme="8" tint="0.79998168889431442"/>
  </sheetPr>
  <dimension ref="A1:HO1257"/>
  <sheetViews>
    <sheetView showGridLines="0" topLeftCell="A17"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379</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743</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657</v>
      </c>
      <c r="D10" s="155">
        <v>1</v>
      </c>
      <c r="E10" s="151">
        <v>3</v>
      </c>
      <c r="F10" s="166">
        <v>3</v>
      </c>
      <c r="G10" s="101">
        <v>0</v>
      </c>
      <c r="H10" s="121" t="s">
        <v>238</v>
      </c>
      <c r="I10" s="158" t="s">
        <v>606</v>
      </c>
      <c r="J10" s="121">
        <v>1</v>
      </c>
      <c r="K10" s="151">
        <v>20</v>
      </c>
      <c r="L10" s="164">
        <v>20</v>
      </c>
      <c r="M10" s="101">
        <v>0</v>
      </c>
    </row>
    <row r="11" spans="1:23" ht="12.75" x14ac:dyDescent="0.2">
      <c r="A11" s="15">
        <v>2</v>
      </c>
      <c r="B11" s="121" t="s">
        <v>235</v>
      </c>
      <c r="C11" s="158" t="s">
        <v>658</v>
      </c>
      <c r="D11" s="155">
        <v>1</v>
      </c>
      <c r="E11" s="151">
        <v>2.2999999999999998</v>
      </c>
      <c r="F11" s="166">
        <v>2.2999999999999998</v>
      </c>
      <c r="G11" s="101">
        <v>0</v>
      </c>
      <c r="H11" s="121" t="s">
        <v>238</v>
      </c>
      <c r="I11" s="158" t="s">
        <v>654</v>
      </c>
      <c r="J11" s="121">
        <v>1</v>
      </c>
      <c r="K11" s="151">
        <v>15</v>
      </c>
      <c r="L11" s="164">
        <v>15</v>
      </c>
      <c r="M11" s="101">
        <v>0</v>
      </c>
    </row>
    <row r="12" spans="1:23" ht="12.75" x14ac:dyDescent="0.2">
      <c r="A12" s="15">
        <v>3</v>
      </c>
      <c r="B12" s="121" t="s">
        <v>235</v>
      </c>
      <c r="C12" s="158" t="s">
        <v>659</v>
      </c>
      <c r="D12" s="155">
        <v>1</v>
      </c>
      <c r="E12" s="151">
        <v>2</v>
      </c>
      <c r="F12" s="166">
        <v>2</v>
      </c>
      <c r="G12" s="101">
        <v>0</v>
      </c>
      <c r="H12" s="121"/>
      <c r="I12" s="158"/>
      <c r="J12" s="121"/>
      <c r="K12" s="151"/>
      <c r="L12" s="164">
        <v>0</v>
      </c>
      <c r="M12" s="101">
        <v>0</v>
      </c>
    </row>
    <row r="13" spans="1:23" ht="12.75" x14ac:dyDescent="0.2">
      <c r="A13" s="15">
        <v>4</v>
      </c>
      <c r="B13" s="121" t="s">
        <v>235</v>
      </c>
      <c r="C13" s="158" t="s">
        <v>660</v>
      </c>
      <c r="D13" s="155">
        <v>1</v>
      </c>
      <c r="E13" s="151">
        <v>4</v>
      </c>
      <c r="F13" s="166">
        <v>4</v>
      </c>
      <c r="G13" s="101">
        <v>0</v>
      </c>
      <c r="H13" s="121"/>
      <c r="I13" s="158"/>
      <c r="J13" s="121"/>
      <c r="K13" s="151"/>
      <c r="L13" s="164">
        <v>0</v>
      </c>
      <c r="M13" s="101">
        <v>0</v>
      </c>
    </row>
    <row r="14" spans="1:23" ht="12.75" x14ac:dyDescent="0.2">
      <c r="A14" s="15">
        <v>5</v>
      </c>
      <c r="B14" s="121" t="s">
        <v>235</v>
      </c>
      <c r="C14" s="158" t="s">
        <v>661</v>
      </c>
      <c r="D14" s="155">
        <v>1</v>
      </c>
      <c r="E14" s="151">
        <v>3.9</v>
      </c>
      <c r="F14" s="166">
        <v>3.9</v>
      </c>
      <c r="G14" s="101">
        <v>0</v>
      </c>
      <c r="H14" s="121"/>
      <c r="I14" s="158"/>
      <c r="J14" s="121"/>
      <c r="K14" s="151"/>
      <c r="L14" s="164">
        <v>0</v>
      </c>
      <c r="M14" s="101">
        <v>0</v>
      </c>
    </row>
    <row r="15" spans="1:23" ht="12.75" x14ac:dyDescent="0.2">
      <c r="A15" s="15">
        <v>6</v>
      </c>
      <c r="B15" s="121" t="s">
        <v>235</v>
      </c>
      <c r="C15" s="158" t="s">
        <v>621</v>
      </c>
      <c r="D15" s="155">
        <v>1</v>
      </c>
      <c r="E15" s="151">
        <v>5</v>
      </c>
      <c r="F15" s="166">
        <v>5</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20.200000000000003</v>
      </c>
      <c r="G30" s="115"/>
      <c r="H30" s="6"/>
      <c r="I30" s="10"/>
      <c r="J30" s="10"/>
      <c r="K30" s="161" t="s">
        <v>624</v>
      </c>
      <c r="L30" s="161">
        <v>35</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744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636</v>
      </c>
      <c r="J36" s="121">
        <v>1</v>
      </c>
      <c r="K36" s="121">
        <v>35</v>
      </c>
      <c r="L36" s="433">
        <v>53.78</v>
      </c>
      <c r="M36" s="180">
        <v>31.37166666666667</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31.37166666666667</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61" priority="2" operator="equal">
      <formula>"Check"</formula>
    </cfRule>
    <cfRule type="cellIs" dxfId="60" priority="3" operator="equal">
      <formula>"Ok"</formula>
    </cfRule>
  </conditionalFormatting>
  <dataValidations count="1">
    <dataValidation type="list" allowBlank="1" showInputMessage="1" showErrorMessage="1" sqref="M8 G30:J30 M30 C30:D31" xr:uid="{54698553-3AB5-4FCD-B86A-C67381F0248D}">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DB177B96-7160-4746-874C-8FE2305FB33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B6DA00D-239B-403D-9902-617FA16A59B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5" id="{AC4D3458-6CC9-4CAC-8A87-8FAB2B51C7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65D0350-FC0F-4153-9135-CF40BFBBC4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E1DE539-F892-4307-AC15-B90BB6A195B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28" id="{7A8931DF-6BF3-4DAA-9B2F-DF8EC1276C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A46DC93B-0D22-40D3-A677-D12381E443F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49BFFC0-74E0-4449-BA61-83834BEB33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6" id="{21A3D227-E2E3-4574-BFEF-163137DA45E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13E85A11-41B9-4B79-B18D-C8D861E59A3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155AA02C-BF29-4AB8-AF93-1985CEF7D7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9" id="{178E60BD-3DE9-448A-A179-EAB74E12AA2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394B92B8-9236-4A7C-8210-3262BB55BC0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077748E9-8DD9-4214-8E43-079CF7940D0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0" id="{A2E4E8B2-B078-47E3-A106-5144DA61E9B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96BD122-442E-4BFC-BAC4-D79ECC4D8566}">
          <x14:formula1>
            <xm:f>'Input|Setup'!$B$31:$B$49</xm:f>
          </x14:formula1>
          <xm:sqref>B10:B29 H10:H29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F3FFD-904A-46B0-83CA-AB78B19A6252}">
  <sheetPr codeName="Sheet20">
    <tabColor theme="8" tint="0.79998168889431442"/>
  </sheetPr>
  <dimension ref="A1:HO1257"/>
  <sheetViews>
    <sheetView showGridLines="0" topLeftCell="A17"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380</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745</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4.5</v>
      </c>
      <c r="F10" s="166">
        <v>4.5</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1.5</v>
      </c>
      <c r="F11" s="166">
        <v>1.5</v>
      </c>
      <c r="G11" s="101">
        <v>0</v>
      </c>
      <c r="H11" s="121" t="s">
        <v>238</v>
      </c>
      <c r="I11" s="158" t="s">
        <v>662</v>
      </c>
      <c r="J11" s="121">
        <v>2</v>
      </c>
      <c r="K11" s="151">
        <v>5</v>
      </c>
      <c r="L11" s="164">
        <v>10</v>
      </c>
      <c r="M11" s="101">
        <v>0</v>
      </c>
    </row>
    <row r="12" spans="1:23" ht="12.75" x14ac:dyDescent="0.2">
      <c r="A12" s="15">
        <v>3</v>
      </c>
      <c r="B12" s="121" t="s">
        <v>235</v>
      </c>
      <c r="C12" s="158" t="s">
        <v>615</v>
      </c>
      <c r="D12" s="155">
        <v>1</v>
      </c>
      <c r="E12" s="151">
        <v>1.5</v>
      </c>
      <c r="F12" s="166">
        <v>1.5</v>
      </c>
      <c r="G12" s="101">
        <v>0</v>
      </c>
      <c r="H12" s="121" t="s">
        <v>238</v>
      </c>
      <c r="I12" s="158" t="s">
        <v>610</v>
      </c>
      <c r="J12" s="121">
        <v>2</v>
      </c>
      <c r="K12" s="151">
        <v>5</v>
      </c>
      <c r="L12" s="164">
        <v>10</v>
      </c>
      <c r="M12" s="101">
        <v>0</v>
      </c>
    </row>
    <row r="13" spans="1:23" ht="12.75" x14ac:dyDescent="0.2">
      <c r="A13" s="15">
        <v>4</v>
      </c>
      <c r="B13" s="121" t="s">
        <v>235</v>
      </c>
      <c r="C13" s="158" t="s">
        <v>617</v>
      </c>
      <c r="D13" s="155">
        <v>1</v>
      </c>
      <c r="E13" s="151">
        <v>4</v>
      </c>
      <c r="F13" s="166">
        <v>4</v>
      </c>
      <c r="G13" s="101">
        <v>0</v>
      </c>
      <c r="H13" s="121" t="s">
        <v>238</v>
      </c>
      <c r="I13" s="158" t="s">
        <v>663</v>
      </c>
      <c r="J13" s="121">
        <v>2</v>
      </c>
      <c r="K13" s="151">
        <v>5</v>
      </c>
      <c r="L13" s="164">
        <v>10</v>
      </c>
      <c r="M13" s="101">
        <v>0</v>
      </c>
    </row>
    <row r="14" spans="1:23" ht="12.75" x14ac:dyDescent="0.2">
      <c r="A14" s="15">
        <v>5</v>
      </c>
      <c r="B14" s="121" t="s">
        <v>235</v>
      </c>
      <c r="C14" s="158" t="s">
        <v>618</v>
      </c>
      <c r="D14" s="155">
        <v>1</v>
      </c>
      <c r="E14" s="151">
        <v>3.5</v>
      </c>
      <c r="F14" s="166">
        <v>3.5</v>
      </c>
      <c r="G14" s="101">
        <v>0</v>
      </c>
      <c r="H14" s="121" t="s">
        <v>238</v>
      </c>
      <c r="I14" s="158" t="s">
        <v>664</v>
      </c>
      <c r="J14" s="121">
        <v>2</v>
      </c>
      <c r="K14" s="151">
        <v>5</v>
      </c>
      <c r="L14" s="164">
        <v>10</v>
      </c>
      <c r="M14" s="101">
        <v>0</v>
      </c>
    </row>
    <row r="15" spans="1:23" ht="12.75" x14ac:dyDescent="0.2">
      <c r="A15" s="15">
        <v>6</v>
      </c>
      <c r="B15" s="121" t="s">
        <v>235</v>
      </c>
      <c r="C15" s="158" t="s">
        <v>619</v>
      </c>
      <c r="D15" s="155">
        <v>1</v>
      </c>
      <c r="E15" s="151">
        <v>1.5</v>
      </c>
      <c r="F15" s="166">
        <v>1.5</v>
      </c>
      <c r="G15" s="101">
        <v>0</v>
      </c>
      <c r="H15" s="121" t="s">
        <v>238</v>
      </c>
      <c r="I15" s="158" t="s">
        <v>665</v>
      </c>
      <c r="J15" s="121">
        <v>2</v>
      </c>
      <c r="K15" s="151">
        <v>5</v>
      </c>
      <c r="L15" s="164">
        <v>10</v>
      </c>
      <c r="M15" s="101">
        <v>0</v>
      </c>
    </row>
    <row r="16" spans="1:23" ht="12.75" x14ac:dyDescent="0.2">
      <c r="A16" s="15">
        <v>7</v>
      </c>
      <c r="B16" s="121" t="s">
        <v>235</v>
      </c>
      <c r="C16" s="158" t="s">
        <v>620</v>
      </c>
      <c r="D16" s="155">
        <v>1</v>
      </c>
      <c r="E16" s="151">
        <v>4</v>
      </c>
      <c r="F16" s="166">
        <v>4</v>
      </c>
      <c r="G16" s="101">
        <v>0</v>
      </c>
      <c r="H16" s="121"/>
      <c r="I16" s="158"/>
      <c r="J16" s="121"/>
      <c r="K16" s="151"/>
      <c r="L16" s="164">
        <v>0</v>
      </c>
      <c r="M16" s="101">
        <v>0</v>
      </c>
    </row>
    <row r="17" spans="1:24" ht="12.75" x14ac:dyDescent="0.2">
      <c r="A17" s="15">
        <v>8</v>
      </c>
      <c r="B17" s="121" t="s">
        <v>235</v>
      </c>
      <c r="C17" s="158" t="s">
        <v>621</v>
      </c>
      <c r="D17" s="155">
        <v>1</v>
      </c>
      <c r="E17" s="151">
        <v>3</v>
      </c>
      <c r="F17" s="166">
        <v>3</v>
      </c>
      <c r="G17" s="101">
        <v>0</v>
      </c>
      <c r="H17" s="121"/>
      <c r="I17" s="158"/>
      <c r="J17" s="121"/>
      <c r="K17" s="151"/>
      <c r="L17" s="164">
        <v>0</v>
      </c>
      <c r="M17" s="101">
        <v>0</v>
      </c>
    </row>
    <row r="18" spans="1:24" ht="12.75" x14ac:dyDescent="0.2">
      <c r="A18" s="15">
        <v>9</v>
      </c>
      <c r="B18" s="121" t="s">
        <v>235</v>
      </c>
      <c r="C18" s="158" t="s">
        <v>622</v>
      </c>
      <c r="D18" s="155">
        <v>1</v>
      </c>
      <c r="E18" s="151">
        <v>3.5</v>
      </c>
      <c r="F18" s="166">
        <v>3.5</v>
      </c>
      <c r="G18" s="101">
        <v>0</v>
      </c>
      <c r="H18" s="121"/>
      <c r="I18" s="158"/>
      <c r="J18" s="121"/>
      <c r="K18" s="151"/>
      <c r="L18" s="164">
        <v>0</v>
      </c>
      <c r="M18" s="101">
        <v>0</v>
      </c>
    </row>
    <row r="19" spans="1:24" ht="12.75" x14ac:dyDescent="0.2">
      <c r="A19" s="15">
        <v>10</v>
      </c>
      <c r="B19" s="121" t="s">
        <v>235</v>
      </c>
      <c r="C19" s="158" t="s">
        <v>623</v>
      </c>
      <c r="D19" s="155">
        <v>1</v>
      </c>
      <c r="E19" s="151">
        <v>3</v>
      </c>
      <c r="F19" s="166">
        <v>3</v>
      </c>
      <c r="G19" s="101">
        <v>0</v>
      </c>
      <c r="H19" s="121"/>
      <c r="I19" s="158"/>
      <c r="J19" s="121"/>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30</v>
      </c>
      <c r="G30" s="115"/>
      <c r="H30" s="6"/>
      <c r="I30" s="10"/>
      <c r="J30" s="10"/>
      <c r="K30" s="161" t="s">
        <v>624</v>
      </c>
      <c r="L30" s="161">
        <v>110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746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666</v>
      </c>
      <c r="J36" s="121">
        <v>1</v>
      </c>
      <c r="K36" s="121">
        <v>55</v>
      </c>
      <c r="L36" s="433">
        <v>53.78</v>
      </c>
      <c r="M36" s="180">
        <v>49.298333333333332</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49.298333333333332</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58" priority="2" operator="equal">
      <formula>"Check"</formula>
    </cfRule>
    <cfRule type="cellIs" dxfId="57" priority="3" operator="equal">
      <formula>"Ok"</formula>
    </cfRule>
  </conditionalFormatting>
  <dataValidations count="1">
    <dataValidation type="list" allowBlank="1" showInputMessage="1" showErrorMessage="1" sqref="M8 G30:J30 M30 C30:D31" xr:uid="{4CF5CD0D-785B-41D6-9239-C31AF4F015AE}">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89CCCD0E-C85C-4D80-9B8A-3674D9A4E6C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3AA3192-E4A1-4935-89F8-CE608FDE017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3" id="{A3255010-181F-4E99-BCA1-92A2ED22791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9A17F38F-0F04-4516-BF59-FE62D38B116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32C34BC-875A-4EE3-B004-D358F123EF8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25" id="{D9F63D9A-201E-42FB-AABD-65CE4CD58D4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D070B861-D440-406C-9F4B-50AC0AC660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057EB9F-173C-411E-BBA7-85CD894508E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4" id="{265B3F46-B187-4C8B-A45B-BA7D4C3D661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DFD68C48-48ED-4696-A9EA-1C062415528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33018519-AEA1-44F5-8619-4FE9659029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6" id="{FA8AEE5C-7462-4F31-A15F-D939E7891B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3AD59CED-9363-4EE2-ABAB-AD8BE42B63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FC6F0368-FD84-4AB0-B649-51C4A9936F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27" id="{BB1E59B5-826E-44ED-B61E-7DB1723E00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801C823-3584-44F6-A6AB-878642C8BBC5}">
          <x14:formula1>
            <xm:f>'Input|Setup'!$B$31:$B$49</xm:f>
          </x14:formula1>
          <xm:sqref>B10:B29 H10:H29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AC05A-99E7-47A0-A5CF-98BF0294121D}">
  <sheetPr>
    <tabColor theme="6" tint="0.79998168889431442"/>
  </sheetPr>
  <dimension ref="B1:D40"/>
  <sheetViews>
    <sheetView topLeftCell="A27" workbookViewId="0">
      <selection activeCell="D45" sqref="D45"/>
    </sheetView>
  </sheetViews>
  <sheetFormatPr defaultColWidth="9.140625" defaultRowHeight="15" x14ac:dyDescent="0.25"/>
  <cols>
    <col min="1" max="1" width="9.140625" style="425"/>
    <col min="2" max="2" width="25.140625" style="425" customWidth="1"/>
    <col min="3" max="3" width="26.140625" style="425" customWidth="1"/>
    <col min="4" max="4" width="107.140625" style="425" customWidth="1"/>
    <col min="5" max="16384" width="9.140625" style="425"/>
  </cols>
  <sheetData>
    <row r="1" spans="2:4" ht="18.75" x14ac:dyDescent="0.3">
      <c r="B1" s="487" t="s">
        <v>18</v>
      </c>
    </row>
    <row r="3" spans="2:4" x14ac:dyDescent="0.25">
      <c r="B3" s="426" t="s">
        <v>19</v>
      </c>
      <c r="C3" s="426"/>
      <c r="D3" s="426"/>
    </row>
    <row r="5" spans="2:4" x14ac:dyDescent="0.25">
      <c r="B5" s="427" t="s">
        <v>20</v>
      </c>
      <c r="C5" s="427" t="s">
        <v>21</v>
      </c>
      <c r="D5" s="427" t="s">
        <v>22</v>
      </c>
    </row>
    <row r="6" spans="2:4" x14ac:dyDescent="0.25">
      <c r="B6" s="425" t="s">
        <v>23</v>
      </c>
      <c r="C6" s="425" t="s">
        <v>24</v>
      </c>
      <c r="D6" s="425" t="s">
        <v>25</v>
      </c>
    </row>
    <row r="7" spans="2:4" x14ac:dyDescent="0.25">
      <c r="B7" s="425" t="s">
        <v>23</v>
      </c>
      <c r="C7" s="425" t="s">
        <v>26</v>
      </c>
      <c r="D7" s="425" t="s">
        <v>27</v>
      </c>
    </row>
    <row r="8" spans="2:4" x14ac:dyDescent="0.25">
      <c r="B8" s="425" t="s">
        <v>28</v>
      </c>
      <c r="C8" s="425" t="s">
        <v>29</v>
      </c>
      <c r="D8" s="425" t="s">
        <v>30</v>
      </c>
    </row>
    <row r="9" spans="2:4" x14ac:dyDescent="0.25">
      <c r="B9" s="425" t="s">
        <v>31</v>
      </c>
      <c r="C9" s="425" t="s">
        <v>32</v>
      </c>
      <c r="D9" s="425" t="s">
        <v>33</v>
      </c>
    </row>
    <row r="10" spans="2:4" x14ac:dyDescent="0.25">
      <c r="B10" s="425" t="s">
        <v>31</v>
      </c>
      <c r="C10" s="425" t="s">
        <v>34</v>
      </c>
      <c r="D10" s="425" t="s">
        <v>35</v>
      </c>
    </row>
    <row r="11" spans="2:4" x14ac:dyDescent="0.25">
      <c r="B11" s="425" t="s">
        <v>31</v>
      </c>
      <c r="C11" s="425" t="s">
        <v>36</v>
      </c>
      <c r="D11" s="425" t="s">
        <v>37</v>
      </c>
    </row>
    <row r="12" spans="2:4" x14ac:dyDescent="0.25">
      <c r="B12" s="425" t="s">
        <v>31</v>
      </c>
      <c r="C12" s="425" t="s">
        <v>38</v>
      </c>
      <c r="D12" s="425" t="s">
        <v>39</v>
      </c>
    </row>
    <row r="13" spans="2:4" x14ac:dyDescent="0.25">
      <c r="B13" s="425" t="s">
        <v>31</v>
      </c>
      <c r="C13" s="425" t="s">
        <v>40</v>
      </c>
      <c r="D13" s="425" t="s">
        <v>41</v>
      </c>
    </row>
    <row r="14" spans="2:4" x14ac:dyDescent="0.25">
      <c r="B14" s="425" t="s">
        <v>42</v>
      </c>
      <c r="C14" s="425" t="s">
        <v>43</v>
      </c>
      <c r="D14" s="425" t="s">
        <v>44</v>
      </c>
    </row>
    <row r="15" spans="2:4" x14ac:dyDescent="0.25">
      <c r="B15" s="425" t="s">
        <v>45</v>
      </c>
      <c r="C15" s="474" t="s">
        <v>46</v>
      </c>
      <c r="D15" s="425" t="s">
        <v>47</v>
      </c>
    </row>
    <row r="16" spans="2:4" x14ac:dyDescent="0.25">
      <c r="B16" s="425" t="s">
        <v>48</v>
      </c>
      <c r="C16" s="425" t="s">
        <v>49</v>
      </c>
      <c r="D16" s="425" t="s">
        <v>50</v>
      </c>
    </row>
    <row r="17" spans="2:4" x14ac:dyDescent="0.25">
      <c r="B17" s="425" t="s">
        <v>695</v>
      </c>
      <c r="C17" s="486" t="s">
        <v>696</v>
      </c>
      <c r="D17" s="486" t="s">
        <v>697</v>
      </c>
    </row>
    <row r="18" spans="2:4" x14ac:dyDescent="0.25">
      <c r="B18" s="425" t="s">
        <v>42</v>
      </c>
      <c r="C18" s="486" t="s">
        <v>698</v>
      </c>
      <c r="D18" s="486" t="s">
        <v>699</v>
      </c>
    </row>
    <row r="21" spans="2:4" ht="18.75" x14ac:dyDescent="0.3">
      <c r="B21" s="487" t="s">
        <v>701</v>
      </c>
    </row>
    <row r="22" spans="2:4" ht="18.75" x14ac:dyDescent="0.3">
      <c r="B22" s="487"/>
    </row>
    <row r="23" spans="2:4" x14ac:dyDescent="0.25">
      <c r="B23" s="500" t="s">
        <v>718</v>
      </c>
      <c r="C23" s="488"/>
      <c r="D23" s="488"/>
    </row>
    <row r="24" spans="2:4" ht="18.75" x14ac:dyDescent="0.3">
      <c r="B24" s="487"/>
    </row>
    <row r="25" spans="2:4" x14ac:dyDescent="0.25">
      <c r="B25" s="427" t="s">
        <v>20</v>
      </c>
      <c r="C25" s="427" t="s">
        <v>21</v>
      </c>
      <c r="D25" s="427" t="s">
        <v>22</v>
      </c>
    </row>
    <row r="26" spans="2:4" x14ac:dyDescent="0.25">
      <c r="B26" s="425" t="s">
        <v>31</v>
      </c>
      <c r="C26" s="425" t="s">
        <v>32</v>
      </c>
      <c r="D26" s="491" t="s">
        <v>704</v>
      </c>
    </row>
    <row r="27" spans="2:4" x14ac:dyDescent="0.25">
      <c r="B27" s="425" t="s">
        <v>42</v>
      </c>
      <c r="C27" s="491" t="s">
        <v>705</v>
      </c>
      <c r="D27" s="491" t="s">
        <v>707</v>
      </c>
    </row>
    <row r="28" spans="2:4" x14ac:dyDescent="0.25">
      <c r="B28" s="425" t="s">
        <v>42</v>
      </c>
      <c r="C28" s="491" t="s">
        <v>706</v>
      </c>
      <c r="D28" s="491" t="s">
        <v>708</v>
      </c>
    </row>
    <row r="32" spans="2:4" ht="18.75" x14ac:dyDescent="0.3">
      <c r="B32" s="487" t="s">
        <v>709</v>
      </c>
    </row>
    <row r="34" spans="2:4" x14ac:dyDescent="0.25">
      <c r="B34" s="501" t="s">
        <v>719</v>
      </c>
      <c r="C34" s="494"/>
      <c r="D34" s="494"/>
    </row>
    <row r="36" spans="2:4" x14ac:dyDescent="0.25">
      <c r="B36" s="427" t="s">
        <v>20</v>
      </c>
      <c r="C36" s="427" t="s">
        <v>21</v>
      </c>
      <c r="D36" s="427" t="s">
        <v>22</v>
      </c>
    </row>
    <row r="37" spans="2:4" x14ac:dyDescent="0.25">
      <c r="B37" s="425" t="s">
        <v>31</v>
      </c>
      <c r="C37" s="495" t="s">
        <v>38</v>
      </c>
      <c r="D37" s="495" t="s">
        <v>716</v>
      </c>
    </row>
    <row r="38" spans="2:4" x14ac:dyDescent="0.25">
      <c r="B38" s="425" t="s">
        <v>31</v>
      </c>
      <c r="C38" s="502" t="s">
        <v>32</v>
      </c>
      <c r="D38" s="495" t="s">
        <v>715</v>
      </c>
    </row>
    <row r="39" spans="2:4" x14ac:dyDescent="0.25">
      <c r="B39" s="425" t="s">
        <v>31</v>
      </c>
      <c r="C39" s="502" t="s">
        <v>728</v>
      </c>
      <c r="D39" s="495" t="s">
        <v>715</v>
      </c>
    </row>
    <row r="40" spans="2:4" x14ac:dyDescent="0.25">
      <c r="B40" s="425" t="s">
        <v>23</v>
      </c>
      <c r="C40" s="425" t="s">
        <v>24</v>
      </c>
      <c r="D40" s="425" t="s">
        <v>25</v>
      </c>
    </row>
  </sheetData>
  <phoneticPr fontId="24" type="noConversion"/>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1F899-30C3-45F8-8FB8-D23F6892FF11}">
  <sheetPr codeName="Sheet23">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381</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747</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4.5</v>
      </c>
      <c r="F10" s="166">
        <v>4.5</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1.5</v>
      </c>
      <c r="F11" s="166">
        <v>1.5</v>
      </c>
      <c r="G11" s="101">
        <v>0</v>
      </c>
      <c r="H11" s="121" t="s">
        <v>238</v>
      </c>
      <c r="I11" s="158" t="s">
        <v>662</v>
      </c>
      <c r="J11" s="121">
        <v>2</v>
      </c>
      <c r="K11" s="151">
        <v>5</v>
      </c>
      <c r="L11" s="164">
        <v>10</v>
      </c>
      <c r="M11" s="101">
        <v>0</v>
      </c>
    </row>
    <row r="12" spans="1:23" ht="12.75" x14ac:dyDescent="0.2">
      <c r="A12" s="15">
        <v>3</v>
      </c>
      <c r="B12" s="121" t="s">
        <v>235</v>
      </c>
      <c r="C12" s="158" t="s">
        <v>615</v>
      </c>
      <c r="D12" s="155">
        <v>1</v>
      </c>
      <c r="E12" s="151">
        <v>1.5</v>
      </c>
      <c r="F12" s="166">
        <v>1.5</v>
      </c>
      <c r="G12" s="101">
        <v>0</v>
      </c>
      <c r="H12" s="121" t="s">
        <v>238</v>
      </c>
      <c r="I12" s="158" t="s">
        <v>667</v>
      </c>
      <c r="J12" s="121">
        <v>2</v>
      </c>
      <c r="K12" s="151">
        <v>5</v>
      </c>
      <c r="L12" s="164">
        <v>10</v>
      </c>
      <c r="M12" s="101">
        <v>0</v>
      </c>
    </row>
    <row r="13" spans="1:23" ht="12.75" x14ac:dyDescent="0.2">
      <c r="A13" s="15">
        <v>4</v>
      </c>
      <c r="B13" s="121" t="s">
        <v>235</v>
      </c>
      <c r="C13" s="158" t="s">
        <v>668</v>
      </c>
      <c r="D13" s="155">
        <v>1</v>
      </c>
      <c r="E13" s="151">
        <v>4</v>
      </c>
      <c r="F13" s="166">
        <v>4</v>
      </c>
      <c r="G13" s="101">
        <v>0</v>
      </c>
      <c r="H13" s="121" t="s">
        <v>238</v>
      </c>
      <c r="I13" s="158" t="s">
        <v>669</v>
      </c>
      <c r="J13" s="121">
        <v>2</v>
      </c>
      <c r="K13" s="151">
        <v>15</v>
      </c>
      <c r="L13" s="164">
        <v>30</v>
      </c>
      <c r="M13" s="101">
        <v>0</v>
      </c>
    </row>
    <row r="14" spans="1:23" ht="12.75" x14ac:dyDescent="0.2">
      <c r="A14" s="15">
        <v>5</v>
      </c>
      <c r="B14" s="121" t="s">
        <v>235</v>
      </c>
      <c r="C14" s="158" t="s">
        <v>618</v>
      </c>
      <c r="D14" s="155">
        <v>1</v>
      </c>
      <c r="E14" s="151">
        <v>3.5</v>
      </c>
      <c r="F14" s="166">
        <v>3.5</v>
      </c>
      <c r="G14" s="101">
        <v>0</v>
      </c>
      <c r="H14" s="121" t="s">
        <v>238</v>
      </c>
      <c r="I14" s="158" t="s">
        <v>670</v>
      </c>
      <c r="J14" s="121">
        <v>2</v>
      </c>
      <c r="K14" s="151">
        <v>5</v>
      </c>
      <c r="L14" s="164">
        <v>10</v>
      </c>
      <c r="M14" s="101">
        <v>0</v>
      </c>
    </row>
    <row r="15" spans="1:23" ht="12.75" x14ac:dyDescent="0.2">
      <c r="A15" s="15">
        <v>6</v>
      </c>
      <c r="B15" s="121" t="s">
        <v>235</v>
      </c>
      <c r="C15" s="158" t="s">
        <v>619</v>
      </c>
      <c r="D15" s="155">
        <v>1</v>
      </c>
      <c r="E15" s="151">
        <v>1.5</v>
      </c>
      <c r="F15" s="166">
        <v>1.5</v>
      </c>
      <c r="G15" s="101">
        <v>0</v>
      </c>
      <c r="H15" s="121" t="s">
        <v>238</v>
      </c>
      <c r="I15" s="158" t="s">
        <v>665</v>
      </c>
      <c r="J15" s="121">
        <v>2</v>
      </c>
      <c r="K15" s="151">
        <v>5</v>
      </c>
      <c r="L15" s="164">
        <v>10</v>
      </c>
      <c r="M15" s="101">
        <v>0</v>
      </c>
    </row>
    <row r="16" spans="1:23" ht="12.75" x14ac:dyDescent="0.2">
      <c r="A16" s="15">
        <v>7</v>
      </c>
      <c r="B16" s="121" t="s">
        <v>235</v>
      </c>
      <c r="C16" s="158" t="s">
        <v>620</v>
      </c>
      <c r="D16" s="155">
        <v>1</v>
      </c>
      <c r="E16" s="151">
        <v>4</v>
      </c>
      <c r="F16" s="166">
        <v>4</v>
      </c>
      <c r="G16" s="101">
        <v>0</v>
      </c>
      <c r="H16" s="121"/>
      <c r="I16" s="158"/>
      <c r="J16" s="121"/>
      <c r="K16" s="151"/>
      <c r="L16" s="164">
        <v>0</v>
      </c>
      <c r="M16" s="101">
        <v>0</v>
      </c>
    </row>
    <row r="17" spans="1:24" ht="12.75" x14ac:dyDescent="0.2">
      <c r="A17" s="15">
        <v>8</v>
      </c>
      <c r="B17" s="121" t="s">
        <v>235</v>
      </c>
      <c r="C17" s="158" t="s">
        <v>621</v>
      </c>
      <c r="D17" s="155">
        <v>1</v>
      </c>
      <c r="E17" s="151">
        <v>3</v>
      </c>
      <c r="F17" s="166">
        <v>3</v>
      </c>
      <c r="G17" s="101">
        <v>0</v>
      </c>
      <c r="H17" s="121"/>
      <c r="I17" s="158"/>
      <c r="J17" s="121"/>
      <c r="K17" s="151"/>
      <c r="L17" s="164">
        <v>0</v>
      </c>
      <c r="M17" s="101">
        <v>0</v>
      </c>
    </row>
    <row r="18" spans="1:24" ht="12.75" x14ac:dyDescent="0.2">
      <c r="A18" s="15">
        <v>9</v>
      </c>
      <c r="B18" s="121" t="s">
        <v>235</v>
      </c>
      <c r="C18" s="158" t="s">
        <v>622</v>
      </c>
      <c r="D18" s="155">
        <v>1</v>
      </c>
      <c r="E18" s="151">
        <v>3.5</v>
      </c>
      <c r="F18" s="166">
        <v>3.5</v>
      </c>
      <c r="G18" s="101">
        <v>0</v>
      </c>
      <c r="H18" s="121"/>
      <c r="I18" s="158"/>
      <c r="J18" s="155"/>
      <c r="K18" s="151"/>
      <c r="L18" s="164">
        <v>0</v>
      </c>
      <c r="M18" s="101">
        <v>0</v>
      </c>
    </row>
    <row r="19" spans="1:24" ht="12.75" x14ac:dyDescent="0.2">
      <c r="A19" s="15">
        <v>10</v>
      </c>
      <c r="B19" s="121" t="s">
        <v>235</v>
      </c>
      <c r="C19" s="158" t="s">
        <v>623</v>
      </c>
      <c r="D19" s="155">
        <v>1</v>
      </c>
      <c r="E19" s="151">
        <v>3</v>
      </c>
      <c r="F19" s="166">
        <v>3</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30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748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671</v>
      </c>
      <c r="J36" s="121">
        <v>1</v>
      </c>
      <c r="K36" s="121">
        <v>65</v>
      </c>
      <c r="L36" s="433">
        <v>53.78</v>
      </c>
      <c r="M36" s="180">
        <v>58.261666666666663</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58.261666666666663</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55" priority="2" operator="equal">
      <formula>"Check"</formula>
    </cfRule>
    <cfRule type="cellIs" dxfId="54" priority="3" operator="equal">
      <formula>"Ok"</formula>
    </cfRule>
  </conditionalFormatting>
  <dataValidations count="1">
    <dataValidation type="list" allowBlank="1" showInputMessage="1" showErrorMessage="1" sqref="M8 G30:J30 M30 C30:D31" xr:uid="{9D1DA784-F4F4-4476-BD42-D44051EB3705}">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AE081069-1ECB-4304-9257-2644D0FD53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2B09C584-7FE4-49B9-B548-6AEF761DD2E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1" id="{973A3896-2A4F-4F93-BB2D-A7622CAB97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7BF5364-AAC1-4968-AA3D-6A7DF9F792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9C6920B-F109-4E56-AB88-1FF45959278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22" id="{A3108D91-4519-4BBE-A466-EE5D4CB333B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3541C9E0-B7C9-4E65-83FB-4BE70D479B0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2BB24C1F-1C7E-40D1-805D-CA4F95B393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2" id="{437E0C65-1E40-4DCD-A5D0-B45370C226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276CC3B0-CEAD-42C6-B268-8D95C76DCC3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7E39967-BAED-4D16-B540-3C789E9A824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3" id="{C604E3A9-9295-484C-B006-DB00509047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B710264F-C4D1-4662-BD6C-A7700C1C25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2491C80-44F1-44C7-9E98-3A7F4B2D76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24" id="{CE6E5444-65ED-4CC4-B223-87DF9EACFF3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9AB4801-3D1E-482A-9C37-6FB45C6288B6}">
          <x14:formula1>
            <xm:f>'Input|Setup'!$B$31:$B$49</xm:f>
          </x14:formula1>
          <xm:sqref>B10:B29 H10:H29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0571A-D426-4F62-9219-0C71EBBEA49C}">
  <sheetPr codeName="Sheet24">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38.42578125" style="2" bestFit="1" customWidth="1" outlineLevel="1"/>
    <col min="16" max="16" width="18.85546875" style="2" customWidth="1"/>
    <col min="17" max="17" width="10.5703125" style="2" customWidth="1"/>
    <col min="18" max="18" width="12.42578125" style="2" customWidth="1"/>
    <col min="19" max="19" width="6.28515625" style="2" customWidth="1"/>
    <col min="20" max="20" width="15.5703125" style="2" customWidth="1"/>
    <col min="21" max="186" width="0" hidden="1" customWidth="1"/>
    <col min="187" max="197" width="8.7109375" hidden="1" customWidth="1"/>
    <col min="198" max="223" width="0" hidden="1" customWidth="1"/>
    <col min="224" max="16384" width="8.7109375" hidden="1"/>
  </cols>
  <sheetData>
    <row r="1" spans="1:20"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row>
    <row r="2" spans="1:20" s="38" customFormat="1" ht="24.95" customHeight="1" x14ac:dyDescent="0.2">
      <c r="B2" s="35" t="s">
        <v>382</v>
      </c>
      <c r="C2" s="28"/>
      <c r="D2" s="28"/>
      <c r="E2" s="69" t="s">
        <v>118</v>
      </c>
      <c r="H2" s="28"/>
      <c r="I2" s="28"/>
      <c r="J2" s="28"/>
      <c r="K2" s="28"/>
      <c r="L2" s="28"/>
      <c r="M2" s="28"/>
      <c r="N2" s="28"/>
      <c r="O2" s="28"/>
      <c r="P2" s="28"/>
      <c r="Q2" s="28"/>
      <c r="R2" s="28"/>
      <c r="S2" s="28"/>
      <c r="T2" s="28"/>
    </row>
    <row r="3" spans="1:20" ht="7.5" hidden="1" customHeight="1" x14ac:dyDescent="0.2">
      <c r="A3" s="9"/>
      <c r="B3" s="6"/>
      <c r="C3" s="10"/>
      <c r="D3" s="10"/>
      <c r="E3" s="10"/>
      <c r="F3" s="10"/>
      <c r="G3" s="10"/>
      <c r="H3" s="10"/>
      <c r="I3" s="10"/>
      <c r="J3" s="10"/>
      <c r="K3" s="10"/>
      <c r="L3" s="10"/>
      <c r="M3" s="10"/>
      <c r="N3" s="10"/>
      <c r="O3" s="10"/>
      <c r="P3" s="10"/>
      <c r="Q3" s="10"/>
      <c r="R3" s="10"/>
      <c r="S3" s="10"/>
      <c r="T3" s="10"/>
    </row>
    <row r="4" spans="1:20" ht="12.75" hidden="1" x14ac:dyDescent="0.2">
      <c r="A4" s="9"/>
      <c r="B4" s="6"/>
      <c r="C4" s="10"/>
      <c r="D4" s="10"/>
      <c r="E4" s="10"/>
      <c r="F4" s="10"/>
      <c r="G4" s="5"/>
      <c r="H4" s="5"/>
      <c r="I4" s="5"/>
      <c r="J4" s="5"/>
      <c r="K4" s="5"/>
      <c r="L4" s="5"/>
      <c r="M4" s="5"/>
      <c r="N4" s="5"/>
      <c r="O4" s="5"/>
      <c r="P4" s="5"/>
      <c r="Q4" s="5"/>
      <c r="R4" s="5"/>
      <c r="S4" s="5"/>
      <c r="T4" s="5"/>
    </row>
    <row r="5" spans="1:20" ht="12.75" x14ac:dyDescent="0.2">
      <c r="A5" s="9"/>
      <c r="B5" s="6"/>
      <c r="C5" s="10"/>
      <c r="D5" s="10"/>
      <c r="E5" s="10"/>
      <c r="F5" s="10"/>
      <c r="G5" s="5"/>
      <c r="H5" s="5"/>
      <c r="I5" s="5"/>
      <c r="J5" s="5"/>
      <c r="K5" s="5"/>
      <c r="L5" s="5"/>
      <c r="M5" s="5"/>
      <c r="N5" s="5"/>
      <c r="O5" s="5"/>
      <c r="P5" s="5"/>
      <c r="Q5" s="5"/>
      <c r="R5" s="5"/>
      <c r="S5" s="5"/>
      <c r="T5" s="5"/>
    </row>
    <row r="6" spans="1:20" s="5" customFormat="1" ht="15" customHeight="1" x14ac:dyDescent="0.25">
      <c r="A6" s="22"/>
      <c r="B6" s="22" t="s">
        <v>749</v>
      </c>
      <c r="C6" s="22"/>
      <c r="D6" s="22"/>
      <c r="E6" s="22"/>
      <c r="F6" s="42"/>
      <c r="G6" s="42"/>
      <c r="H6" s="42"/>
      <c r="I6" s="42"/>
      <c r="J6" s="42"/>
      <c r="K6" s="42"/>
      <c r="L6" s="42"/>
      <c r="M6" s="42"/>
      <c r="N6" s="42"/>
      <c r="O6" s="42"/>
      <c r="P6" s="42"/>
      <c r="Q6" s="42"/>
      <c r="R6" s="42"/>
      <c r="S6" s="42"/>
      <c r="T6" s="42"/>
    </row>
    <row r="7" spans="1:20" s="5" customFormat="1" ht="8.25" customHeight="1" x14ac:dyDescent="0.25">
      <c r="A7" s="50"/>
      <c r="B7" s="50"/>
      <c r="C7" s="50"/>
      <c r="D7" s="50"/>
      <c r="E7" s="50"/>
      <c r="F7" s="52"/>
      <c r="G7" s="52"/>
      <c r="H7" s="52"/>
      <c r="I7" s="52"/>
      <c r="J7" s="19"/>
      <c r="K7" s="19"/>
      <c r="L7" s="19"/>
      <c r="M7" s="19"/>
      <c r="N7" s="19"/>
      <c r="O7" s="19"/>
      <c r="P7" s="52"/>
      <c r="Q7" s="52"/>
      <c r="R7" s="52"/>
      <c r="S7" s="52"/>
      <c r="T7" s="52"/>
    </row>
    <row r="8" spans="1:20" ht="15" customHeight="1" x14ac:dyDescent="0.2">
      <c r="A8" s="9"/>
      <c r="B8" s="127" t="s">
        <v>589</v>
      </c>
      <c r="C8" s="127"/>
      <c r="D8" s="127"/>
      <c r="E8" s="127"/>
      <c r="F8" s="127"/>
      <c r="G8" s="101">
        <v>0</v>
      </c>
      <c r="H8" s="127" t="s">
        <v>590</v>
      </c>
      <c r="I8" s="127"/>
      <c r="J8" s="128"/>
      <c r="K8" s="128"/>
      <c r="L8" s="128"/>
      <c r="M8" s="101">
        <v>0</v>
      </c>
    </row>
    <row r="9" spans="1:20"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0" ht="12.75" x14ac:dyDescent="0.2">
      <c r="A10" s="15">
        <v>1</v>
      </c>
      <c r="B10" s="121"/>
      <c r="C10" s="158" t="s">
        <v>656</v>
      </c>
      <c r="D10" s="155"/>
      <c r="E10" s="151"/>
      <c r="F10" s="166">
        <v>0</v>
      </c>
      <c r="G10" s="101">
        <v>0</v>
      </c>
      <c r="H10" s="121"/>
      <c r="I10" s="158"/>
      <c r="J10" s="121"/>
      <c r="K10" s="151"/>
      <c r="L10" s="164">
        <v>0</v>
      </c>
      <c r="M10" s="101">
        <v>0</v>
      </c>
    </row>
    <row r="11" spans="1:20" ht="12.75" x14ac:dyDescent="0.2">
      <c r="A11" s="15">
        <v>2</v>
      </c>
      <c r="B11" s="121"/>
      <c r="C11" s="158"/>
      <c r="D11" s="155"/>
      <c r="E11" s="151"/>
      <c r="F11" s="166">
        <v>0</v>
      </c>
      <c r="G11" s="101">
        <v>0</v>
      </c>
      <c r="H11" s="121"/>
      <c r="I11" s="158"/>
      <c r="J11" s="121"/>
      <c r="K11" s="151"/>
      <c r="L11" s="164">
        <v>0</v>
      </c>
      <c r="M11" s="101">
        <v>0</v>
      </c>
    </row>
    <row r="12" spans="1:20" ht="12.75" x14ac:dyDescent="0.2">
      <c r="A12" s="15">
        <v>3</v>
      </c>
      <c r="B12" s="121"/>
      <c r="C12" s="158"/>
      <c r="D12" s="155"/>
      <c r="E12" s="151"/>
      <c r="F12" s="166">
        <v>0</v>
      </c>
      <c r="G12" s="101">
        <v>0</v>
      </c>
      <c r="H12" s="121"/>
      <c r="I12" s="158"/>
      <c r="J12" s="121"/>
      <c r="K12" s="151"/>
      <c r="L12" s="164">
        <v>0</v>
      </c>
      <c r="M12" s="101">
        <v>0</v>
      </c>
    </row>
    <row r="13" spans="1:20" ht="12.75" x14ac:dyDescent="0.2">
      <c r="A13" s="15">
        <v>4</v>
      </c>
      <c r="B13" s="121"/>
      <c r="C13" s="158"/>
      <c r="D13" s="155"/>
      <c r="E13" s="151"/>
      <c r="F13" s="166">
        <v>0</v>
      </c>
      <c r="G13" s="101">
        <v>0</v>
      </c>
      <c r="H13" s="121"/>
      <c r="I13" s="158"/>
      <c r="J13" s="121"/>
      <c r="K13" s="151"/>
      <c r="L13" s="164">
        <v>0</v>
      </c>
      <c r="M13" s="101">
        <v>0</v>
      </c>
    </row>
    <row r="14" spans="1:20" ht="12.75" x14ac:dyDescent="0.2">
      <c r="A14" s="15">
        <v>5</v>
      </c>
      <c r="B14" s="121"/>
      <c r="C14" s="158"/>
      <c r="D14" s="155"/>
      <c r="E14" s="151"/>
      <c r="F14" s="166">
        <v>0</v>
      </c>
      <c r="G14" s="101">
        <v>0</v>
      </c>
      <c r="H14" s="121"/>
      <c r="I14" s="158"/>
      <c r="J14" s="121"/>
      <c r="K14" s="151"/>
      <c r="L14" s="164">
        <v>0</v>
      </c>
      <c r="M14" s="101">
        <v>0</v>
      </c>
    </row>
    <row r="15" spans="1:20" ht="12.75" x14ac:dyDescent="0.2">
      <c r="A15" s="15">
        <v>6</v>
      </c>
      <c r="B15" s="121"/>
      <c r="C15" s="158"/>
      <c r="D15" s="155"/>
      <c r="E15" s="151"/>
      <c r="F15" s="166">
        <v>0</v>
      </c>
      <c r="G15" s="101">
        <v>0</v>
      </c>
      <c r="H15" s="121"/>
      <c r="I15" s="158"/>
      <c r="J15" s="121"/>
      <c r="K15" s="151"/>
      <c r="L15" s="164">
        <v>0</v>
      </c>
      <c r="M15" s="101">
        <v>0</v>
      </c>
    </row>
    <row r="16" spans="1:20" ht="12.75" x14ac:dyDescent="0.2">
      <c r="A16" s="15">
        <v>7</v>
      </c>
      <c r="B16" s="121"/>
      <c r="C16" s="158"/>
      <c r="D16" s="155"/>
      <c r="E16" s="151"/>
      <c r="F16" s="166">
        <v>0</v>
      </c>
      <c r="G16" s="101">
        <v>0</v>
      </c>
      <c r="H16" s="121"/>
      <c r="I16" s="158"/>
      <c r="J16" s="155"/>
      <c r="K16" s="151"/>
      <c r="L16" s="164">
        <v>0</v>
      </c>
      <c r="M16" s="101">
        <v>0</v>
      </c>
    </row>
    <row r="17" spans="1:21" ht="12.75" x14ac:dyDescent="0.2">
      <c r="A17" s="15">
        <v>8</v>
      </c>
      <c r="B17" s="121"/>
      <c r="C17" s="158"/>
      <c r="D17" s="155"/>
      <c r="E17" s="151"/>
      <c r="F17" s="166">
        <v>0</v>
      </c>
      <c r="G17" s="101">
        <v>0</v>
      </c>
      <c r="H17" s="121"/>
      <c r="I17" s="158"/>
      <c r="J17" s="155"/>
      <c r="K17" s="151"/>
      <c r="L17" s="164">
        <v>0</v>
      </c>
      <c r="M17" s="101">
        <v>0</v>
      </c>
    </row>
    <row r="18" spans="1:21" ht="12.75" x14ac:dyDescent="0.2">
      <c r="A18" s="15">
        <v>9</v>
      </c>
      <c r="B18" s="121"/>
      <c r="C18" s="158"/>
      <c r="D18" s="155"/>
      <c r="E18" s="151"/>
      <c r="F18" s="166">
        <v>0</v>
      </c>
      <c r="G18" s="101">
        <v>0</v>
      </c>
      <c r="H18" s="121"/>
      <c r="I18" s="158"/>
      <c r="J18" s="155"/>
      <c r="K18" s="151"/>
      <c r="L18" s="164">
        <v>0</v>
      </c>
      <c r="M18" s="101">
        <v>0</v>
      </c>
    </row>
    <row r="19" spans="1:21" ht="12.75" x14ac:dyDescent="0.2">
      <c r="A19" s="15">
        <v>10</v>
      </c>
      <c r="B19" s="121"/>
      <c r="C19" s="158"/>
      <c r="D19" s="155"/>
      <c r="E19" s="151"/>
      <c r="F19" s="166">
        <v>0</v>
      </c>
      <c r="G19" s="101">
        <v>0</v>
      </c>
      <c r="H19" s="121"/>
      <c r="I19" s="158"/>
      <c r="J19" s="155"/>
      <c r="K19" s="151"/>
      <c r="L19" s="164">
        <v>0</v>
      </c>
      <c r="M19" s="101">
        <v>0</v>
      </c>
    </row>
    <row r="20" spans="1:21" ht="12.75" x14ac:dyDescent="0.2">
      <c r="A20" s="15">
        <v>11</v>
      </c>
      <c r="B20" s="121"/>
      <c r="C20" s="158"/>
      <c r="D20" s="155"/>
      <c r="E20" s="151"/>
      <c r="F20" s="166">
        <v>0</v>
      </c>
      <c r="G20" s="101">
        <v>0</v>
      </c>
      <c r="H20" s="121"/>
      <c r="I20" s="158"/>
      <c r="J20" s="155"/>
      <c r="K20" s="151"/>
      <c r="L20" s="164">
        <v>0</v>
      </c>
      <c r="M20" s="101">
        <v>0</v>
      </c>
    </row>
    <row r="21" spans="1:21" ht="12.75" x14ac:dyDescent="0.2">
      <c r="A21" s="15">
        <v>12</v>
      </c>
      <c r="B21" s="121"/>
      <c r="C21" s="158"/>
      <c r="D21" s="155"/>
      <c r="E21" s="151"/>
      <c r="F21" s="166">
        <v>0</v>
      </c>
      <c r="G21" s="101">
        <v>0</v>
      </c>
      <c r="H21" s="121"/>
      <c r="I21" s="158"/>
      <c r="J21" s="155"/>
      <c r="K21" s="151"/>
      <c r="L21" s="164">
        <v>0</v>
      </c>
      <c r="M21" s="101">
        <v>0</v>
      </c>
    </row>
    <row r="22" spans="1:21" ht="12.75" x14ac:dyDescent="0.2">
      <c r="A22" s="15">
        <v>13</v>
      </c>
      <c r="B22" s="121"/>
      <c r="C22" s="158"/>
      <c r="D22" s="155"/>
      <c r="E22" s="151"/>
      <c r="F22" s="166">
        <v>0</v>
      </c>
      <c r="G22" s="101">
        <v>0</v>
      </c>
      <c r="H22" s="121"/>
      <c r="I22" s="158"/>
      <c r="J22" s="155"/>
      <c r="K22" s="151"/>
      <c r="L22" s="164">
        <v>0</v>
      </c>
      <c r="M22" s="101">
        <v>0</v>
      </c>
    </row>
    <row r="23" spans="1:21" ht="12.75" x14ac:dyDescent="0.2">
      <c r="A23" s="15">
        <v>14</v>
      </c>
      <c r="B23" s="121"/>
      <c r="C23" s="158"/>
      <c r="D23" s="155"/>
      <c r="E23" s="151"/>
      <c r="F23" s="166">
        <v>0</v>
      </c>
      <c r="G23" s="101">
        <v>0</v>
      </c>
      <c r="H23" s="121"/>
      <c r="I23" s="158"/>
      <c r="J23" s="155"/>
      <c r="K23" s="151"/>
      <c r="L23" s="164">
        <v>0</v>
      </c>
      <c r="M23" s="101">
        <v>0</v>
      </c>
    </row>
    <row r="24" spans="1:21" ht="12.75" x14ac:dyDescent="0.2">
      <c r="A24" s="15">
        <v>15</v>
      </c>
      <c r="B24" s="121"/>
      <c r="C24" s="158"/>
      <c r="D24" s="155"/>
      <c r="E24" s="151"/>
      <c r="F24" s="166">
        <v>0</v>
      </c>
      <c r="G24" s="101">
        <v>0</v>
      </c>
      <c r="H24" s="121"/>
      <c r="I24" s="158"/>
      <c r="J24" s="155"/>
      <c r="K24" s="151"/>
      <c r="L24" s="164">
        <v>0</v>
      </c>
      <c r="M24" s="101">
        <v>0</v>
      </c>
    </row>
    <row r="25" spans="1:21" ht="12.75" x14ac:dyDescent="0.2">
      <c r="A25" s="15">
        <v>16</v>
      </c>
      <c r="B25" s="121"/>
      <c r="C25" s="158"/>
      <c r="D25" s="155"/>
      <c r="E25" s="151"/>
      <c r="F25" s="166">
        <v>0</v>
      </c>
      <c r="G25" s="101">
        <v>0</v>
      </c>
      <c r="H25" s="121"/>
      <c r="I25" s="158"/>
      <c r="J25" s="155"/>
      <c r="K25" s="151"/>
      <c r="L25" s="164">
        <v>0</v>
      </c>
      <c r="M25" s="101">
        <v>0</v>
      </c>
    </row>
    <row r="26" spans="1:21" ht="12.75" x14ac:dyDescent="0.2">
      <c r="A26" s="15">
        <v>17</v>
      </c>
      <c r="B26" s="121"/>
      <c r="C26" s="158"/>
      <c r="D26" s="155"/>
      <c r="E26" s="151"/>
      <c r="F26" s="166">
        <v>0</v>
      </c>
      <c r="G26" s="101">
        <v>0</v>
      </c>
      <c r="H26" s="121"/>
      <c r="I26" s="158"/>
      <c r="J26" s="155"/>
      <c r="K26" s="151"/>
      <c r="L26" s="164">
        <v>0</v>
      </c>
      <c r="M26" s="101">
        <v>0</v>
      </c>
    </row>
    <row r="27" spans="1:21" ht="12.75" x14ac:dyDescent="0.2">
      <c r="A27" s="15">
        <v>18</v>
      </c>
      <c r="B27" s="121"/>
      <c r="C27" s="158"/>
      <c r="D27" s="155"/>
      <c r="E27" s="151"/>
      <c r="F27" s="166">
        <v>0</v>
      </c>
      <c r="G27" s="101">
        <v>0</v>
      </c>
      <c r="H27" s="121"/>
      <c r="I27" s="158"/>
      <c r="J27" s="155"/>
      <c r="K27" s="151"/>
      <c r="L27" s="164">
        <v>0</v>
      </c>
      <c r="M27" s="101">
        <v>0</v>
      </c>
    </row>
    <row r="28" spans="1:21" ht="12.75" x14ac:dyDescent="0.2">
      <c r="A28" s="15">
        <v>19</v>
      </c>
      <c r="B28" s="121"/>
      <c r="C28" s="158"/>
      <c r="D28" s="155"/>
      <c r="E28" s="151"/>
      <c r="F28" s="166">
        <v>0</v>
      </c>
      <c r="G28" s="101">
        <v>0</v>
      </c>
      <c r="H28" s="121"/>
      <c r="I28" s="158"/>
      <c r="J28" s="155"/>
      <c r="K28" s="151"/>
      <c r="L28" s="164">
        <v>0</v>
      </c>
      <c r="M28" s="101">
        <v>0</v>
      </c>
    </row>
    <row r="29" spans="1:21" ht="12.75" x14ac:dyDescent="0.2">
      <c r="A29" s="15">
        <v>20</v>
      </c>
      <c r="B29" s="121"/>
      <c r="C29" s="158"/>
      <c r="D29" s="155"/>
      <c r="E29" s="151"/>
      <c r="F29" s="166">
        <v>0</v>
      </c>
      <c r="G29" s="101">
        <v>0</v>
      </c>
      <c r="H29" s="121"/>
      <c r="I29" s="158"/>
      <c r="J29" s="155"/>
      <c r="K29" s="151"/>
      <c r="L29" s="164">
        <v>0</v>
      </c>
      <c r="M29" s="101">
        <v>0</v>
      </c>
    </row>
    <row r="30" spans="1:21" ht="13.5" thickBot="1" x14ac:dyDescent="0.25">
      <c r="A30" s="93"/>
      <c r="B30" s="117"/>
      <c r="C30" s="114"/>
      <c r="D30" s="114"/>
      <c r="E30" s="161" t="s">
        <v>624</v>
      </c>
      <c r="F30" s="161">
        <v>0</v>
      </c>
      <c r="G30" s="115"/>
      <c r="H30" s="6"/>
      <c r="I30" s="10"/>
      <c r="J30" s="10"/>
      <c r="K30" s="161" t="s">
        <v>624</v>
      </c>
      <c r="L30" s="161">
        <v>0</v>
      </c>
      <c r="M30" s="5"/>
      <c r="N30" s="61"/>
      <c r="O30"/>
    </row>
    <row r="31" spans="1:21" ht="12.75" x14ac:dyDescent="0.2">
      <c r="A31" s="117"/>
      <c r="B31" s="117"/>
      <c r="C31" s="114"/>
      <c r="D31" s="114"/>
      <c r="E31" s="114"/>
      <c r="F31" s="114"/>
      <c r="G31" s="114"/>
      <c r="H31" s="114"/>
      <c r="I31" s="160"/>
      <c r="J31" s="160"/>
      <c r="K31" s="160"/>
      <c r="L31" s="160"/>
      <c r="M31" s="160"/>
      <c r="N31" s="160"/>
      <c r="O31" s="160"/>
      <c r="P31" s="160"/>
      <c r="Q31" s="160"/>
      <c r="R31" s="160"/>
      <c r="S31" s="160"/>
      <c r="T31" s="160"/>
    </row>
    <row r="32" spans="1:21" s="5" customFormat="1" ht="15" customHeight="1" x14ac:dyDescent="0.25">
      <c r="A32" s="22"/>
      <c r="B32" s="22" t="s">
        <v>750</v>
      </c>
      <c r="C32" s="22"/>
      <c r="D32" s="22"/>
      <c r="E32" s="22"/>
      <c r="F32" s="42"/>
      <c r="G32" s="42"/>
      <c r="H32" s="42"/>
      <c r="I32" s="42"/>
      <c r="J32" s="42"/>
      <c r="K32" s="42"/>
      <c r="L32" s="42"/>
      <c r="M32" s="42"/>
      <c r="N32" s="42"/>
      <c r="O32" s="42"/>
      <c r="P32" s="42"/>
      <c r="Q32" s="42"/>
      <c r="R32" s="42"/>
      <c r="S32" s="42"/>
      <c r="T32" s="42"/>
      <c r="U32" s="105"/>
    </row>
    <row r="33" spans="1:192" s="5" customFormat="1" ht="15" x14ac:dyDescent="0.25">
      <c r="A33" s="50"/>
      <c r="B33" s="50"/>
      <c r="C33" s="50"/>
      <c r="D33" s="50"/>
      <c r="E33" s="50"/>
      <c r="F33" s="51"/>
      <c r="G33" s="11"/>
      <c r="H33" s="52"/>
      <c r="I33" s="52"/>
      <c r="J33" s="52"/>
      <c r="K33" s="52"/>
      <c r="L33" s="52"/>
      <c r="M33" s="52"/>
      <c r="N33" s="52"/>
      <c r="O33" s="19"/>
      <c r="P33" s="19"/>
      <c r="Q33" s="19"/>
      <c r="R33" s="19"/>
      <c r="S33" s="19"/>
      <c r="T33" s="52"/>
    </row>
    <row r="34" spans="1:192"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row>
    <row r="35" spans="1:192" ht="34.5" customHeight="1" x14ac:dyDescent="0.2">
      <c r="A35" s="40"/>
      <c r="B35" s="40" t="s">
        <v>579</v>
      </c>
      <c r="C35" s="40" t="s">
        <v>580</v>
      </c>
      <c r="D35" s="40" t="s">
        <v>672</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2" ht="12.75" x14ac:dyDescent="0.2">
      <c r="A36" s="15">
        <v>1</v>
      </c>
      <c r="B36" s="542"/>
      <c r="C36" s="543"/>
      <c r="D36" s="544"/>
      <c r="E36" s="545"/>
      <c r="F36" s="546"/>
      <c r="G36" s="101">
        <v>0</v>
      </c>
      <c r="H36" s="156"/>
      <c r="I36" s="159"/>
      <c r="J36" s="121"/>
      <c r="K36" s="55"/>
      <c r="L36" s="169"/>
      <c r="M36" s="180">
        <v>0</v>
      </c>
      <c r="N36" s="101">
        <v>0</v>
      </c>
      <c r="O36" s="231"/>
      <c r="P36" s="169"/>
      <c r="Q36" s="180">
        <v>0</v>
      </c>
      <c r="R36" s="101">
        <v>0</v>
      </c>
    </row>
    <row r="37" spans="1:192" ht="12.75" x14ac:dyDescent="0.2">
      <c r="A37" s="15">
        <v>2</v>
      </c>
      <c r="B37" s="542"/>
      <c r="C37" s="543"/>
      <c r="D37" s="544"/>
      <c r="E37" s="545"/>
      <c r="F37" s="546"/>
      <c r="G37" s="101">
        <v>0</v>
      </c>
      <c r="H37" s="156"/>
      <c r="I37" s="159"/>
      <c r="J37" s="121"/>
      <c r="K37" s="55"/>
      <c r="L37" s="169"/>
      <c r="M37" s="180">
        <v>0</v>
      </c>
      <c r="N37" s="101">
        <v>0</v>
      </c>
      <c r="O37" s="158"/>
      <c r="P37" s="169"/>
      <c r="Q37" s="180">
        <v>0</v>
      </c>
      <c r="R37" s="101">
        <v>0</v>
      </c>
    </row>
    <row r="38" spans="1:192" ht="12.75" x14ac:dyDescent="0.2">
      <c r="A38" s="15">
        <v>3</v>
      </c>
      <c r="B38" s="542"/>
      <c r="C38" s="543"/>
      <c r="D38" s="544"/>
      <c r="E38" s="545"/>
      <c r="F38" s="546"/>
      <c r="G38" s="101">
        <v>0</v>
      </c>
      <c r="H38" s="156"/>
      <c r="I38" s="159"/>
      <c r="J38" s="159"/>
      <c r="K38" s="121"/>
      <c r="L38" s="169"/>
      <c r="M38" s="180">
        <v>0</v>
      </c>
      <c r="N38" s="101">
        <v>0</v>
      </c>
      <c r="O38" s="159"/>
      <c r="P38" s="169"/>
      <c r="Q38" s="180">
        <v>0</v>
      </c>
      <c r="R38" s="101">
        <v>0</v>
      </c>
    </row>
    <row r="39" spans="1:192" ht="12.75" x14ac:dyDescent="0.2">
      <c r="A39" s="15">
        <v>4</v>
      </c>
      <c r="B39" s="542"/>
      <c r="C39" s="543"/>
      <c r="D39" s="544"/>
      <c r="E39" s="545"/>
      <c r="F39" s="546"/>
      <c r="G39" s="101">
        <v>0</v>
      </c>
      <c r="H39" s="156"/>
      <c r="I39" s="159"/>
      <c r="J39" s="159"/>
      <c r="K39" s="121"/>
      <c r="L39" s="169"/>
      <c r="M39" s="180">
        <v>0</v>
      </c>
      <c r="N39" s="101">
        <v>0</v>
      </c>
      <c r="O39" s="168" t="s">
        <v>673</v>
      </c>
      <c r="P39" s="169">
        <v>161.47999999999999</v>
      </c>
      <c r="Q39" s="180">
        <v>161.47999999999999</v>
      </c>
      <c r="R39" s="101">
        <v>0</v>
      </c>
    </row>
    <row r="40" spans="1:192" ht="12.75" x14ac:dyDescent="0.2">
      <c r="A40" s="15">
        <v>5</v>
      </c>
      <c r="B40" s="542"/>
      <c r="C40" s="543"/>
      <c r="D40" s="544"/>
      <c r="E40" s="545"/>
      <c r="F40" s="546"/>
      <c r="G40" s="101">
        <v>0</v>
      </c>
      <c r="H40" s="156"/>
      <c r="I40" s="159"/>
      <c r="J40" s="159"/>
      <c r="K40" s="121"/>
      <c r="L40" s="169"/>
      <c r="M40" s="180">
        <v>0</v>
      </c>
      <c r="N40" s="101">
        <v>0</v>
      </c>
      <c r="O40" s="168" t="s">
        <v>674</v>
      </c>
      <c r="P40" s="302">
        <v>-61.200584961783633</v>
      </c>
      <c r="Q40" s="180">
        <v>-61.200584961783633</v>
      </c>
      <c r="R40" s="101">
        <v>0</v>
      </c>
    </row>
    <row r="41" spans="1:192"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2"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2"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2"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2"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2"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2"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2"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231"/>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0">
        <v>0</v>
      </c>
      <c r="R55" s="101">
        <v>0</v>
      </c>
    </row>
    <row r="56" spans="1:18" ht="13.5" thickBot="1" x14ac:dyDescent="0.25">
      <c r="E56" s="161" t="s">
        <v>643</v>
      </c>
      <c r="F56" s="162">
        <v>0</v>
      </c>
      <c r="G56" s="17"/>
      <c r="H56"/>
      <c r="L56" s="161" t="s">
        <v>639</v>
      </c>
      <c r="M56" s="162">
        <v>0</v>
      </c>
      <c r="O56"/>
      <c r="P56" s="161" t="s">
        <v>640</v>
      </c>
      <c r="Q56" s="162">
        <v>100.27941503821636</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52" priority="5" operator="equal">
      <formula>"Check"</formula>
    </cfRule>
    <cfRule type="cellIs" dxfId="51" priority="6" operator="equal">
      <formula>"Ok"</formula>
    </cfRule>
  </conditionalFormatting>
  <dataValidations count="1">
    <dataValidation type="list" allowBlank="1" showInputMessage="1" showErrorMessage="1" sqref="M8 G30:J30 M30 C30:D31" xr:uid="{2D2CDCFC-E88F-47D8-A92E-E13420EC90DB}">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1" id="{F200F611-0591-44B6-BE41-0275EC62BE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8" id="{05ABE24D-5B40-4842-A2A6-842D31356A6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2" id="{5768BA41-E956-42A0-B261-8324FDED85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4" id="{009A8513-60C6-4E98-AA9D-6488EA7F9F8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3" id="{03560685-6FDD-4F7D-8951-A9CF3056EFF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22" id="{7A0549B8-BE6D-495B-B298-83577E777DE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6" id="{EDE4B000-A2E3-4443-88F7-68F35AAAE4F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7" id="{B7A34B13-F2EF-419C-B1A0-FCC71F70F7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3" id="{DB4A9703-4ECC-4AC2-A4D3-688BD9319BA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11" id="{35172C18-48FF-4681-A227-717105CE97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10" id="{ACDAE89F-9F11-401D-A44D-75DF7766224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3" id="{773C6464-FCF2-4273-8D77-65262E5E241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3" id="{67E44E58-5308-4B63-8EE1-CD65A6DC38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2" id="{53268E1B-18B2-45CC-BE3E-E2849098B7A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4" id="{87AAEF2A-D925-478F-841A-709BCA2D52C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E8C472F-8F29-45AA-8BE2-4A195FCCC314}">
          <x14:formula1>
            <xm:f>'Input|Setup'!$B$31:$B$49</xm:f>
          </x14:formula1>
          <xm:sqref>B10:B29 H10:H29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7BACC-2A7D-47FC-AD9E-BD80A41B5B96}">
  <sheetPr codeName="Sheet26">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col min="17" max="17" width="8.5703125" style="2" bestFit="1" customWidth="1"/>
    <col min="18" max="18" width="12.42578125" style="2" customWidth="1"/>
    <col min="19" max="19" width="6.28515625" style="2" customWidth="1"/>
    <col min="20" max="20" width="15.5703125" style="2" customWidth="1"/>
    <col min="21" max="186" width="0" hidden="1" customWidth="1"/>
    <col min="187" max="197" width="8.7109375" hidden="1" customWidth="1"/>
    <col min="198" max="223" width="0" hidden="1" customWidth="1"/>
    <col min="224" max="16384" width="8.7109375" hidden="1"/>
  </cols>
  <sheetData>
    <row r="1" spans="1:20"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row>
    <row r="2" spans="1:20" s="38" customFormat="1" ht="24.95" customHeight="1" x14ac:dyDescent="0.2">
      <c r="B2" s="35" t="s">
        <v>384</v>
      </c>
      <c r="C2" s="28"/>
      <c r="D2" s="28"/>
      <c r="E2" s="69" t="s">
        <v>118</v>
      </c>
      <c r="H2" s="28"/>
      <c r="I2" s="28"/>
      <c r="J2" s="28"/>
      <c r="K2" s="28"/>
      <c r="L2" s="28"/>
      <c r="M2" s="28"/>
      <c r="N2" s="28"/>
      <c r="O2" s="28"/>
      <c r="P2" s="28"/>
      <c r="Q2" s="28"/>
      <c r="R2" s="28"/>
      <c r="S2" s="28"/>
      <c r="T2" s="28"/>
    </row>
    <row r="3" spans="1:20" ht="7.5" hidden="1" customHeight="1" x14ac:dyDescent="0.2">
      <c r="A3" s="9"/>
      <c r="B3" s="6"/>
      <c r="C3" s="10"/>
      <c r="D3" s="10"/>
      <c r="E3" s="10"/>
      <c r="F3" s="10"/>
      <c r="G3" s="10"/>
      <c r="H3" s="10"/>
      <c r="I3" s="10"/>
      <c r="J3" s="10"/>
      <c r="K3" s="10"/>
      <c r="L3" s="10"/>
      <c r="M3" s="10"/>
      <c r="N3" s="10"/>
      <c r="O3" s="10"/>
      <c r="P3" s="10"/>
      <c r="Q3" s="10"/>
      <c r="R3" s="10"/>
      <c r="S3" s="10"/>
      <c r="T3" s="10"/>
    </row>
    <row r="4" spans="1:20" ht="12.75" hidden="1" x14ac:dyDescent="0.2">
      <c r="A4" s="9"/>
      <c r="B4" s="6"/>
      <c r="C4" s="10"/>
      <c r="D4" s="10"/>
      <c r="E4" s="10"/>
      <c r="F4" s="10"/>
      <c r="G4" s="5"/>
      <c r="H4" s="5"/>
      <c r="I4" s="5"/>
      <c r="J4" s="5"/>
      <c r="K4" s="5"/>
      <c r="L4" s="5"/>
      <c r="M4" s="5"/>
      <c r="N4" s="5"/>
      <c r="O4" s="5"/>
      <c r="P4" s="5"/>
      <c r="Q4" s="5"/>
      <c r="R4" s="5"/>
      <c r="S4" s="5"/>
      <c r="T4" s="5"/>
    </row>
    <row r="5" spans="1:20" ht="12.75" x14ac:dyDescent="0.2">
      <c r="A5" s="9"/>
      <c r="B5" s="6"/>
      <c r="C5" s="10"/>
      <c r="D5" s="10"/>
      <c r="E5" s="10"/>
      <c r="F5" s="10"/>
      <c r="G5" s="5"/>
      <c r="H5" s="5"/>
      <c r="I5" s="5"/>
      <c r="J5" s="5"/>
      <c r="K5" s="5"/>
      <c r="L5" s="5"/>
      <c r="M5" s="5"/>
      <c r="N5" s="5"/>
      <c r="O5" s="5"/>
      <c r="P5" s="5"/>
      <c r="Q5" s="5"/>
      <c r="R5" s="5"/>
      <c r="S5" s="5"/>
      <c r="T5" s="5"/>
    </row>
    <row r="6" spans="1:20" s="5" customFormat="1" ht="15" customHeight="1" x14ac:dyDescent="0.25">
      <c r="A6" s="22"/>
      <c r="B6" s="22" t="s">
        <v>751</v>
      </c>
      <c r="C6" s="22"/>
      <c r="D6" s="22"/>
      <c r="E6" s="22"/>
      <c r="F6" s="42"/>
      <c r="G6" s="42"/>
      <c r="H6" s="42"/>
      <c r="I6" s="42"/>
      <c r="J6" s="42"/>
      <c r="K6" s="42"/>
      <c r="L6" s="42"/>
      <c r="M6" s="42"/>
      <c r="N6" s="42"/>
      <c r="O6" s="42"/>
      <c r="P6" s="42"/>
      <c r="Q6" s="42"/>
      <c r="R6" s="42"/>
      <c r="S6" s="42"/>
      <c r="T6" s="42"/>
    </row>
    <row r="7" spans="1:20" s="5" customFormat="1" ht="8.25" customHeight="1" x14ac:dyDescent="0.25">
      <c r="A7" s="50"/>
      <c r="B7" s="50"/>
      <c r="C7" s="50"/>
      <c r="D7" s="50"/>
      <c r="E7" s="50"/>
      <c r="F7" s="52"/>
      <c r="G7" s="52"/>
      <c r="H7" s="52"/>
      <c r="I7" s="52"/>
      <c r="J7" s="19"/>
      <c r="K7" s="19"/>
      <c r="L7" s="19"/>
      <c r="M7" s="19"/>
      <c r="N7" s="19"/>
      <c r="O7" s="19"/>
      <c r="P7" s="52"/>
      <c r="Q7" s="52"/>
      <c r="R7" s="52"/>
      <c r="S7" s="52"/>
      <c r="T7" s="52"/>
    </row>
    <row r="8" spans="1:20" ht="15" customHeight="1" x14ac:dyDescent="0.2">
      <c r="A8" s="9"/>
      <c r="B8" s="127" t="s">
        <v>589</v>
      </c>
      <c r="C8" s="127"/>
      <c r="D8" s="127"/>
      <c r="E8" s="127"/>
      <c r="F8" s="127"/>
      <c r="G8" s="101">
        <v>0</v>
      </c>
      <c r="H8" s="127" t="s">
        <v>590</v>
      </c>
      <c r="I8" s="127"/>
      <c r="J8" s="128"/>
      <c r="K8" s="128"/>
      <c r="L8" s="128"/>
      <c r="M8" s="101">
        <v>0</v>
      </c>
    </row>
    <row r="9" spans="1:20"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0" ht="12.75" x14ac:dyDescent="0.2">
      <c r="A10" s="15">
        <v>1</v>
      </c>
      <c r="B10" s="121"/>
      <c r="C10" s="158" t="s">
        <v>656</v>
      </c>
      <c r="D10" s="155"/>
      <c r="E10" s="151"/>
      <c r="F10" s="166">
        <v>0</v>
      </c>
      <c r="G10" s="101">
        <v>0</v>
      </c>
      <c r="H10" s="121"/>
      <c r="I10" s="158" t="s">
        <v>656</v>
      </c>
      <c r="J10" s="121"/>
      <c r="K10" s="151"/>
      <c r="L10" s="164">
        <v>0</v>
      </c>
      <c r="M10" s="101">
        <v>0</v>
      </c>
    </row>
    <row r="11" spans="1:20" ht="12.75" x14ac:dyDescent="0.2">
      <c r="A11" s="15">
        <v>2</v>
      </c>
      <c r="B11" s="121"/>
      <c r="C11" s="158"/>
      <c r="D11" s="155"/>
      <c r="E11" s="151"/>
      <c r="F11" s="166">
        <v>0</v>
      </c>
      <c r="G11" s="101">
        <v>0</v>
      </c>
      <c r="H11" s="121"/>
      <c r="I11" s="158"/>
      <c r="J11" s="121"/>
      <c r="K11" s="151"/>
      <c r="L11" s="164">
        <v>0</v>
      </c>
      <c r="M11" s="101">
        <v>0</v>
      </c>
    </row>
    <row r="12" spans="1:20" ht="12.75" x14ac:dyDescent="0.2">
      <c r="A12" s="15">
        <v>3</v>
      </c>
      <c r="B12" s="121"/>
      <c r="C12" s="158"/>
      <c r="D12" s="155"/>
      <c r="E12" s="151"/>
      <c r="F12" s="166">
        <v>0</v>
      </c>
      <c r="G12" s="101">
        <v>0</v>
      </c>
      <c r="H12" s="121"/>
      <c r="I12" s="158"/>
      <c r="J12" s="121"/>
      <c r="K12" s="151"/>
      <c r="L12" s="164">
        <v>0</v>
      </c>
      <c r="M12" s="101">
        <v>0</v>
      </c>
    </row>
    <row r="13" spans="1:20" ht="12.75" x14ac:dyDescent="0.2">
      <c r="A13" s="15">
        <v>4</v>
      </c>
      <c r="B13" s="121"/>
      <c r="C13" s="158"/>
      <c r="D13" s="155"/>
      <c r="E13" s="151"/>
      <c r="F13" s="166">
        <v>0</v>
      </c>
      <c r="G13" s="101">
        <v>0</v>
      </c>
      <c r="H13" s="121"/>
      <c r="I13" s="158"/>
      <c r="J13" s="121"/>
      <c r="K13" s="151"/>
      <c r="L13" s="164">
        <v>0</v>
      </c>
      <c r="M13" s="101">
        <v>0</v>
      </c>
    </row>
    <row r="14" spans="1:20" ht="12.75" x14ac:dyDescent="0.2">
      <c r="A14" s="15">
        <v>5</v>
      </c>
      <c r="B14" s="121"/>
      <c r="C14" s="158"/>
      <c r="D14" s="155"/>
      <c r="E14" s="151"/>
      <c r="F14" s="166">
        <v>0</v>
      </c>
      <c r="G14" s="101">
        <v>0</v>
      </c>
      <c r="H14" s="121"/>
      <c r="I14" s="158"/>
      <c r="J14" s="121"/>
      <c r="K14" s="151"/>
      <c r="L14" s="164">
        <v>0</v>
      </c>
      <c r="M14" s="101">
        <v>0</v>
      </c>
    </row>
    <row r="15" spans="1:20" ht="12.75" x14ac:dyDescent="0.2">
      <c r="A15" s="15">
        <v>6</v>
      </c>
      <c r="B15" s="121"/>
      <c r="C15" s="158"/>
      <c r="D15" s="155"/>
      <c r="E15" s="151"/>
      <c r="F15" s="166">
        <v>0</v>
      </c>
      <c r="G15" s="101">
        <v>0</v>
      </c>
      <c r="H15" s="121"/>
      <c r="I15" s="158"/>
      <c r="J15" s="121"/>
      <c r="K15" s="151"/>
      <c r="L15" s="164">
        <v>0</v>
      </c>
      <c r="M15" s="101">
        <v>0</v>
      </c>
    </row>
    <row r="16" spans="1:20" ht="12.75" x14ac:dyDescent="0.2">
      <c r="A16" s="15">
        <v>7</v>
      </c>
      <c r="B16" s="121"/>
      <c r="C16" s="158"/>
      <c r="D16" s="155"/>
      <c r="E16" s="151"/>
      <c r="F16" s="166">
        <v>0</v>
      </c>
      <c r="G16" s="101">
        <v>0</v>
      </c>
      <c r="H16" s="121"/>
      <c r="I16" s="158"/>
      <c r="J16" s="155"/>
      <c r="K16" s="151"/>
      <c r="L16" s="164">
        <v>0</v>
      </c>
      <c r="M16" s="101">
        <v>0</v>
      </c>
    </row>
    <row r="17" spans="1:21" ht="12.75" x14ac:dyDescent="0.2">
      <c r="A17" s="15">
        <v>8</v>
      </c>
      <c r="B17" s="121"/>
      <c r="C17" s="158"/>
      <c r="D17" s="155"/>
      <c r="E17" s="151"/>
      <c r="F17" s="166">
        <v>0</v>
      </c>
      <c r="G17" s="101">
        <v>0</v>
      </c>
      <c r="H17" s="121"/>
      <c r="I17" s="158"/>
      <c r="J17" s="155"/>
      <c r="K17" s="151"/>
      <c r="L17" s="164">
        <v>0</v>
      </c>
      <c r="M17" s="101">
        <v>0</v>
      </c>
    </row>
    <row r="18" spans="1:21" ht="12.75" x14ac:dyDescent="0.2">
      <c r="A18" s="15">
        <v>9</v>
      </c>
      <c r="B18" s="121"/>
      <c r="C18" s="158"/>
      <c r="D18" s="155"/>
      <c r="E18" s="151"/>
      <c r="F18" s="166">
        <v>0</v>
      </c>
      <c r="G18" s="101">
        <v>0</v>
      </c>
      <c r="H18" s="121"/>
      <c r="I18" s="158"/>
      <c r="J18" s="155"/>
      <c r="K18" s="151"/>
      <c r="L18" s="164">
        <v>0</v>
      </c>
      <c r="M18" s="101">
        <v>0</v>
      </c>
    </row>
    <row r="19" spans="1:21" ht="12.75" x14ac:dyDescent="0.2">
      <c r="A19" s="15">
        <v>10</v>
      </c>
      <c r="B19" s="121"/>
      <c r="C19" s="158"/>
      <c r="D19" s="155"/>
      <c r="E19" s="151"/>
      <c r="F19" s="166">
        <v>0</v>
      </c>
      <c r="G19" s="101">
        <v>0</v>
      </c>
      <c r="H19" s="121"/>
      <c r="I19" s="158"/>
      <c r="J19" s="155"/>
      <c r="K19" s="151"/>
      <c r="L19" s="164">
        <v>0</v>
      </c>
      <c r="M19" s="101">
        <v>0</v>
      </c>
    </row>
    <row r="20" spans="1:21" ht="12.75" x14ac:dyDescent="0.2">
      <c r="A20" s="15">
        <v>11</v>
      </c>
      <c r="B20" s="121"/>
      <c r="C20" s="158"/>
      <c r="D20" s="155"/>
      <c r="E20" s="151"/>
      <c r="F20" s="166">
        <v>0</v>
      </c>
      <c r="G20" s="101">
        <v>0</v>
      </c>
      <c r="H20" s="121"/>
      <c r="I20" s="158"/>
      <c r="J20" s="155"/>
      <c r="K20" s="151"/>
      <c r="L20" s="164">
        <v>0</v>
      </c>
      <c r="M20" s="101">
        <v>0</v>
      </c>
    </row>
    <row r="21" spans="1:21" ht="12.75" x14ac:dyDescent="0.2">
      <c r="A21" s="15">
        <v>12</v>
      </c>
      <c r="B21" s="121"/>
      <c r="C21" s="158"/>
      <c r="D21" s="155"/>
      <c r="E21" s="151"/>
      <c r="F21" s="166">
        <v>0</v>
      </c>
      <c r="G21" s="101">
        <v>0</v>
      </c>
      <c r="H21" s="121"/>
      <c r="I21" s="158"/>
      <c r="J21" s="155"/>
      <c r="K21" s="151"/>
      <c r="L21" s="164">
        <v>0</v>
      </c>
      <c r="M21" s="101">
        <v>0</v>
      </c>
    </row>
    <row r="22" spans="1:21" ht="12.75" x14ac:dyDescent="0.2">
      <c r="A22" s="15">
        <v>13</v>
      </c>
      <c r="B22" s="121"/>
      <c r="C22" s="158"/>
      <c r="D22" s="155"/>
      <c r="E22" s="151"/>
      <c r="F22" s="166">
        <v>0</v>
      </c>
      <c r="G22" s="101">
        <v>0</v>
      </c>
      <c r="H22" s="121"/>
      <c r="I22" s="158"/>
      <c r="J22" s="155"/>
      <c r="K22" s="151"/>
      <c r="L22" s="164">
        <v>0</v>
      </c>
      <c r="M22" s="101">
        <v>0</v>
      </c>
    </row>
    <row r="23" spans="1:21" ht="12.75" x14ac:dyDescent="0.2">
      <c r="A23" s="15">
        <v>14</v>
      </c>
      <c r="B23" s="121"/>
      <c r="C23" s="158"/>
      <c r="D23" s="155"/>
      <c r="E23" s="151"/>
      <c r="F23" s="166">
        <v>0</v>
      </c>
      <c r="G23" s="101">
        <v>0</v>
      </c>
      <c r="H23" s="121"/>
      <c r="I23" s="158"/>
      <c r="J23" s="155"/>
      <c r="K23" s="151"/>
      <c r="L23" s="164">
        <v>0</v>
      </c>
      <c r="M23" s="101">
        <v>0</v>
      </c>
    </row>
    <row r="24" spans="1:21" ht="12.75" x14ac:dyDescent="0.2">
      <c r="A24" s="15">
        <v>15</v>
      </c>
      <c r="B24" s="121"/>
      <c r="C24" s="158"/>
      <c r="D24" s="155"/>
      <c r="E24" s="151"/>
      <c r="F24" s="166">
        <v>0</v>
      </c>
      <c r="G24" s="101">
        <v>0</v>
      </c>
      <c r="H24" s="121"/>
      <c r="I24" s="158"/>
      <c r="J24" s="155"/>
      <c r="K24" s="151"/>
      <c r="L24" s="164">
        <v>0</v>
      </c>
      <c r="M24" s="101">
        <v>0</v>
      </c>
    </row>
    <row r="25" spans="1:21" ht="12.75" x14ac:dyDescent="0.2">
      <c r="A25" s="15">
        <v>16</v>
      </c>
      <c r="B25" s="121"/>
      <c r="C25" s="158"/>
      <c r="D25" s="155"/>
      <c r="E25" s="151"/>
      <c r="F25" s="166">
        <v>0</v>
      </c>
      <c r="G25" s="101">
        <v>0</v>
      </c>
      <c r="H25" s="121"/>
      <c r="I25" s="158"/>
      <c r="J25" s="155"/>
      <c r="K25" s="151"/>
      <c r="L25" s="164">
        <v>0</v>
      </c>
      <c r="M25" s="101">
        <v>0</v>
      </c>
    </row>
    <row r="26" spans="1:21" ht="12.75" x14ac:dyDescent="0.2">
      <c r="A26" s="15">
        <v>17</v>
      </c>
      <c r="B26" s="121"/>
      <c r="C26" s="158"/>
      <c r="D26" s="155"/>
      <c r="E26" s="151"/>
      <c r="F26" s="166">
        <v>0</v>
      </c>
      <c r="G26" s="101">
        <v>0</v>
      </c>
      <c r="H26" s="121"/>
      <c r="I26" s="158"/>
      <c r="J26" s="155"/>
      <c r="K26" s="151"/>
      <c r="L26" s="164">
        <v>0</v>
      </c>
      <c r="M26" s="101">
        <v>0</v>
      </c>
    </row>
    <row r="27" spans="1:21" ht="12.75" x14ac:dyDescent="0.2">
      <c r="A27" s="15">
        <v>18</v>
      </c>
      <c r="B27" s="121"/>
      <c r="C27" s="158"/>
      <c r="D27" s="155"/>
      <c r="E27" s="151"/>
      <c r="F27" s="166">
        <v>0</v>
      </c>
      <c r="G27" s="101">
        <v>0</v>
      </c>
      <c r="H27" s="121"/>
      <c r="I27" s="158"/>
      <c r="J27" s="155"/>
      <c r="K27" s="151"/>
      <c r="L27" s="164">
        <v>0</v>
      </c>
      <c r="M27" s="101">
        <v>0</v>
      </c>
    </row>
    <row r="28" spans="1:21" ht="12.75" x14ac:dyDescent="0.2">
      <c r="A28" s="15">
        <v>19</v>
      </c>
      <c r="B28" s="121"/>
      <c r="C28" s="158"/>
      <c r="D28" s="155"/>
      <c r="E28" s="151"/>
      <c r="F28" s="166">
        <v>0</v>
      </c>
      <c r="G28" s="101">
        <v>0</v>
      </c>
      <c r="H28" s="121"/>
      <c r="I28" s="158"/>
      <c r="J28" s="155"/>
      <c r="K28" s="151"/>
      <c r="L28" s="164">
        <v>0</v>
      </c>
      <c r="M28" s="101">
        <v>0</v>
      </c>
    </row>
    <row r="29" spans="1:21" ht="12.75" x14ac:dyDescent="0.2">
      <c r="A29" s="15">
        <v>20</v>
      </c>
      <c r="B29" s="121"/>
      <c r="C29" s="158"/>
      <c r="D29" s="155"/>
      <c r="E29" s="151"/>
      <c r="F29" s="166">
        <v>0</v>
      </c>
      <c r="G29" s="101">
        <v>0</v>
      </c>
      <c r="H29" s="121"/>
      <c r="I29" s="158"/>
      <c r="J29" s="155"/>
      <c r="K29" s="151"/>
      <c r="L29" s="164">
        <v>0</v>
      </c>
      <c r="M29" s="101">
        <v>0</v>
      </c>
    </row>
    <row r="30" spans="1:21" ht="13.5" thickBot="1" x14ac:dyDescent="0.25">
      <c r="A30" s="93"/>
      <c r="B30" s="117"/>
      <c r="C30" s="114"/>
      <c r="D30" s="114"/>
      <c r="E30" s="161" t="s">
        <v>624</v>
      </c>
      <c r="F30" s="161">
        <v>0</v>
      </c>
      <c r="G30" s="115"/>
      <c r="H30" s="6"/>
      <c r="I30" s="10"/>
      <c r="J30" s="10"/>
      <c r="K30" s="161" t="s">
        <v>624</v>
      </c>
      <c r="L30" s="161">
        <v>0</v>
      </c>
      <c r="M30" s="5"/>
      <c r="N30" s="61"/>
      <c r="O30"/>
    </row>
    <row r="31" spans="1:21" ht="12.75" x14ac:dyDescent="0.2">
      <c r="A31" s="117"/>
      <c r="B31" s="117"/>
      <c r="C31" s="114"/>
      <c r="D31" s="114"/>
      <c r="E31" s="114"/>
      <c r="F31" s="114"/>
      <c r="G31" s="114"/>
      <c r="H31" s="114"/>
      <c r="I31" s="160"/>
      <c r="J31" s="160"/>
      <c r="K31" s="160"/>
      <c r="L31" s="160"/>
      <c r="M31" s="160"/>
      <c r="N31" s="160"/>
      <c r="O31" s="160"/>
      <c r="P31" s="160"/>
      <c r="Q31" s="160"/>
      <c r="R31" s="160"/>
      <c r="S31" s="160"/>
      <c r="T31" s="160"/>
    </row>
    <row r="32" spans="1:21" s="5" customFormat="1" ht="15" customHeight="1" x14ac:dyDescent="0.25">
      <c r="A32" s="22"/>
      <c r="B32" s="22" t="s">
        <v>752</v>
      </c>
      <c r="C32" s="22"/>
      <c r="D32" s="22"/>
      <c r="E32" s="22"/>
      <c r="F32" s="42"/>
      <c r="G32" s="42"/>
      <c r="H32" s="42"/>
      <c r="I32" s="42"/>
      <c r="J32" s="42"/>
      <c r="K32" s="42"/>
      <c r="L32" s="42"/>
      <c r="M32" s="42"/>
      <c r="N32" s="42"/>
      <c r="O32" s="42"/>
      <c r="P32" s="42"/>
      <c r="Q32" s="42"/>
      <c r="R32" s="42"/>
      <c r="S32" s="42"/>
      <c r="T32" s="42"/>
      <c r="U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c r="U35" s="2"/>
      <c r="V35" s="2"/>
      <c r="W35" s="2"/>
    </row>
    <row r="36" spans="1:195" ht="12.75" x14ac:dyDescent="0.2">
      <c r="A36" s="15">
        <v>1</v>
      </c>
      <c r="B36" s="542"/>
      <c r="C36" s="543"/>
      <c r="D36" s="544"/>
      <c r="E36" s="545"/>
      <c r="F36" s="546"/>
      <c r="G36" s="101">
        <v>0</v>
      </c>
      <c r="H36" s="156"/>
      <c r="I36" s="158" t="s">
        <v>656</v>
      </c>
      <c r="J36" s="121"/>
      <c r="K36" s="121"/>
      <c r="L36" s="169"/>
      <c r="M36" s="180">
        <v>0</v>
      </c>
      <c r="N36" s="101">
        <v>0</v>
      </c>
      <c r="O36" s="168"/>
      <c r="P36" s="169"/>
      <c r="Q36" s="180">
        <v>0</v>
      </c>
      <c r="R36" s="101">
        <v>0</v>
      </c>
      <c r="U36" s="2"/>
      <c r="V36" s="2"/>
      <c r="W36" s="2"/>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c r="U37" s="2"/>
      <c r="V37" s="2"/>
      <c r="W37" s="2"/>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c r="U38" s="2"/>
      <c r="V38" s="2"/>
      <c r="W38" s="2"/>
    </row>
    <row r="39" spans="1:195" ht="12.75" x14ac:dyDescent="0.2">
      <c r="A39" s="15">
        <v>4</v>
      </c>
      <c r="B39" s="542"/>
      <c r="C39" s="543"/>
      <c r="D39" s="544"/>
      <c r="E39" s="545"/>
      <c r="F39" s="546"/>
      <c r="G39" s="101">
        <v>0</v>
      </c>
      <c r="H39" s="156"/>
      <c r="I39" s="159"/>
      <c r="J39" s="159"/>
      <c r="K39" s="121"/>
      <c r="L39" s="169"/>
      <c r="M39" s="180">
        <v>0</v>
      </c>
      <c r="N39" s="101">
        <v>0</v>
      </c>
      <c r="O39" s="168" t="s">
        <v>673</v>
      </c>
      <c r="P39" s="169">
        <v>15.38</v>
      </c>
      <c r="Q39" s="180">
        <v>15.38</v>
      </c>
      <c r="R39" s="101">
        <v>0</v>
      </c>
      <c r="U39" s="2"/>
      <c r="V39" s="2"/>
      <c r="W39" s="2"/>
    </row>
    <row r="40" spans="1:195" ht="12.75" x14ac:dyDescent="0.2">
      <c r="A40" s="15">
        <v>5</v>
      </c>
      <c r="B40" s="542"/>
      <c r="C40" s="543"/>
      <c r="D40" s="544"/>
      <c r="E40" s="545"/>
      <c r="F40" s="546"/>
      <c r="G40" s="101">
        <v>0</v>
      </c>
      <c r="H40" s="156"/>
      <c r="I40" s="159"/>
      <c r="J40" s="159"/>
      <c r="K40" s="121"/>
      <c r="L40" s="169"/>
      <c r="M40" s="180">
        <v>0</v>
      </c>
      <c r="N40" s="101">
        <v>0</v>
      </c>
      <c r="O40" s="168" t="s">
        <v>674</v>
      </c>
      <c r="P40" s="302">
        <v>-5.8289880896224453</v>
      </c>
      <c r="Q40" s="180">
        <v>-5.8289880896224453</v>
      </c>
      <c r="R40" s="101">
        <v>0</v>
      </c>
      <c r="U40" s="2"/>
      <c r="V40" s="2"/>
      <c r="W40" s="2"/>
    </row>
    <row r="41" spans="1:195" ht="12.75" x14ac:dyDescent="0.2">
      <c r="A41" s="15">
        <v>6</v>
      </c>
      <c r="B41" s="544"/>
      <c r="C41" s="548"/>
      <c r="D41" s="550"/>
      <c r="E41" s="545"/>
      <c r="F41" s="546"/>
      <c r="G41" s="101">
        <v>0</v>
      </c>
      <c r="H41" s="156"/>
      <c r="I41" s="159"/>
      <c r="J41" s="159"/>
      <c r="K41" s="121"/>
      <c r="L41" s="169"/>
      <c r="M41" s="180">
        <v>0</v>
      </c>
      <c r="N41" s="101">
        <v>0</v>
      </c>
      <c r="O41" s="168"/>
      <c r="P41" s="302"/>
      <c r="Q41" s="180">
        <v>0</v>
      </c>
      <c r="R41" s="101">
        <v>0</v>
      </c>
      <c r="U41" s="2"/>
      <c r="V41" s="2"/>
      <c r="W41" s="2"/>
    </row>
    <row r="42" spans="1:195" ht="12.75" x14ac:dyDescent="0.2">
      <c r="A42" s="15">
        <v>7</v>
      </c>
      <c r="B42" s="550"/>
      <c r="C42" s="548"/>
      <c r="D42" s="550"/>
      <c r="E42" s="545"/>
      <c r="F42" s="546"/>
      <c r="G42" s="101">
        <v>0</v>
      </c>
      <c r="H42" s="156"/>
      <c r="I42" s="159"/>
      <c r="J42" s="159"/>
      <c r="K42" s="121"/>
      <c r="L42" s="169"/>
      <c r="M42" s="180">
        <v>0</v>
      </c>
      <c r="N42" s="101">
        <v>0</v>
      </c>
      <c r="O42" s="168"/>
      <c r="P42" s="302"/>
      <c r="Q42" s="180">
        <v>0</v>
      </c>
      <c r="R42" s="101">
        <v>0</v>
      </c>
      <c r="U42" s="2"/>
      <c r="V42" s="2"/>
      <c r="W42" s="2"/>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c r="U43" s="2"/>
      <c r="V43" s="2"/>
      <c r="W43" s="2"/>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c r="U44" s="2"/>
      <c r="V44" s="2"/>
      <c r="W44" s="2"/>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c r="U45" s="2"/>
      <c r="V45" s="2"/>
      <c r="W45" s="2"/>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c r="U46" s="2"/>
      <c r="V46" s="2"/>
      <c r="W46" s="2"/>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c r="U47" s="2"/>
      <c r="V47" s="2"/>
      <c r="W47" s="2"/>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c r="U48" s="2"/>
      <c r="V48" s="2"/>
      <c r="W48" s="2"/>
    </row>
    <row r="49" spans="1:23" ht="12.75" x14ac:dyDescent="0.2">
      <c r="A49" s="15">
        <v>14</v>
      </c>
      <c r="B49" s="544"/>
      <c r="C49" s="548"/>
      <c r="D49" s="544"/>
      <c r="E49" s="545"/>
      <c r="F49" s="546"/>
      <c r="G49" s="101">
        <v>0</v>
      </c>
      <c r="H49" s="156"/>
      <c r="I49" s="159"/>
      <c r="J49" s="159"/>
      <c r="K49" s="121"/>
      <c r="L49" s="169"/>
      <c r="M49" s="180">
        <v>0</v>
      </c>
      <c r="N49" s="101">
        <v>0</v>
      </c>
      <c r="O49" s="168"/>
      <c r="P49" s="302"/>
      <c r="Q49" s="180">
        <v>0</v>
      </c>
      <c r="R49" s="101">
        <v>0</v>
      </c>
      <c r="U49" s="2"/>
      <c r="V49" s="2"/>
      <c r="W49" s="2"/>
    </row>
    <row r="50" spans="1:23" ht="12.75" x14ac:dyDescent="0.2">
      <c r="A50" s="15">
        <v>15</v>
      </c>
      <c r="B50" s="544"/>
      <c r="C50" s="548"/>
      <c r="D50" s="544"/>
      <c r="E50" s="545"/>
      <c r="F50" s="546"/>
      <c r="G50" s="101">
        <v>0</v>
      </c>
      <c r="H50" s="156"/>
      <c r="I50" s="159"/>
      <c r="J50" s="159"/>
      <c r="K50" s="121"/>
      <c r="L50" s="169"/>
      <c r="M50" s="180">
        <v>0</v>
      </c>
      <c r="N50" s="101">
        <v>0</v>
      </c>
      <c r="O50" s="168"/>
      <c r="P50" s="302"/>
      <c r="Q50" s="180">
        <v>0</v>
      </c>
      <c r="R50" s="101">
        <v>0</v>
      </c>
      <c r="U50" s="2"/>
      <c r="V50" s="2"/>
      <c r="W50" s="2"/>
    </row>
    <row r="51" spans="1:23" ht="12.75" x14ac:dyDescent="0.2">
      <c r="A51" s="15">
        <v>16</v>
      </c>
      <c r="B51" s="544"/>
      <c r="C51" s="548"/>
      <c r="D51" s="544"/>
      <c r="E51" s="545"/>
      <c r="F51" s="546"/>
      <c r="G51" s="101">
        <v>0</v>
      </c>
      <c r="H51" s="156"/>
      <c r="I51" s="159"/>
      <c r="J51" s="159"/>
      <c r="K51" s="121"/>
      <c r="L51" s="169"/>
      <c r="M51" s="180">
        <v>0</v>
      </c>
      <c r="N51" s="101">
        <v>0</v>
      </c>
      <c r="O51" s="168"/>
      <c r="P51" s="302"/>
      <c r="Q51" s="180">
        <v>0</v>
      </c>
      <c r="R51" s="101">
        <v>0</v>
      </c>
      <c r="U51" s="2"/>
      <c r="V51" s="2"/>
      <c r="W51" s="2"/>
    </row>
    <row r="52" spans="1:23" ht="12.75" x14ac:dyDescent="0.2">
      <c r="A52" s="15">
        <v>17</v>
      </c>
      <c r="B52" s="544"/>
      <c r="C52" s="548"/>
      <c r="D52" s="544"/>
      <c r="E52" s="545"/>
      <c r="F52" s="546"/>
      <c r="G52" s="101">
        <v>0</v>
      </c>
      <c r="H52" s="156"/>
      <c r="I52" s="159"/>
      <c r="J52" s="159"/>
      <c r="K52" s="121"/>
      <c r="L52" s="169"/>
      <c r="M52" s="180">
        <v>0</v>
      </c>
      <c r="N52" s="101">
        <v>0</v>
      </c>
      <c r="O52" s="168"/>
      <c r="P52" s="169"/>
      <c r="Q52" s="180">
        <v>0</v>
      </c>
      <c r="R52" s="101">
        <v>0</v>
      </c>
      <c r="U52" s="2"/>
      <c r="V52" s="2"/>
      <c r="W52" s="2"/>
    </row>
    <row r="53" spans="1:23" ht="12.75" x14ac:dyDescent="0.2">
      <c r="A53" s="15">
        <v>18</v>
      </c>
      <c r="B53" s="544"/>
      <c r="C53" s="548"/>
      <c r="D53" s="544"/>
      <c r="E53" s="545"/>
      <c r="F53" s="546"/>
      <c r="G53" s="101">
        <v>0</v>
      </c>
      <c r="H53" s="156"/>
      <c r="I53" s="159"/>
      <c r="J53" s="159"/>
      <c r="K53" s="121"/>
      <c r="L53" s="169"/>
      <c r="M53" s="180">
        <v>0</v>
      </c>
      <c r="N53" s="101">
        <v>0</v>
      </c>
      <c r="O53" s="168"/>
      <c r="P53" s="169"/>
      <c r="Q53" s="180">
        <v>0</v>
      </c>
      <c r="R53" s="101">
        <v>0</v>
      </c>
      <c r="U53" s="2"/>
      <c r="V53" s="2"/>
      <c r="W53" s="2"/>
    </row>
    <row r="54" spans="1:23" ht="12.75" x14ac:dyDescent="0.2">
      <c r="A54" s="15">
        <v>19</v>
      </c>
      <c r="B54" s="544"/>
      <c r="C54" s="548"/>
      <c r="D54" s="544"/>
      <c r="E54" s="545"/>
      <c r="F54" s="546"/>
      <c r="G54" s="101">
        <v>0</v>
      </c>
      <c r="H54" s="156"/>
      <c r="I54" s="159"/>
      <c r="J54" s="159"/>
      <c r="K54" s="121"/>
      <c r="L54" s="169"/>
      <c r="M54" s="180">
        <v>0</v>
      </c>
      <c r="N54" s="101">
        <v>0</v>
      </c>
      <c r="O54" s="168"/>
      <c r="P54" s="169"/>
      <c r="Q54" s="180">
        <v>0</v>
      </c>
      <c r="R54" s="101">
        <v>0</v>
      </c>
      <c r="U54" s="2"/>
      <c r="V54" s="2"/>
      <c r="W54" s="2"/>
    </row>
    <row r="55" spans="1:23" ht="12.75" x14ac:dyDescent="0.2">
      <c r="A55" s="15">
        <v>20</v>
      </c>
      <c r="B55" s="544"/>
      <c r="C55" s="548"/>
      <c r="D55" s="544"/>
      <c r="E55" s="545"/>
      <c r="F55" s="549"/>
      <c r="G55" s="101">
        <v>0</v>
      </c>
      <c r="H55" s="156"/>
      <c r="I55" s="159"/>
      <c r="J55" s="159"/>
      <c r="K55" s="121"/>
      <c r="L55" s="169"/>
      <c r="M55" s="181">
        <v>0</v>
      </c>
      <c r="N55" s="101">
        <v>0</v>
      </c>
      <c r="O55" s="168"/>
      <c r="P55" s="169"/>
      <c r="Q55" s="181">
        <v>0</v>
      </c>
      <c r="R55" s="101">
        <v>0</v>
      </c>
      <c r="U55" s="2"/>
      <c r="V55" s="2"/>
      <c r="W55" s="2"/>
    </row>
    <row r="56" spans="1:23" ht="13.5" thickBot="1" x14ac:dyDescent="0.25">
      <c r="E56" s="161" t="s">
        <v>643</v>
      </c>
      <c r="F56" s="162">
        <v>0</v>
      </c>
      <c r="G56" s="17"/>
      <c r="H56"/>
      <c r="L56" s="161" t="s">
        <v>639</v>
      </c>
      <c r="M56" s="162">
        <v>0</v>
      </c>
      <c r="O56"/>
      <c r="P56" s="161" t="s">
        <v>640</v>
      </c>
      <c r="Q56" s="162">
        <v>9.5510119103775555</v>
      </c>
      <c r="U56" s="2"/>
      <c r="V56" s="2"/>
      <c r="W56" s="2"/>
    </row>
    <row r="57" spans="1:23" ht="12.95" customHeight="1" x14ac:dyDescent="0.2"/>
    <row r="58" spans="1:23" ht="12.95" customHeight="1" x14ac:dyDescent="0.2"/>
    <row r="59" spans="1:23" ht="12.95" customHeight="1" x14ac:dyDescent="0.2"/>
    <row r="60" spans="1:23" ht="12.95" customHeight="1" x14ac:dyDescent="0.2"/>
    <row r="61" spans="1:23" ht="12.95" customHeight="1" x14ac:dyDescent="0.2"/>
    <row r="62" spans="1:23" ht="12.95" customHeight="1" x14ac:dyDescent="0.2"/>
    <row r="63" spans="1:23" ht="12.95" customHeight="1" x14ac:dyDescent="0.2"/>
    <row r="64" spans="1:23"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49" priority="2" operator="equal">
      <formula>"Check"</formula>
    </cfRule>
    <cfRule type="cellIs" dxfId="48" priority="3" operator="equal">
      <formula>"Ok"</formula>
    </cfRule>
  </conditionalFormatting>
  <dataValidations disablePrompts="1" count="1">
    <dataValidation type="list" allowBlank="1" showInputMessage="1" showErrorMessage="1" sqref="M8 G30:J30 M30 C30:D31" xr:uid="{99B44218-DE06-4782-9079-51D433A8C001}">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C291567B-ED5B-4734-9156-828A8FBD37D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9A21045-853C-4243-8827-16F48A65C8D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5" id="{14B42222-B50A-4E87-ACD8-A0810D60EE4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06FACBA-ED62-490E-950E-250D43C42A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5AF359C9-4865-45CC-BF46-1DD8833D06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13" id="{6BA1BB81-99EA-46C2-891C-DBB711AD5B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BD7FFC02-36BF-4093-826D-3E05234225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BF22FE4E-FD0F-4857-BD07-6E942DBC3C9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6" id="{55E34FD1-0F82-4BD2-A89D-6852E93CA6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CC7CFBD8-D693-433F-BB62-39CEE22E9F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7F77A43-A065-4596-BB19-1E1E20AC5E7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14" id="{5DD71E4F-31B5-4190-BA0C-3AC2EBD317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8BB8585D-F15B-4778-91F4-37A676E670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86A38F94-91E0-4A9D-9579-8DC01A8AC1D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15" id="{14430E3B-B0B7-4171-86BD-37ABF22EAAA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B3D8A20C-2603-4066-BBAA-5C5A10B9AE7E}">
          <x14:formula1>
            <xm:f>'Input|Setup'!$B$31:$B$49</xm:f>
          </x14:formula1>
          <xm:sqref>H10:H29 B10:B29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25C13-04CB-4B9B-8995-E92DE7813A7B}">
  <sheetPr codeName="Sheet27">
    <tabColor theme="8" tint="0.79998168889431442"/>
  </sheetPr>
  <dimension ref="A1:HO1257"/>
  <sheetViews>
    <sheetView showGridLines="0" topLeftCell="A23"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385</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753</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c r="C10" s="158" t="s">
        <v>659</v>
      </c>
      <c r="D10" s="155">
        <v>0</v>
      </c>
      <c r="E10" s="151">
        <v>2</v>
      </c>
      <c r="F10" s="166">
        <v>0</v>
      </c>
      <c r="G10" s="101">
        <v>0</v>
      </c>
      <c r="H10" s="121"/>
      <c r="I10" s="158" t="s">
        <v>656</v>
      </c>
      <c r="J10" s="121"/>
      <c r="K10" s="151"/>
      <c r="L10" s="164">
        <v>0</v>
      </c>
      <c r="M10" s="101">
        <v>0</v>
      </c>
    </row>
    <row r="11" spans="1:23" ht="12.75" x14ac:dyDescent="0.2">
      <c r="A11" s="15">
        <v>2</v>
      </c>
      <c r="B11" s="121"/>
      <c r="C11" s="158" t="s">
        <v>660</v>
      </c>
      <c r="D11" s="155">
        <v>0</v>
      </c>
      <c r="E11" s="151">
        <v>2</v>
      </c>
      <c r="F11" s="166">
        <v>0</v>
      </c>
      <c r="G11" s="101">
        <v>0</v>
      </c>
      <c r="H11" s="121"/>
      <c r="I11" s="158"/>
      <c r="J11" s="121"/>
      <c r="K11" s="151"/>
      <c r="L11" s="164">
        <v>0</v>
      </c>
      <c r="M11" s="101">
        <v>0</v>
      </c>
    </row>
    <row r="12" spans="1:23" ht="12.75" x14ac:dyDescent="0.2">
      <c r="A12" s="15">
        <v>3</v>
      </c>
      <c r="B12" s="121"/>
      <c r="C12" s="158" t="s">
        <v>621</v>
      </c>
      <c r="D12" s="155">
        <v>0</v>
      </c>
      <c r="E12" s="151">
        <v>2</v>
      </c>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754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8" t="s">
        <v>656</v>
      </c>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46" priority="2" operator="equal">
      <formula>"Check"</formula>
    </cfRule>
    <cfRule type="cellIs" dxfId="45" priority="3" operator="equal">
      <formula>"Ok"</formula>
    </cfRule>
  </conditionalFormatting>
  <dataValidations count="1">
    <dataValidation type="list" allowBlank="1" showInputMessage="1" showErrorMessage="1" sqref="M8 G30:J30 M30 C30:D31" xr:uid="{FCF710F0-83DA-4D3F-829A-98EE424008B2}">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B4F2E72-9169-49CE-8748-37C93864E4C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2990345-3873-4813-952B-5F6BCC20530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3" id="{5B48D0A4-547E-48B8-8759-CC57C96D7C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C5220421-10CA-4471-B923-61F916797A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6F56BCD8-25EF-4B88-AEE7-E18DD90A8F3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10" id="{C1DCF90A-BCA0-4EE5-B142-D15718CC0FB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7C57F157-074A-456C-B42B-2CD875F4FFC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BE6BCD2E-18B7-4E70-BADE-EF31B67B276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4" id="{51815A36-299F-4254-8EB5-2134BA1CE6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BF9E5C0-4EB3-4F9A-822B-E40A1077011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F6778B8-E257-4046-AB56-EE3689B7C68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11" id="{28C37588-2274-49DD-B693-3F493F7538D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69E6ABD9-A410-40CF-AB97-9EF26E9480E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EC99338E-22CB-4054-809F-B2595B4C6AB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12" id="{F36DE42A-5104-4121-8F3A-CF3415F37F4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4C07BEB-979F-4A8D-BE16-B6C4F8CFFAEE}">
          <x14:formula1>
            <xm:f>'Input|Setup'!$B$31:$B$49</xm:f>
          </x14:formula1>
          <xm:sqref>H10:H29 B10:B29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4E383-2912-488D-8DCE-938C4F08AE40}">
  <sheetPr codeName="Sheet28">
    <tabColor theme="8" tint="0.79998168889431442"/>
  </sheetPr>
  <dimension ref="A1:HO1257"/>
  <sheetViews>
    <sheetView showGridLines="0" topLeftCell="A31"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386</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755</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c r="C10" s="158" t="s">
        <v>659</v>
      </c>
      <c r="D10" s="155">
        <v>0</v>
      </c>
      <c r="E10" s="151">
        <v>2</v>
      </c>
      <c r="F10" s="166">
        <v>0</v>
      </c>
      <c r="G10" s="101">
        <v>0</v>
      </c>
      <c r="H10" s="121"/>
      <c r="I10" s="158" t="s">
        <v>656</v>
      </c>
      <c r="J10" s="121"/>
      <c r="K10" s="151"/>
      <c r="L10" s="164">
        <v>0</v>
      </c>
      <c r="M10" s="101">
        <v>0</v>
      </c>
    </row>
    <row r="11" spans="1:23" ht="12.75" x14ac:dyDescent="0.2">
      <c r="A11" s="15">
        <v>2</v>
      </c>
      <c r="B11" s="121"/>
      <c r="C11" s="158" t="s">
        <v>660</v>
      </c>
      <c r="D11" s="155">
        <v>0</v>
      </c>
      <c r="E11" s="151">
        <v>2</v>
      </c>
      <c r="F11" s="166">
        <v>0</v>
      </c>
      <c r="G11" s="101">
        <v>0</v>
      </c>
      <c r="H11" s="121"/>
      <c r="I11" s="158"/>
      <c r="J11" s="121"/>
      <c r="K11" s="151"/>
      <c r="L11" s="164">
        <v>0</v>
      </c>
      <c r="M11" s="101">
        <v>0</v>
      </c>
    </row>
    <row r="12" spans="1:23" ht="12.75" x14ac:dyDescent="0.2">
      <c r="A12" s="15">
        <v>3</v>
      </c>
      <c r="B12" s="121"/>
      <c r="C12" s="158" t="s">
        <v>621</v>
      </c>
      <c r="D12" s="155">
        <v>0</v>
      </c>
      <c r="E12" s="151">
        <v>2</v>
      </c>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756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8" t="s">
        <v>656</v>
      </c>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43" priority="2" operator="equal">
      <formula>"Check"</formula>
    </cfRule>
    <cfRule type="cellIs" dxfId="42" priority="3" operator="equal">
      <formula>"Ok"</formula>
    </cfRule>
  </conditionalFormatting>
  <dataValidations count="1">
    <dataValidation type="list" allowBlank="1" showInputMessage="1" showErrorMessage="1" sqref="C30:D31 M8 G30:J30 M30" xr:uid="{D5799C11-9BA5-446A-BA33-2A967F408CC5}">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5FF7BC09-5AD7-41FD-A6B5-BE5B46DFAD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7B5825E2-6FF7-440D-93F0-C6C246E34C1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1" id="{03544310-CED9-41E6-9B6A-66F93EC09C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6FE09CE5-BC40-4EF3-A4F2-B8DC1D84D7D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770FFBF1-6A4B-41A9-896E-FB92F18043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07" id="{9CB48B9B-79D5-4C54-8847-E197944ACB2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F205649C-AA7D-4882-92F7-51F932304E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DB6583F-F41E-425B-B6F0-60A10621AD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2" id="{375E87AC-99DD-4E43-9903-C5B42878B6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63C4CB37-F576-463C-8562-7A6DD8270B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6205D20-51F7-449D-94BD-EC87A6FAB53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8" id="{9BC86667-9988-49CC-AA52-7890AF4C757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ACF24097-8703-450C-8D1F-500E082BDE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CC167756-283D-46F1-900E-C0F28E2B1C5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9" id="{0D94F3BE-E55B-405E-A606-1539DEF7FA8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2C41CD4-27FA-4EA7-90B4-58717A3D463F}">
          <x14:formula1>
            <xm:f>'Input|Setup'!$B$31:$B$49</xm:f>
          </x14:formula1>
          <xm:sqref>H10:H29 B10:B29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61DB1-4674-4DFD-AD57-725ACD615CFC}">
  <sheetPr codeName="Sheet29">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51.4257812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387</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757</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9</v>
      </c>
      <c r="F10" s="166">
        <v>9</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3</v>
      </c>
      <c r="F11" s="166">
        <v>3</v>
      </c>
      <c r="G11" s="101">
        <v>0</v>
      </c>
      <c r="H11" s="121" t="s">
        <v>238</v>
      </c>
      <c r="I11" s="158" t="s">
        <v>662</v>
      </c>
      <c r="J11" s="121">
        <v>2</v>
      </c>
      <c r="K11" s="151">
        <v>5</v>
      </c>
      <c r="L11" s="164">
        <v>10</v>
      </c>
      <c r="M11" s="101">
        <v>0</v>
      </c>
    </row>
    <row r="12" spans="1:23" ht="12.75" x14ac:dyDescent="0.2">
      <c r="A12" s="15">
        <v>3</v>
      </c>
      <c r="B12" s="121" t="s">
        <v>235</v>
      </c>
      <c r="C12" s="158" t="s">
        <v>615</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668</v>
      </c>
      <c r="D13" s="155">
        <v>1</v>
      </c>
      <c r="E13" s="151">
        <v>8</v>
      </c>
      <c r="F13" s="166">
        <v>8</v>
      </c>
      <c r="G13" s="101">
        <v>0</v>
      </c>
      <c r="H13" s="121" t="s">
        <v>238</v>
      </c>
      <c r="I13" s="158" t="s">
        <v>675</v>
      </c>
      <c r="J13" s="121">
        <v>2</v>
      </c>
      <c r="K13" s="151">
        <v>15</v>
      </c>
      <c r="L13" s="164">
        <v>30</v>
      </c>
      <c r="M13" s="101">
        <v>0</v>
      </c>
    </row>
    <row r="14" spans="1:23" ht="12.75" x14ac:dyDescent="0.2">
      <c r="A14" s="15">
        <v>5</v>
      </c>
      <c r="B14" s="121" t="s">
        <v>235</v>
      </c>
      <c r="C14" s="158" t="s">
        <v>618</v>
      </c>
      <c r="D14" s="155">
        <v>1</v>
      </c>
      <c r="E14" s="151">
        <v>7</v>
      </c>
      <c r="F14" s="166">
        <v>7</v>
      </c>
      <c r="G14" s="101">
        <v>0</v>
      </c>
      <c r="H14" s="121" t="s">
        <v>238</v>
      </c>
      <c r="I14" s="158" t="s">
        <v>676</v>
      </c>
      <c r="J14" s="121">
        <v>2</v>
      </c>
      <c r="K14" s="151">
        <v>5</v>
      </c>
      <c r="L14" s="164">
        <v>10</v>
      </c>
      <c r="M14" s="101">
        <v>0</v>
      </c>
    </row>
    <row r="15" spans="1:23" ht="12.75" x14ac:dyDescent="0.2">
      <c r="A15" s="15">
        <v>6</v>
      </c>
      <c r="B15" s="121" t="s">
        <v>235</v>
      </c>
      <c r="C15" s="158" t="s">
        <v>619</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620</v>
      </c>
      <c r="D16" s="155">
        <v>1</v>
      </c>
      <c r="E16" s="151">
        <v>8</v>
      </c>
      <c r="F16" s="166">
        <v>8</v>
      </c>
      <c r="G16" s="101">
        <v>0</v>
      </c>
      <c r="H16" s="121"/>
      <c r="I16" s="158"/>
      <c r="J16" s="121"/>
      <c r="K16" s="151"/>
      <c r="L16" s="164">
        <v>0</v>
      </c>
      <c r="M16" s="101">
        <v>0</v>
      </c>
    </row>
    <row r="17" spans="1:24" ht="12.75" x14ac:dyDescent="0.2">
      <c r="A17" s="15">
        <v>8</v>
      </c>
      <c r="B17" s="121" t="s">
        <v>235</v>
      </c>
      <c r="C17" s="158" t="s">
        <v>621</v>
      </c>
      <c r="D17" s="155">
        <v>1</v>
      </c>
      <c r="E17" s="151">
        <v>6</v>
      </c>
      <c r="F17" s="166">
        <v>6</v>
      </c>
      <c r="G17" s="101">
        <v>0</v>
      </c>
      <c r="H17" s="121"/>
      <c r="I17" s="158"/>
      <c r="J17" s="121"/>
      <c r="K17" s="151"/>
      <c r="L17" s="164">
        <v>0</v>
      </c>
      <c r="M17" s="101">
        <v>0</v>
      </c>
    </row>
    <row r="18" spans="1:24" ht="12.75" x14ac:dyDescent="0.2">
      <c r="A18" s="15">
        <v>9</v>
      </c>
      <c r="B18" s="121" t="s">
        <v>235</v>
      </c>
      <c r="C18" s="158" t="s">
        <v>622</v>
      </c>
      <c r="D18" s="155">
        <v>1</v>
      </c>
      <c r="E18" s="151">
        <v>7</v>
      </c>
      <c r="F18" s="166">
        <v>7</v>
      </c>
      <c r="G18" s="101">
        <v>0</v>
      </c>
      <c r="H18" s="121"/>
      <c r="I18" s="158"/>
      <c r="J18" s="121"/>
      <c r="K18" s="151"/>
      <c r="L18" s="164">
        <v>0</v>
      </c>
      <c r="M18" s="101">
        <v>0</v>
      </c>
    </row>
    <row r="19" spans="1:24" ht="12.75" x14ac:dyDescent="0.2">
      <c r="A19" s="15">
        <v>10</v>
      </c>
      <c r="B19" s="121" t="s">
        <v>235</v>
      </c>
      <c r="C19" s="158" t="s">
        <v>623</v>
      </c>
      <c r="D19" s="155">
        <v>1</v>
      </c>
      <c r="E19" s="151">
        <v>6</v>
      </c>
      <c r="F19" s="166">
        <v>6</v>
      </c>
      <c r="G19" s="101">
        <v>0</v>
      </c>
      <c r="H19" s="121"/>
      <c r="I19" s="158"/>
      <c r="J19" s="121"/>
      <c r="K19" s="151"/>
      <c r="L19" s="164">
        <v>0</v>
      </c>
      <c r="M19" s="101">
        <v>0</v>
      </c>
    </row>
    <row r="20" spans="1:24" ht="12.75" x14ac:dyDescent="0.2">
      <c r="A20" s="15">
        <v>11</v>
      </c>
      <c r="B20" s="121"/>
      <c r="C20" s="158"/>
      <c r="D20" s="155"/>
      <c r="E20" s="151"/>
      <c r="F20" s="166">
        <v>0</v>
      </c>
      <c r="G20" s="101">
        <v>0</v>
      </c>
      <c r="H20" s="121"/>
      <c r="I20" s="158"/>
      <c r="J20" s="121"/>
      <c r="K20" s="151"/>
      <c r="L20" s="164">
        <v>0</v>
      </c>
      <c r="M20" s="101">
        <v>0</v>
      </c>
    </row>
    <row r="21" spans="1:24" ht="12.75" x14ac:dyDescent="0.2">
      <c r="A21" s="15">
        <v>12</v>
      </c>
      <c r="B21" s="121"/>
      <c r="C21" s="158"/>
      <c r="D21" s="155"/>
      <c r="E21" s="151"/>
      <c r="F21" s="166">
        <v>0</v>
      </c>
      <c r="G21" s="101">
        <v>0</v>
      </c>
      <c r="H21" s="121"/>
      <c r="I21" s="158"/>
      <c r="J21" s="121"/>
      <c r="K21" s="151"/>
      <c r="L21" s="164">
        <v>0</v>
      </c>
      <c r="M21" s="101">
        <v>0</v>
      </c>
    </row>
    <row r="22" spans="1:24" ht="12.75" x14ac:dyDescent="0.2">
      <c r="A22" s="15">
        <v>13</v>
      </c>
      <c r="B22" s="121"/>
      <c r="C22" s="158"/>
      <c r="D22" s="155"/>
      <c r="E22" s="151"/>
      <c r="F22" s="166">
        <v>0</v>
      </c>
      <c r="G22" s="101">
        <v>0</v>
      </c>
      <c r="H22" s="121"/>
      <c r="I22" s="158"/>
      <c r="J22" s="121"/>
      <c r="K22" s="151"/>
      <c r="L22" s="164">
        <v>0</v>
      </c>
      <c r="M22" s="101">
        <v>0</v>
      </c>
    </row>
    <row r="23" spans="1:24" ht="12.75" x14ac:dyDescent="0.2">
      <c r="A23" s="15">
        <v>14</v>
      </c>
      <c r="B23" s="121"/>
      <c r="C23" s="158"/>
      <c r="D23" s="155"/>
      <c r="E23" s="151"/>
      <c r="F23" s="166">
        <v>0</v>
      </c>
      <c r="G23" s="101">
        <v>0</v>
      </c>
      <c r="H23" s="121"/>
      <c r="I23" s="158"/>
      <c r="J23" s="121"/>
      <c r="K23" s="151"/>
      <c r="L23" s="164">
        <v>0</v>
      </c>
      <c r="M23" s="101">
        <v>0</v>
      </c>
    </row>
    <row r="24" spans="1:24" ht="12.75" x14ac:dyDescent="0.2">
      <c r="A24" s="15">
        <v>15</v>
      </c>
      <c r="B24" s="121"/>
      <c r="C24" s="158"/>
      <c r="D24" s="155"/>
      <c r="E24" s="151"/>
      <c r="F24" s="166">
        <v>0</v>
      </c>
      <c r="G24" s="101">
        <v>0</v>
      </c>
      <c r="H24" s="121"/>
      <c r="I24" s="158"/>
      <c r="J24" s="121"/>
      <c r="K24" s="151"/>
      <c r="L24" s="164">
        <v>0</v>
      </c>
      <c r="M24" s="101">
        <v>0</v>
      </c>
    </row>
    <row r="25" spans="1:24" ht="12.75" x14ac:dyDescent="0.2">
      <c r="A25" s="15">
        <v>16</v>
      </c>
      <c r="B25" s="121"/>
      <c r="C25" s="158"/>
      <c r="D25" s="155"/>
      <c r="E25" s="151"/>
      <c r="F25" s="166">
        <v>0</v>
      </c>
      <c r="G25" s="101">
        <v>0</v>
      </c>
      <c r="H25" s="121"/>
      <c r="I25" s="158"/>
      <c r="J25" s="121"/>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758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644</v>
      </c>
      <c r="J36" s="121">
        <v>1</v>
      </c>
      <c r="K36" s="121">
        <v>65</v>
      </c>
      <c r="L36" s="433">
        <v>53.78</v>
      </c>
      <c r="M36" s="180">
        <v>58.261666666666663</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58.261666666666663</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40" priority="2" operator="equal">
      <formula>"Check"</formula>
    </cfRule>
    <cfRule type="cellIs" dxfId="39" priority="3" operator="equal">
      <formula>"Ok"</formula>
    </cfRule>
  </conditionalFormatting>
  <dataValidations count="1">
    <dataValidation type="list" allowBlank="1" showInputMessage="1" showErrorMessage="1" sqref="M8 G30:J30 M30 C30:D31" xr:uid="{B0905851-20E7-4AFE-86CE-1949EED5B5B6}">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B0DD92EE-BA23-4CE8-9497-D6D212FF49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0064129-6A83-40B6-A943-1DF4BDDAB2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9" id="{FF9BFAF0-5460-43F0-8AB7-CA8BED391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04EF4F46-5854-49C7-9EB7-9709835E569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421AEE0-75C5-456D-ABE4-CC024705EB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04" id="{ABA968BE-6496-4CFC-9CB0-A1D31AEA82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50FBC0DE-FA5D-491E-BCBB-9BF84C0971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50E2828-F3C6-40BF-A69D-FA567365EE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0" id="{03511521-7B95-44BB-B11B-8A385CB07CC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9E0AF02D-5465-493A-8471-7F012AC8C33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15DA52E-5C65-4778-93C8-21EE372264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5" id="{7C2C4EB8-6AB3-4A69-B612-FF75919FFD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B56C019-DDC9-45EF-AE5E-31E3F676E1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25450EAA-937F-40AB-A58E-FE91BF5F40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6" id="{EAA633F2-9CC5-4B14-AF6B-44C27522DFE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CFE978D-D0C6-491B-9D7A-6C85862A0856}">
          <x14:formula1>
            <xm:f>'Input|Setup'!$B$31:$B$49</xm:f>
          </x14:formula1>
          <xm:sqref>B10:B29 H10:H29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9C9D-7C79-476F-B341-43BB63555C66}">
  <sheetPr codeName="Sheet30">
    <tabColor theme="8" tint="0.79998168889431442"/>
  </sheetPr>
  <dimension ref="A1:HO1257"/>
  <sheetViews>
    <sheetView showGridLines="0" topLeftCell="A22"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97" t="s">
        <v>388</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759</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c r="C10" s="158" t="s">
        <v>656</v>
      </c>
      <c r="D10" s="155"/>
      <c r="E10" s="151"/>
      <c r="F10" s="166">
        <v>0</v>
      </c>
      <c r="G10" s="101">
        <v>0</v>
      </c>
      <c r="H10" s="121"/>
      <c r="I10" s="158" t="s">
        <v>656</v>
      </c>
      <c r="J10" s="121"/>
      <c r="K10" s="151"/>
      <c r="L10" s="164">
        <v>0</v>
      </c>
      <c r="M10" s="101">
        <v>0</v>
      </c>
    </row>
    <row r="11" spans="1:23" ht="12.75" x14ac:dyDescent="0.2">
      <c r="A11" s="15">
        <v>2</v>
      </c>
      <c r="B11" s="121"/>
      <c r="C11" s="158"/>
      <c r="D11" s="155"/>
      <c r="E11" s="151"/>
      <c r="F11" s="166">
        <v>0</v>
      </c>
      <c r="G11" s="101">
        <v>0</v>
      </c>
      <c r="H11" s="121"/>
      <c r="I11" s="158"/>
      <c r="J11" s="121"/>
      <c r="K11" s="151"/>
      <c r="L11" s="164">
        <v>0</v>
      </c>
      <c r="M11" s="101">
        <v>0</v>
      </c>
    </row>
    <row r="12" spans="1:23" ht="12.75" x14ac:dyDescent="0.2">
      <c r="A12" s="15">
        <v>3</v>
      </c>
      <c r="B12" s="121"/>
      <c r="C12" s="158"/>
      <c r="D12" s="155"/>
      <c r="E12" s="151"/>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760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656</v>
      </c>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37" priority="2" operator="equal">
      <formula>"Check"</formula>
    </cfRule>
    <cfRule type="cellIs" dxfId="36" priority="3" operator="equal">
      <formula>"Ok"</formula>
    </cfRule>
  </conditionalFormatting>
  <dataValidations count="1">
    <dataValidation type="list" allowBlank="1" showInputMessage="1" showErrorMessage="1" sqref="M8 G30:J30 M30 C30:D31" xr:uid="{2AF5C734-B18E-486C-885F-4841D14FE5D0}">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7AC9ACB8-D68C-4D57-91CA-BF21F261D24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31A29D5-65BF-430F-8219-842736EC89F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7" id="{575D08C7-5A2E-426A-A345-996D1D95622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11A7BB0-0B1C-4261-98B9-45FCAD66999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38D035F-8B89-46DC-B120-76CF1B2A4E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01" id="{F2641D86-4B0A-477D-8FBA-0AE2C8FEE16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45FC24B2-87B0-40FD-9FAA-E4CC475162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5DD699C1-AAE8-4F37-96FD-4E20BDBE53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8" id="{2A60D83C-CF0D-4322-9237-16C6186E5F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0CF6D8D-AE51-468F-82BF-C4DB34CFE64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873A13D-1A98-4AA0-A9A5-7CE833DFEC7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2" id="{708040DE-62D6-45CA-A770-E8B0B757E6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B1766BEE-4514-4BB5-9F5C-3760E840043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35D88050-5479-42CE-A8D8-F3DC084F17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3" id="{E13B29A6-D5EC-42DA-9FEA-B6373469C3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16FDD24-5ECB-43BB-BB04-415D9D8E7362}">
          <x14:formula1>
            <xm:f>'Input|Setup'!$B$31:$B$49</xm:f>
          </x14:formula1>
          <xm:sqref>H10:H29 B10:B29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D12AC-B33B-4D22-A54D-F575ABB2AD06}">
  <sheetPr codeName="Sheet31">
    <tabColor theme="8" tint="0.79998168889431442"/>
  </sheetPr>
  <dimension ref="A1:HO1257"/>
  <sheetViews>
    <sheetView showGridLines="0" topLeftCell="A29"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389</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761</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677</v>
      </c>
      <c r="D10" s="155">
        <v>1</v>
      </c>
      <c r="E10" s="151">
        <v>9</v>
      </c>
      <c r="F10" s="166">
        <v>9</v>
      </c>
      <c r="G10" s="101">
        <v>0</v>
      </c>
      <c r="H10" s="121"/>
      <c r="I10" s="158" t="s">
        <v>656</v>
      </c>
      <c r="J10" s="121"/>
      <c r="K10" s="151"/>
      <c r="L10" s="164">
        <v>0</v>
      </c>
      <c r="M10" s="101">
        <v>0</v>
      </c>
    </row>
    <row r="11" spans="1:23" ht="12.75" x14ac:dyDescent="0.2">
      <c r="A11" s="15">
        <v>2</v>
      </c>
      <c r="B11" s="121" t="s">
        <v>235</v>
      </c>
      <c r="C11" s="158" t="s">
        <v>613</v>
      </c>
      <c r="D11" s="155">
        <v>1</v>
      </c>
      <c r="E11" s="151">
        <v>3</v>
      </c>
      <c r="F11" s="166">
        <v>3</v>
      </c>
      <c r="G11" s="101">
        <v>0</v>
      </c>
      <c r="H11" s="121"/>
      <c r="I11" s="158"/>
      <c r="J11" s="121"/>
      <c r="K11" s="151"/>
      <c r="L11" s="164">
        <v>0</v>
      </c>
      <c r="M11" s="101">
        <v>0</v>
      </c>
    </row>
    <row r="12" spans="1:23" ht="12.75" x14ac:dyDescent="0.2">
      <c r="A12" s="15">
        <v>3</v>
      </c>
      <c r="B12" s="121" t="s">
        <v>235</v>
      </c>
      <c r="C12" s="158" t="s">
        <v>615</v>
      </c>
      <c r="D12" s="155">
        <v>1</v>
      </c>
      <c r="E12" s="151">
        <v>3</v>
      </c>
      <c r="F12" s="166">
        <v>3</v>
      </c>
      <c r="G12" s="101">
        <v>0</v>
      </c>
      <c r="H12" s="121"/>
      <c r="I12" s="158"/>
      <c r="J12" s="121"/>
      <c r="K12" s="151"/>
      <c r="L12" s="164">
        <v>0</v>
      </c>
      <c r="M12" s="101">
        <v>0</v>
      </c>
    </row>
    <row r="13" spans="1:23" ht="12.75" x14ac:dyDescent="0.2">
      <c r="A13" s="15">
        <v>4</v>
      </c>
      <c r="B13" s="121" t="s">
        <v>235</v>
      </c>
      <c r="C13" s="158" t="s">
        <v>678</v>
      </c>
      <c r="D13" s="155">
        <v>1</v>
      </c>
      <c r="E13" s="151">
        <v>15</v>
      </c>
      <c r="F13" s="166">
        <v>15</v>
      </c>
      <c r="G13" s="101">
        <v>0</v>
      </c>
      <c r="H13" s="121"/>
      <c r="I13" s="158"/>
      <c r="J13" s="121"/>
      <c r="K13" s="151"/>
      <c r="L13" s="164">
        <v>0</v>
      </c>
      <c r="M13" s="101">
        <v>0</v>
      </c>
    </row>
    <row r="14" spans="1:23" ht="12.75" x14ac:dyDescent="0.2">
      <c r="A14" s="15">
        <v>5</v>
      </c>
      <c r="B14" s="121" t="s">
        <v>235</v>
      </c>
      <c r="C14" s="158" t="s">
        <v>679</v>
      </c>
      <c r="D14" s="155">
        <v>1</v>
      </c>
      <c r="E14" s="151">
        <v>2</v>
      </c>
      <c r="F14" s="166">
        <v>2</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32</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762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8" t="s">
        <v>656</v>
      </c>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34" priority="2" operator="equal">
      <formula>"Check"</formula>
    </cfRule>
    <cfRule type="cellIs" dxfId="33" priority="3" operator="equal">
      <formula>"Ok"</formula>
    </cfRule>
  </conditionalFormatting>
  <dataValidations count="1">
    <dataValidation type="list" allowBlank="1" showInputMessage="1" showErrorMessage="1" sqref="M8 G30:J30 M30 C30:D31" xr:uid="{46E8C867-C464-43E3-9888-810C80B15A4A}">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27939FA-A362-4930-ADEA-EEC6AAD4A0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FD56702-FDA6-4067-A531-2FFB9F4A0D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5" id="{647A202A-E194-4148-A8EB-56502CF3B5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194A581-623A-4056-9600-872CD608AD9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8FA94B01-2F75-43E4-8754-D6FD5E36A6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98" id="{645F93AA-4A26-4BD6-9FDE-4283B5C334C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30D1A92E-D2E1-4D09-BD64-5E70634814A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02F2FDD6-BE73-4C53-9C42-BA94CD7309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6" id="{D00358AF-C4DF-4935-B0E2-B0E34B7AB7A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49851971-D506-462D-904D-3893B3A4E78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24C23C93-FAE4-4A0F-9461-67CF6B6D124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9" id="{79653A8B-5F5A-47C3-B14D-48C05DCC01B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C8896BA-DCF0-4AEA-B511-9587B5E0E5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BC95F5E8-6A5B-42D6-AA30-EA329F0882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0" id="{DB1C355A-63BE-4D59-940A-17C6F156CC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4D5A59B-2F2C-4C0E-AFB4-5CB264B1DA4B}">
          <x14:formula1>
            <xm:f>'Input|Setup'!$B$31:$B$49</xm:f>
          </x14:formula1>
          <xm:sqref>H10:H29 B10:B29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D513-B80C-49D5-B584-DB85131A83BA}">
  <sheetPr codeName="Sheet32">
    <tabColor theme="8" tint="0.79998168889431442"/>
  </sheetPr>
  <dimension ref="A1:HO1257"/>
  <sheetViews>
    <sheetView showGridLines="0" topLeftCell="A23"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390</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763</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652</v>
      </c>
      <c r="D10" s="155">
        <v>1</v>
      </c>
      <c r="E10" s="151">
        <v>3</v>
      </c>
      <c r="F10" s="166">
        <v>3</v>
      </c>
      <c r="G10" s="101">
        <v>0</v>
      </c>
      <c r="H10" s="121" t="s">
        <v>238</v>
      </c>
      <c r="I10" s="158" t="s">
        <v>606</v>
      </c>
      <c r="J10" s="121">
        <v>1</v>
      </c>
      <c r="K10" s="151">
        <v>30</v>
      </c>
      <c r="L10" s="164">
        <v>30</v>
      </c>
      <c r="M10" s="101">
        <v>0</v>
      </c>
    </row>
    <row r="11" spans="1:23" ht="12.75" x14ac:dyDescent="0.2">
      <c r="A11" s="15">
        <v>2</v>
      </c>
      <c r="B11" s="121" t="s">
        <v>235</v>
      </c>
      <c r="C11" s="158" t="s">
        <v>653</v>
      </c>
      <c r="D11" s="155">
        <v>1</v>
      </c>
      <c r="E11" s="151">
        <v>2.2999999999999998</v>
      </c>
      <c r="F11" s="166">
        <v>2.2999999999999998</v>
      </c>
      <c r="G11" s="101">
        <v>0</v>
      </c>
      <c r="H11" s="121" t="s">
        <v>238</v>
      </c>
      <c r="I11" s="158" t="s">
        <v>680</v>
      </c>
      <c r="J11" s="121">
        <v>1</v>
      </c>
      <c r="K11" s="151">
        <v>10</v>
      </c>
      <c r="L11" s="164">
        <v>10</v>
      </c>
      <c r="M11" s="101">
        <v>0</v>
      </c>
    </row>
    <row r="12" spans="1:23" ht="12.75" x14ac:dyDescent="0.2">
      <c r="A12" s="15">
        <v>3</v>
      </c>
      <c r="B12" s="121" t="s">
        <v>235</v>
      </c>
      <c r="C12" s="158" t="s">
        <v>655</v>
      </c>
      <c r="D12" s="155">
        <v>1</v>
      </c>
      <c r="E12" s="151">
        <v>3.9</v>
      </c>
      <c r="F12" s="166">
        <v>3.9</v>
      </c>
      <c r="G12" s="101">
        <v>0</v>
      </c>
      <c r="H12" s="121"/>
      <c r="I12" s="158"/>
      <c r="J12" s="121"/>
      <c r="K12" s="151"/>
      <c r="L12" s="164">
        <v>0</v>
      </c>
      <c r="M12" s="101">
        <v>0</v>
      </c>
    </row>
    <row r="13" spans="1:23" ht="12.75" x14ac:dyDescent="0.2">
      <c r="A13" s="15">
        <v>4</v>
      </c>
      <c r="B13" s="121" t="s">
        <v>235</v>
      </c>
      <c r="C13" s="158" t="s">
        <v>621</v>
      </c>
      <c r="D13" s="155">
        <v>1</v>
      </c>
      <c r="E13" s="151">
        <v>3.5</v>
      </c>
      <c r="F13" s="166">
        <v>3.5</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12.7</v>
      </c>
      <c r="G30" s="115"/>
      <c r="H30" s="6"/>
      <c r="I30" s="10"/>
      <c r="J30" s="10"/>
      <c r="K30" s="161" t="s">
        <v>624</v>
      </c>
      <c r="L30" s="161">
        <v>40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764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644</v>
      </c>
      <c r="J36" s="121">
        <v>1</v>
      </c>
      <c r="K36" s="121">
        <v>40</v>
      </c>
      <c r="L36" s="433">
        <v>53.78</v>
      </c>
      <c r="M36" s="180">
        <v>35.853333333333332</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35.853333333333332</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31" priority="2" operator="equal">
      <formula>"Check"</formula>
    </cfRule>
    <cfRule type="cellIs" dxfId="30" priority="3" operator="equal">
      <formula>"Ok"</formula>
    </cfRule>
  </conditionalFormatting>
  <dataValidations count="1">
    <dataValidation type="list" allowBlank="1" showInputMessage="1" showErrorMessage="1" sqref="M8 G30:J30 M30 C30:D31" xr:uid="{D12355D2-FE22-4956-9791-C1B020E45C9C}">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84A137DF-E8CD-4996-8F4E-6C398898E2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FC21FA17-6708-43D4-B6F0-78A97E41EBB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3" id="{F6F28C18-CAAB-4134-B4AD-9F3E87473F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1D6EFE6-C2B8-467A-9F16-5F64D2D9A84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CB699D10-CA7A-4514-810B-C02F1CC4026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95" id="{45A9E55E-7B60-4766-8AC4-F0019736C3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0FCD81E7-406C-425C-8A93-8DDA101EDCC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92AD09E1-179E-4B5E-88BB-FEDC258835A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4" id="{F15FE217-AF4F-4AB2-B000-34D353F2E3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1102ABC-F405-40A3-B12B-8AAFB74D052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11654EF-0A34-40FF-B05F-5AB50450363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6" id="{B2EEDA91-834E-4D9C-8BD2-98BB6A79AA1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198249A8-CC5E-4194-84EB-9AD7B881BE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DB935003-42F2-462C-B422-57465CD72B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7" id="{30631FF8-5532-429D-B4D9-5F25717E88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BB77485-BF98-40D0-B576-1C26BCFD74B2}">
          <x14:formula1>
            <xm:f>'Input|Setup'!$B$31:$B$49</xm:f>
          </x14:formula1>
          <xm:sqref>B10:B29 H10:H29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54BF2-DA16-40CD-99D6-8AC3055E457D}">
  <sheetPr codeName="Sheet33">
    <tabColor theme="8" tint="0.79998168889431442"/>
  </sheetPr>
  <dimension ref="A1:HO1257"/>
  <sheetViews>
    <sheetView showGridLines="0" topLeftCell="A31"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391</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765</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9</v>
      </c>
      <c r="F10" s="166">
        <v>9</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3</v>
      </c>
      <c r="F11" s="166">
        <v>3</v>
      </c>
      <c r="G11" s="101">
        <v>0</v>
      </c>
      <c r="H11" s="121" t="s">
        <v>238</v>
      </c>
      <c r="I11" s="158" t="s">
        <v>681</v>
      </c>
      <c r="J11" s="121">
        <v>2</v>
      </c>
      <c r="K11" s="151">
        <v>120</v>
      </c>
      <c r="L11" s="164">
        <v>240</v>
      </c>
      <c r="M11" s="101">
        <v>0</v>
      </c>
    </row>
    <row r="12" spans="1:23" ht="12.75" x14ac:dyDescent="0.2">
      <c r="A12" s="15">
        <v>3</v>
      </c>
      <c r="B12" s="121" t="s">
        <v>235</v>
      </c>
      <c r="C12" s="158" t="s">
        <v>615</v>
      </c>
      <c r="D12" s="155">
        <v>1</v>
      </c>
      <c r="E12" s="151">
        <v>3</v>
      </c>
      <c r="F12" s="166">
        <v>3</v>
      </c>
      <c r="G12" s="101">
        <v>0</v>
      </c>
      <c r="H12" s="121"/>
      <c r="I12" s="158"/>
      <c r="J12" s="121"/>
      <c r="K12" s="151"/>
      <c r="L12" s="164">
        <v>0</v>
      </c>
      <c r="M12" s="101">
        <v>0</v>
      </c>
    </row>
    <row r="13" spans="1:23" ht="12.75" x14ac:dyDescent="0.2">
      <c r="A13" s="15">
        <v>4</v>
      </c>
      <c r="B13" s="121" t="s">
        <v>235</v>
      </c>
      <c r="C13" s="158" t="s">
        <v>682</v>
      </c>
      <c r="D13" s="155">
        <v>1</v>
      </c>
      <c r="E13" s="151">
        <v>6</v>
      </c>
      <c r="F13" s="166">
        <v>6</v>
      </c>
      <c r="G13" s="101">
        <v>0</v>
      </c>
      <c r="H13" s="121"/>
      <c r="I13" s="158"/>
      <c r="J13" s="121"/>
      <c r="K13" s="151"/>
      <c r="L13" s="164">
        <v>0</v>
      </c>
      <c r="M13" s="101">
        <v>0</v>
      </c>
    </row>
    <row r="14" spans="1:23" ht="12.75" x14ac:dyDescent="0.2">
      <c r="A14" s="15">
        <v>5</v>
      </c>
      <c r="B14" s="121" t="s">
        <v>235</v>
      </c>
      <c r="C14" s="158" t="s">
        <v>683</v>
      </c>
      <c r="D14" s="155">
        <v>1</v>
      </c>
      <c r="E14" s="151">
        <v>6</v>
      </c>
      <c r="F14" s="166">
        <v>6</v>
      </c>
      <c r="G14" s="101">
        <v>0</v>
      </c>
      <c r="H14" s="121"/>
      <c r="I14" s="158"/>
      <c r="J14" s="121"/>
      <c r="K14" s="151"/>
      <c r="L14" s="164">
        <v>0</v>
      </c>
      <c r="M14" s="101">
        <v>0</v>
      </c>
    </row>
    <row r="15" spans="1:23" ht="12.75" x14ac:dyDescent="0.2">
      <c r="A15" s="15">
        <v>6</v>
      </c>
      <c r="B15" s="121" t="s">
        <v>235</v>
      </c>
      <c r="C15" s="158" t="s">
        <v>620</v>
      </c>
      <c r="D15" s="155">
        <v>1</v>
      </c>
      <c r="E15" s="151">
        <v>8</v>
      </c>
      <c r="F15" s="166">
        <v>8</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35</v>
      </c>
      <c r="G30" s="115"/>
      <c r="H30" s="6"/>
      <c r="I30" s="10"/>
      <c r="J30" s="10"/>
      <c r="K30" s="161" t="s">
        <v>624</v>
      </c>
      <c r="L30" s="161">
        <v>300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766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644</v>
      </c>
      <c r="J36" s="121">
        <v>1</v>
      </c>
      <c r="K36" s="121">
        <v>150</v>
      </c>
      <c r="L36" s="433">
        <v>53.78</v>
      </c>
      <c r="M36" s="180">
        <v>134.44999999999999</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134.44999999999999</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28" priority="2" operator="equal">
      <formula>"Check"</formula>
    </cfRule>
    <cfRule type="cellIs" dxfId="27" priority="3" operator="equal">
      <formula>"Ok"</formula>
    </cfRule>
  </conditionalFormatting>
  <dataValidations count="1">
    <dataValidation type="list" allowBlank="1" showInputMessage="1" showErrorMessage="1" sqref="M8 G30:J30 M30 C30:D31" xr:uid="{5E1D28BA-A6ED-44EF-B413-C245CA463184}">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62B1BA00-8607-4080-991E-DA0E757D8BE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8F63657-DEAA-4E82-A5AF-21A30DDA605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1" id="{87E1A187-203D-4A44-9D23-4E8A1C2372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AA7B15F-6DCD-44A1-9ECD-55DEC639471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EBD2077-AB33-47BF-AB3A-75B60953A9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92" id="{D97A6248-89B5-4C52-A89A-AC45AFD981E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EE707176-61FE-404C-9A3C-222DA172B72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C5B89C2-02C6-49AE-BA82-ABEBE67C59B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2" id="{657900C9-B953-412E-8F00-969A4A15A98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59D36B45-B890-469B-99C2-B5E2C78A567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FD85A71-1E5C-4866-AF2B-EF9B0FFF29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3" id="{A8B8C805-B591-49C5-9281-61F25EA2CE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C2697B1A-AB9A-47D4-94C7-ECB60E8C197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BC2D1706-0DB1-4B79-B548-DE19D1608FC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4" id="{1FF6B8C1-FE9F-47C4-B455-8F771B34813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1DE5C4F-791C-4B6D-8544-F790BFC24B8C}">
          <x14:formula1>
            <xm:f>'Input|Setup'!$B$31:$B$49</xm:f>
          </x14:formula1>
          <xm:sqref>B10:B29 H10:H29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85"/>
  <sheetViews>
    <sheetView showGridLines="0" zoomScaleNormal="100" workbookViewId="0">
      <selection activeCell="B20" sqref="B20"/>
    </sheetView>
  </sheetViews>
  <sheetFormatPr defaultColWidth="9.140625" defaultRowHeight="12.6" customHeight="1" x14ac:dyDescent="0.2"/>
  <cols>
    <col min="1" max="1" width="3.28515625" customWidth="1"/>
    <col min="2" max="2" width="72" bestFit="1" customWidth="1"/>
    <col min="3" max="3" width="20" customWidth="1"/>
    <col min="4" max="4" width="4.140625" customWidth="1"/>
    <col min="5" max="5" width="4.85546875" customWidth="1"/>
    <col min="6" max="6" width="11" bestFit="1" customWidth="1"/>
    <col min="7" max="7" width="5.85546875" customWidth="1"/>
    <col min="8" max="8" width="5.42578125" bestFit="1" customWidth="1"/>
  </cols>
  <sheetData>
    <row r="1" spans="1:17" s="178" customFormat="1" ht="24.95" customHeight="1" x14ac:dyDescent="0.2">
      <c r="A1" s="176"/>
      <c r="B1" s="35" t="s">
        <v>51</v>
      </c>
      <c r="C1" s="177"/>
      <c r="D1" s="176"/>
      <c r="E1" s="176"/>
    </row>
    <row r="2" spans="1:17" s="30" customFormat="1" ht="24.95" customHeight="1" x14ac:dyDescent="0.2">
      <c r="A2" s="31"/>
      <c r="B2" s="35" t="str">
        <f ca="1">IFERROR(MID(CELL("filename",A1),FIND("]",CELL("filename",A1))+1,255),"")</f>
        <v>Index</v>
      </c>
      <c r="C2" s="36" t="s">
        <v>52</v>
      </c>
      <c r="D2" s="122">
        <f>'Model Validation'!C4</f>
        <v>1</v>
      </c>
      <c r="E2" s="31"/>
      <c r="F2" s="41"/>
    </row>
    <row r="3" spans="1:17" s="5" customFormat="1" ht="12.75" x14ac:dyDescent="0.2"/>
    <row r="4" spans="1:17" ht="12.75" x14ac:dyDescent="0.2">
      <c r="A4" s="5"/>
      <c r="B4" s="5"/>
      <c r="C4" s="5"/>
      <c r="D4" s="5"/>
      <c r="E4" s="5"/>
      <c r="F4" s="5"/>
      <c r="G4" s="5"/>
      <c r="H4" s="5"/>
    </row>
    <row r="5" spans="1:17" ht="15" customHeight="1" x14ac:dyDescent="0.25">
      <c r="A5" s="21"/>
      <c r="B5" s="22" t="s">
        <v>53</v>
      </c>
      <c r="C5" s="21"/>
      <c r="D5" s="21"/>
      <c r="E5" s="21"/>
      <c r="F5" s="21"/>
      <c r="G5" s="21"/>
      <c r="H5" s="21"/>
      <c r="I5" s="21"/>
      <c r="J5" s="21"/>
      <c r="K5" s="21"/>
      <c r="L5" s="21"/>
      <c r="M5" s="21"/>
      <c r="N5" s="21"/>
      <c r="O5" s="21"/>
      <c r="P5" s="21"/>
      <c r="Q5" s="21"/>
    </row>
    <row r="6" spans="1:17" ht="12.75" x14ac:dyDescent="0.2">
      <c r="A6" s="5"/>
      <c r="B6" s="5"/>
      <c r="C6" s="5"/>
      <c r="D6" s="5"/>
      <c r="E6" s="5"/>
      <c r="F6" s="5"/>
      <c r="G6" s="5"/>
      <c r="H6" s="5"/>
      <c r="I6" s="5"/>
      <c r="J6" s="5"/>
      <c r="K6" s="5"/>
      <c r="L6" s="5"/>
      <c r="M6" s="5"/>
      <c r="N6" s="5"/>
      <c r="O6" s="5"/>
      <c r="P6" s="5"/>
      <c r="Q6" s="5"/>
    </row>
    <row r="7" spans="1:17" s="175" customFormat="1" ht="27.75" customHeight="1" x14ac:dyDescent="0.2">
      <c r="A7" s="171"/>
      <c r="B7" s="172" t="s">
        <v>54</v>
      </c>
      <c r="C7" s="173" t="s">
        <v>55</v>
      </c>
      <c r="D7" s="171"/>
      <c r="E7" s="171"/>
      <c r="F7" s="174" t="s">
        <v>56</v>
      </c>
      <c r="G7" s="171"/>
      <c r="H7" s="172" t="s">
        <v>57</v>
      </c>
    </row>
    <row r="8" spans="1:17" ht="12.75" x14ac:dyDescent="0.2">
      <c r="A8" s="5"/>
      <c r="B8" s="157" t="str">
        <f ca="1">'Output|Fee Based'!B2</f>
        <v>Output|Fee Based</v>
      </c>
      <c r="C8" s="101">
        <f>'Model Validation'!C8</f>
        <v>0</v>
      </c>
      <c r="D8" s="5"/>
      <c r="E8" s="5"/>
      <c r="F8" s="32" t="s">
        <v>58</v>
      </c>
      <c r="G8" s="5"/>
      <c r="H8" s="5" t="s">
        <v>59</v>
      </c>
    </row>
    <row r="9" spans="1:17" ht="12.75" x14ac:dyDescent="0.2">
      <c r="A9" s="5"/>
      <c r="B9" s="157" t="str">
        <f ca="1">'Output|Quoted'!B2</f>
        <v>Output|Quoted</v>
      </c>
      <c r="C9" s="101">
        <f>'Model Validation'!C9</f>
        <v>0</v>
      </c>
      <c r="D9" s="5"/>
      <c r="E9" s="5"/>
      <c r="F9" s="32" t="s">
        <v>58</v>
      </c>
      <c r="G9" s="5"/>
      <c r="H9" s="5" t="s">
        <v>60</v>
      </c>
    </row>
    <row r="10" spans="1:17" ht="12.75" x14ac:dyDescent="0.2">
      <c r="A10" s="5"/>
      <c r="B10" s="157" t="str">
        <f ca="1">'Input|Setup'!B2</f>
        <v>Input|Setup</v>
      </c>
      <c r="C10" s="101">
        <f>'Model Validation'!C10</f>
        <v>0</v>
      </c>
      <c r="D10" s="5"/>
      <c r="E10" s="5"/>
      <c r="F10" s="32" t="s">
        <v>61</v>
      </c>
      <c r="G10" s="5"/>
      <c r="H10" s="5" t="s">
        <v>62</v>
      </c>
    </row>
    <row r="11" spans="1:17" ht="12.75" x14ac:dyDescent="0.2">
      <c r="A11" s="5"/>
      <c r="B11" s="157" t="str">
        <f ca="1">'Input|Escalations'!B2</f>
        <v>Input|Escalations</v>
      </c>
      <c r="C11" s="101">
        <f>'Model Validation'!C11</f>
        <v>0</v>
      </c>
      <c r="D11" s="5"/>
      <c r="E11" s="5"/>
      <c r="F11" s="32" t="s">
        <v>61</v>
      </c>
      <c r="G11" s="5"/>
      <c r="H11" s="5" t="s">
        <v>63</v>
      </c>
    </row>
    <row r="12" spans="1:17" ht="12.75" x14ac:dyDescent="0.2">
      <c r="A12" s="5"/>
      <c r="B12" s="157" t="str">
        <f ca="1">'Input|Indirect Cost Rates'!B2</f>
        <v>Input|Indirect Cost Rates</v>
      </c>
      <c r="C12" s="4" t="str">
        <f>'Model Validation'!C12</f>
        <v>NA</v>
      </c>
      <c r="D12" s="5"/>
      <c r="E12" s="5"/>
      <c r="F12" s="32" t="s">
        <v>61</v>
      </c>
      <c r="G12" s="5"/>
      <c r="H12" s="5" t="s">
        <v>64</v>
      </c>
    </row>
    <row r="13" spans="1:17" ht="12.75" x14ac:dyDescent="0.2">
      <c r="A13" s="5"/>
      <c r="B13" s="157" t="str">
        <f ca="1">'Input|Labour Rates'!B2</f>
        <v>Input|Labour Rates</v>
      </c>
      <c r="C13" s="101">
        <f>'Model Validation'!C13</f>
        <v>0</v>
      </c>
      <c r="D13" s="5"/>
      <c r="E13" s="5"/>
      <c r="F13" s="32" t="s">
        <v>61</v>
      </c>
      <c r="G13" s="5"/>
      <c r="H13" s="5" t="s">
        <v>65</v>
      </c>
    </row>
    <row r="14" spans="1:17" ht="12.75" x14ac:dyDescent="0.2">
      <c r="A14" s="5"/>
      <c r="B14" s="157" t="str">
        <f>'Input|Fee Based'!B2</f>
        <v>Input|Fee Based</v>
      </c>
      <c r="C14" s="101">
        <f>'Model Validation'!C14</f>
        <v>1</v>
      </c>
      <c r="D14" s="5"/>
      <c r="E14" s="5"/>
      <c r="F14" s="32" t="s">
        <v>61</v>
      </c>
      <c r="G14" s="5"/>
      <c r="H14" s="5" t="s">
        <v>66</v>
      </c>
    </row>
    <row r="15" spans="1:17" ht="12.75" x14ac:dyDescent="0.2">
      <c r="A15" s="5"/>
      <c r="B15" s="157" t="str">
        <f ca="1">'Input|Fee Based Mapping'!B2</f>
        <v>Input|Fee Based Mapping</v>
      </c>
      <c r="C15" s="101">
        <f>'Model Validation'!C15</f>
        <v>0</v>
      </c>
      <c r="D15" s="5"/>
      <c r="E15" s="5"/>
      <c r="F15" s="32" t="s">
        <v>61</v>
      </c>
      <c r="G15" s="5"/>
      <c r="H15" s="5" t="s">
        <v>67</v>
      </c>
    </row>
    <row r="16" spans="1:17" ht="12.75" x14ac:dyDescent="0.2">
      <c r="A16" s="5"/>
      <c r="B16" s="157" t="s">
        <v>68</v>
      </c>
      <c r="C16" s="101">
        <f>'Input|Tax Recovery'!J1</f>
        <v>0</v>
      </c>
      <c r="D16" s="5"/>
      <c r="E16" s="5"/>
      <c r="F16" s="32" t="s">
        <v>61</v>
      </c>
      <c r="G16" s="5"/>
      <c r="H16" s="5" t="s">
        <v>69</v>
      </c>
    </row>
    <row r="17" spans="1:8" ht="12.75" x14ac:dyDescent="0.2">
      <c r="A17" s="5"/>
      <c r="B17" s="157" t="str">
        <f ca="1">'Calc|Labour Rates'!B2</f>
        <v>Calc|Labour Rates</v>
      </c>
      <c r="C17" s="4" t="str">
        <f>'Model Validation'!C16</f>
        <v>NA</v>
      </c>
      <c r="D17" s="5"/>
      <c r="E17" s="5"/>
      <c r="F17" s="32" t="s">
        <v>58</v>
      </c>
      <c r="G17" s="5"/>
      <c r="H17" s="5" t="s">
        <v>70</v>
      </c>
    </row>
    <row r="18" spans="1:8" ht="12.75" x14ac:dyDescent="0.2">
      <c r="A18" s="5"/>
      <c r="B18" s="157" t="str">
        <f ca="1">'Calc|Fee Based'!B2</f>
        <v>Calc|Fee Based</v>
      </c>
      <c r="C18" s="101">
        <f>'Model Validation'!C17</f>
        <v>0</v>
      </c>
      <c r="D18" s="5"/>
      <c r="E18" s="5"/>
      <c r="F18" s="32" t="s">
        <v>58</v>
      </c>
      <c r="G18" s="5"/>
      <c r="H18" s="5" t="s">
        <v>71</v>
      </c>
    </row>
    <row r="19" spans="1:8" ht="12.75" x14ac:dyDescent="0.2">
      <c r="A19" s="5"/>
      <c r="B19" s="157" t="str">
        <f ca="1">'Model Validation'!B2</f>
        <v>Model Validation</v>
      </c>
      <c r="C19" s="4" t="str">
        <f>'Model Validation'!C18</f>
        <v>NA</v>
      </c>
      <c r="D19" s="5"/>
      <c r="E19" s="5"/>
      <c r="F19" s="32" t="s">
        <v>58</v>
      </c>
      <c r="G19" s="5"/>
      <c r="H19" s="5" t="s">
        <v>72</v>
      </c>
    </row>
    <row r="20" spans="1:8" ht="12.75" x14ac:dyDescent="0.2">
      <c r="A20" s="5"/>
      <c r="B20" s="157" t="str">
        <f>'Input|Labour Rates'!B100</f>
        <v>ND1P</v>
      </c>
      <c r="C20" s="101">
        <f ca="1">'Model Validation'!C19</f>
        <v>0</v>
      </c>
      <c r="D20" s="5"/>
      <c r="E20" s="5"/>
      <c r="F20" s="32" t="s">
        <v>61</v>
      </c>
      <c r="G20" s="5"/>
      <c r="H20" s="5" t="s">
        <v>73</v>
      </c>
    </row>
    <row r="21" spans="1:8" ht="12.75" x14ac:dyDescent="0.2">
      <c r="A21" s="5"/>
      <c r="B21" s="157" t="str">
        <f>'Input|Labour Rates'!B101</f>
        <v>ND3P</v>
      </c>
      <c r="C21" s="101">
        <f ca="1">'Model Validation'!C20</f>
        <v>0</v>
      </c>
      <c r="D21" s="5"/>
      <c r="E21" s="5"/>
      <c r="F21" s="32" t="s">
        <v>61</v>
      </c>
      <c r="G21" s="5"/>
      <c r="H21" s="5" t="s">
        <v>73</v>
      </c>
    </row>
    <row r="22" spans="1:8" ht="12.75" x14ac:dyDescent="0.2">
      <c r="A22" s="5"/>
      <c r="B22" s="157" t="str">
        <f>'Input|Labour Rates'!B102</f>
        <v>BTSO</v>
      </c>
      <c r="C22" s="101">
        <f ca="1">'Model Validation'!C21</f>
        <v>0</v>
      </c>
      <c r="D22" s="5"/>
      <c r="E22" s="5"/>
      <c r="F22" s="32" t="s">
        <v>61</v>
      </c>
      <c r="G22" s="5"/>
      <c r="H22" s="5" t="s">
        <v>73</v>
      </c>
    </row>
    <row r="23" spans="1:8" ht="12.75" x14ac:dyDescent="0.2">
      <c r="A23" s="5"/>
      <c r="B23" s="157" t="str">
        <f>'Input|Labour Rates'!B103</f>
        <v>BTSP</v>
      </c>
      <c r="C23" s="101">
        <f ca="1">'Model Validation'!C22</f>
        <v>0</v>
      </c>
      <c r="D23" s="5"/>
      <c r="E23" s="5"/>
      <c r="F23" s="32" t="s">
        <v>61</v>
      </c>
      <c r="G23" s="5"/>
      <c r="H23" s="5" t="s">
        <v>73</v>
      </c>
    </row>
    <row r="24" spans="1:8" ht="12.75" x14ac:dyDescent="0.2">
      <c r="A24" s="5"/>
      <c r="B24" s="157" t="str">
        <f>'Input|Labour Rates'!B104</f>
        <v>SUTK</v>
      </c>
      <c r="C24" s="101">
        <f ca="1">'Model Validation'!C23</f>
        <v>0</v>
      </c>
      <c r="D24" s="5"/>
      <c r="E24" s="5"/>
      <c r="F24" s="32" t="s">
        <v>61</v>
      </c>
      <c r="G24" s="5"/>
      <c r="H24" s="5" t="s">
        <v>73</v>
      </c>
    </row>
    <row r="25" spans="1:8" ht="12.75" x14ac:dyDescent="0.2">
      <c r="A25" s="5"/>
      <c r="B25" s="157" t="str">
        <f>'Input|Labour Rates'!B105</f>
        <v>RTK1</v>
      </c>
      <c r="C25" s="101">
        <f ca="1">'Model Validation'!C24</f>
        <v>0</v>
      </c>
      <c r="D25" s="5"/>
      <c r="E25" s="5"/>
      <c r="F25" s="32" t="s">
        <v>61</v>
      </c>
      <c r="G25" s="5"/>
      <c r="H25" s="5" t="s">
        <v>73</v>
      </c>
    </row>
    <row r="26" spans="1:8" ht="12.75" x14ac:dyDescent="0.2">
      <c r="A26" s="5"/>
      <c r="B26" s="157" t="str">
        <f>'Input|Labour Rates'!B106</f>
        <v>REEN</v>
      </c>
      <c r="C26" s="101">
        <f ca="1">'Model Validation'!C25</f>
        <v>0</v>
      </c>
      <c r="D26" s="5"/>
      <c r="E26" s="5"/>
      <c r="F26" s="32" t="s">
        <v>61</v>
      </c>
      <c r="G26" s="5"/>
      <c r="H26" s="5" t="s">
        <v>73</v>
      </c>
    </row>
    <row r="27" spans="1:8" ht="12.75" x14ac:dyDescent="0.2">
      <c r="A27" s="5"/>
      <c r="B27" s="157" t="str">
        <f>'Input|Labour Rates'!B107</f>
        <v>DEEN</v>
      </c>
      <c r="C27" s="101">
        <f ca="1">'Model Validation'!C26</f>
        <v>0</v>
      </c>
      <c r="D27" s="5"/>
      <c r="E27" s="5"/>
      <c r="F27" s="32" t="s">
        <v>61</v>
      </c>
      <c r="G27" s="5"/>
      <c r="H27" s="5" t="s">
        <v>73</v>
      </c>
    </row>
    <row r="28" spans="1:8" ht="12.75" x14ac:dyDescent="0.2">
      <c r="A28" s="5"/>
      <c r="B28" s="157" t="str">
        <f>'Input|Labour Rates'!B108</f>
        <v>DCTK</v>
      </c>
      <c r="C28" s="101">
        <f ca="1">'Model Validation'!C27</f>
        <v>0</v>
      </c>
      <c r="D28" s="5"/>
      <c r="E28" s="5"/>
      <c r="F28" s="32" t="s">
        <v>61</v>
      </c>
      <c r="G28" s="5"/>
      <c r="H28" s="5" t="s">
        <v>73</v>
      </c>
    </row>
    <row r="29" spans="1:8" ht="12.75" x14ac:dyDescent="0.2">
      <c r="A29" s="5"/>
      <c r="B29" s="157" t="str">
        <f>'Input|Labour Rates'!B109</f>
        <v>RCTK</v>
      </c>
      <c r="C29" s="101">
        <f ca="1">'Model Validation'!C28</f>
        <v>0</v>
      </c>
      <c r="D29" s="5"/>
      <c r="E29" s="5"/>
      <c r="F29" s="32" t="s">
        <v>61</v>
      </c>
      <c r="G29" s="5"/>
      <c r="H29" s="5" t="s">
        <v>73</v>
      </c>
    </row>
    <row r="30" spans="1:8" ht="12.75" x14ac:dyDescent="0.2">
      <c r="A30" s="5"/>
      <c r="B30" s="157" t="str">
        <f>'Input|Labour Rates'!B110</f>
        <v>SLOM</v>
      </c>
      <c r="C30" s="101">
        <f ca="1">'Model Validation'!C29</f>
        <v>0</v>
      </c>
      <c r="D30" s="5"/>
      <c r="E30" s="5"/>
      <c r="F30" s="32" t="s">
        <v>61</v>
      </c>
      <c r="G30" s="5"/>
      <c r="H30" s="5" t="s">
        <v>73</v>
      </c>
    </row>
    <row r="31" spans="1:8" ht="12.75" x14ac:dyDescent="0.2">
      <c r="A31" s="5"/>
      <c r="B31" s="157" t="str">
        <f>'Input|Labour Rates'!B112</f>
        <v>RFOM</v>
      </c>
      <c r="C31" s="101">
        <f ca="1">'Model Validation'!C30</f>
        <v>0</v>
      </c>
      <c r="D31" s="5"/>
      <c r="E31" s="5"/>
      <c r="F31" s="32" t="s">
        <v>61</v>
      </c>
      <c r="G31" s="5"/>
      <c r="H31" s="5" t="s">
        <v>73</v>
      </c>
    </row>
    <row r="32" spans="1:8" ht="12.75" x14ac:dyDescent="0.2">
      <c r="A32" s="5"/>
      <c r="B32" s="157" t="str">
        <f>'Input|Labour Rates'!B113</f>
        <v>REENRM</v>
      </c>
      <c r="C32" s="101">
        <f ca="1">'Model Validation'!C31</f>
        <v>0</v>
      </c>
      <c r="D32" s="5"/>
      <c r="E32" s="5"/>
      <c r="F32" s="32" t="s">
        <v>61</v>
      </c>
      <c r="G32" s="5"/>
      <c r="H32" s="5" t="s">
        <v>73</v>
      </c>
    </row>
    <row r="33" spans="1:21" ht="12.75" x14ac:dyDescent="0.2">
      <c r="A33" s="5"/>
      <c r="B33" s="157" t="str">
        <f>'Input|Labour Rates'!B114</f>
        <v>DEENRM</v>
      </c>
      <c r="C33" s="101">
        <f ca="1">'Model Validation'!C32</f>
        <v>0</v>
      </c>
      <c r="D33" s="5"/>
      <c r="E33" s="5"/>
      <c r="F33" s="32" t="s">
        <v>61</v>
      </c>
      <c r="G33" s="5"/>
      <c r="H33" s="5" t="s">
        <v>73</v>
      </c>
    </row>
    <row r="34" spans="1:21" ht="12.75" x14ac:dyDescent="0.2">
      <c r="A34" s="5"/>
      <c r="B34" s="157" t="str">
        <f>'Input|Labour Rates'!B115</f>
        <v>MCTK</v>
      </c>
      <c r="C34" s="101">
        <f ca="1">'Model Validation'!C33</f>
        <v>0</v>
      </c>
      <c r="D34" s="5"/>
      <c r="E34" s="5"/>
      <c r="F34" s="32" t="s">
        <v>61</v>
      </c>
      <c r="G34" s="5"/>
      <c r="H34" s="5" t="s">
        <v>73</v>
      </c>
    </row>
    <row r="35" spans="1:21" ht="12.75" x14ac:dyDescent="0.2">
      <c r="A35" s="5"/>
      <c r="B35" s="157" t="str">
        <f>'Input|Labour Rates'!B116</f>
        <v>SPRDRM</v>
      </c>
      <c r="C35" s="101">
        <f ca="1">'Model Validation'!C34</f>
        <v>0</v>
      </c>
      <c r="D35" s="5"/>
      <c r="E35" s="5"/>
      <c r="F35" s="32" t="s">
        <v>61</v>
      </c>
      <c r="G35" s="5"/>
      <c r="H35" s="5" t="s">
        <v>73</v>
      </c>
    </row>
    <row r="36" spans="1:21" ht="12.75" x14ac:dyDescent="0.2">
      <c r="A36" s="5"/>
      <c r="B36" s="157" t="str">
        <f>'Input|Labour Rates'!B117</f>
        <v>MECFRM</v>
      </c>
      <c r="C36" s="101">
        <f ca="1">'Model Validation'!C35</f>
        <v>0</v>
      </c>
      <c r="D36" s="5"/>
      <c r="E36" s="5"/>
      <c r="F36" s="32" t="s">
        <v>61</v>
      </c>
      <c r="G36" s="5"/>
      <c r="H36" s="5" t="s">
        <v>73</v>
      </c>
    </row>
    <row r="37" spans="1:21" ht="12.75" x14ac:dyDescent="0.2">
      <c r="A37" s="5"/>
      <c r="B37" s="157" t="str">
        <f>'Input|Labour Rates'!B118</f>
        <v>SPRD</v>
      </c>
      <c r="C37" s="101">
        <f ca="1">'Model Validation'!C36</f>
        <v>0</v>
      </c>
      <c r="D37" s="5"/>
      <c r="E37" s="5"/>
      <c r="F37" s="32" t="s">
        <v>61</v>
      </c>
      <c r="G37" s="5"/>
      <c r="H37" s="5" t="s">
        <v>73</v>
      </c>
    </row>
    <row r="38" spans="1:21" ht="12.75" x14ac:dyDescent="0.2">
      <c r="A38" s="5"/>
      <c r="B38" s="157" t="str">
        <f>'Input|Labour Rates'!B119</f>
        <v>MTAL</v>
      </c>
      <c r="C38" s="101">
        <f ca="1">'Model Validation'!C37</f>
        <v>0</v>
      </c>
      <c r="D38" s="5"/>
      <c r="E38" s="5"/>
      <c r="F38" s="32" t="s">
        <v>61</v>
      </c>
      <c r="G38" s="5"/>
      <c r="H38" s="5" t="s">
        <v>73</v>
      </c>
    </row>
    <row r="39" spans="1:21" ht="12.75" x14ac:dyDescent="0.2">
      <c r="A39" s="5"/>
      <c r="B39" s="157" t="str">
        <f>'Input|Labour Rates'!B120</f>
        <v>MDCH</v>
      </c>
      <c r="C39" s="101">
        <f ca="1">'Model Validation'!C38</f>
        <v>0</v>
      </c>
      <c r="D39" s="5"/>
      <c r="E39" s="5"/>
      <c r="F39" s="32" t="s">
        <v>61</v>
      </c>
      <c r="G39" s="5"/>
      <c r="H39" s="5" t="s">
        <v>73</v>
      </c>
    </row>
    <row r="40" spans="1:21" ht="12.75" x14ac:dyDescent="0.2">
      <c r="A40" s="5"/>
      <c r="B40" s="157" t="str">
        <f>'Input|Labour Rates'!B121</f>
        <v>NCUM</v>
      </c>
      <c r="C40" s="101">
        <f ca="1">'Model Validation'!C39</f>
        <v>0</v>
      </c>
      <c r="D40" s="5"/>
      <c r="E40" s="5"/>
      <c r="F40" s="32" t="s">
        <v>61</v>
      </c>
      <c r="G40" s="5"/>
      <c r="H40" s="5" t="s">
        <v>73</v>
      </c>
    </row>
    <row r="41" spans="1:21" ht="12.75" x14ac:dyDescent="0.2">
      <c r="A41" s="5"/>
      <c r="B41" s="157" t="str">
        <f>'Input|Labour Rates'!B122</f>
        <v>WSVR</v>
      </c>
      <c r="C41" s="101">
        <f ca="1">'Model Validation'!C40</f>
        <v>0</v>
      </c>
      <c r="D41" s="5"/>
      <c r="E41" s="5"/>
      <c r="F41" s="32" t="s">
        <v>61</v>
      </c>
      <c r="G41" s="5"/>
      <c r="H41" s="5" t="s">
        <v>73</v>
      </c>
    </row>
    <row r="42" spans="1:21" ht="12.75" x14ac:dyDescent="0.2">
      <c r="A42" s="5"/>
      <c r="B42" s="157" t="str">
        <f>'Input|Labour Rates'!B123</f>
        <v>RTK3</v>
      </c>
      <c r="C42" s="101">
        <f ca="1">'Model Validation'!C41</f>
        <v>0</v>
      </c>
      <c r="D42" s="5"/>
      <c r="E42" s="5"/>
      <c r="F42" s="32" t="s">
        <v>61</v>
      </c>
      <c r="G42" s="5"/>
      <c r="H42" s="5" t="s">
        <v>73</v>
      </c>
    </row>
    <row r="43" spans="1:21" ht="12.75" x14ac:dyDescent="0.2">
      <c r="A43" s="5"/>
      <c r="B43" s="157" t="s">
        <v>74</v>
      </c>
      <c r="C43" s="101">
        <f>'Model Validation'!C42</f>
        <v>0</v>
      </c>
      <c r="D43" s="5"/>
      <c r="E43" s="5"/>
      <c r="F43" s="32" t="s">
        <v>58</v>
      </c>
      <c r="G43" s="5"/>
      <c r="H43" s="5" t="s">
        <v>73</v>
      </c>
    </row>
    <row r="44" spans="1:21" ht="12.75" x14ac:dyDescent="0.2">
      <c r="A44" s="5"/>
      <c r="B44" s="23"/>
      <c r="C44" s="16"/>
      <c r="D44" s="5"/>
      <c r="E44" s="5"/>
      <c r="F44" s="24"/>
      <c r="G44" s="5"/>
    </row>
    <row r="45" spans="1:21" ht="15" customHeight="1" x14ac:dyDescent="0.25">
      <c r="A45" s="21"/>
      <c r="B45" s="22" t="s">
        <v>75</v>
      </c>
      <c r="C45" s="21"/>
      <c r="D45" s="21"/>
      <c r="E45" s="21"/>
      <c r="F45" s="21"/>
      <c r="G45" s="21"/>
      <c r="H45" s="21"/>
      <c r="I45" s="21"/>
      <c r="J45" s="21"/>
      <c r="K45" s="21"/>
      <c r="L45" s="21"/>
      <c r="M45" s="21"/>
      <c r="N45" s="21"/>
      <c r="O45" s="21"/>
      <c r="P45" s="21"/>
      <c r="Q45" s="21"/>
    </row>
    <row r="46" spans="1:21" ht="12.75" x14ac:dyDescent="0.2">
      <c r="A46" s="5"/>
      <c r="B46" s="5"/>
      <c r="C46" s="5"/>
      <c r="D46" s="5"/>
      <c r="E46" s="5"/>
      <c r="F46" s="5"/>
      <c r="G46" s="5"/>
      <c r="H46" s="5"/>
      <c r="I46" s="5"/>
      <c r="J46" s="5"/>
      <c r="K46" s="5"/>
      <c r="L46" s="5"/>
      <c r="M46" s="5"/>
      <c r="N46" s="5"/>
      <c r="O46" s="5"/>
      <c r="P46" s="5"/>
      <c r="Q46" s="5"/>
      <c r="R46" s="5"/>
      <c r="S46" s="5"/>
      <c r="T46" s="5"/>
      <c r="U46" s="5"/>
    </row>
    <row r="47" spans="1:21" s="175" customFormat="1" ht="27.75" customHeight="1" x14ac:dyDescent="0.2">
      <c r="A47" s="171"/>
      <c r="B47" s="172" t="s">
        <v>76</v>
      </c>
      <c r="C47" s="173" t="s">
        <v>20</v>
      </c>
      <c r="D47" s="171"/>
      <c r="E47" s="171"/>
      <c r="F47" s="174" t="s">
        <v>56</v>
      </c>
      <c r="G47" s="171"/>
      <c r="H47" s="172" t="s">
        <v>57</v>
      </c>
    </row>
    <row r="48" spans="1:21" ht="12.75" x14ac:dyDescent="0.2">
      <c r="A48" s="5"/>
      <c r="B48" s="5" t="str">
        <f>'Output|Fee Based'!B5</f>
        <v>1.1 X-factors for each year of 2026-27 to 2030-31 regulatory period, (per cent)</v>
      </c>
      <c r="C48" s="5" t="str">
        <f ca="1">B8</f>
        <v>Output|Fee Based</v>
      </c>
      <c r="D48" s="5"/>
      <c r="E48" s="5"/>
      <c r="F48" s="32" t="s">
        <v>58</v>
      </c>
      <c r="G48" s="5"/>
      <c r="H48" s="5" t="s">
        <v>77</v>
      </c>
    </row>
    <row r="49" spans="1:8" ht="12.75" x14ac:dyDescent="0.2">
      <c r="A49" s="5"/>
      <c r="B49" s="5" t="str">
        <f>'Output|Fee Based'!B10</f>
        <v>1.2 Fee based services for 2026-27</v>
      </c>
      <c r="C49" s="5" t="str">
        <f ca="1">$C$48</f>
        <v>Output|Fee Based</v>
      </c>
      <c r="D49" s="5"/>
      <c r="E49" s="5"/>
      <c r="F49" s="32" t="s">
        <v>58</v>
      </c>
      <c r="G49" s="5"/>
      <c r="H49" s="5" t="s">
        <v>78</v>
      </c>
    </row>
    <row r="50" spans="1:8" ht="12.75" x14ac:dyDescent="0.2">
      <c r="A50" s="5"/>
      <c r="B50" s="5" t="str">
        <f>'Output|Quoted'!B5</f>
        <v>2.1 X-factors for each year of 2026-27 to 2030-31 regulatory period, (per cent)</v>
      </c>
      <c r="C50" s="5" t="str">
        <f ca="1">B9</f>
        <v>Output|Quoted</v>
      </c>
      <c r="D50" s="5"/>
      <c r="E50" s="5"/>
      <c r="F50" s="32" t="s">
        <v>58</v>
      </c>
      <c r="G50" s="5"/>
      <c r="H50" s="5" t="s">
        <v>79</v>
      </c>
    </row>
    <row r="51" spans="1:8" ht="12.75" x14ac:dyDescent="0.2">
      <c r="A51" s="5"/>
      <c r="B51" s="5" t="str">
        <f>'Output|Quoted'!B10</f>
        <v>2.2 Labour rates for 2026-27, ($2026-27)</v>
      </c>
      <c r="C51" s="5" t="str">
        <f ca="1">$C$50</f>
        <v>Output|Quoted</v>
      </c>
      <c r="D51" s="5"/>
      <c r="E51" s="5"/>
      <c r="F51" s="32" t="s">
        <v>58</v>
      </c>
      <c r="G51" s="5"/>
      <c r="H51" s="5" t="s">
        <v>80</v>
      </c>
    </row>
    <row r="52" spans="1:8" ht="12.75" x14ac:dyDescent="0.2">
      <c r="A52" s="5"/>
      <c r="B52" s="5" t="str">
        <f>'Output|Quoted'!B34</f>
        <v>2.3 List of quoted services for 2026-27 to 2030-31 regulatory period</v>
      </c>
      <c r="C52" s="5" t="str">
        <f ca="1">$C$50</f>
        <v>Output|Quoted</v>
      </c>
      <c r="D52" s="5"/>
      <c r="E52" s="5"/>
      <c r="F52" s="32" t="s">
        <v>58</v>
      </c>
      <c r="G52" s="5"/>
      <c r="H52" s="5" t="s">
        <v>81</v>
      </c>
    </row>
    <row r="53" spans="1:8" ht="12.75" x14ac:dyDescent="0.2">
      <c r="A53" s="5"/>
      <c r="B53" s="5" t="str">
        <f>'Input|Setup'!A5 &amp; " " &amp; 'Input|Setup'!B5</f>
        <v>3.1 Years setup</v>
      </c>
      <c r="C53" s="5" t="str">
        <f ca="1">'Input|Setup'!B2</f>
        <v>Input|Setup</v>
      </c>
      <c r="D53" s="5"/>
      <c r="E53" s="5"/>
      <c r="F53" s="32" t="s">
        <v>61</v>
      </c>
      <c r="G53" s="5"/>
      <c r="H53" s="5" t="s">
        <v>82</v>
      </c>
    </row>
    <row r="54" spans="1:8" ht="12.75" x14ac:dyDescent="0.2">
      <c r="A54" s="5"/>
      <c r="B54" s="5" t="str">
        <f>'Input|Setup'!A10 &amp; " " &amp; 'Input|Setup'!B10</f>
        <v>3.2 Current regulatory period</v>
      </c>
      <c r="C54" s="5" t="str">
        <f t="shared" ref="C54:C62" ca="1" si="0">$C$53</f>
        <v>Input|Setup</v>
      </c>
      <c r="D54" s="5"/>
      <c r="E54" s="5"/>
      <c r="F54" s="32" t="s">
        <v>58</v>
      </c>
      <c r="G54" s="5"/>
      <c r="H54" s="5" t="s">
        <v>83</v>
      </c>
    </row>
    <row r="55" spans="1:8" ht="12.75" x14ac:dyDescent="0.2">
      <c r="A55" s="5"/>
      <c r="B55" s="5" t="str">
        <f>'Input|Setup'!D10 &amp; " " &amp; 'Input|Setup'!E10</f>
        <v>3.3 Forecast regulatory period</v>
      </c>
      <c r="C55" s="5" t="str">
        <f ca="1">$C$53</f>
        <v>Input|Setup</v>
      </c>
      <c r="D55" s="5"/>
      <c r="E55" s="5"/>
      <c r="F55" s="32" t="s">
        <v>58</v>
      </c>
      <c r="G55" s="5"/>
      <c r="H55" s="5" t="s">
        <v>84</v>
      </c>
    </row>
    <row r="56" spans="1:8" ht="12.75" x14ac:dyDescent="0.2">
      <c r="A56" s="5"/>
      <c r="B56" s="5" t="str">
        <f>'Input|Setup'!A18 &amp; " " &amp; 'Input|Setup'!B18</f>
        <v>3.4 Used for quoted service?</v>
      </c>
      <c r="C56" s="5" t="str">
        <f ca="1">$C$53</f>
        <v>Input|Setup</v>
      </c>
      <c r="D56" s="5"/>
      <c r="E56" s="5"/>
      <c r="F56" s="32" t="s">
        <v>58</v>
      </c>
      <c r="G56" s="5"/>
      <c r="H56" s="5" t="s">
        <v>85</v>
      </c>
    </row>
    <row r="57" spans="1:8" ht="12.75" x14ac:dyDescent="0.2">
      <c r="A57" s="5"/>
      <c r="B57" s="5" t="str">
        <f>'Input|Setup'!D18 &amp; " " &amp; 'Input|Setup'!E18</f>
        <v>3.5 Conversions</v>
      </c>
      <c r="C57" s="5" t="str">
        <f ca="1">$C$53</f>
        <v>Input|Setup</v>
      </c>
      <c r="D57" s="5"/>
      <c r="E57" s="5"/>
      <c r="F57" s="32" t="s">
        <v>86</v>
      </c>
      <c r="G57" s="5"/>
      <c r="H57" s="5" t="s">
        <v>87</v>
      </c>
    </row>
    <row r="58" spans="1:8" ht="12.75" x14ac:dyDescent="0.2">
      <c r="A58" s="5"/>
      <c r="B58" s="5" t="str">
        <f>'Input|Setup'!A24 &amp; " " &amp; 'Input|Setup'!B24</f>
        <v>3.6 Hours</v>
      </c>
      <c r="C58" s="5" t="str">
        <f t="shared" ca="1" si="0"/>
        <v>Input|Setup</v>
      </c>
      <c r="D58" s="5"/>
      <c r="E58" s="5"/>
      <c r="F58" s="32" t="s">
        <v>61</v>
      </c>
      <c r="G58" s="5"/>
      <c r="H58" s="5" t="s">
        <v>88</v>
      </c>
    </row>
    <row r="59" spans="1:8" ht="12.75" x14ac:dyDescent="0.2">
      <c r="A59" s="5"/>
      <c r="B59" s="5" t="str">
        <f>'Input|Setup'!A30 &amp; " " &amp; 'Input|Setup'!B30</f>
        <v>3.7 Labour type</v>
      </c>
      <c r="C59" s="5" t="str">
        <f t="shared" ca="1" si="0"/>
        <v>Input|Setup</v>
      </c>
      <c r="D59" s="5"/>
      <c r="E59" s="5"/>
      <c r="F59" s="32" t="s">
        <v>61</v>
      </c>
      <c r="G59" s="5"/>
      <c r="H59" s="5" t="s">
        <v>89</v>
      </c>
    </row>
    <row r="60" spans="1:8" ht="12.75" x14ac:dyDescent="0.2">
      <c r="A60" s="5"/>
      <c r="B60" s="5" t="str">
        <f>'Input|Setup'!D30 &amp; " " &amp; 'Input|Setup'!E30</f>
        <v>3.8 Service category</v>
      </c>
      <c r="C60" s="5" t="str">
        <f t="shared" ca="1" si="0"/>
        <v>Input|Setup</v>
      </c>
      <c r="D60" s="5"/>
      <c r="E60" s="5"/>
      <c r="F60" s="32" t="s">
        <v>61</v>
      </c>
      <c r="G60" s="5"/>
      <c r="H60" s="5" t="s">
        <v>90</v>
      </c>
    </row>
    <row r="61" spans="1:8" ht="12.75" x14ac:dyDescent="0.2">
      <c r="A61" s="5"/>
      <c r="B61" s="5" t="str">
        <f>'Input|Setup'!G30 &amp; " " &amp; 'Input|Setup'!H30</f>
        <v>3.9 Expense Type</v>
      </c>
      <c r="C61" s="5" t="str">
        <f t="shared" ca="1" si="0"/>
        <v>Input|Setup</v>
      </c>
      <c r="D61" s="5"/>
      <c r="E61" s="5"/>
      <c r="F61" s="32" t="s">
        <v>86</v>
      </c>
      <c r="G61" s="5"/>
      <c r="H61" s="5" t="s">
        <v>91</v>
      </c>
    </row>
    <row r="62" spans="1:8" ht="12.75" x14ac:dyDescent="0.2">
      <c r="A62" s="5"/>
      <c r="B62" s="5" t="str">
        <f>'Input|Setup'!G40 &amp; " " &amp; 'Input|Setup'!H40</f>
        <v>3.10 Control Mechanism</v>
      </c>
      <c r="C62" s="5" t="str">
        <f t="shared" ca="1" si="0"/>
        <v>Input|Setup</v>
      </c>
      <c r="D62" s="5"/>
      <c r="E62" s="5"/>
      <c r="F62" s="32" t="s">
        <v>86</v>
      </c>
      <c r="G62" s="5"/>
      <c r="H62" s="5" t="s">
        <v>91</v>
      </c>
    </row>
    <row r="63" spans="1:8" ht="12.75" x14ac:dyDescent="0.2">
      <c r="A63" s="5"/>
      <c r="B63" s="5" t="str">
        <f>'Input|Escalations'!A5 &amp; " " &amp; 'Input|Escalations'!B5</f>
        <v>4.1 Escalation setup</v>
      </c>
      <c r="C63" s="5" t="str">
        <f ca="1">'Input|Escalations'!B2</f>
        <v>Input|Escalations</v>
      </c>
      <c r="D63" s="5"/>
      <c r="E63" s="5"/>
      <c r="F63" s="32" t="s">
        <v>58</v>
      </c>
      <c r="G63" s="5"/>
      <c r="H63" s="5" t="s">
        <v>92</v>
      </c>
    </row>
    <row r="64" spans="1:8" ht="12.75" x14ac:dyDescent="0.2">
      <c r="A64" s="5"/>
      <c r="B64" s="5" t="str">
        <f>'Input|Escalations'!A13 &amp; " " &amp; 'Input|Escalations'!B13</f>
        <v>4.2 Inflation</v>
      </c>
      <c r="C64" s="5" t="str">
        <f ca="1">$C$63</f>
        <v>Input|Escalations</v>
      </c>
      <c r="D64" s="5"/>
      <c r="E64" s="5"/>
      <c r="F64" s="32" t="s">
        <v>61</v>
      </c>
      <c r="G64" s="5"/>
      <c r="H64" s="5" t="s">
        <v>93</v>
      </c>
    </row>
    <row r="65" spans="1:8" ht="12.75" x14ac:dyDescent="0.2">
      <c r="A65" s="5"/>
      <c r="B65" s="5" t="str">
        <f>'Input|Escalations'!A24 &amp; " " &amp; 'Input|Escalations'!B24</f>
        <v>4.3 Real price escalation</v>
      </c>
      <c r="C65" s="5" t="str">
        <f ca="1">$C$63</f>
        <v>Input|Escalations</v>
      </c>
      <c r="D65" s="5"/>
      <c r="E65" s="5"/>
      <c r="F65" s="32" t="s">
        <v>86</v>
      </c>
      <c r="G65" s="5"/>
      <c r="H65" s="5" t="s">
        <v>94</v>
      </c>
    </row>
    <row r="66" spans="1:8" ht="12.75" x14ac:dyDescent="0.2">
      <c r="A66" s="5"/>
      <c r="B66" s="5" t="str">
        <f>'Input|Escalations'!A34 &amp; " " &amp; 'Input|Escalations'!B34</f>
        <v>4.3.1 Real wage price escalation</v>
      </c>
      <c r="C66" s="5" t="str">
        <f ca="1">$C$63</f>
        <v>Input|Escalations</v>
      </c>
      <c r="D66" s="5"/>
      <c r="E66" s="5"/>
      <c r="F66" s="32" t="s">
        <v>61</v>
      </c>
      <c r="G66" s="5"/>
      <c r="H66" s="5" t="s">
        <v>95</v>
      </c>
    </row>
    <row r="67" spans="1:8" ht="12.75" x14ac:dyDescent="0.2">
      <c r="A67" s="5"/>
      <c r="B67" s="5" t="str">
        <f>'Input|Escalations'!A54&amp; " " &amp; 'Input|Escalations'!B54</f>
        <v>4.3.2 Real price escalation (non-wage)</v>
      </c>
      <c r="C67" s="5" t="str">
        <f ca="1">$C$63</f>
        <v>Input|Escalations</v>
      </c>
      <c r="D67" s="5"/>
      <c r="E67" s="5"/>
      <c r="F67" s="32" t="s">
        <v>58</v>
      </c>
      <c r="G67" s="5"/>
      <c r="H67" s="5" t="s">
        <v>96</v>
      </c>
    </row>
    <row r="68" spans="1:8" ht="12.75" x14ac:dyDescent="0.2">
      <c r="A68" s="5"/>
      <c r="B68" s="5" t="str">
        <f>'Input|Indirect Cost Rates'!A5 &amp; " " &amp; 'Input|Indirect Cost Rates'!B5</f>
        <v>5.1 On costs</v>
      </c>
      <c r="C68" s="5" t="str">
        <f ca="1">'Input|Indirect Cost Rates'!B2</f>
        <v>Input|Indirect Cost Rates</v>
      </c>
      <c r="D68" s="5"/>
      <c r="E68" s="5"/>
      <c r="F68" s="32" t="s">
        <v>61</v>
      </c>
      <c r="G68" s="5"/>
      <c r="H68" s="5" t="s">
        <v>97</v>
      </c>
    </row>
    <row r="69" spans="1:8" ht="12.75" x14ac:dyDescent="0.2">
      <c r="A69" s="5"/>
      <c r="B69" s="5" t="str">
        <f>'Input|Indirect Cost Rates'!A22 &amp; " " &amp; 'Input|Indirect Cost Rates'!B22</f>
        <v>5.2 Overhead</v>
      </c>
      <c r="C69" s="5" t="str">
        <f ca="1">$C$68</f>
        <v>Input|Indirect Cost Rates</v>
      </c>
      <c r="D69" s="5"/>
      <c r="E69" s="5"/>
      <c r="F69" s="32" t="s">
        <v>61</v>
      </c>
      <c r="G69" s="5"/>
      <c r="H69" s="5" t="s">
        <v>98</v>
      </c>
    </row>
    <row r="70" spans="1:8" ht="12.75" x14ac:dyDescent="0.2">
      <c r="A70" s="5"/>
      <c r="B70" s="5" t="str">
        <f>'Input|Indirect Cost Rates'!A32 &amp; " " &amp; 'Input|Indirect Cost Rates'!B32</f>
        <v>5.3 Margins</v>
      </c>
      <c r="C70" s="5" t="str">
        <f ca="1">$C$68</f>
        <v>Input|Indirect Cost Rates</v>
      </c>
      <c r="D70" s="5"/>
      <c r="E70" s="5"/>
      <c r="F70" s="32" t="s">
        <v>61</v>
      </c>
      <c r="G70" s="5"/>
      <c r="H70" s="5" t="s">
        <v>99</v>
      </c>
    </row>
    <row r="71" spans="1:8" ht="12.75" x14ac:dyDescent="0.2">
      <c r="A71" s="5"/>
      <c r="B71" s="5" t="str">
        <f>'Input|Indirect Cost Rates'!A41 &amp; " " &amp; 'Input|Indirect Cost Rates'!B41</f>
        <v>5.4 Tax recovery rate</v>
      </c>
      <c r="C71" s="5" t="str">
        <f ca="1">$C$68</f>
        <v>Input|Indirect Cost Rates</v>
      </c>
      <c r="D71" s="5"/>
      <c r="E71" s="5"/>
      <c r="F71" s="32" t="s">
        <v>61</v>
      </c>
      <c r="G71" s="5"/>
      <c r="H71" s="5" t="s">
        <v>100</v>
      </c>
    </row>
    <row r="72" spans="1:8" ht="12.75" x14ac:dyDescent="0.2">
      <c r="A72" s="5"/>
      <c r="B72" s="5" t="str">
        <f>'Input|Labour Rates'!B7</f>
        <v>6.1 Labour rates</v>
      </c>
      <c r="C72" s="5" t="str">
        <f ca="1">'Input|Labour Rates'!B2</f>
        <v>Input|Labour Rates</v>
      </c>
      <c r="D72" s="5"/>
      <c r="E72" s="5"/>
      <c r="F72" s="32" t="s">
        <v>61</v>
      </c>
      <c r="G72" s="5"/>
      <c r="H72" s="5" t="s">
        <v>101</v>
      </c>
    </row>
    <row r="73" spans="1:8" ht="12.75" x14ac:dyDescent="0.2">
      <c r="A73" s="5"/>
      <c r="B73" s="5" t="str">
        <f>'Input|Labour Rates'!K7</f>
        <v>6.2 Notes and sources for "Other costs"</v>
      </c>
      <c r="C73" s="5" t="str">
        <f ca="1">$C$72</f>
        <v>Input|Labour Rates</v>
      </c>
      <c r="D73" s="5"/>
      <c r="E73" s="5"/>
      <c r="F73" s="32" t="s">
        <v>61</v>
      </c>
      <c r="G73" s="5"/>
      <c r="H73" s="5" t="s">
        <v>102</v>
      </c>
    </row>
    <row r="74" spans="1:8" ht="12.75" x14ac:dyDescent="0.2">
      <c r="A74" s="5"/>
      <c r="B74" s="5" t="str">
        <f>'Input|Labour Rates'!B44</f>
        <v>6.5 List of quoted services for 2026-27 to 2030-31 regulatory period</v>
      </c>
      <c r="C74" s="5" t="str">
        <f ca="1">$C$72</f>
        <v>Input|Labour Rates</v>
      </c>
      <c r="D74" s="5"/>
      <c r="E74" s="5"/>
      <c r="F74" s="32" t="s">
        <v>61</v>
      </c>
      <c r="G74" s="5"/>
      <c r="H74" s="5" t="s">
        <v>103</v>
      </c>
    </row>
    <row r="75" spans="1:8" ht="12.75" x14ac:dyDescent="0.2">
      <c r="A75" s="5"/>
      <c r="B75" s="5" t="str">
        <f>'Input|Fee Based'!B6</f>
        <v>7.1 Fee based services</v>
      </c>
      <c r="C75" s="5" t="str">
        <f>'Input|Fee Based'!B2</f>
        <v>Input|Fee Based</v>
      </c>
      <c r="D75" s="5"/>
      <c r="E75" s="5"/>
      <c r="F75" s="32" t="s">
        <v>61</v>
      </c>
      <c r="G75" s="5"/>
      <c r="H75" s="5" t="s">
        <v>104</v>
      </c>
    </row>
    <row r="76" spans="1:8" ht="12.75" x14ac:dyDescent="0.2">
      <c r="A76" s="5"/>
      <c r="B76" s="5" t="str">
        <f>'Input|Fee Based'!I6</f>
        <v>7.2 Service cost build up - DIRECT COSTS, $'s ($2024-25)</v>
      </c>
      <c r="C76" s="5" t="str">
        <f>$C$75</f>
        <v>Input|Fee Based</v>
      </c>
      <c r="D76" s="5"/>
      <c r="E76" s="5"/>
      <c r="F76" s="32" t="s">
        <v>61</v>
      </c>
      <c r="G76" s="5"/>
      <c r="H76" s="5" t="s">
        <v>105</v>
      </c>
    </row>
    <row r="77" spans="1:8" ht="12.75" x14ac:dyDescent="0.2">
      <c r="A77" s="5"/>
      <c r="B77" s="5" t="str">
        <f>'Input|Fee Based'!X6</f>
        <v>7.3 Service cost build - INDIRECT COSTS (per cent)</v>
      </c>
      <c r="C77" s="5" t="str">
        <f>$C$75</f>
        <v>Input|Fee Based</v>
      </c>
      <c r="D77" s="5"/>
      <c r="E77" s="5"/>
      <c r="F77" s="32" t="s">
        <v>61</v>
      </c>
      <c r="G77" s="5"/>
      <c r="H77" s="5" t="s">
        <v>106</v>
      </c>
    </row>
    <row r="78" spans="1:8" ht="12.75" x14ac:dyDescent="0.2">
      <c r="A78" s="5"/>
      <c r="B78" s="5" t="str">
        <f>'Input|Fee Based'!AF6</f>
        <v>7.4 Notes and sources for "Other costs"</v>
      </c>
      <c r="C78" s="5" t="str">
        <f>$C$75</f>
        <v>Input|Fee Based</v>
      </c>
      <c r="D78" s="5"/>
      <c r="E78" s="5"/>
      <c r="F78" s="32" t="s">
        <v>61</v>
      </c>
      <c r="G78" s="5"/>
      <c r="H78" s="5" t="s">
        <v>107</v>
      </c>
    </row>
    <row r="79" spans="1:8" ht="12.75" x14ac:dyDescent="0.2">
      <c r="A79" s="5"/>
      <c r="B79" s="5" t="str">
        <f>'Input|Fee Based Mapping'!B9</f>
        <v>8.1 Current regulatory period - Fee based services</v>
      </c>
      <c r="C79" s="5" t="str">
        <f ca="1">'Input|Fee Based Mapping'!B2</f>
        <v>Input|Fee Based Mapping</v>
      </c>
      <c r="D79" s="5"/>
      <c r="E79" s="5"/>
      <c r="F79" s="32" t="s">
        <v>61</v>
      </c>
      <c r="G79" s="5"/>
      <c r="H79" s="5" t="s">
        <v>108</v>
      </c>
    </row>
    <row r="80" spans="1:8" ht="12.75" x14ac:dyDescent="0.2">
      <c r="A80" s="5"/>
      <c r="B80" s="5" t="str">
        <f>'Input|Fee Based Mapping'!U9</f>
        <v>8.2 Forecast regulatory period - Fee based services</v>
      </c>
      <c r="C80" s="5" t="str">
        <f ca="1">$C$79</f>
        <v>Input|Fee Based Mapping</v>
      </c>
      <c r="D80" s="5"/>
      <c r="E80" s="5"/>
      <c r="F80" s="32" t="s">
        <v>58</v>
      </c>
      <c r="G80" s="5"/>
      <c r="H80" s="5" t="s">
        <v>109</v>
      </c>
    </row>
    <row r="81" spans="1:8" ht="12.75" x14ac:dyDescent="0.2">
      <c r="A81" s="5"/>
      <c r="B81" s="5" t="str">
        <f>'Calc|Labour Rates'!B7</f>
        <v>9.1 Year 1 labour rates</v>
      </c>
      <c r="C81" s="5" t="str">
        <f ca="1">'Calc|Labour Rates'!B2</f>
        <v>Calc|Labour Rates</v>
      </c>
      <c r="D81" s="5"/>
      <c r="E81" s="5"/>
      <c r="F81" s="32" t="s">
        <v>58</v>
      </c>
      <c r="G81" s="5"/>
      <c r="H81" s="5" t="s">
        <v>110</v>
      </c>
    </row>
    <row r="82" spans="1:8" ht="12.75" x14ac:dyDescent="0.2">
      <c r="A82" s="5"/>
      <c r="B82" s="5" t="str">
        <f>'Calc|Labour Rates'!H7</f>
        <v>9.2 Year 1 labour rates build up, $'s ($2026-27)</v>
      </c>
      <c r="C82" s="5" t="str">
        <f ca="1">$C$81</f>
        <v>Calc|Labour Rates</v>
      </c>
      <c r="D82" s="5"/>
      <c r="E82" s="5"/>
      <c r="F82" s="32" t="s">
        <v>58</v>
      </c>
      <c r="G82" s="5"/>
      <c r="H82" s="5" t="s">
        <v>111</v>
      </c>
    </row>
    <row r="83" spans="1:8" ht="12.75" x14ac:dyDescent="0.2">
      <c r="A83" s="5"/>
      <c r="B83" s="5" t="str">
        <f>'Calc|Fee Based'!B6</f>
        <v>10.1 Fee based services</v>
      </c>
      <c r="C83" s="5" t="str">
        <f ca="1">'Calc|Fee Based'!$B$2</f>
        <v>Calc|Fee Based</v>
      </c>
      <c r="D83" s="5"/>
      <c r="E83" s="5"/>
      <c r="F83" s="32" t="s">
        <v>58</v>
      </c>
      <c r="G83" s="5"/>
      <c r="H83" s="5" t="s">
        <v>112</v>
      </c>
    </row>
    <row r="84" spans="1:8" ht="12.75" x14ac:dyDescent="0.2">
      <c r="A84" s="5"/>
      <c r="B84" s="5" t="str">
        <f>'Calc|Fee Based'!J6</f>
        <v>10.2 Year 1 service cost build up - DIRECT COSTS, $'s ($2026-27)</v>
      </c>
      <c r="C84" s="5" t="str">
        <f ca="1">$C$83</f>
        <v>Calc|Fee Based</v>
      </c>
      <c r="D84" s="5"/>
      <c r="E84" s="5"/>
      <c r="F84" s="32" t="s">
        <v>58</v>
      </c>
      <c r="G84" s="5"/>
      <c r="H84" s="5" t="s">
        <v>113</v>
      </c>
    </row>
    <row r="85" spans="1:8" ht="12.75" x14ac:dyDescent="0.2">
      <c r="A85" s="5"/>
      <c r="B85" s="5" t="str">
        <f>'Calc|Fee Based'!AB6</f>
        <v>10.3 Year 1 Service cost build up - INDIRECT COSTS, $'s ($2026-27)</v>
      </c>
      <c r="C85" s="5" t="str">
        <f ca="1">$C$83</f>
        <v>Calc|Fee Based</v>
      </c>
      <c r="D85" s="5"/>
      <c r="E85" s="5"/>
      <c r="F85" s="32" t="s">
        <v>58</v>
      </c>
      <c r="G85" s="5"/>
      <c r="H85" s="5" t="s">
        <v>114</v>
      </c>
    </row>
  </sheetData>
  <conditionalFormatting sqref="D2">
    <cfRule type="cellIs" dxfId="110" priority="1" operator="equal">
      <formula>"Check"</formula>
    </cfRule>
    <cfRule type="cellIs" dxfId="109" priority="2" operator="equal">
      <formula>"Ok"</formula>
    </cfRule>
  </conditionalFormatting>
  <hyperlinks>
    <hyperlink ref="B11" location="'Input|Escalations'!A1" display="'Input|Escalations'!A1" xr:uid="{2E852B76-8729-4C82-A996-31E1A59B981C}"/>
    <hyperlink ref="B8" location="'Output|Fee Based'!A1" display="'Output|Fee Based'!A1" xr:uid="{212B9C37-599C-41C1-AA27-8C6DB8BE39F1}"/>
    <hyperlink ref="B9" location="'Output|Quoted'!A1" display="'Output|Quoted'!A1" xr:uid="{08EDCD67-B521-41A0-933C-1442273007C1}"/>
    <hyperlink ref="B10" location="'Input|Setup'!A1" display="'Input|Setup'!A1" xr:uid="{5AD834FB-8868-4BAA-AE72-6E62A02F63AE}"/>
    <hyperlink ref="B12" location="'Input|Indirect Cost Rates'!A1" display="'Input|Indirect Cost Rates'!A1" xr:uid="{E281FFC2-7514-458A-A5B0-08DED912B875}"/>
    <hyperlink ref="B13" location="'Input|Labour Rates'!A1" display="'Input|Labour Rates'!A1" xr:uid="{F2961F66-464D-4B1D-896E-110DCECFDC1D}"/>
    <hyperlink ref="B14" location="'Input|Fee Based'!A1" display="'Input|Fee Based'!A1" xr:uid="{20A180DA-93BF-498C-9792-42375AAB650B}"/>
    <hyperlink ref="B15" location="'Input|Fee Based Mapping'!A1" display="'Input|Fee Based Mapping'!A1" xr:uid="{CAC56F48-EB29-4D61-BFC2-B1534F89C768}"/>
    <hyperlink ref="B17" location="'Calc|Labour Rates'!A1" display="'Calc|Labour Rates'!A1" xr:uid="{B07F2EF5-26CF-445F-8FFC-4E518B9B9EEF}"/>
    <hyperlink ref="B18" location="'Calc|Fee Based'!A1" display="'Calc|Fee Based'!A1" xr:uid="{C7E7FF69-16CD-4E2D-9249-CB1E0A5CDEF9}"/>
    <hyperlink ref="B19" location="'Model Validation'!A1" display="'Model Validation'!A1" xr:uid="{B6C2C458-A30C-402F-9B92-4BDFD4E6A1B1}"/>
    <hyperlink ref="B16" location="'Calc|Tax Recovery'!A1" display="Calc|Tax Recovery" xr:uid="{F6476806-A0E2-40B7-B809-FF66ABEB6B82}"/>
    <hyperlink ref="B20" location="ND1P!A1" display="ND1P!A1" xr:uid="{6B5F430C-461C-4F34-852F-BA2F3D4614B4}"/>
    <hyperlink ref="B21" location="ND3P!A1" display="ND3P!A1" xr:uid="{E83FB46F-C163-474F-8E82-5C5A89207857}"/>
    <hyperlink ref="B22" location="BTSO!A1" display="BTSO!A1" xr:uid="{A2D7E206-261E-447B-B627-80C40DC1E6CA}"/>
    <hyperlink ref="B23" location="BTSP!A1" display="BTSP!A1" xr:uid="{60F11ABD-4774-44CB-8DA7-86D7D332619A}"/>
    <hyperlink ref="B24" location="SUTK!A1" display="SUTK!A1" xr:uid="{C8DCE9E4-C580-420F-A8A9-63F90097FA5D}"/>
    <hyperlink ref="B25" location="'RTK1'!A1" display="'RTK1'!A1" xr:uid="{FE022378-9AFC-4730-95E4-4ECE07921E52}"/>
    <hyperlink ref="B26" location="REEN!A1" display="REEN!A1" xr:uid="{CE9B57AF-7F36-44E6-B043-6198242032F7}"/>
    <hyperlink ref="B27" location="DEEN!A1" display="DEEN!A1" xr:uid="{E1BB7522-A274-43BB-92C4-6B502B4CCB21}"/>
    <hyperlink ref="B28" location="DCTK!A1" display="DCTK!A1" xr:uid="{47D26267-BC91-4F4A-97E2-71ACB697A1F9}"/>
    <hyperlink ref="B29" location="RCTK!A1" display="RCTK!A1" xr:uid="{A9C7EFE1-871B-49EA-825F-FF91640A01BF}"/>
    <hyperlink ref="B30" location="SLOM!A1" display="SLOM!A1" xr:uid="{72E50279-D31D-4FB1-9733-4DA810E62515}"/>
    <hyperlink ref="B31" location="RFOM!A1" display="RFOM!A1" xr:uid="{D16F3977-A5E6-46A7-9A95-8D566E2B668C}"/>
    <hyperlink ref="B32" location="REENRM!A1" display="REENRM!A1" xr:uid="{1EF489E1-AAA7-42D8-AF60-45A2C34E66FC}"/>
    <hyperlink ref="B33" location="DEENRM!A1" display="DEENRM!A1" xr:uid="{191297DD-187F-4541-BE1E-E26F96F25E18}"/>
    <hyperlink ref="B34" location="MCTK!A1" display="MCTK!A1" xr:uid="{49F33B2B-2FC7-4412-8D4D-70CD30144478}"/>
    <hyperlink ref="B35" location="SPRDRM!A1" display="SPRDRM!A1" xr:uid="{16FA845F-BE82-4E5C-A975-949DF2FAD5E6}"/>
    <hyperlink ref="B36" location="MECFRM!A1" display="MECFRM!A1" xr:uid="{34B0F141-D4F3-4B3C-BA23-D028860453BD}"/>
    <hyperlink ref="B37" location="SPRD!A1" display="SPRD!A1" xr:uid="{99A933BB-FF15-43B0-9E85-B1BE719EEC1F}"/>
    <hyperlink ref="B38" location="MTAL!A1" display="MTAL!A1" xr:uid="{68FAAC08-3257-44D8-910E-B34403663C1F}"/>
    <hyperlink ref="B39" location="MDCH!A1" display="MDCH!A1" xr:uid="{691A2B29-F356-4E4D-8BE4-E0B89519920F}"/>
    <hyperlink ref="B40" location="NCUM!A1" display="NCUM!A1" xr:uid="{53D2D6E6-0525-4715-B391-41EEEAF7DA99}"/>
    <hyperlink ref="B41" location="WSVR!A1" display="WSVR!A1" xr:uid="{9F66DB03-6AED-47A9-BAEF-E81631BAAF5B}"/>
    <hyperlink ref="B42" location="'RTK3'!A1" display="'RTK3'!A1" xr:uid="{487EE1E8-DBA4-4A17-9CFF-FECC23B52412}"/>
    <hyperlink ref="B43" location="Template!A1" display="Template" xr:uid="{0EB14218-5648-48A2-A7C9-60549E4F7D2D}"/>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7" id="{3C121689-378F-479F-AE4A-EC94097F8DA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C8:C18</xm:sqref>
        </x14:conditionalFormatting>
        <x14:conditionalFormatting xmlns:xm="http://schemas.microsoft.com/office/excel/2006/main">
          <x14:cfRule type="iconSet" priority="4" id="{D55E9E2B-3C31-44EE-B1AC-16A86866C2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C20</xm:sqref>
        </x14:conditionalFormatting>
        <x14:conditionalFormatting xmlns:xm="http://schemas.microsoft.com/office/excel/2006/main">
          <x14:cfRule type="iconSet" priority="227" id="{FC91B2E0-B696-4CB6-997F-469577BD43D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C21:C43</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57D94-6F30-42EB-9928-D4A8DE0E44E9}">
  <sheetPr codeName="Sheet34">
    <tabColor theme="8" tint="0.79998168889431442"/>
  </sheetPr>
  <dimension ref="A1:HO1257"/>
  <sheetViews>
    <sheetView showGridLines="0" topLeftCell="A23"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392</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767</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c r="C10" s="158" t="s">
        <v>684</v>
      </c>
      <c r="D10" s="155">
        <v>0</v>
      </c>
      <c r="E10" s="151">
        <v>0</v>
      </c>
      <c r="F10" s="166">
        <v>0</v>
      </c>
      <c r="G10" s="101">
        <v>0</v>
      </c>
      <c r="H10" s="121"/>
      <c r="I10" s="158" t="s">
        <v>656</v>
      </c>
      <c r="J10" s="121"/>
      <c r="K10" s="151"/>
      <c r="L10" s="164">
        <v>0</v>
      </c>
      <c r="M10" s="101">
        <v>0</v>
      </c>
    </row>
    <row r="11" spans="1:23" ht="12.75" x14ac:dyDescent="0.2">
      <c r="A11" s="15">
        <v>2</v>
      </c>
      <c r="B11" s="121"/>
      <c r="C11" s="158"/>
      <c r="D11" s="155"/>
      <c r="E11" s="151"/>
      <c r="F11" s="166">
        <v>0</v>
      </c>
      <c r="G11" s="101">
        <v>0</v>
      </c>
      <c r="H11" s="121"/>
      <c r="I11" s="158"/>
      <c r="J11" s="121"/>
      <c r="K11" s="151"/>
      <c r="L11" s="164">
        <v>0</v>
      </c>
      <c r="M11" s="101">
        <v>0</v>
      </c>
    </row>
    <row r="12" spans="1:23" ht="12.75" x14ac:dyDescent="0.2">
      <c r="A12" s="15">
        <v>3</v>
      </c>
      <c r="B12" s="121"/>
      <c r="C12" s="158"/>
      <c r="D12" s="155"/>
      <c r="E12" s="151"/>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768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8" t="s">
        <v>656</v>
      </c>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302"/>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0">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25" priority="2" operator="equal">
      <formula>"Check"</formula>
    </cfRule>
    <cfRule type="cellIs" dxfId="24" priority="3" operator="equal">
      <formula>"Ok"</formula>
    </cfRule>
  </conditionalFormatting>
  <dataValidations count="1">
    <dataValidation type="list" allowBlank="1" showInputMessage="1" showErrorMessage="1" sqref="M8 G30:J30 M30 C30:D31" xr:uid="{02639AD9-65EA-4ABD-ADD5-B2A68B82A3E0}">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58FDC24-293B-4E8A-9C14-1A0D484E7F7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DCE0552A-4AC2-49DD-A112-1E102D743FC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9" id="{CEB71213-FDC3-4393-A790-28E0E1D4F9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84F32F0A-A180-4519-BB13-8C81BE19AD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14EF7FB-8C41-4038-8293-80C6C34E5C8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89" id="{F3BBA013-CF8B-4966-BB48-E8C7B486100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473BD8CD-067D-45D7-8DC2-150066241E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B83F1FC-223D-463F-A4BC-64D4DBE0C3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0" id="{117DC009-3D00-481D-B753-62F5736B06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CC3AC063-053D-4153-8D0F-517A04053BA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25188738-E127-4087-A768-3BE4E6698FD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0" id="{F5C2E551-F341-46C3-93DF-0AA14B51BCE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44440A95-5151-445E-BA8F-527C44FE36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EBB354D7-AD34-49AF-BCDC-A2BE1B2F67D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1" id="{9A6ABF1A-7297-4932-BEE7-A7135B3326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E78C449-5F6E-4DEC-BC93-E512A95451EF}">
          <x14:formula1>
            <xm:f>'Input|Setup'!$B$31:$B$49</xm:f>
          </x14:formula1>
          <xm:sqref>H10:H29 B10:B29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F3545-C11A-422D-B8CA-79C71128D8AF}">
  <sheetPr codeName="Sheet35">
    <tabColor theme="8" tint="0.79998168889431442"/>
  </sheetPr>
  <dimension ref="A1:HO1257"/>
  <sheetViews>
    <sheetView showGridLines="0" topLeftCell="A20"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393</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769</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c r="C10" s="158"/>
      <c r="D10" s="155"/>
      <c r="E10" s="151"/>
      <c r="F10" s="166">
        <v>0</v>
      </c>
      <c r="G10" s="101">
        <v>0</v>
      </c>
      <c r="H10" s="121"/>
      <c r="I10" s="158"/>
      <c r="J10" s="121"/>
      <c r="K10" s="151"/>
      <c r="L10" s="164">
        <v>0</v>
      </c>
      <c r="M10" s="101">
        <v>0</v>
      </c>
    </row>
    <row r="11" spans="1:23" ht="12.75" x14ac:dyDescent="0.2">
      <c r="A11" s="15">
        <v>2</v>
      </c>
      <c r="B11" s="121"/>
      <c r="C11" s="158"/>
      <c r="D11" s="155"/>
      <c r="E11" s="151"/>
      <c r="F11" s="166">
        <v>0</v>
      </c>
      <c r="G11" s="101">
        <v>0</v>
      </c>
      <c r="H11" s="121"/>
      <c r="I11" s="158"/>
      <c r="J11" s="121"/>
      <c r="K11" s="151"/>
      <c r="L11" s="164">
        <v>0</v>
      </c>
      <c r="M11" s="101">
        <v>0</v>
      </c>
    </row>
    <row r="12" spans="1:23" ht="12.75" x14ac:dyDescent="0.2">
      <c r="A12" s="15">
        <v>3</v>
      </c>
      <c r="B12" s="121"/>
      <c r="C12" s="158"/>
      <c r="D12" s="155"/>
      <c r="E12" s="151"/>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770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c r="E57" s="2"/>
    </row>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22" priority="2" operator="equal">
      <formula>"Check"</formula>
    </cfRule>
    <cfRule type="cellIs" dxfId="21" priority="3" operator="equal">
      <formula>"Ok"</formula>
    </cfRule>
  </conditionalFormatting>
  <dataValidations count="1">
    <dataValidation type="list" allowBlank="1" showInputMessage="1" showErrorMessage="1" sqref="M8 G30:J30 M30 C30:D31" xr:uid="{1E62B99C-1E6E-45B0-963E-1EEF5C67CB9F}">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0148A1CD-A5E5-4EAC-9605-F94FA863D8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8B047D5B-E896-4FCD-817A-17C1C24083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7" id="{92CA725F-0FB6-4DE3-9075-BB60D25402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235AB1CD-CEFE-4D46-B4A7-4D39A7E4561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2BA04C0-722F-4EED-9D69-A59943E815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86" id="{C26D29EE-0DA3-40B2-8475-B76C06F61C9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630D827A-CDDF-4271-9FBA-DF4E715816D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4A9EEE09-1D18-46B4-890D-1FB16F0F17F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8" id="{572A0BC4-553D-4BC0-B426-E6171859A76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7825E031-002F-4EC8-9C8E-9B99B6C124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A1976672-4545-4A94-AE0B-B876891DBA5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7" id="{53BE1C26-9B5C-4D66-87FA-F31EBFA5B12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1ED7CCD7-9582-4354-96AB-012452B58A1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FADF48D-6099-49B0-8286-F7FF4D21A19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8" id="{B1D7BFE6-6ED4-4399-8925-E258B7A99CD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2D9E450-42DA-461A-A2BD-AAE86A2F9AF7}">
          <x14:formula1>
            <xm:f>'Input|Setup'!$B$31:$B$49</xm:f>
          </x14:formula1>
          <xm:sqref>B10:B29 H10:H29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6223F-2800-4D90-8C18-38135BF3354B}">
  <sheetPr codeName="Sheet36">
    <tabColor theme="8" tint="0.79998168889431442"/>
  </sheetPr>
  <dimension ref="A1:HO1257"/>
  <sheetViews>
    <sheetView showGridLines="0" topLeftCell="A9"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394</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771</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605</v>
      </c>
      <c r="D10" s="155">
        <v>1</v>
      </c>
      <c r="E10" s="151">
        <v>6</v>
      </c>
      <c r="F10" s="166">
        <v>6</v>
      </c>
      <c r="G10" s="101">
        <v>0</v>
      </c>
      <c r="H10" s="121" t="s">
        <v>238</v>
      </c>
      <c r="I10" s="158" t="s">
        <v>606</v>
      </c>
      <c r="J10" s="121">
        <v>2</v>
      </c>
      <c r="K10" s="151">
        <v>30</v>
      </c>
      <c r="L10" s="164">
        <v>60</v>
      </c>
      <c r="M10" s="101">
        <v>0</v>
      </c>
    </row>
    <row r="11" spans="1:23" ht="12.75" x14ac:dyDescent="0.2">
      <c r="A11" s="15">
        <v>2</v>
      </c>
      <c r="B11" s="121" t="s">
        <v>235</v>
      </c>
      <c r="C11" s="158" t="s">
        <v>607</v>
      </c>
      <c r="D11" s="155">
        <v>1</v>
      </c>
      <c r="E11" s="151">
        <v>3</v>
      </c>
      <c r="F11" s="166">
        <v>3</v>
      </c>
      <c r="G11" s="101">
        <v>0</v>
      </c>
      <c r="H11" s="121" t="s">
        <v>238</v>
      </c>
      <c r="I11" s="158" t="s">
        <v>608</v>
      </c>
      <c r="J11" s="121">
        <v>2</v>
      </c>
      <c r="K11" s="151">
        <v>5</v>
      </c>
      <c r="L11" s="164">
        <v>10</v>
      </c>
      <c r="M11" s="101">
        <v>0</v>
      </c>
    </row>
    <row r="12" spans="1:23" ht="12.75" x14ac:dyDescent="0.2">
      <c r="A12" s="15">
        <v>3</v>
      </c>
      <c r="B12" s="121" t="s">
        <v>235</v>
      </c>
      <c r="C12" s="158" t="s">
        <v>609</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611</v>
      </c>
      <c r="D13" s="155">
        <v>1</v>
      </c>
      <c r="E13" s="151">
        <v>8</v>
      </c>
      <c r="F13" s="166">
        <v>8</v>
      </c>
      <c r="G13" s="101">
        <v>0</v>
      </c>
      <c r="H13" s="121" t="s">
        <v>238</v>
      </c>
      <c r="I13" s="158" t="s">
        <v>612</v>
      </c>
      <c r="J13" s="121">
        <v>2</v>
      </c>
      <c r="K13" s="151">
        <v>15</v>
      </c>
      <c r="L13" s="164">
        <v>30</v>
      </c>
      <c r="M13" s="101">
        <v>0</v>
      </c>
    </row>
    <row r="14" spans="1:23" ht="12.75" x14ac:dyDescent="0.2">
      <c r="A14" s="15">
        <v>5</v>
      </c>
      <c r="B14" s="121" t="s">
        <v>235</v>
      </c>
      <c r="C14" s="158" t="s">
        <v>613</v>
      </c>
      <c r="D14" s="155">
        <v>1</v>
      </c>
      <c r="E14" s="151">
        <v>3</v>
      </c>
      <c r="F14" s="166">
        <v>3</v>
      </c>
      <c r="G14" s="101">
        <v>0</v>
      </c>
      <c r="H14" s="121" t="s">
        <v>238</v>
      </c>
      <c r="I14" s="158" t="s">
        <v>614</v>
      </c>
      <c r="J14" s="121">
        <v>2</v>
      </c>
      <c r="K14" s="151">
        <v>5</v>
      </c>
      <c r="L14" s="164">
        <v>10</v>
      </c>
      <c r="M14" s="101">
        <v>0</v>
      </c>
    </row>
    <row r="15" spans="1:23" ht="12.75" x14ac:dyDescent="0.2">
      <c r="A15" s="15">
        <v>6</v>
      </c>
      <c r="B15" s="121" t="s">
        <v>235</v>
      </c>
      <c r="C15" s="158" t="s">
        <v>615</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617</v>
      </c>
      <c r="D16" s="155">
        <v>1</v>
      </c>
      <c r="E16" s="151">
        <v>7.5</v>
      </c>
      <c r="F16" s="166">
        <v>7.5</v>
      </c>
      <c r="G16" s="101">
        <v>0</v>
      </c>
      <c r="H16" s="121"/>
      <c r="I16" s="158"/>
      <c r="J16" s="121"/>
      <c r="K16" s="151"/>
      <c r="L16" s="164">
        <v>0</v>
      </c>
      <c r="M16" s="101">
        <v>0</v>
      </c>
    </row>
    <row r="17" spans="1:24" ht="12.75" x14ac:dyDescent="0.2">
      <c r="A17" s="15">
        <v>8</v>
      </c>
      <c r="B17" s="121" t="s">
        <v>235</v>
      </c>
      <c r="C17" s="158" t="s">
        <v>618</v>
      </c>
      <c r="D17" s="155">
        <v>1</v>
      </c>
      <c r="E17" s="151">
        <v>6.5</v>
      </c>
      <c r="F17" s="166">
        <v>6.5</v>
      </c>
      <c r="G17" s="101">
        <v>0</v>
      </c>
      <c r="H17" s="121"/>
      <c r="I17" s="158"/>
      <c r="J17" s="121"/>
      <c r="K17" s="151"/>
      <c r="L17" s="164">
        <v>0</v>
      </c>
      <c r="M17" s="101">
        <v>0</v>
      </c>
    </row>
    <row r="18" spans="1:24" ht="12.75" x14ac:dyDescent="0.2">
      <c r="A18" s="15">
        <v>9</v>
      </c>
      <c r="B18" s="121" t="s">
        <v>235</v>
      </c>
      <c r="C18" s="158" t="s">
        <v>619</v>
      </c>
      <c r="D18" s="155">
        <v>1</v>
      </c>
      <c r="E18" s="151">
        <v>5.5</v>
      </c>
      <c r="F18" s="166">
        <v>5.5</v>
      </c>
      <c r="G18" s="101">
        <v>0</v>
      </c>
      <c r="H18" s="121"/>
      <c r="I18" s="158"/>
      <c r="J18" s="155"/>
      <c r="K18" s="151"/>
      <c r="L18" s="164">
        <v>0</v>
      </c>
      <c r="M18" s="101">
        <v>0</v>
      </c>
    </row>
    <row r="19" spans="1:24" ht="12.75" x14ac:dyDescent="0.2">
      <c r="A19" s="15">
        <v>10</v>
      </c>
      <c r="B19" s="121" t="s">
        <v>235</v>
      </c>
      <c r="C19" s="158" t="s">
        <v>620</v>
      </c>
      <c r="D19" s="155">
        <v>1</v>
      </c>
      <c r="E19" s="151">
        <v>7.5</v>
      </c>
      <c r="F19" s="166">
        <v>7.5</v>
      </c>
      <c r="G19" s="101">
        <v>0</v>
      </c>
      <c r="H19" s="121"/>
      <c r="I19" s="158"/>
      <c r="J19" s="155"/>
      <c r="K19" s="151"/>
      <c r="L19" s="164">
        <v>0</v>
      </c>
      <c r="M19" s="101">
        <v>0</v>
      </c>
    </row>
    <row r="20" spans="1:24" ht="12.75" x14ac:dyDescent="0.2">
      <c r="A20" s="15">
        <v>11</v>
      </c>
      <c r="B20" s="121" t="s">
        <v>235</v>
      </c>
      <c r="C20" s="158" t="s">
        <v>621</v>
      </c>
      <c r="D20" s="155">
        <v>1</v>
      </c>
      <c r="E20" s="151">
        <v>3</v>
      </c>
      <c r="F20" s="166">
        <v>3</v>
      </c>
      <c r="G20" s="101">
        <v>0</v>
      </c>
      <c r="H20" s="121"/>
      <c r="I20" s="158"/>
      <c r="J20" s="155"/>
      <c r="K20" s="151"/>
      <c r="L20" s="164">
        <v>0</v>
      </c>
      <c r="M20" s="101">
        <v>0</v>
      </c>
    </row>
    <row r="21" spans="1:24" ht="12.75" x14ac:dyDescent="0.2">
      <c r="A21" s="15">
        <v>12</v>
      </c>
      <c r="B21" s="121" t="s">
        <v>235</v>
      </c>
      <c r="C21" s="158" t="s">
        <v>622</v>
      </c>
      <c r="D21" s="155">
        <v>1</v>
      </c>
      <c r="E21" s="151">
        <v>2</v>
      </c>
      <c r="F21" s="166">
        <v>2</v>
      </c>
      <c r="G21" s="101">
        <v>0</v>
      </c>
      <c r="H21" s="121"/>
      <c r="I21" s="158"/>
      <c r="J21" s="155"/>
      <c r="K21" s="151"/>
      <c r="L21" s="164">
        <v>0</v>
      </c>
      <c r="M21" s="101">
        <v>0</v>
      </c>
    </row>
    <row r="22" spans="1:24" ht="12.75" x14ac:dyDescent="0.2">
      <c r="A22" s="15">
        <v>13</v>
      </c>
      <c r="B22" s="121" t="s">
        <v>235</v>
      </c>
      <c r="C22" s="158" t="s">
        <v>623</v>
      </c>
      <c r="D22" s="155">
        <v>1</v>
      </c>
      <c r="E22" s="151">
        <v>2</v>
      </c>
      <c r="F22" s="166">
        <v>2</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772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644</v>
      </c>
      <c r="J36" s="121">
        <v>1</v>
      </c>
      <c r="K36" s="121">
        <v>65</v>
      </c>
      <c r="L36" s="433">
        <v>53.78</v>
      </c>
      <c r="M36" s="180">
        <v>58.261666666666663</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58.261666666666663</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19" priority="2" operator="equal">
      <formula>"Check"</formula>
    </cfRule>
    <cfRule type="cellIs" dxfId="18" priority="3" operator="equal">
      <formula>"Ok"</formula>
    </cfRule>
  </conditionalFormatting>
  <dataValidations count="1">
    <dataValidation type="list" allowBlank="1" showInputMessage="1" showErrorMessage="1" sqref="M8 G30:J30 M30 C30:D31" xr:uid="{23DC7DE9-513D-449F-9C97-9FF10B6E6E9E}">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6BEDE8D7-2730-4714-A2C6-796B0AA77DF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ED036D2-CE2C-4B55-AD2E-012BC1A3D7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5" id="{9F9FA32B-57CF-4D82-8016-9811126E940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A9024B3D-892A-4062-94C1-6C51C0AAD69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500B2BA-B42D-4929-9FCA-D22AA194C05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83" id="{26708454-4A55-439A-B885-CB7BDF51083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4609B0BB-875E-4625-AA6E-9128CF1BC0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E9055732-C5BB-4D5F-84A2-28ACE28A229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6" id="{A3D32610-E2B6-4F81-A91F-79AC71E2D5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9EB03418-CEFB-4629-9C65-17A6F250DF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05A4BE4-D88F-4016-B16A-843F911602A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4" id="{AC4EE326-3BBD-4FFC-88ED-30F3DCD4D44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A109B4CF-69F4-4994-A810-7434914A43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4CFA2F40-CD34-44DD-A0D8-231136C91E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5" id="{4442C8B1-1C33-4E5A-A366-6AFE59D920E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EF954EC-8A5C-4FCC-9241-4779B4E90626}">
          <x14:formula1>
            <xm:f>'Input|Setup'!$B$31:$B$49</xm:f>
          </x14:formula1>
          <xm:sqref>B10:B29 H10:H29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0882B-4F34-4710-A6E2-3BDB78B66F22}">
  <sheetPr codeName="Sheet37">
    <tabColor theme="8" tint="0.79998168889431442"/>
  </sheetPr>
  <dimension ref="A1:HO1257"/>
  <sheetViews>
    <sheetView showGridLines="0" topLeftCell="A22" zoomScale="80" zoomScaleNormal="80" workbookViewId="0">
      <selection activeCell="B36" sqref="B36:F55"/>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395</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773</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40"/>
      <c r="B9" s="40" t="s">
        <v>602</v>
      </c>
      <c r="C9" s="40" t="s">
        <v>603</v>
      </c>
      <c r="D9" s="40" t="s">
        <v>415</v>
      </c>
      <c r="E9" s="150" t="s">
        <v>416</v>
      </c>
      <c r="F9" s="163" t="s">
        <v>604</v>
      </c>
      <c r="G9" s="101"/>
      <c r="H9" s="40" t="s">
        <v>602</v>
      </c>
      <c r="I9" s="40" t="s">
        <v>603</v>
      </c>
      <c r="J9" s="40" t="s">
        <v>415</v>
      </c>
      <c r="K9" s="150" t="s">
        <v>416</v>
      </c>
      <c r="L9" s="163" t="s">
        <v>416</v>
      </c>
      <c r="M9" s="101"/>
    </row>
    <row r="10" spans="1:23" ht="12.75" x14ac:dyDescent="0.2">
      <c r="A10" s="15">
        <v>1</v>
      </c>
      <c r="B10" s="121" t="s">
        <v>235</v>
      </c>
      <c r="C10" s="158" t="s">
        <v>645</v>
      </c>
      <c r="D10" s="155">
        <v>1</v>
      </c>
      <c r="E10" s="151">
        <v>9</v>
      </c>
      <c r="F10" s="166">
        <v>9</v>
      </c>
      <c r="G10" s="101">
        <v>0</v>
      </c>
      <c r="H10" s="121" t="s">
        <v>238</v>
      </c>
      <c r="I10" s="158" t="s">
        <v>606</v>
      </c>
      <c r="J10" s="121">
        <v>2</v>
      </c>
      <c r="K10" s="151">
        <v>30</v>
      </c>
      <c r="L10" s="164">
        <v>60</v>
      </c>
      <c r="M10" s="101">
        <v>0</v>
      </c>
    </row>
    <row r="11" spans="1:23" ht="12.75" x14ac:dyDescent="0.2">
      <c r="A11" s="15">
        <v>2</v>
      </c>
      <c r="B11" s="121" t="s">
        <v>235</v>
      </c>
      <c r="C11" s="158" t="s">
        <v>613</v>
      </c>
      <c r="D11" s="155">
        <v>1</v>
      </c>
      <c r="E11" s="151">
        <v>3</v>
      </c>
      <c r="F11" s="166">
        <v>3</v>
      </c>
      <c r="G11" s="101">
        <v>0</v>
      </c>
      <c r="H11" s="121" t="s">
        <v>238</v>
      </c>
      <c r="I11" s="158" t="s">
        <v>646</v>
      </c>
      <c r="J11" s="121">
        <v>2</v>
      </c>
      <c r="K11" s="151">
        <v>5</v>
      </c>
      <c r="L11" s="164">
        <v>10</v>
      </c>
      <c r="M11" s="101">
        <v>0</v>
      </c>
    </row>
    <row r="12" spans="1:23" ht="12.75" x14ac:dyDescent="0.2">
      <c r="A12" s="15">
        <v>3</v>
      </c>
      <c r="B12" s="121" t="s">
        <v>235</v>
      </c>
      <c r="C12" s="158" t="s">
        <v>615</v>
      </c>
      <c r="D12" s="155">
        <v>1</v>
      </c>
      <c r="E12" s="151">
        <v>3</v>
      </c>
      <c r="F12" s="166">
        <v>3</v>
      </c>
      <c r="G12" s="101">
        <v>0</v>
      </c>
      <c r="H12" s="121" t="s">
        <v>238</v>
      </c>
      <c r="I12" s="158" t="s">
        <v>610</v>
      </c>
      <c r="J12" s="121">
        <v>2</v>
      </c>
      <c r="K12" s="151">
        <v>5</v>
      </c>
      <c r="L12" s="164">
        <v>10</v>
      </c>
      <c r="M12" s="101">
        <v>0</v>
      </c>
    </row>
    <row r="13" spans="1:23" ht="12.75" x14ac:dyDescent="0.2">
      <c r="A13" s="15">
        <v>4</v>
      </c>
      <c r="B13" s="121" t="s">
        <v>235</v>
      </c>
      <c r="C13" s="158" t="s">
        <v>617</v>
      </c>
      <c r="D13" s="155">
        <v>1</v>
      </c>
      <c r="E13" s="151">
        <v>8</v>
      </c>
      <c r="F13" s="166">
        <v>8</v>
      </c>
      <c r="G13" s="101">
        <v>0</v>
      </c>
      <c r="H13" s="121" t="s">
        <v>238</v>
      </c>
      <c r="I13" s="158" t="s">
        <v>649</v>
      </c>
      <c r="J13" s="121">
        <v>2</v>
      </c>
      <c r="K13" s="151">
        <v>15</v>
      </c>
      <c r="L13" s="164">
        <v>30</v>
      </c>
      <c r="M13" s="101">
        <v>0</v>
      </c>
    </row>
    <row r="14" spans="1:23" ht="12.75" x14ac:dyDescent="0.2">
      <c r="A14" s="15">
        <v>5</v>
      </c>
      <c r="B14" s="121" t="s">
        <v>235</v>
      </c>
      <c r="C14" s="158" t="s">
        <v>618</v>
      </c>
      <c r="D14" s="155">
        <v>1</v>
      </c>
      <c r="E14" s="151">
        <v>7</v>
      </c>
      <c r="F14" s="166">
        <v>7</v>
      </c>
      <c r="G14" s="101">
        <v>0</v>
      </c>
      <c r="H14" s="121" t="s">
        <v>238</v>
      </c>
      <c r="I14" s="158" t="s">
        <v>650</v>
      </c>
      <c r="J14" s="121">
        <v>2</v>
      </c>
      <c r="K14" s="151">
        <v>5</v>
      </c>
      <c r="L14" s="164">
        <v>10</v>
      </c>
      <c r="M14" s="101">
        <v>0</v>
      </c>
    </row>
    <row r="15" spans="1:23" ht="12.75" x14ac:dyDescent="0.2">
      <c r="A15" s="15">
        <v>6</v>
      </c>
      <c r="B15" s="121" t="s">
        <v>235</v>
      </c>
      <c r="C15" s="158" t="s">
        <v>619</v>
      </c>
      <c r="D15" s="155">
        <v>1</v>
      </c>
      <c r="E15" s="151">
        <v>3</v>
      </c>
      <c r="F15" s="166">
        <v>3</v>
      </c>
      <c r="G15" s="101">
        <v>0</v>
      </c>
      <c r="H15" s="121" t="s">
        <v>238</v>
      </c>
      <c r="I15" s="158" t="s">
        <v>616</v>
      </c>
      <c r="J15" s="121">
        <v>2</v>
      </c>
      <c r="K15" s="151">
        <v>5</v>
      </c>
      <c r="L15" s="164">
        <v>10</v>
      </c>
      <c r="M15" s="101">
        <v>0</v>
      </c>
    </row>
    <row r="16" spans="1:23" ht="12.75" x14ac:dyDescent="0.2">
      <c r="A16" s="15">
        <v>7</v>
      </c>
      <c r="B16" s="121" t="s">
        <v>235</v>
      </c>
      <c r="C16" s="158" t="s">
        <v>620</v>
      </c>
      <c r="D16" s="155">
        <v>1</v>
      </c>
      <c r="E16" s="151">
        <v>8</v>
      </c>
      <c r="F16" s="166">
        <v>8</v>
      </c>
      <c r="G16" s="101">
        <v>0</v>
      </c>
      <c r="H16" s="121"/>
      <c r="I16" s="158"/>
      <c r="J16" s="121"/>
      <c r="K16" s="151"/>
      <c r="L16" s="164">
        <v>0</v>
      </c>
      <c r="M16" s="101">
        <v>0</v>
      </c>
    </row>
    <row r="17" spans="1:24" ht="12.75" x14ac:dyDescent="0.2">
      <c r="A17" s="15">
        <v>8</v>
      </c>
      <c r="B17" s="121" t="s">
        <v>235</v>
      </c>
      <c r="C17" s="158" t="s">
        <v>621</v>
      </c>
      <c r="D17" s="155">
        <v>1</v>
      </c>
      <c r="E17" s="151">
        <v>6</v>
      </c>
      <c r="F17" s="166">
        <v>6</v>
      </c>
      <c r="G17" s="101">
        <v>0</v>
      </c>
      <c r="H17" s="121"/>
      <c r="I17" s="158"/>
      <c r="J17" s="121"/>
      <c r="K17" s="151"/>
      <c r="L17" s="164">
        <v>0</v>
      </c>
      <c r="M17" s="101">
        <v>0</v>
      </c>
    </row>
    <row r="18" spans="1:24" ht="12.75" x14ac:dyDescent="0.2">
      <c r="A18" s="15">
        <v>9</v>
      </c>
      <c r="B18" s="121" t="s">
        <v>235</v>
      </c>
      <c r="C18" s="158" t="s">
        <v>622</v>
      </c>
      <c r="D18" s="155">
        <v>1</v>
      </c>
      <c r="E18" s="151">
        <v>7</v>
      </c>
      <c r="F18" s="166">
        <v>7</v>
      </c>
      <c r="G18" s="101">
        <v>0</v>
      </c>
      <c r="H18" s="121"/>
      <c r="I18" s="158"/>
      <c r="J18" s="121"/>
      <c r="K18" s="151"/>
      <c r="L18" s="164">
        <v>0</v>
      </c>
      <c r="M18" s="101">
        <v>0</v>
      </c>
    </row>
    <row r="19" spans="1:24" ht="12.75" x14ac:dyDescent="0.2">
      <c r="A19" s="15">
        <v>10</v>
      </c>
      <c r="B19" s="121" t="s">
        <v>235</v>
      </c>
      <c r="C19" s="158" t="s">
        <v>623</v>
      </c>
      <c r="D19" s="155">
        <v>1</v>
      </c>
      <c r="E19" s="151">
        <v>6</v>
      </c>
      <c r="F19" s="166">
        <v>6</v>
      </c>
      <c r="G19" s="101">
        <v>0</v>
      </c>
      <c r="H19" s="121"/>
      <c r="I19" s="158"/>
      <c r="J19" s="121"/>
      <c r="K19" s="151"/>
      <c r="L19" s="164">
        <v>0</v>
      </c>
      <c r="M19" s="101">
        <v>0</v>
      </c>
    </row>
    <row r="20" spans="1:24" ht="12.75" x14ac:dyDescent="0.2">
      <c r="A20" s="15">
        <v>11</v>
      </c>
      <c r="B20" s="121"/>
      <c r="C20" s="158"/>
      <c r="D20" s="155"/>
      <c r="E20" s="151"/>
      <c r="F20" s="166">
        <v>0</v>
      </c>
      <c r="G20" s="101">
        <v>0</v>
      </c>
      <c r="H20" s="121"/>
      <c r="I20" s="158"/>
      <c r="J20" s="121"/>
      <c r="K20" s="151"/>
      <c r="L20" s="164">
        <v>0</v>
      </c>
      <c r="M20" s="101">
        <v>0</v>
      </c>
    </row>
    <row r="21" spans="1:24" ht="12.75" x14ac:dyDescent="0.2">
      <c r="A21" s="15">
        <v>12</v>
      </c>
      <c r="B21" s="121"/>
      <c r="C21" s="158"/>
      <c r="D21" s="155"/>
      <c r="E21" s="151"/>
      <c r="F21" s="166">
        <v>0</v>
      </c>
      <c r="G21" s="101">
        <v>0</v>
      </c>
      <c r="H21" s="121"/>
      <c r="I21" s="158"/>
      <c r="J21" s="121"/>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60</v>
      </c>
      <c r="G30" s="115"/>
      <c r="H30" s="6"/>
      <c r="I30" s="10"/>
      <c r="J30" s="10"/>
      <c r="K30" s="161" t="s">
        <v>624</v>
      </c>
      <c r="L30" s="161">
        <v>130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774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40"/>
      <c r="B35" s="40" t="s">
        <v>579</v>
      </c>
      <c r="C35" s="40" t="s">
        <v>580</v>
      </c>
      <c r="D35" s="40" t="s">
        <v>627</v>
      </c>
      <c r="E35" s="49" t="s">
        <v>628</v>
      </c>
      <c r="F35" s="40" t="s">
        <v>629</v>
      </c>
      <c r="G35" s="101"/>
      <c r="H35" s="40" t="s">
        <v>631</v>
      </c>
      <c r="I35" s="40" t="s">
        <v>632</v>
      </c>
      <c r="J35" s="40" t="s">
        <v>627</v>
      </c>
      <c r="K35" s="49" t="s">
        <v>633</v>
      </c>
      <c r="L35" s="40" t="s">
        <v>634</v>
      </c>
      <c r="M35" s="40" t="s">
        <v>629</v>
      </c>
      <c r="N35" s="101"/>
      <c r="O35" s="40" t="s">
        <v>422</v>
      </c>
      <c r="P35" s="40" t="s">
        <v>635</v>
      </c>
      <c r="Q35" s="40" t="s">
        <v>629</v>
      </c>
      <c r="R35" s="101"/>
    </row>
    <row r="36" spans="1:195" ht="12.75" x14ac:dyDescent="0.2">
      <c r="A36" s="15">
        <v>1</v>
      </c>
      <c r="B36" s="542"/>
      <c r="C36" s="543"/>
      <c r="D36" s="544"/>
      <c r="E36" s="545"/>
      <c r="F36" s="546"/>
      <c r="G36" s="101">
        <v>0</v>
      </c>
      <c r="H36" s="156"/>
      <c r="I36" s="159" t="s">
        <v>644</v>
      </c>
      <c r="J36" s="121">
        <v>1</v>
      </c>
      <c r="K36" s="121">
        <v>65</v>
      </c>
      <c r="L36" s="433">
        <v>53.78</v>
      </c>
      <c r="M36" s="180">
        <v>58.261666666666663</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81.442711559999992</v>
      </c>
      <c r="G56" s="17"/>
      <c r="H56"/>
      <c r="L56" s="161" t="s">
        <v>639</v>
      </c>
      <c r="M56" s="162">
        <v>58.261666666666663</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16" priority="2" operator="equal">
      <formula>"Check"</formula>
    </cfRule>
    <cfRule type="cellIs" dxfId="15" priority="3" operator="equal">
      <formula>"Ok"</formula>
    </cfRule>
  </conditionalFormatting>
  <dataValidations count="1">
    <dataValidation type="list" allowBlank="1" showInputMessage="1" showErrorMessage="1" sqref="M8 G30:J30 M30 C30:D31" xr:uid="{1AC2F6D7-6CC7-40C0-A863-FB4452E90478}">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4FE99C12-2C44-43D1-B0F9-0B6C3A6CBCF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4F2C590-751E-4AA0-805C-AEFE69A1DF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3" id="{21E7F846-E990-4797-9664-0A9AA1943D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0399401-EE3A-4C8D-9D29-FC36A1B5F1F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5058A022-529F-40B7-AD67-BB078AF7BF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80" id="{3C6D0719-1935-46C1-A6EF-A541AD65C4A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F43191B9-B479-4473-92C7-1959D0AD88C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9FAD78E3-35F1-4246-A152-ECFE96CAEA6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4" id="{FF9957E8-2034-4489-8E42-93C697C026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A66BC6B-4986-432C-8C72-DE742B433F1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ADD494A-BD32-4C60-AFC3-18AE81A2625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1" id="{C857B528-0D77-4717-B67D-CDFB21DE80E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4B94CBD8-EDAD-4D7A-A69F-F4E65DDC00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1D866D6-4CDE-47CB-8D5B-311A59AC7DA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2" id="{41725C37-2BAD-4FE0-A1BC-0C7CCB4F1D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1470C08-9988-4428-B278-0BDC83B40ECE}">
          <x14:formula1>
            <xm:f>'Input|Setup'!$B$31:$B$49</xm:f>
          </x14:formula1>
          <xm:sqref>B10:B29 H10:H29</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68B2-B82C-46E3-A724-9478E892FCC2}">
  <sheetPr codeName="Sheet15">
    <tabColor theme="8" tint="0.79998168889431442"/>
  </sheetPr>
  <dimension ref="A1:HO1257"/>
  <sheetViews>
    <sheetView showGridLines="0" zoomScale="80" zoomScaleNormal="80" workbookViewId="0">
      <selection activeCell="H56" sqref="H56"/>
    </sheetView>
  </sheetViews>
  <sheetFormatPr defaultColWidth="0" defaultRowHeight="0" customHeight="1" zeroHeight="1" outlineLevelCol="1" x14ac:dyDescent="0.2"/>
  <cols>
    <col min="1" max="1" width="5.5703125" style="16" customWidth="1"/>
    <col min="2" max="2" width="20.5703125" style="8" customWidth="1"/>
    <col min="3" max="3" width="50.85546875" style="17" customWidth="1"/>
    <col min="4" max="4" width="15.28515625" style="17" customWidth="1"/>
    <col min="5" max="6" width="15.5703125" style="17" customWidth="1"/>
    <col min="7" max="7" width="6.140625" customWidth="1"/>
    <col min="8" max="8" width="15.28515625" style="2" customWidth="1"/>
    <col min="9" max="9" width="24.85546875" style="2" customWidth="1"/>
    <col min="10" max="11" width="15.5703125" style="2" customWidth="1"/>
    <col min="12" max="12" width="15.28515625" style="2" bestFit="1" customWidth="1"/>
    <col min="13" max="14" width="15.5703125" style="2" customWidth="1"/>
    <col min="15" max="15" width="7.7109375" style="2" customWidth="1" outlineLevel="1"/>
    <col min="16" max="16" width="18.85546875" style="2" customWidth="1" outlineLevel="1"/>
    <col min="17" max="17" width="8.5703125" style="2" bestFit="1" customWidth="1"/>
    <col min="18" max="18" width="12.42578125" style="2" customWidth="1"/>
    <col min="19" max="19" width="6.28515625" style="2" customWidth="1"/>
    <col min="20" max="23" width="15.5703125" style="2" customWidth="1"/>
    <col min="24" max="189" width="0" hidden="1" customWidth="1"/>
    <col min="190" max="200" width="8.7109375" hidden="1" customWidth="1"/>
    <col min="201" max="223" width="0" hidden="1" customWidth="1"/>
    <col min="224" max="16384" width="8.7109375" hidden="1"/>
  </cols>
  <sheetData>
    <row r="1" spans="1:23" s="27" customFormat="1" ht="24.95" customHeight="1" x14ac:dyDescent="0.2">
      <c r="B1" s="35" t="s">
        <v>51</v>
      </c>
      <c r="C1" s="28"/>
      <c r="D1" s="28" t="s">
        <v>115</v>
      </c>
      <c r="E1" s="37" t="s">
        <v>116</v>
      </c>
      <c r="F1" s="28"/>
      <c r="G1" s="28"/>
      <c r="H1" s="28"/>
      <c r="I1" s="28" t="s">
        <v>117</v>
      </c>
      <c r="J1" s="122">
        <v>0</v>
      </c>
      <c r="L1" s="28"/>
      <c r="M1" s="28"/>
      <c r="N1" s="28"/>
      <c r="O1" s="28"/>
      <c r="P1" s="28"/>
      <c r="Q1" s="28"/>
      <c r="R1" s="28"/>
      <c r="S1" s="28"/>
      <c r="T1" s="28"/>
      <c r="U1" s="28"/>
      <c r="V1" s="28"/>
      <c r="W1" s="28"/>
    </row>
    <row r="2" spans="1:23" s="38" customFormat="1" ht="24.95" customHeight="1" x14ac:dyDescent="0.2">
      <c r="B2" s="35" t="s">
        <v>74</v>
      </c>
      <c r="C2" s="28"/>
      <c r="D2" s="28"/>
      <c r="E2" s="69" t="s">
        <v>118</v>
      </c>
      <c r="H2" s="28"/>
      <c r="I2" s="28"/>
      <c r="J2" s="28"/>
      <c r="K2" s="28"/>
      <c r="L2" s="28"/>
      <c r="M2" s="28"/>
      <c r="N2" s="28"/>
      <c r="O2" s="28"/>
      <c r="P2" s="28"/>
      <c r="Q2" s="28"/>
      <c r="R2" s="28"/>
      <c r="S2" s="28"/>
      <c r="T2" s="28"/>
      <c r="U2" s="28"/>
      <c r="V2" s="28"/>
      <c r="W2" s="28"/>
    </row>
    <row r="3" spans="1:23" ht="7.5" hidden="1" customHeight="1" x14ac:dyDescent="0.2">
      <c r="A3" s="9"/>
      <c r="B3" s="6"/>
      <c r="C3" s="10"/>
      <c r="D3" s="10"/>
      <c r="E3" s="10"/>
      <c r="F3" s="10"/>
      <c r="G3" s="10"/>
      <c r="H3" s="10"/>
      <c r="I3" s="10"/>
      <c r="J3" s="10"/>
      <c r="K3" s="10"/>
      <c r="L3" s="10"/>
      <c r="M3" s="10"/>
      <c r="N3" s="10"/>
      <c r="O3" s="10"/>
      <c r="P3" s="10"/>
      <c r="Q3" s="10"/>
      <c r="R3" s="10"/>
      <c r="S3" s="10"/>
      <c r="T3" s="10"/>
      <c r="U3" s="10"/>
      <c r="V3" s="10"/>
      <c r="W3" s="10"/>
    </row>
    <row r="4" spans="1:23" ht="12.75" hidden="1" x14ac:dyDescent="0.2">
      <c r="A4" s="9"/>
      <c r="B4" s="6"/>
      <c r="C4" s="10"/>
      <c r="D4" s="10"/>
      <c r="E4" s="10"/>
      <c r="F4" s="10"/>
      <c r="G4" s="5"/>
      <c r="H4" s="5"/>
      <c r="I4" s="5"/>
      <c r="J4" s="5"/>
      <c r="K4" s="5"/>
      <c r="L4" s="5"/>
      <c r="M4" s="5"/>
      <c r="N4" s="5"/>
      <c r="O4" s="5"/>
      <c r="P4" s="5"/>
      <c r="Q4" s="5"/>
      <c r="R4" s="5"/>
      <c r="S4" s="5"/>
      <c r="T4" s="5"/>
      <c r="U4" s="5"/>
      <c r="V4" s="5"/>
      <c r="W4" s="5"/>
    </row>
    <row r="5" spans="1:23" ht="12.75" x14ac:dyDescent="0.2">
      <c r="A5" s="9"/>
      <c r="B5" s="6"/>
      <c r="C5" s="10"/>
      <c r="D5" s="10"/>
      <c r="E5" s="10"/>
      <c r="F5" s="10"/>
      <c r="G5" s="5"/>
      <c r="H5" s="5"/>
      <c r="I5" s="5"/>
      <c r="J5" s="5"/>
      <c r="K5" s="5"/>
      <c r="L5" s="5"/>
      <c r="M5" s="5"/>
      <c r="N5" s="5"/>
      <c r="O5" s="5"/>
      <c r="P5" s="5"/>
      <c r="Q5" s="5"/>
      <c r="R5" s="5"/>
      <c r="S5" s="5"/>
      <c r="T5" s="5"/>
      <c r="U5" s="5"/>
      <c r="V5" s="5"/>
      <c r="W5" s="5"/>
    </row>
    <row r="6" spans="1:23" s="5" customFormat="1" ht="15" customHeight="1" x14ac:dyDescent="0.25">
      <c r="A6" s="22"/>
      <c r="B6" s="22" t="s">
        <v>775</v>
      </c>
      <c r="C6" s="22"/>
      <c r="D6" s="22"/>
      <c r="E6" s="22"/>
      <c r="F6" s="42"/>
      <c r="G6" s="42"/>
      <c r="H6" s="42"/>
      <c r="I6" s="42"/>
      <c r="J6" s="42"/>
      <c r="K6" s="42"/>
      <c r="L6" s="42"/>
      <c r="M6" s="42"/>
      <c r="N6" s="42"/>
      <c r="O6" s="42"/>
      <c r="P6" s="42"/>
      <c r="Q6" s="42"/>
      <c r="R6" s="42"/>
      <c r="S6" s="42"/>
      <c r="T6" s="42"/>
      <c r="U6" s="42"/>
      <c r="V6" s="42"/>
      <c r="W6" s="42"/>
    </row>
    <row r="7" spans="1:23" s="5" customFormat="1" ht="8.25" customHeight="1" x14ac:dyDescent="0.25">
      <c r="A7" s="50"/>
      <c r="B7" s="50"/>
      <c r="C7" s="50"/>
      <c r="D7" s="50"/>
      <c r="E7" s="50"/>
      <c r="F7" s="52"/>
      <c r="G7" s="52"/>
      <c r="H7" s="52"/>
      <c r="I7" s="52"/>
      <c r="J7" s="19"/>
      <c r="K7" s="19"/>
      <c r="L7" s="19"/>
      <c r="M7" s="19"/>
      <c r="N7" s="19"/>
      <c r="O7" s="19"/>
      <c r="P7" s="19"/>
      <c r="Q7" s="19"/>
      <c r="R7" s="52"/>
      <c r="S7" s="52"/>
      <c r="T7" s="52"/>
      <c r="U7" s="52"/>
      <c r="V7" s="52"/>
      <c r="W7" s="52"/>
    </row>
    <row r="8" spans="1:23" ht="15" customHeight="1" x14ac:dyDescent="0.2">
      <c r="A8" s="9"/>
      <c r="B8" s="127" t="s">
        <v>589</v>
      </c>
      <c r="C8" s="127"/>
      <c r="D8" s="127"/>
      <c r="E8" s="127"/>
      <c r="F8" s="127"/>
      <c r="G8" s="101">
        <v>0</v>
      </c>
      <c r="H8" s="127" t="s">
        <v>590</v>
      </c>
      <c r="I8" s="127"/>
      <c r="J8" s="128"/>
      <c r="K8" s="128"/>
      <c r="L8" s="128"/>
      <c r="M8" s="101">
        <v>0</v>
      </c>
    </row>
    <row r="9" spans="1:23" s="12" customFormat="1" ht="34.5" customHeight="1" x14ac:dyDescent="0.2">
      <c r="A9" s="182"/>
      <c r="B9" s="182" t="s">
        <v>602</v>
      </c>
      <c r="C9" s="182" t="s">
        <v>603</v>
      </c>
      <c r="D9" s="182" t="s">
        <v>415</v>
      </c>
      <c r="E9" s="183" t="s">
        <v>416</v>
      </c>
      <c r="F9" s="184" t="s">
        <v>604</v>
      </c>
      <c r="G9" s="101"/>
      <c r="H9" s="182" t="s">
        <v>602</v>
      </c>
      <c r="I9" s="182" t="s">
        <v>603</v>
      </c>
      <c r="J9" s="182" t="s">
        <v>415</v>
      </c>
      <c r="K9" s="183" t="s">
        <v>416</v>
      </c>
      <c r="L9" s="184" t="s">
        <v>416</v>
      </c>
      <c r="M9" s="101"/>
    </row>
    <row r="10" spans="1:23" ht="12.75" x14ac:dyDescent="0.2">
      <c r="A10" s="15">
        <v>1</v>
      </c>
      <c r="B10" s="121"/>
      <c r="C10" s="158"/>
      <c r="D10" s="155"/>
      <c r="E10" s="151"/>
      <c r="F10" s="166">
        <v>0</v>
      </c>
      <c r="G10" s="101">
        <v>0</v>
      </c>
      <c r="H10" s="121"/>
      <c r="I10" s="158"/>
      <c r="J10" s="121"/>
      <c r="K10" s="151"/>
      <c r="L10" s="164">
        <v>0</v>
      </c>
      <c r="M10" s="101">
        <v>0</v>
      </c>
    </row>
    <row r="11" spans="1:23" ht="12.75" x14ac:dyDescent="0.2">
      <c r="A11" s="15">
        <v>2</v>
      </c>
      <c r="B11" s="121"/>
      <c r="C11" s="158"/>
      <c r="D11" s="155"/>
      <c r="E11" s="151"/>
      <c r="F11" s="166">
        <v>0</v>
      </c>
      <c r="G11" s="101">
        <v>0</v>
      </c>
      <c r="H11" s="121"/>
      <c r="I11" s="158"/>
      <c r="J11" s="121"/>
      <c r="K11" s="151"/>
      <c r="L11" s="164">
        <v>0</v>
      </c>
      <c r="M11" s="101">
        <v>0</v>
      </c>
    </row>
    <row r="12" spans="1:23" ht="12.75" x14ac:dyDescent="0.2">
      <c r="A12" s="15">
        <v>3</v>
      </c>
      <c r="B12" s="121"/>
      <c r="C12" s="158"/>
      <c r="D12" s="155"/>
      <c r="E12" s="151"/>
      <c r="F12" s="166">
        <v>0</v>
      </c>
      <c r="G12" s="101">
        <v>0</v>
      </c>
      <c r="H12" s="121"/>
      <c r="I12" s="158"/>
      <c r="J12" s="121"/>
      <c r="K12" s="151"/>
      <c r="L12" s="164">
        <v>0</v>
      </c>
      <c r="M12" s="101">
        <v>0</v>
      </c>
    </row>
    <row r="13" spans="1:23" ht="12.75" x14ac:dyDescent="0.2">
      <c r="A13" s="15">
        <v>4</v>
      </c>
      <c r="B13" s="121"/>
      <c r="C13" s="158"/>
      <c r="D13" s="155"/>
      <c r="E13" s="151"/>
      <c r="F13" s="166">
        <v>0</v>
      </c>
      <c r="G13" s="101">
        <v>0</v>
      </c>
      <c r="H13" s="121"/>
      <c r="I13" s="158"/>
      <c r="J13" s="121"/>
      <c r="K13" s="151"/>
      <c r="L13" s="164">
        <v>0</v>
      </c>
      <c r="M13" s="101">
        <v>0</v>
      </c>
    </row>
    <row r="14" spans="1:23" ht="12.75" x14ac:dyDescent="0.2">
      <c r="A14" s="15">
        <v>5</v>
      </c>
      <c r="B14" s="121"/>
      <c r="C14" s="158"/>
      <c r="D14" s="155"/>
      <c r="E14" s="151"/>
      <c r="F14" s="166">
        <v>0</v>
      </c>
      <c r="G14" s="101">
        <v>0</v>
      </c>
      <c r="H14" s="121"/>
      <c r="I14" s="158"/>
      <c r="J14" s="121"/>
      <c r="K14" s="151"/>
      <c r="L14" s="164">
        <v>0</v>
      </c>
      <c r="M14" s="101">
        <v>0</v>
      </c>
    </row>
    <row r="15" spans="1:23" ht="12.75" x14ac:dyDescent="0.2">
      <c r="A15" s="15">
        <v>6</v>
      </c>
      <c r="B15" s="121"/>
      <c r="C15" s="158"/>
      <c r="D15" s="155"/>
      <c r="E15" s="151"/>
      <c r="F15" s="166">
        <v>0</v>
      </c>
      <c r="G15" s="101">
        <v>0</v>
      </c>
      <c r="H15" s="121"/>
      <c r="I15" s="158"/>
      <c r="J15" s="121"/>
      <c r="K15" s="151"/>
      <c r="L15" s="164">
        <v>0</v>
      </c>
      <c r="M15" s="101">
        <v>0</v>
      </c>
    </row>
    <row r="16" spans="1:23" ht="12.75" x14ac:dyDescent="0.2">
      <c r="A16" s="15">
        <v>7</v>
      </c>
      <c r="B16" s="121"/>
      <c r="C16" s="158"/>
      <c r="D16" s="155"/>
      <c r="E16" s="151"/>
      <c r="F16" s="166">
        <v>0</v>
      </c>
      <c r="G16" s="101">
        <v>0</v>
      </c>
      <c r="H16" s="121"/>
      <c r="I16" s="158"/>
      <c r="J16" s="155"/>
      <c r="K16" s="151"/>
      <c r="L16" s="164">
        <v>0</v>
      </c>
      <c r="M16" s="101">
        <v>0</v>
      </c>
    </row>
    <row r="17" spans="1:24" ht="12.75" x14ac:dyDescent="0.2">
      <c r="A17" s="15">
        <v>8</v>
      </c>
      <c r="B17" s="121"/>
      <c r="C17" s="158"/>
      <c r="D17" s="155"/>
      <c r="E17" s="151"/>
      <c r="F17" s="166">
        <v>0</v>
      </c>
      <c r="G17" s="101">
        <v>0</v>
      </c>
      <c r="H17" s="121"/>
      <c r="I17" s="158"/>
      <c r="J17" s="155"/>
      <c r="K17" s="151"/>
      <c r="L17" s="164">
        <v>0</v>
      </c>
      <c r="M17" s="101">
        <v>0</v>
      </c>
    </row>
    <row r="18" spans="1:24" ht="12.75" x14ac:dyDescent="0.2">
      <c r="A18" s="15">
        <v>9</v>
      </c>
      <c r="B18" s="121"/>
      <c r="C18" s="158"/>
      <c r="D18" s="155"/>
      <c r="E18" s="151"/>
      <c r="F18" s="166">
        <v>0</v>
      </c>
      <c r="G18" s="101">
        <v>0</v>
      </c>
      <c r="H18" s="121"/>
      <c r="I18" s="158"/>
      <c r="J18" s="155"/>
      <c r="K18" s="151"/>
      <c r="L18" s="164">
        <v>0</v>
      </c>
      <c r="M18" s="101">
        <v>0</v>
      </c>
    </row>
    <row r="19" spans="1:24" ht="12.75" x14ac:dyDescent="0.2">
      <c r="A19" s="15">
        <v>10</v>
      </c>
      <c r="B19" s="121"/>
      <c r="C19" s="158"/>
      <c r="D19" s="155"/>
      <c r="E19" s="151"/>
      <c r="F19" s="166">
        <v>0</v>
      </c>
      <c r="G19" s="101">
        <v>0</v>
      </c>
      <c r="H19" s="121"/>
      <c r="I19" s="158"/>
      <c r="J19" s="155"/>
      <c r="K19" s="151"/>
      <c r="L19" s="164">
        <v>0</v>
      </c>
      <c r="M19" s="101">
        <v>0</v>
      </c>
    </row>
    <row r="20" spans="1:24" ht="12.75" x14ac:dyDescent="0.2">
      <c r="A20" s="15">
        <v>11</v>
      </c>
      <c r="B20" s="121"/>
      <c r="C20" s="158"/>
      <c r="D20" s="155"/>
      <c r="E20" s="151"/>
      <c r="F20" s="166">
        <v>0</v>
      </c>
      <c r="G20" s="101">
        <v>0</v>
      </c>
      <c r="H20" s="121"/>
      <c r="I20" s="158"/>
      <c r="J20" s="155"/>
      <c r="K20" s="151"/>
      <c r="L20" s="164">
        <v>0</v>
      </c>
      <c r="M20" s="101">
        <v>0</v>
      </c>
    </row>
    <row r="21" spans="1:24" ht="12.75" x14ac:dyDescent="0.2">
      <c r="A21" s="15">
        <v>12</v>
      </c>
      <c r="B21" s="121"/>
      <c r="C21" s="158"/>
      <c r="D21" s="155"/>
      <c r="E21" s="151"/>
      <c r="F21" s="166">
        <v>0</v>
      </c>
      <c r="G21" s="101">
        <v>0</v>
      </c>
      <c r="H21" s="121"/>
      <c r="I21" s="158"/>
      <c r="J21" s="155"/>
      <c r="K21" s="151"/>
      <c r="L21" s="164">
        <v>0</v>
      </c>
      <c r="M21" s="101">
        <v>0</v>
      </c>
    </row>
    <row r="22" spans="1:24" ht="12.75" x14ac:dyDescent="0.2">
      <c r="A22" s="15">
        <v>13</v>
      </c>
      <c r="B22" s="121"/>
      <c r="C22" s="158"/>
      <c r="D22" s="155"/>
      <c r="E22" s="151"/>
      <c r="F22" s="166">
        <v>0</v>
      </c>
      <c r="G22" s="101">
        <v>0</v>
      </c>
      <c r="H22" s="121"/>
      <c r="I22" s="158"/>
      <c r="J22" s="155"/>
      <c r="K22" s="151"/>
      <c r="L22" s="164">
        <v>0</v>
      </c>
      <c r="M22" s="101">
        <v>0</v>
      </c>
    </row>
    <row r="23" spans="1:24" ht="12.75" x14ac:dyDescent="0.2">
      <c r="A23" s="15">
        <v>14</v>
      </c>
      <c r="B23" s="121"/>
      <c r="C23" s="158"/>
      <c r="D23" s="155"/>
      <c r="E23" s="151"/>
      <c r="F23" s="166">
        <v>0</v>
      </c>
      <c r="G23" s="101">
        <v>0</v>
      </c>
      <c r="H23" s="121"/>
      <c r="I23" s="158"/>
      <c r="J23" s="155"/>
      <c r="K23" s="151"/>
      <c r="L23" s="164">
        <v>0</v>
      </c>
      <c r="M23" s="101">
        <v>0</v>
      </c>
    </row>
    <row r="24" spans="1:24" ht="12.75" x14ac:dyDescent="0.2">
      <c r="A24" s="15">
        <v>15</v>
      </c>
      <c r="B24" s="121"/>
      <c r="C24" s="158"/>
      <c r="D24" s="155"/>
      <c r="E24" s="151"/>
      <c r="F24" s="166">
        <v>0</v>
      </c>
      <c r="G24" s="101">
        <v>0</v>
      </c>
      <c r="H24" s="121"/>
      <c r="I24" s="158"/>
      <c r="J24" s="155"/>
      <c r="K24" s="151"/>
      <c r="L24" s="164">
        <v>0</v>
      </c>
      <c r="M24" s="101">
        <v>0</v>
      </c>
    </row>
    <row r="25" spans="1:24" ht="12.75" x14ac:dyDescent="0.2">
      <c r="A25" s="15">
        <v>16</v>
      </c>
      <c r="B25" s="121"/>
      <c r="C25" s="158"/>
      <c r="D25" s="155"/>
      <c r="E25" s="151"/>
      <c r="F25" s="166">
        <v>0</v>
      </c>
      <c r="G25" s="101">
        <v>0</v>
      </c>
      <c r="H25" s="121"/>
      <c r="I25" s="158"/>
      <c r="J25" s="155"/>
      <c r="K25" s="151"/>
      <c r="L25" s="164">
        <v>0</v>
      </c>
      <c r="M25" s="101">
        <v>0</v>
      </c>
    </row>
    <row r="26" spans="1:24" ht="12.75" x14ac:dyDescent="0.2">
      <c r="A26" s="15">
        <v>17</v>
      </c>
      <c r="B26" s="121"/>
      <c r="C26" s="158"/>
      <c r="D26" s="155"/>
      <c r="E26" s="151"/>
      <c r="F26" s="166">
        <v>0</v>
      </c>
      <c r="G26" s="101">
        <v>0</v>
      </c>
      <c r="H26" s="121"/>
      <c r="I26" s="158"/>
      <c r="J26" s="155"/>
      <c r="K26" s="151"/>
      <c r="L26" s="164">
        <v>0</v>
      </c>
      <c r="M26" s="101">
        <v>0</v>
      </c>
    </row>
    <row r="27" spans="1:24" ht="12.75" x14ac:dyDescent="0.2">
      <c r="A27" s="15">
        <v>18</v>
      </c>
      <c r="B27" s="121"/>
      <c r="C27" s="158"/>
      <c r="D27" s="155"/>
      <c r="E27" s="151"/>
      <c r="F27" s="166">
        <v>0</v>
      </c>
      <c r="G27" s="101">
        <v>0</v>
      </c>
      <c r="H27" s="121"/>
      <c r="I27" s="158"/>
      <c r="J27" s="155"/>
      <c r="K27" s="151"/>
      <c r="L27" s="164">
        <v>0</v>
      </c>
      <c r="M27" s="101">
        <v>0</v>
      </c>
    </row>
    <row r="28" spans="1:24" ht="12.75" x14ac:dyDescent="0.2">
      <c r="A28" s="15">
        <v>19</v>
      </c>
      <c r="B28" s="121"/>
      <c r="C28" s="158"/>
      <c r="D28" s="155"/>
      <c r="E28" s="151"/>
      <c r="F28" s="166">
        <v>0</v>
      </c>
      <c r="G28" s="101">
        <v>0</v>
      </c>
      <c r="H28" s="121"/>
      <c r="I28" s="158"/>
      <c r="J28" s="155"/>
      <c r="K28" s="151"/>
      <c r="L28" s="164">
        <v>0</v>
      </c>
      <c r="M28" s="101">
        <v>0</v>
      </c>
    </row>
    <row r="29" spans="1:24" ht="12.75" x14ac:dyDescent="0.2">
      <c r="A29" s="15">
        <v>20</v>
      </c>
      <c r="B29" s="121"/>
      <c r="C29" s="158"/>
      <c r="D29" s="155"/>
      <c r="E29" s="151"/>
      <c r="F29" s="166">
        <v>0</v>
      </c>
      <c r="G29" s="101">
        <v>0</v>
      </c>
      <c r="H29" s="121"/>
      <c r="I29" s="158"/>
      <c r="J29" s="155"/>
      <c r="K29" s="151"/>
      <c r="L29" s="164">
        <v>0</v>
      </c>
      <c r="M29" s="101">
        <v>0</v>
      </c>
    </row>
    <row r="30" spans="1:24" ht="13.5" thickBot="1" x14ac:dyDescent="0.25">
      <c r="A30" s="93"/>
      <c r="B30" s="117"/>
      <c r="C30" s="114"/>
      <c r="D30" s="114"/>
      <c r="E30" s="161" t="s">
        <v>624</v>
      </c>
      <c r="F30" s="161">
        <v>0</v>
      </c>
      <c r="G30" s="115"/>
      <c r="H30" s="6"/>
      <c r="I30" s="10"/>
      <c r="J30" s="10"/>
      <c r="K30" s="161" t="s">
        <v>624</v>
      </c>
      <c r="L30" s="161">
        <v>0</v>
      </c>
      <c r="M30" s="5"/>
      <c r="N30" s="61"/>
      <c r="O30"/>
    </row>
    <row r="31" spans="1:24" ht="12.75" x14ac:dyDescent="0.2">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x14ac:dyDescent="0.25">
      <c r="A32" s="22"/>
      <c r="B32" s="22" t="s">
        <v>776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5" x14ac:dyDescent="0.25">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2.75" x14ac:dyDescent="0.2">
      <c r="A34" s="93"/>
      <c r="B34" s="129" t="s">
        <v>276</v>
      </c>
      <c r="C34" s="53"/>
      <c r="D34" s="53"/>
      <c r="E34" s="53"/>
      <c r="F34" s="53"/>
      <c r="G34" s="101">
        <v>0</v>
      </c>
      <c r="H34" s="129" t="s">
        <v>625</v>
      </c>
      <c r="I34" s="53"/>
      <c r="J34" s="53"/>
      <c r="K34" s="53"/>
      <c r="L34" s="53"/>
      <c r="M34" s="53"/>
      <c r="N34" s="101">
        <v>0</v>
      </c>
      <c r="O34" s="129" t="s">
        <v>626</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x14ac:dyDescent="0.2">
      <c r="A35" s="182"/>
      <c r="B35" s="182" t="s">
        <v>579</v>
      </c>
      <c r="C35" s="182" t="s">
        <v>580</v>
      </c>
      <c r="D35" s="182" t="s">
        <v>627</v>
      </c>
      <c r="E35" s="185" t="s">
        <v>628</v>
      </c>
      <c r="F35" s="182" t="s">
        <v>629</v>
      </c>
      <c r="G35" s="101"/>
      <c r="H35" s="182" t="s">
        <v>631</v>
      </c>
      <c r="I35" s="182" t="s">
        <v>632</v>
      </c>
      <c r="J35" s="182" t="s">
        <v>627</v>
      </c>
      <c r="K35" s="185" t="s">
        <v>633</v>
      </c>
      <c r="L35" s="182" t="s">
        <v>634</v>
      </c>
      <c r="M35" s="182" t="s">
        <v>629</v>
      </c>
      <c r="N35" s="101"/>
      <c r="O35" s="182" t="s">
        <v>422</v>
      </c>
      <c r="P35" s="182" t="s">
        <v>635</v>
      </c>
      <c r="Q35" s="182" t="s">
        <v>629</v>
      </c>
      <c r="R35" s="101"/>
    </row>
    <row r="36" spans="1:195" ht="12.75" x14ac:dyDescent="0.2">
      <c r="A36" s="15">
        <v>1</v>
      </c>
      <c r="B36" s="542"/>
      <c r="C36" s="543"/>
      <c r="D36" s="544"/>
      <c r="E36" s="545"/>
      <c r="F36" s="546"/>
      <c r="G36" s="101">
        <v>0</v>
      </c>
      <c r="H36" s="156"/>
      <c r="I36" s="159"/>
      <c r="J36" s="121"/>
      <c r="K36" s="121"/>
      <c r="L36" s="169"/>
      <c r="M36" s="180">
        <v>0</v>
      </c>
      <c r="N36" s="101">
        <v>0</v>
      </c>
      <c r="O36" s="168"/>
      <c r="P36" s="169"/>
      <c r="Q36" s="180">
        <v>0</v>
      </c>
      <c r="R36" s="101">
        <v>0</v>
      </c>
    </row>
    <row r="37" spans="1:195" ht="12.75" x14ac:dyDescent="0.2">
      <c r="A37" s="15">
        <v>2</v>
      </c>
      <c r="B37" s="542"/>
      <c r="C37" s="543"/>
      <c r="D37" s="544"/>
      <c r="E37" s="545"/>
      <c r="F37" s="546"/>
      <c r="G37" s="101">
        <v>0</v>
      </c>
      <c r="H37" s="156"/>
      <c r="I37" s="159"/>
      <c r="J37" s="159"/>
      <c r="K37" s="121"/>
      <c r="L37" s="169"/>
      <c r="M37" s="180">
        <v>0</v>
      </c>
      <c r="N37" s="101">
        <v>0</v>
      </c>
      <c r="O37" s="168"/>
      <c r="P37" s="169"/>
      <c r="Q37" s="180">
        <v>0</v>
      </c>
      <c r="R37" s="101">
        <v>0</v>
      </c>
    </row>
    <row r="38" spans="1:195" ht="12.75" x14ac:dyDescent="0.2">
      <c r="A38" s="15">
        <v>3</v>
      </c>
      <c r="B38" s="542"/>
      <c r="C38" s="543"/>
      <c r="D38" s="544"/>
      <c r="E38" s="545"/>
      <c r="F38" s="546"/>
      <c r="G38" s="101">
        <v>0</v>
      </c>
      <c r="H38" s="156"/>
      <c r="I38" s="159"/>
      <c r="J38" s="159"/>
      <c r="K38" s="121"/>
      <c r="L38" s="169"/>
      <c r="M38" s="180">
        <v>0</v>
      </c>
      <c r="N38" s="101">
        <v>0</v>
      </c>
      <c r="O38" s="168"/>
      <c r="P38" s="169"/>
      <c r="Q38" s="180">
        <v>0</v>
      </c>
      <c r="R38" s="101">
        <v>0</v>
      </c>
    </row>
    <row r="39" spans="1:195" ht="12.75" x14ac:dyDescent="0.2">
      <c r="A39" s="15">
        <v>4</v>
      </c>
      <c r="B39" s="542"/>
      <c r="C39" s="543"/>
      <c r="D39" s="544"/>
      <c r="E39" s="545"/>
      <c r="F39" s="546"/>
      <c r="G39" s="101">
        <v>0</v>
      </c>
      <c r="H39" s="156"/>
      <c r="I39" s="159"/>
      <c r="J39" s="159"/>
      <c r="K39" s="121"/>
      <c r="L39" s="169"/>
      <c r="M39" s="180">
        <v>0</v>
      </c>
      <c r="N39" s="101">
        <v>0</v>
      </c>
      <c r="O39" s="168"/>
      <c r="P39" s="169"/>
      <c r="Q39" s="180">
        <v>0</v>
      </c>
      <c r="R39" s="101">
        <v>0</v>
      </c>
    </row>
    <row r="40" spans="1:195" ht="12.75" x14ac:dyDescent="0.2">
      <c r="A40" s="15">
        <v>5</v>
      </c>
      <c r="B40" s="542"/>
      <c r="C40" s="543"/>
      <c r="D40" s="544"/>
      <c r="E40" s="545"/>
      <c r="F40" s="546"/>
      <c r="G40" s="101">
        <v>0</v>
      </c>
      <c r="H40" s="156"/>
      <c r="I40" s="159"/>
      <c r="J40" s="159"/>
      <c r="K40" s="121"/>
      <c r="L40" s="169"/>
      <c r="M40" s="180">
        <v>0</v>
      </c>
      <c r="N40" s="101">
        <v>0</v>
      </c>
      <c r="O40" s="168"/>
      <c r="P40" s="169"/>
      <c r="Q40" s="180">
        <v>0</v>
      </c>
      <c r="R40" s="101">
        <v>0</v>
      </c>
    </row>
    <row r="41" spans="1:195" ht="12.75" x14ac:dyDescent="0.2">
      <c r="A41" s="15">
        <v>6</v>
      </c>
      <c r="B41" s="544"/>
      <c r="C41" s="548"/>
      <c r="D41" s="550"/>
      <c r="E41" s="545"/>
      <c r="F41" s="546"/>
      <c r="G41" s="101">
        <v>0</v>
      </c>
      <c r="H41" s="156"/>
      <c r="I41" s="159"/>
      <c r="J41" s="159"/>
      <c r="K41" s="121"/>
      <c r="L41" s="169"/>
      <c r="M41" s="180">
        <v>0</v>
      </c>
      <c r="N41" s="101">
        <v>0</v>
      </c>
      <c r="O41" s="168"/>
      <c r="P41" s="169"/>
      <c r="Q41" s="180">
        <v>0</v>
      </c>
      <c r="R41" s="101">
        <v>0</v>
      </c>
    </row>
    <row r="42" spans="1:195" ht="12.75" x14ac:dyDescent="0.2">
      <c r="A42" s="15">
        <v>7</v>
      </c>
      <c r="B42" s="550"/>
      <c r="C42" s="548"/>
      <c r="D42" s="550"/>
      <c r="E42" s="545"/>
      <c r="F42" s="546"/>
      <c r="G42" s="101">
        <v>0</v>
      </c>
      <c r="H42" s="156"/>
      <c r="I42" s="159"/>
      <c r="J42" s="159"/>
      <c r="K42" s="121"/>
      <c r="L42" s="169"/>
      <c r="M42" s="180">
        <v>0</v>
      </c>
      <c r="N42" s="101">
        <v>0</v>
      </c>
      <c r="O42" s="168"/>
      <c r="P42" s="169"/>
      <c r="Q42" s="180">
        <v>0</v>
      </c>
      <c r="R42" s="101">
        <v>0</v>
      </c>
    </row>
    <row r="43" spans="1:195" ht="12.75" x14ac:dyDescent="0.2">
      <c r="A43" s="15">
        <v>8</v>
      </c>
      <c r="B43" s="550"/>
      <c r="C43" s="548"/>
      <c r="D43" s="550"/>
      <c r="E43" s="545"/>
      <c r="F43" s="546"/>
      <c r="G43" s="101">
        <v>0</v>
      </c>
      <c r="H43" s="156"/>
      <c r="I43" s="159"/>
      <c r="J43" s="159"/>
      <c r="K43" s="121"/>
      <c r="L43" s="169"/>
      <c r="M43" s="180">
        <v>0</v>
      </c>
      <c r="N43" s="101">
        <v>0</v>
      </c>
      <c r="O43" s="168"/>
      <c r="P43" s="169"/>
      <c r="Q43" s="180">
        <v>0</v>
      </c>
      <c r="R43" s="101">
        <v>0</v>
      </c>
    </row>
    <row r="44" spans="1:195" ht="12.75" x14ac:dyDescent="0.2">
      <c r="A44" s="15">
        <v>9</v>
      </c>
      <c r="B44" s="550"/>
      <c r="C44" s="548"/>
      <c r="D44" s="550"/>
      <c r="E44" s="545"/>
      <c r="F44" s="546"/>
      <c r="G44" s="101">
        <v>0</v>
      </c>
      <c r="H44" s="156"/>
      <c r="I44" s="159"/>
      <c r="J44" s="159"/>
      <c r="K44" s="121"/>
      <c r="L44" s="169"/>
      <c r="M44" s="180">
        <v>0</v>
      </c>
      <c r="N44" s="101">
        <v>0</v>
      </c>
      <c r="O44" s="168"/>
      <c r="P44" s="169"/>
      <c r="Q44" s="180">
        <v>0</v>
      </c>
      <c r="R44" s="101">
        <v>0</v>
      </c>
    </row>
    <row r="45" spans="1:195" ht="12.75" x14ac:dyDescent="0.2">
      <c r="A45" s="15">
        <v>10</v>
      </c>
      <c r="B45" s="550"/>
      <c r="C45" s="548"/>
      <c r="D45" s="550"/>
      <c r="E45" s="545"/>
      <c r="F45" s="546"/>
      <c r="G45" s="101">
        <v>0</v>
      </c>
      <c r="H45" s="156"/>
      <c r="I45" s="159"/>
      <c r="J45" s="159"/>
      <c r="K45" s="121"/>
      <c r="L45" s="169"/>
      <c r="M45" s="180">
        <v>0</v>
      </c>
      <c r="N45" s="101">
        <v>0</v>
      </c>
      <c r="O45" s="168"/>
      <c r="P45" s="169"/>
      <c r="Q45" s="180">
        <v>0</v>
      </c>
      <c r="R45" s="101">
        <v>0</v>
      </c>
    </row>
    <row r="46" spans="1:195" ht="12.75" x14ac:dyDescent="0.2">
      <c r="A46" s="15">
        <v>11</v>
      </c>
      <c r="B46" s="544"/>
      <c r="C46" s="548"/>
      <c r="D46" s="544"/>
      <c r="E46" s="545"/>
      <c r="F46" s="546"/>
      <c r="G46" s="101">
        <v>0</v>
      </c>
      <c r="H46" s="156"/>
      <c r="I46" s="159"/>
      <c r="J46" s="159"/>
      <c r="K46" s="121"/>
      <c r="L46" s="169"/>
      <c r="M46" s="180">
        <v>0</v>
      </c>
      <c r="N46" s="101">
        <v>0</v>
      </c>
      <c r="O46" s="168"/>
      <c r="P46" s="169"/>
      <c r="Q46" s="180">
        <v>0</v>
      </c>
      <c r="R46" s="101">
        <v>0</v>
      </c>
    </row>
    <row r="47" spans="1:195" ht="12.75" x14ac:dyDescent="0.2">
      <c r="A47" s="15">
        <v>12</v>
      </c>
      <c r="B47" s="544"/>
      <c r="C47" s="548"/>
      <c r="D47" s="544"/>
      <c r="E47" s="545"/>
      <c r="F47" s="546"/>
      <c r="G47" s="101">
        <v>0</v>
      </c>
      <c r="H47" s="156"/>
      <c r="I47" s="159"/>
      <c r="J47" s="159"/>
      <c r="K47" s="121"/>
      <c r="L47" s="169"/>
      <c r="M47" s="180">
        <v>0</v>
      </c>
      <c r="N47" s="101">
        <v>0</v>
      </c>
      <c r="O47" s="168"/>
      <c r="P47" s="169"/>
      <c r="Q47" s="180">
        <v>0</v>
      </c>
      <c r="R47" s="101">
        <v>0</v>
      </c>
    </row>
    <row r="48" spans="1:195" ht="12.75" x14ac:dyDescent="0.2">
      <c r="A48" s="15">
        <v>13</v>
      </c>
      <c r="B48" s="544"/>
      <c r="C48" s="548"/>
      <c r="D48" s="544"/>
      <c r="E48" s="545"/>
      <c r="F48" s="546"/>
      <c r="G48" s="101">
        <v>0</v>
      </c>
      <c r="H48" s="156"/>
      <c r="I48" s="159"/>
      <c r="J48" s="159"/>
      <c r="K48" s="121"/>
      <c r="L48" s="169"/>
      <c r="M48" s="180">
        <v>0</v>
      </c>
      <c r="N48" s="101">
        <v>0</v>
      </c>
      <c r="O48" s="168"/>
      <c r="P48" s="169"/>
      <c r="Q48" s="180">
        <v>0</v>
      </c>
      <c r="R48" s="101">
        <v>0</v>
      </c>
    </row>
    <row r="49" spans="1:18" ht="12.75" x14ac:dyDescent="0.2">
      <c r="A49" s="15">
        <v>14</v>
      </c>
      <c r="B49" s="544"/>
      <c r="C49" s="548"/>
      <c r="D49" s="544"/>
      <c r="E49" s="545"/>
      <c r="F49" s="546"/>
      <c r="G49" s="101">
        <v>0</v>
      </c>
      <c r="H49" s="156"/>
      <c r="I49" s="159"/>
      <c r="J49" s="159"/>
      <c r="K49" s="121"/>
      <c r="L49" s="169"/>
      <c r="M49" s="180">
        <v>0</v>
      </c>
      <c r="N49" s="101">
        <v>0</v>
      </c>
      <c r="O49" s="168"/>
      <c r="P49" s="169"/>
      <c r="Q49" s="180">
        <v>0</v>
      </c>
      <c r="R49" s="101">
        <v>0</v>
      </c>
    </row>
    <row r="50" spans="1:18" ht="12.75" x14ac:dyDescent="0.2">
      <c r="A50" s="15">
        <v>15</v>
      </c>
      <c r="B50" s="544"/>
      <c r="C50" s="548"/>
      <c r="D50" s="544"/>
      <c r="E50" s="545"/>
      <c r="F50" s="546"/>
      <c r="G50" s="101">
        <v>0</v>
      </c>
      <c r="H50" s="156"/>
      <c r="I50" s="159"/>
      <c r="J50" s="159"/>
      <c r="K50" s="121"/>
      <c r="L50" s="169"/>
      <c r="M50" s="180">
        <v>0</v>
      </c>
      <c r="N50" s="101">
        <v>0</v>
      </c>
      <c r="O50" s="168"/>
      <c r="P50" s="169"/>
      <c r="Q50" s="180">
        <v>0</v>
      </c>
      <c r="R50" s="101">
        <v>0</v>
      </c>
    </row>
    <row r="51" spans="1:18" ht="12.75" x14ac:dyDescent="0.2">
      <c r="A51" s="15">
        <v>16</v>
      </c>
      <c r="B51" s="544"/>
      <c r="C51" s="548"/>
      <c r="D51" s="544"/>
      <c r="E51" s="545"/>
      <c r="F51" s="546"/>
      <c r="G51" s="101">
        <v>0</v>
      </c>
      <c r="H51" s="156"/>
      <c r="I51" s="159"/>
      <c r="J51" s="159"/>
      <c r="K51" s="121"/>
      <c r="L51" s="169"/>
      <c r="M51" s="180">
        <v>0</v>
      </c>
      <c r="N51" s="101">
        <v>0</v>
      </c>
      <c r="O51" s="168"/>
      <c r="P51" s="169"/>
      <c r="Q51" s="180">
        <v>0</v>
      </c>
      <c r="R51" s="101">
        <v>0</v>
      </c>
    </row>
    <row r="52" spans="1:18" ht="12.75" x14ac:dyDescent="0.2">
      <c r="A52" s="15">
        <v>17</v>
      </c>
      <c r="B52" s="544"/>
      <c r="C52" s="548"/>
      <c r="D52" s="544"/>
      <c r="E52" s="545"/>
      <c r="F52" s="546"/>
      <c r="G52" s="101">
        <v>0</v>
      </c>
      <c r="H52" s="156"/>
      <c r="I52" s="159"/>
      <c r="J52" s="159"/>
      <c r="K52" s="121"/>
      <c r="L52" s="169"/>
      <c r="M52" s="180">
        <v>0</v>
      </c>
      <c r="N52" s="101">
        <v>0</v>
      </c>
      <c r="O52" s="168"/>
      <c r="P52" s="169"/>
      <c r="Q52" s="180">
        <v>0</v>
      </c>
      <c r="R52" s="101">
        <v>0</v>
      </c>
    </row>
    <row r="53" spans="1:18" ht="12.75" x14ac:dyDescent="0.2">
      <c r="A53" s="15">
        <v>18</v>
      </c>
      <c r="B53" s="544"/>
      <c r="C53" s="548"/>
      <c r="D53" s="544"/>
      <c r="E53" s="545"/>
      <c r="F53" s="546"/>
      <c r="G53" s="101">
        <v>0</v>
      </c>
      <c r="H53" s="156"/>
      <c r="I53" s="159"/>
      <c r="J53" s="159"/>
      <c r="K53" s="121"/>
      <c r="L53" s="169"/>
      <c r="M53" s="180">
        <v>0</v>
      </c>
      <c r="N53" s="101">
        <v>0</v>
      </c>
      <c r="O53" s="168"/>
      <c r="P53" s="169"/>
      <c r="Q53" s="180">
        <v>0</v>
      </c>
      <c r="R53" s="101">
        <v>0</v>
      </c>
    </row>
    <row r="54" spans="1:18" ht="12.75" x14ac:dyDescent="0.2">
      <c r="A54" s="15">
        <v>19</v>
      </c>
      <c r="B54" s="544"/>
      <c r="C54" s="548"/>
      <c r="D54" s="544"/>
      <c r="E54" s="545"/>
      <c r="F54" s="546"/>
      <c r="G54" s="101">
        <v>0</v>
      </c>
      <c r="H54" s="156"/>
      <c r="I54" s="159"/>
      <c r="J54" s="159"/>
      <c r="K54" s="121"/>
      <c r="L54" s="169"/>
      <c r="M54" s="180">
        <v>0</v>
      </c>
      <c r="N54" s="101">
        <v>0</v>
      </c>
      <c r="O54" s="168"/>
      <c r="P54" s="169"/>
      <c r="Q54" s="180">
        <v>0</v>
      </c>
      <c r="R54" s="101">
        <v>0</v>
      </c>
    </row>
    <row r="55" spans="1:18" ht="12.75" x14ac:dyDescent="0.2">
      <c r="A55" s="15">
        <v>20</v>
      </c>
      <c r="B55" s="544"/>
      <c r="C55" s="548"/>
      <c r="D55" s="544"/>
      <c r="E55" s="545"/>
      <c r="F55" s="549"/>
      <c r="G55" s="101">
        <v>0</v>
      </c>
      <c r="H55" s="156"/>
      <c r="I55" s="159"/>
      <c r="J55" s="159"/>
      <c r="K55" s="121"/>
      <c r="L55" s="169"/>
      <c r="M55" s="181">
        <v>0</v>
      </c>
      <c r="N55" s="101">
        <v>0</v>
      </c>
      <c r="O55" s="168"/>
      <c r="P55" s="169"/>
      <c r="Q55" s="181">
        <v>0</v>
      </c>
      <c r="R55" s="101">
        <v>0</v>
      </c>
    </row>
    <row r="56" spans="1:18" ht="13.5" thickBot="1" x14ac:dyDescent="0.25">
      <c r="E56" s="161" t="s">
        <v>643</v>
      </c>
      <c r="F56" s="162">
        <v>0</v>
      </c>
      <c r="G56" s="17"/>
      <c r="H56"/>
      <c r="L56" s="161" t="s">
        <v>639</v>
      </c>
      <c r="M56" s="162">
        <v>0</v>
      </c>
      <c r="O56"/>
      <c r="P56" s="161" t="s">
        <v>640</v>
      </c>
      <c r="Q56" s="162">
        <v>0</v>
      </c>
    </row>
    <row r="57" spans="1:18" ht="12.95" customHeight="1" x14ac:dyDescent="0.2"/>
    <row r="58" spans="1:18" ht="12.95" customHeight="1" x14ac:dyDescent="0.2"/>
    <row r="59" spans="1:18" ht="12.95" customHeight="1" x14ac:dyDescent="0.2"/>
    <row r="60" spans="1:18" ht="12.95" customHeight="1" x14ac:dyDescent="0.2"/>
    <row r="61" spans="1:18" ht="12.95" customHeight="1" x14ac:dyDescent="0.2"/>
    <row r="62" spans="1:18" ht="12.95" customHeight="1" x14ac:dyDescent="0.2"/>
    <row r="63" spans="1:18" ht="12.95" customHeight="1" x14ac:dyDescent="0.2"/>
    <row r="64" spans="1:18" ht="12.95" customHeight="1" x14ac:dyDescent="0.2"/>
    <row r="65" ht="12.95" customHeight="1" x14ac:dyDescent="0.2"/>
    <row r="66" ht="12.95" customHeight="1" x14ac:dyDescent="0.2"/>
    <row r="67" ht="12.95" customHeight="1" x14ac:dyDescent="0.2"/>
    <row r="68" ht="12.95" customHeight="1" x14ac:dyDescent="0.2"/>
    <row r="69" ht="12.95" customHeight="1" x14ac:dyDescent="0.2"/>
    <row r="70" ht="12.95" customHeight="1" x14ac:dyDescent="0.2"/>
    <row r="71" ht="12.95" customHeight="1" x14ac:dyDescent="0.2"/>
    <row r="72" ht="12.95" customHeight="1" x14ac:dyDescent="0.2"/>
    <row r="73" ht="12.95" customHeight="1" x14ac:dyDescent="0.2"/>
    <row r="74" ht="12.95" customHeight="1" x14ac:dyDescent="0.2"/>
    <row r="75" ht="12.95" customHeight="1" x14ac:dyDescent="0.2"/>
    <row r="76" ht="12.95" customHeight="1" x14ac:dyDescent="0.2"/>
    <row r="77" ht="12.95" customHeight="1" x14ac:dyDescent="0.2"/>
    <row r="78" ht="12.95" customHeight="1" x14ac:dyDescent="0.2"/>
    <row r="79" ht="12.95" customHeight="1" x14ac:dyDescent="0.2"/>
    <row r="80" ht="12.95" customHeight="1" x14ac:dyDescent="0.2"/>
    <row r="81" ht="12.95" customHeight="1" x14ac:dyDescent="0.2"/>
    <row r="82" ht="12.95" customHeight="1" x14ac:dyDescent="0.2"/>
    <row r="83" ht="12.95" customHeight="1" x14ac:dyDescent="0.2"/>
    <row r="84" ht="12.95" customHeight="1" x14ac:dyDescent="0.2"/>
    <row r="85" ht="12.95" customHeight="1" x14ac:dyDescent="0.2"/>
    <row r="86" ht="12.95" customHeight="1" x14ac:dyDescent="0.2"/>
    <row r="87" ht="12.95" customHeight="1" x14ac:dyDescent="0.2"/>
    <row r="88" ht="12.95" customHeight="1" x14ac:dyDescent="0.2"/>
    <row r="89" ht="12.95" customHeight="1" x14ac:dyDescent="0.2"/>
    <row r="90" ht="12.95" customHeight="1" x14ac:dyDescent="0.2"/>
    <row r="91" ht="12.95" customHeight="1" x14ac:dyDescent="0.2"/>
    <row r="92" ht="12.95" customHeight="1" x14ac:dyDescent="0.2"/>
    <row r="93" ht="12.95" customHeight="1" x14ac:dyDescent="0.2"/>
    <row r="94" ht="12.95" customHeight="1" x14ac:dyDescent="0.2"/>
    <row r="95" ht="12.95" customHeight="1" x14ac:dyDescent="0.2"/>
    <row r="96"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row r="154" ht="12.95" customHeight="1" x14ac:dyDescent="0.2"/>
    <row r="155" ht="12.95" customHeight="1" x14ac:dyDescent="0.2"/>
    <row r="156" ht="12.95" customHeight="1" x14ac:dyDescent="0.2"/>
    <row r="157" ht="12.95" customHeight="1" x14ac:dyDescent="0.2"/>
    <row r="158" ht="12.95" customHeight="1" x14ac:dyDescent="0.2"/>
    <row r="159" ht="12.95" customHeight="1" x14ac:dyDescent="0.2"/>
    <row r="160" ht="12.95" customHeight="1" x14ac:dyDescent="0.2"/>
    <row r="161" ht="12.95" customHeight="1" x14ac:dyDescent="0.2"/>
    <row r="162" ht="12.95" customHeight="1" x14ac:dyDescent="0.2"/>
    <row r="163" ht="12.95" customHeight="1" x14ac:dyDescent="0.2"/>
    <row r="164" ht="12.95" customHeight="1" x14ac:dyDescent="0.2"/>
    <row r="165" ht="12.95" customHeight="1" x14ac:dyDescent="0.2"/>
    <row r="166" ht="12.95" customHeight="1" x14ac:dyDescent="0.2"/>
    <row r="167" ht="12.95" customHeight="1" x14ac:dyDescent="0.2"/>
    <row r="168" ht="12.95" customHeight="1" x14ac:dyDescent="0.2"/>
    <row r="169" ht="12.95" customHeight="1" x14ac:dyDescent="0.2"/>
    <row r="170" ht="12.95" customHeight="1" x14ac:dyDescent="0.2"/>
    <row r="171" ht="12.95" customHeight="1" x14ac:dyDescent="0.2"/>
    <row r="172" ht="12.95" customHeight="1" x14ac:dyDescent="0.2"/>
    <row r="173" ht="12.95" customHeight="1" x14ac:dyDescent="0.2"/>
    <row r="174" ht="12.95" customHeight="1" x14ac:dyDescent="0.2"/>
    <row r="175" ht="12.95" customHeight="1" x14ac:dyDescent="0.2"/>
    <row r="176" ht="12.95" customHeight="1" x14ac:dyDescent="0.2"/>
    <row r="177" ht="12.95" customHeight="1" x14ac:dyDescent="0.2"/>
    <row r="178" ht="12.95" customHeight="1" x14ac:dyDescent="0.2"/>
    <row r="179" ht="12.95" customHeight="1" x14ac:dyDescent="0.2"/>
    <row r="180" ht="12.95" customHeight="1" x14ac:dyDescent="0.2"/>
    <row r="181" ht="12.95" customHeight="1" x14ac:dyDescent="0.2"/>
    <row r="182" ht="12.95" customHeight="1" x14ac:dyDescent="0.2"/>
    <row r="183" ht="12.95" customHeight="1" x14ac:dyDescent="0.2"/>
    <row r="184" ht="12.95" customHeight="1" x14ac:dyDescent="0.2"/>
    <row r="185" ht="12.95" customHeight="1" x14ac:dyDescent="0.2"/>
    <row r="186" ht="12.95" customHeight="1" x14ac:dyDescent="0.2"/>
    <row r="187" ht="12.95" customHeight="1" x14ac:dyDescent="0.2"/>
    <row r="188" ht="12.95" customHeight="1" x14ac:dyDescent="0.2"/>
    <row r="189" ht="12.95" customHeight="1" x14ac:dyDescent="0.2"/>
    <row r="190" ht="12.95" customHeight="1" x14ac:dyDescent="0.2"/>
    <row r="191" ht="12.95" customHeight="1" x14ac:dyDescent="0.2"/>
    <row r="192" ht="12.95" customHeight="1" x14ac:dyDescent="0.2"/>
    <row r="193" ht="12.95" customHeight="1" x14ac:dyDescent="0.2"/>
    <row r="194" ht="12.95" customHeight="1" x14ac:dyDescent="0.2"/>
    <row r="195" ht="12.95" customHeight="1" x14ac:dyDescent="0.2"/>
    <row r="196" ht="12.95" customHeight="1" x14ac:dyDescent="0.2"/>
    <row r="197" ht="12.95" customHeight="1" x14ac:dyDescent="0.2"/>
    <row r="198" ht="12.95" customHeight="1" x14ac:dyDescent="0.2"/>
    <row r="199" ht="12.95" customHeight="1" x14ac:dyDescent="0.2"/>
    <row r="200" ht="12.95" customHeight="1" x14ac:dyDescent="0.2"/>
    <row r="201" ht="12.95" customHeight="1" x14ac:dyDescent="0.2"/>
    <row r="202" ht="12.95" customHeight="1" x14ac:dyDescent="0.2"/>
    <row r="203" ht="12.95" customHeight="1" x14ac:dyDescent="0.2"/>
    <row r="204" ht="12.95" customHeight="1" x14ac:dyDescent="0.2"/>
    <row r="205" ht="12.95" customHeight="1" x14ac:dyDescent="0.2"/>
    <row r="206" ht="12.95" customHeight="1" x14ac:dyDescent="0.2"/>
    <row r="207" ht="12.95" customHeight="1" x14ac:dyDescent="0.2"/>
    <row r="208" ht="12.95" customHeight="1" x14ac:dyDescent="0.2"/>
    <row r="209" ht="12.95" customHeight="1" x14ac:dyDescent="0.2"/>
    <row r="210" ht="12.95" customHeight="1" x14ac:dyDescent="0.2"/>
    <row r="211" ht="12.95" customHeight="1" x14ac:dyDescent="0.2"/>
    <row r="212" ht="12.95" customHeight="1" x14ac:dyDescent="0.2"/>
    <row r="213" ht="12.95" customHeight="1" x14ac:dyDescent="0.2"/>
    <row r="214" ht="12.95" customHeight="1" x14ac:dyDescent="0.2"/>
    <row r="215" ht="12.95" customHeight="1" x14ac:dyDescent="0.2"/>
    <row r="216" ht="12.95" customHeight="1" x14ac:dyDescent="0.2"/>
    <row r="217" ht="12.95" customHeight="1" x14ac:dyDescent="0.2"/>
    <row r="218" ht="12.95" customHeight="1" x14ac:dyDescent="0.2"/>
    <row r="219" ht="12.95" customHeight="1" x14ac:dyDescent="0.2"/>
    <row r="220" ht="12.95" customHeight="1" x14ac:dyDescent="0.2"/>
    <row r="221" ht="12.95" customHeight="1" x14ac:dyDescent="0.2"/>
    <row r="222" ht="12.95" customHeight="1" x14ac:dyDescent="0.2"/>
    <row r="223" ht="12.95" customHeight="1" x14ac:dyDescent="0.2"/>
    <row r="224" ht="12.95" customHeight="1" x14ac:dyDescent="0.2"/>
    <row r="225" ht="12.95" customHeight="1" x14ac:dyDescent="0.2"/>
    <row r="226" ht="12.95" customHeight="1" x14ac:dyDescent="0.2"/>
    <row r="227" ht="12.95" customHeight="1" x14ac:dyDescent="0.2"/>
    <row r="228" ht="12.95" customHeight="1" x14ac:dyDescent="0.2"/>
    <row r="229" ht="12.95" customHeight="1" x14ac:dyDescent="0.2"/>
    <row r="230" ht="12.95" customHeight="1" x14ac:dyDescent="0.2"/>
    <row r="231" ht="12.95" customHeight="1" x14ac:dyDescent="0.2"/>
    <row r="232" ht="12.95" customHeight="1" x14ac:dyDescent="0.2"/>
    <row r="233" ht="12.95" customHeight="1" x14ac:dyDescent="0.2"/>
    <row r="234" ht="12.95" customHeight="1" x14ac:dyDescent="0.2"/>
    <row r="235" ht="12.95" customHeight="1" x14ac:dyDescent="0.2"/>
    <row r="236" ht="12.95" customHeight="1" x14ac:dyDescent="0.2"/>
    <row r="237" ht="12.95" customHeight="1" x14ac:dyDescent="0.2"/>
    <row r="238" ht="12.95" customHeight="1" x14ac:dyDescent="0.2"/>
    <row r="239" ht="12.95" customHeight="1" x14ac:dyDescent="0.2"/>
    <row r="240" ht="12.95" customHeight="1" x14ac:dyDescent="0.2"/>
    <row r="241" ht="12.95" customHeight="1" x14ac:dyDescent="0.2"/>
    <row r="242" ht="12.95" customHeight="1" x14ac:dyDescent="0.2"/>
    <row r="243" ht="12.95" customHeight="1" x14ac:dyDescent="0.2"/>
    <row r="244" ht="12.95" customHeight="1" x14ac:dyDescent="0.2"/>
    <row r="245" ht="12.95" customHeight="1" x14ac:dyDescent="0.2"/>
    <row r="246" ht="12.95" customHeight="1" x14ac:dyDescent="0.2"/>
    <row r="247" ht="12.95" customHeight="1" x14ac:dyDescent="0.2"/>
    <row r="248" ht="12.95" customHeight="1" x14ac:dyDescent="0.2"/>
    <row r="249" ht="12.95" customHeight="1" x14ac:dyDescent="0.2"/>
    <row r="250" ht="12.95" customHeight="1" x14ac:dyDescent="0.2"/>
    <row r="251" ht="12.95" customHeight="1" x14ac:dyDescent="0.2"/>
    <row r="252" ht="12.95" customHeight="1" x14ac:dyDescent="0.2"/>
    <row r="253" ht="12.95" customHeight="1" x14ac:dyDescent="0.2"/>
    <row r="254" ht="12.95" customHeight="1" x14ac:dyDescent="0.2"/>
    <row r="255" ht="12.95" customHeight="1" x14ac:dyDescent="0.2"/>
    <row r="256"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row r="268" ht="12.95" customHeight="1" x14ac:dyDescent="0.2"/>
    <row r="269" ht="12.95" customHeight="1" x14ac:dyDescent="0.2"/>
    <row r="270" ht="12.95" customHeight="1" x14ac:dyDescent="0.2"/>
    <row r="271" ht="12.95" customHeight="1" x14ac:dyDescent="0.2"/>
    <row r="272" ht="12.95" customHeight="1" x14ac:dyDescent="0.2"/>
    <row r="273" ht="12.95" customHeight="1" x14ac:dyDescent="0.2"/>
    <row r="274" ht="12.95" customHeight="1" x14ac:dyDescent="0.2"/>
    <row r="275" ht="12.95" customHeight="1" x14ac:dyDescent="0.2"/>
    <row r="276" ht="12.95" customHeight="1" x14ac:dyDescent="0.2"/>
    <row r="277" ht="12.95" customHeight="1" x14ac:dyDescent="0.2"/>
    <row r="278" ht="12.95" customHeight="1" x14ac:dyDescent="0.2"/>
    <row r="279" ht="12.95" customHeight="1" x14ac:dyDescent="0.2"/>
    <row r="280" ht="12.95" customHeight="1" x14ac:dyDescent="0.2"/>
    <row r="281" ht="12.95" customHeight="1" x14ac:dyDescent="0.2"/>
    <row r="282" ht="12.95" customHeight="1" x14ac:dyDescent="0.2"/>
    <row r="283" ht="12.95" customHeight="1" x14ac:dyDescent="0.2"/>
    <row r="284" ht="12.95" customHeight="1" x14ac:dyDescent="0.2"/>
    <row r="285" ht="12.95" customHeight="1" x14ac:dyDescent="0.2"/>
    <row r="286" ht="12.95" customHeight="1" x14ac:dyDescent="0.2"/>
    <row r="287" ht="12.95" customHeight="1" x14ac:dyDescent="0.2"/>
    <row r="288" ht="12.95" customHeight="1" x14ac:dyDescent="0.2"/>
    <row r="289" ht="12.95" customHeight="1" x14ac:dyDescent="0.2"/>
    <row r="290" ht="12.95" customHeight="1" x14ac:dyDescent="0.2"/>
    <row r="291" ht="12.95" customHeight="1" x14ac:dyDescent="0.2"/>
    <row r="292" ht="12.95" customHeight="1" x14ac:dyDescent="0.2"/>
    <row r="293" ht="12.95" customHeight="1" x14ac:dyDescent="0.2"/>
    <row r="294" ht="12.95" customHeight="1" x14ac:dyDescent="0.2"/>
    <row r="295" ht="12.95" customHeight="1" x14ac:dyDescent="0.2"/>
    <row r="296" ht="12.95" customHeight="1" x14ac:dyDescent="0.2"/>
    <row r="297" ht="12.95" customHeight="1" x14ac:dyDescent="0.2"/>
    <row r="298" ht="12.95" customHeight="1" x14ac:dyDescent="0.2"/>
    <row r="299" ht="12.95" customHeight="1" x14ac:dyDescent="0.2"/>
    <row r="300" ht="12.95" customHeight="1" x14ac:dyDescent="0.2"/>
    <row r="301" ht="12.95" customHeight="1" x14ac:dyDescent="0.2"/>
    <row r="302" ht="12.95" customHeight="1" x14ac:dyDescent="0.2"/>
    <row r="303" ht="12.95" customHeight="1" x14ac:dyDescent="0.2"/>
    <row r="304" ht="12.95" customHeight="1" x14ac:dyDescent="0.2"/>
    <row r="305" ht="12.95" customHeight="1" x14ac:dyDescent="0.2"/>
    <row r="306" ht="12.95" customHeight="1" x14ac:dyDescent="0.2"/>
    <row r="307" ht="12.95" customHeight="1" x14ac:dyDescent="0.2"/>
    <row r="308" ht="12.95" customHeight="1" x14ac:dyDescent="0.2"/>
    <row r="309" ht="12.95" customHeight="1" x14ac:dyDescent="0.2"/>
    <row r="310" ht="12.95" customHeight="1" x14ac:dyDescent="0.2"/>
    <row r="311" ht="12.95" customHeight="1" x14ac:dyDescent="0.2"/>
    <row r="312" ht="12.95" customHeight="1" x14ac:dyDescent="0.2"/>
    <row r="313" ht="12.95" customHeight="1" x14ac:dyDescent="0.2"/>
    <row r="314" ht="12.95" customHeight="1" x14ac:dyDescent="0.2"/>
    <row r="315" ht="12.95" customHeight="1" x14ac:dyDescent="0.2"/>
    <row r="316" ht="12.95" customHeight="1" x14ac:dyDescent="0.2"/>
    <row r="317" ht="12.95" customHeight="1" x14ac:dyDescent="0.2"/>
    <row r="318" ht="12.95" customHeight="1" x14ac:dyDescent="0.2"/>
    <row r="319" ht="12.95" customHeight="1" x14ac:dyDescent="0.2"/>
    <row r="320" ht="12.95" customHeight="1" x14ac:dyDescent="0.2"/>
    <row r="321" ht="12.95" customHeight="1" x14ac:dyDescent="0.2"/>
    <row r="322" ht="12.95" customHeight="1" x14ac:dyDescent="0.2"/>
    <row r="323" ht="12.95" customHeight="1" x14ac:dyDescent="0.2"/>
    <row r="324" ht="12.95" customHeight="1" x14ac:dyDescent="0.2"/>
    <row r="325" ht="12.95" customHeight="1" x14ac:dyDescent="0.2"/>
    <row r="326" ht="12.95" customHeight="1" x14ac:dyDescent="0.2"/>
    <row r="327" ht="12.95" customHeight="1" x14ac:dyDescent="0.2"/>
    <row r="328" ht="12.95" customHeight="1" x14ac:dyDescent="0.2"/>
    <row r="329" ht="12.95" customHeight="1" x14ac:dyDescent="0.2"/>
    <row r="330" ht="12.95" customHeight="1" x14ac:dyDescent="0.2"/>
    <row r="331" ht="12.95" customHeight="1" x14ac:dyDescent="0.2"/>
    <row r="332" ht="12.95" customHeight="1" x14ac:dyDescent="0.2"/>
    <row r="333" ht="12.95" customHeight="1" x14ac:dyDescent="0.2"/>
    <row r="334" ht="12.95" customHeight="1" x14ac:dyDescent="0.2"/>
    <row r="335" ht="12.95" customHeight="1" x14ac:dyDescent="0.2"/>
    <row r="336" ht="12.95" customHeight="1" x14ac:dyDescent="0.2"/>
    <row r="337" ht="12.95" customHeight="1" x14ac:dyDescent="0.2"/>
    <row r="338" ht="12.95" customHeight="1" x14ac:dyDescent="0.2"/>
    <row r="339" ht="12.95" customHeight="1" x14ac:dyDescent="0.2"/>
    <row r="340" ht="12.95" customHeight="1" x14ac:dyDescent="0.2"/>
    <row r="341" ht="12.95" customHeight="1" x14ac:dyDescent="0.2"/>
    <row r="342" ht="12.95" customHeight="1" x14ac:dyDescent="0.2"/>
    <row r="343" ht="12.95" customHeight="1" x14ac:dyDescent="0.2"/>
    <row r="344" ht="12.95" customHeight="1" x14ac:dyDescent="0.2"/>
    <row r="345" ht="12.95" customHeight="1" x14ac:dyDescent="0.2"/>
    <row r="346" ht="12.95" customHeight="1" x14ac:dyDescent="0.2"/>
    <row r="347" ht="12.95" customHeight="1" x14ac:dyDescent="0.2"/>
    <row r="348" ht="12.95" customHeight="1" x14ac:dyDescent="0.2"/>
    <row r="349" ht="12.95" customHeight="1" x14ac:dyDescent="0.2"/>
    <row r="350" ht="12.95" customHeight="1" x14ac:dyDescent="0.2"/>
    <row r="351" ht="12.95" customHeight="1" x14ac:dyDescent="0.2"/>
    <row r="352" ht="12.95" customHeight="1" x14ac:dyDescent="0.2"/>
    <row r="353" ht="12.95" customHeight="1" x14ac:dyDescent="0.2"/>
    <row r="354" ht="12.95" customHeight="1" x14ac:dyDescent="0.2"/>
    <row r="355" ht="12.95" customHeight="1" x14ac:dyDescent="0.2"/>
    <row r="356" ht="12.95" customHeight="1" x14ac:dyDescent="0.2"/>
    <row r="357" ht="12.95" customHeight="1" x14ac:dyDescent="0.2"/>
    <row r="358" ht="12.95" customHeight="1" x14ac:dyDescent="0.2"/>
    <row r="359" ht="12.95" customHeight="1" x14ac:dyDescent="0.2"/>
    <row r="360" ht="12.95" customHeight="1" x14ac:dyDescent="0.2"/>
    <row r="361" ht="12.95" customHeight="1" x14ac:dyDescent="0.2"/>
    <row r="362" ht="12.95" customHeight="1" x14ac:dyDescent="0.2"/>
    <row r="363" ht="12.95" customHeight="1" x14ac:dyDescent="0.2"/>
    <row r="364" ht="12.95" customHeight="1" x14ac:dyDescent="0.2"/>
    <row r="365" ht="12.95" customHeight="1" x14ac:dyDescent="0.2"/>
    <row r="366" ht="12.95" customHeight="1" x14ac:dyDescent="0.2"/>
    <row r="367" ht="12.95" customHeight="1" x14ac:dyDescent="0.2"/>
    <row r="368" ht="12.95" customHeight="1" x14ac:dyDescent="0.2"/>
    <row r="369" ht="12.95" customHeight="1" x14ac:dyDescent="0.2"/>
    <row r="370" ht="12.95" customHeight="1" x14ac:dyDescent="0.2"/>
    <row r="371" ht="12.95" customHeight="1" x14ac:dyDescent="0.2"/>
    <row r="372" ht="12.95" customHeight="1" x14ac:dyDescent="0.2"/>
    <row r="373" ht="12.95" customHeight="1" x14ac:dyDescent="0.2"/>
    <row r="374" ht="12.95" customHeight="1" x14ac:dyDescent="0.2"/>
    <row r="375" ht="12.95" customHeight="1" x14ac:dyDescent="0.2"/>
    <row r="376" ht="12.95" customHeight="1" x14ac:dyDescent="0.2"/>
    <row r="377" ht="12.95" customHeight="1" x14ac:dyDescent="0.2"/>
    <row r="378" ht="12.95" customHeight="1" x14ac:dyDescent="0.2"/>
    <row r="379" ht="12.95" customHeight="1" x14ac:dyDescent="0.2"/>
    <row r="380" ht="12.95" customHeight="1" x14ac:dyDescent="0.2"/>
    <row r="381" ht="12.95" customHeight="1" x14ac:dyDescent="0.2"/>
    <row r="382" ht="12.95" customHeight="1" x14ac:dyDescent="0.2"/>
    <row r="383" ht="12.95" customHeight="1" x14ac:dyDescent="0.2"/>
    <row r="384" ht="12.95" customHeight="1" x14ac:dyDescent="0.2"/>
    <row r="385" ht="12.95" customHeight="1" x14ac:dyDescent="0.2"/>
    <row r="386" ht="12.95" customHeight="1" x14ac:dyDescent="0.2"/>
    <row r="387" ht="12.95" customHeight="1" x14ac:dyDescent="0.2"/>
    <row r="388" ht="12.95" customHeight="1" x14ac:dyDescent="0.2"/>
    <row r="389" ht="12.95" customHeight="1" x14ac:dyDescent="0.2"/>
    <row r="390" ht="12.95" customHeight="1" x14ac:dyDescent="0.2"/>
    <row r="391" ht="12.95" customHeight="1" x14ac:dyDescent="0.2"/>
    <row r="392" ht="12.95" customHeight="1" x14ac:dyDescent="0.2"/>
    <row r="393" ht="12.95" customHeight="1" x14ac:dyDescent="0.2"/>
    <row r="394" ht="12.95" customHeight="1" x14ac:dyDescent="0.2"/>
    <row r="395" ht="12.95" customHeight="1" x14ac:dyDescent="0.2"/>
    <row r="396" ht="12.95" customHeight="1" x14ac:dyDescent="0.2"/>
    <row r="397" ht="12.95" customHeight="1" x14ac:dyDescent="0.2"/>
    <row r="398" ht="12.95" customHeight="1" x14ac:dyDescent="0.2"/>
    <row r="399" ht="12.95" customHeight="1" x14ac:dyDescent="0.2"/>
    <row r="400" ht="12.95" customHeight="1" x14ac:dyDescent="0.2"/>
    <row r="401" ht="12.95" customHeight="1" x14ac:dyDescent="0.2"/>
    <row r="402" ht="12.95" customHeight="1" x14ac:dyDescent="0.2"/>
    <row r="403" ht="12.95" customHeight="1" x14ac:dyDescent="0.2"/>
    <row r="404" ht="12.95" customHeight="1" x14ac:dyDescent="0.2"/>
    <row r="405" ht="12.95" customHeight="1" x14ac:dyDescent="0.2"/>
    <row r="406" ht="12.95" customHeight="1" x14ac:dyDescent="0.2"/>
    <row r="407" ht="12.95" customHeight="1" x14ac:dyDescent="0.2"/>
    <row r="408" ht="12.95" customHeight="1" x14ac:dyDescent="0.2"/>
    <row r="409" ht="12.95" customHeight="1" x14ac:dyDescent="0.2"/>
    <row r="410" ht="12.95" customHeight="1" x14ac:dyDescent="0.2"/>
    <row r="411" ht="12.95" customHeight="1" x14ac:dyDescent="0.2"/>
    <row r="412" ht="12.95" customHeight="1" x14ac:dyDescent="0.2"/>
    <row r="413" ht="12.95" customHeight="1" x14ac:dyDescent="0.2"/>
    <row r="414" ht="12.95" customHeight="1" x14ac:dyDescent="0.2"/>
    <row r="415" ht="12.95" customHeight="1" x14ac:dyDescent="0.2"/>
    <row r="416" ht="12.95" customHeight="1" x14ac:dyDescent="0.2"/>
    <row r="417" ht="12.95" customHeight="1" x14ac:dyDescent="0.2"/>
    <row r="418" ht="12.95" customHeight="1" x14ac:dyDescent="0.2"/>
    <row r="419" ht="12.95" customHeight="1" x14ac:dyDescent="0.2"/>
    <row r="420" ht="12.95" customHeight="1" x14ac:dyDescent="0.2"/>
    <row r="421" ht="12.95" customHeight="1" x14ac:dyDescent="0.2"/>
    <row r="422" ht="12.95" customHeight="1" x14ac:dyDescent="0.2"/>
    <row r="423" ht="12.95" customHeight="1" x14ac:dyDescent="0.2"/>
    <row r="424" ht="12.95" customHeight="1" x14ac:dyDescent="0.2"/>
    <row r="425" ht="12.95" customHeight="1" x14ac:dyDescent="0.2"/>
    <row r="426" ht="12.95" customHeight="1" x14ac:dyDescent="0.2"/>
    <row r="427" ht="12.95" customHeight="1" x14ac:dyDescent="0.2"/>
    <row r="428" ht="12.95" customHeight="1" x14ac:dyDescent="0.2"/>
    <row r="429" ht="12.95" customHeight="1" x14ac:dyDescent="0.2"/>
    <row r="430" ht="12.95" customHeight="1" x14ac:dyDescent="0.2"/>
    <row r="431" ht="12.95" customHeight="1" x14ac:dyDescent="0.2"/>
    <row r="432" ht="12.95" customHeight="1" x14ac:dyDescent="0.2"/>
    <row r="433" ht="12.95" customHeight="1" x14ac:dyDescent="0.2"/>
    <row r="434" ht="12.95" customHeight="1" x14ac:dyDescent="0.2"/>
    <row r="435" ht="12.95" customHeight="1" x14ac:dyDescent="0.2"/>
    <row r="436" ht="12.95" customHeight="1" x14ac:dyDescent="0.2"/>
    <row r="437" ht="12.95" customHeight="1" x14ac:dyDescent="0.2"/>
    <row r="438" ht="12.95" customHeight="1" x14ac:dyDescent="0.2"/>
    <row r="439" ht="12.95" customHeight="1" x14ac:dyDescent="0.2"/>
    <row r="440" ht="12.95" customHeight="1" x14ac:dyDescent="0.2"/>
    <row r="441" ht="12.95" customHeight="1" x14ac:dyDescent="0.2"/>
    <row r="442" ht="12.95" customHeight="1" x14ac:dyDescent="0.2"/>
    <row r="443" ht="12.95" customHeight="1" x14ac:dyDescent="0.2"/>
    <row r="444" ht="12.95" customHeight="1" x14ac:dyDescent="0.2"/>
    <row r="445" ht="12.95" customHeight="1" x14ac:dyDescent="0.2"/>
    <row r="446" ht="12.95" customHeight="1" x14ac:dyDescent="0.2"/>
    <row r="447" ht="12.95" customHeight="1" x14ac:dyDescent="0.2"/>
    <row r="448" ht="12.95" customHeight="1" x14ac:dyDescent="0.2"/>
    <row r="449" ht="12.95" customHeight="1" x14ac:dyDescent="0.2"/>
    <row r="450" ht="12.95" customHeight="1" x14ac:dyDescent="0.2"/>
    <row r="451" ht="12.95" customHeight="1" x14ac:dyDescent="0.2"/>
    <row r="452" ht="12.95" customHeight="1" x14ac:dyDescent="0.2"/>
    <row r="453" ht="12.95" customHeight="1" x14ac:dyDescent="0.2"/>
    <row r="454" ht="12.95" customHeight="1" x14ac:dyDescent="0.2"/>
    <row r="455" ht="12.95" customHeight="1" x14ac:dyDescent="0.2"/>
    <row r="456" ht="12.95" customHeight="1" x14ac:dyDescent="0.2"/>
    <row r="457" ht="12.95" customHeight="1" x14ac:dyDescent="0.2"/>
    <row r="458" ht="12.95" customHeight="1" x14ac:dyDescent="0.2"/>
    <row r="459" ht="12.95" customHeight="1" x14ac:dyDescent="0.2"/>
    <row r="460" ht="12.95" customHeight="1" x14ac:dyDescent="0.2"/>
    <row r="461" ht="12.95" customHeight="1" x14ac:dyDescent="0.2"/>
    <row r="462" ht="12.95" customHeight="1" x14ac:dyDescent="0.2"/>
    <row r="463" ht="12.95" customHeight="1" x14ac:dyDescent="0.2"/>
    <row r="464" ht="12.95" customHeight="1" x14ac:dyDescent="0.2"/>
    <row r="465" ht="12.95" customHeight="1" x14ac:dyDescent="0.2"/>
    <row r="466" ht="12.95" customHeight="1" x14ac:dyDescent="0.2"/>
    <row r="467" ht="12.95" customHeight="1" x14ac:dyDescent="0.2"/>
    <row r="468" ht="12.95" customHeight="1" x14ac:dyDescent="0.2"/>
    <row r="469" ht="12.95" customHeight="1" x14ac:dyDescent="0.2"/>
    <row r="470" ht="12.95" customHeight="1" x14ac:dyDescent="0.2"/>
    <row r="471" ht="12.95" customHeight="1" x14ac:dyDescent="0.2"/>
    <row r="472" ht="12.95" customHeight="1" x14ac:dyDescent="0.2"/>
    <row r="473" ht="12.95" customHeight="1" x14ac:dyDescent="0.2"/>
    <row r="474" ht="12.95" customHeight="1" x14ac:dyDescent="0.2"/>
    <row r="475" ht="12.95" customHeight="1" x14ac:dyDescent="0.2"/>
    <row r="476" ht="12.95" customHeight="1" x14ac:dyDescent="0.2"/>
    <row r="477" ht="12.95" customHeight="1" x14ac:dyDescent="0.2"/>
    <row r="478" ht="12.95" customHeight="1" x14ac:dyDescent="0.2"/>
    <row r="479" ht="12.95" customHeight="1" x14ac:dyDescent="0.2"/>
    <row r="480" ht="12.95" customHeight="1" x14ac:dyDescent="0.2"/>
    <row r="481" ht="12.95" customHeight="1" x14ac:dyDescent="0.2"/>
    <row r="482" ht="12.95" customHeight="1" x14ac:dyDescent="0.2"/>
    <row r="483" ht="12.95" customHeight="1" x14ac:dyDescent="0.2"/>
    <row r="484" ht="12.95" customHeight="1" x14ac:dyDescent="0.2"/>
    <row r="485" ht="12.95" customHeight="1" x14ac:dyDescent="0.2"/>
    <row r="486" ht="12.95" customHeight="1" x14ac:dyDescent="0.2"/>
    <row r="487" ht="12.95" customHeight="1" x14ac:dyDescent="0.2"/>
    <row r="488" ht="12.95" customHeight="1" x14ac:dyDescent="0.2"/>
    <row r="489" ht="12.95" customHeight="1" x14ac:dyDescent="0.2"/>
    <row r="490" ht="12.95" customHeight="1" x14ac:dyDescent="0.2"/>
    <row r="491" ht="12.95" customHeight="1" x14ac:dyDescent="0.2"/>
    <row r="492" ht="12.95" customHeight="1" x14ac:dyDescent="0.2"/>
    <row r="493" ht="12.95" customHeight="1" x14ac:dyDescent="0.2"/>
    <row r="494" ht="12.95" customHeight="1" x14ac:dyDescent="0.2"/>
    <row r="495" ht="12.95" customHeight="1" x14ac:dyDescent="0.2"/>
    <row r="496" ht="12.95" customHeight="1" x14ac:dyDescent="0.2"/>
    <row r="497" ht="12.95" customHeight="1" x14ac:dyDescent="0.2"/>
    <row r="498" ht="12.95" customHeight="1" x14ac:dyDescent="0.2"/>
    <row r="499" ht="12.95" customHeight="1" x14ac:dyDescent="0.2"/>
    <row r="500" ht="12.95" customHeight="1" x14ac:dyDescent="0.2"/>
    <row r="501" ht="12.95" customHeight="1" x14ac:dyDescent="0.2"/>
    <row r="502" ht="12.95" customHeight="1" x14ac:dyDescent="0.2"/>
    <row r="503" ht="12.95" customHeight="1" x14ac:dyDescent="0.2"/>
    <row r="504" ht="12.95" customHeight="1" x14ac:dyDescent="0.2"/>
    <row r="505" ht="12.95" customHeight="1" x14ac:dyDescent="0.2"/>
    <row r="506" ht="12.95" customHeight="1" x14ac:dyDescent="0.2"/>
    <row r="507" ht="12.95" customHeight="1" x14ac:dyDescent="0.2"/>
    <row r="508" ht="12.95" customHeight="1" x14ac:dyDescent="0.2"/>
    <row r="509" ht="12.95" customHeight="1" x14ac:dyDescent="0.2"/>
    <row r="510" ht="12.95" customHeight="1" x14ac:dyDescent="0.2"/>
    <row r="511" ht="12.95" customHeight="1" x14ac:dyDescent="0.2"/>
    <row r="512" ht="12.95" customHeight="1" x14ac:dyDescent="0.2"/>
    <row r="513" ht="12.95" customHeight="1" x14ac:dyDescent="0.2"/>
    <row r="514" ht="12.95" customHeight="1" x14ac:dyDescent="0.2"/>
    <row r="515" ht="12.95" customHeight="1" x14ac:dyDescent="0.2"/>
    <row r="516" ht="12.95" customHeight="1" x14ac:dyDescent="0.2"/>
    <row r="517" ht="12.95" customHeight="1" x14ac:dyDescent="0.2"/>
    <row r="518" ht="12.95" customHeight="1" x14ac:dyDescent="0.2"/>
    <row r="519" ht="12.95" customHeight="1" x14ac:dyDescent="0.2"/>
    <row r="520" ht="12.95" customHeight="1" x14ac:dyDescent="0.2"/>
    <row r="521" ht="12.95" customHeight="1" x14ac:dyDescent="0.2"/>
    <row r="522" ht="12.95" customHeight="1" x14ac:dyDescent="0.2"/>
    <row r="523" ht="12.95" customHeight="1" x14ac:dyDescent="0.2"/>
    <row r="524" ht="12.95" customHeight="1" x14ac:dyDescent="0.2"/>
    <row r="525" ht="12.95" customHeight="1" x14ac:dyDescent="0.2"/>
    <row r="526" ht="12.95" customHeight="1" x14ac:dyDescent="0.2"/>
    <row r="527" ht="12.95" customHeight="1" x14ac:dyDescent="0.2"/>
    <row r="528" ht="12.95" customHeight="1" x14ac:dyDescent="0.2"/>
    <row r="529" ht="12.95" customHeight="1" x14ac:dyDescent="0.2"/>
    <row r="530" ht="12.95" customHeight="1" x14ac:dyDescent="0.2"/>
    <row r="531" ht="12.95" customHeight="1" x14ac:dyDescent="0.2"/>
    <row r="532" ht="12.95" customHeight="1" x14ac:dyDescent="0.2"/>
    <row r="533" ht="12.95" customHeight="1" x14ac:dyDescent="0.2"/>
    <row r="534" ht="12.95" customHeight="1" x14ac:dyDescent="0.2"/>
    <row r="535" ht="12.95" customHeight="1" x14ac:dyDescent="0.2"/>
    <row r="536" ht="12.95" customHeight="1" x14ac:dyDescent="0.2"/>
    <row r="537" ht="12.95" customHeight="1" x14ac:dyDescent="0.2"/>
    <row r="538" ht="12.95" customHeight="1" x14ac:dyDescent="0.2"/>
    <row r="539" ht="12.95" customHeight="1" x14ac:dyDescent="0.2"/>
    <row r="540" ht="12.95" customHeight="1" x14ac:dyDescent="0.2"/>
    <row r="541" ht="12.95" customHeight="1" x14ac:dyDescent="0.2"/>
    <row r="542" ht="12.95" customHeight="1" x14ac:dyDescent="0.2"/>
    <row r="543" ht="12.95" customHeight="1" x14ac:dyDescent="0.2"/>
    <row r="544" ht="12.95" customHeight="1" x14ac:dyDescent="0.2"/>
    <row r="545" ht="12.95" customHeight="1" x14ac:dyDescent="0.2"/>
    <row r="546" ht="12.95" customHeight="1" x14ac:dyDescent="0.2"/>
    <row r="547" ht="12.95" customHeight="1" x14ac:dyDescent="0.2"/>
    <row r="548" ht="12.95" customHeight="1" x14ac:dyDescent="0.2"/>
    <row r="549" ht="12.95" customHeight="1" x14ac:dyDescent="0.2"/>
    <row r="550" ht="12.95" customHeight="1" x14ac:dyDescent="0.2"/>
    <row r="551" ht="12.95" customHeight="1" x14ac:dyDescent="0.2"/>
    <row r="552" ht="12.95" customHeight="1" x14ac:dyDescent="0.2"/>
    <row r="553" ht="12.95" customHeight="1" x14ac:dyDescent="0.2"/>
    <row r="554" ht="12.95" customHeight="1" x14ac:dyDescent="0.2"/>
    <row r="555" ht="12.95" customHeight="1" x14ac:dyDescent="0.2"/>
    <row r="556" ht="12.95" customHeight="1" x14ac:dyDescent="0.2"/>
    <row r="557" ht="12.95" customHeight="1" x14ac:dyDescent="0.2"/>
    <row r="558" ht="12.95" customHeight="1" x14ac:dyDescent="0.2"/>
    <row r="559" ht="12.95" customHeight="1" x14ac:dyDescent="0.2"/>
    <row r="560" ht="12.95" customHeight="1" x14ac:dyDescent="0.2"/>
    <row r="561" ht="12.95" customHeight="1" x14ac:dyDescent="0.2"/>
    <row r="562" ht="12.95" customHeight="1" x14ac:dyDescent="0.2"/>
    <row r="563" ht="12.95" customHeight="1" x14ac:dyDescent="0.2"/>
    <row r="564" ht="12.95" customHeight="1" x14ac:dyDescent="0.2"/>
    <row r="565" ht="12.95" customHeight="1" x14ac:dyDescent="0.2"/>
    <row r="566" ht="12.95" customHeight="1" x14ac:dyDescent="0.2"/>
    <row r="567" ht="12.95" customHeight="1" x14ac:dyDescent="0.2"/>
    <row r="568" ht="12.95" customHeight="1" x14ac:dyDescent="0.2"/>
    <row r="569" ht="12.95" customHeight="1" x14ac:dyDescent="0.2"/>
    <row r="570" ht="12.95" customHeight="1" x14ac:dyDescent="0.2"/>
    <row r="571" ht="12.95" customHeight="1" x14ac:dyDescent="0.2"/>
    <row r="572" ht="12.95" customHeight="1" x14ac:dyDescent="0.2"/>
    <row r="573" ht="12.95" customHeight="1" x14ac:dyDescent="0.2"/>
    <row r="574" ht="12.95" customHeight="1" x14ac:dyDescent="0.2"/>
    <row r="575" ht="12.95" customHeight="1" x14ac:dyDescent="0.2"/>
    <row r="576" ht="12.95" customHeight="1" x14ac:dyDescent="0.2"/>
    <row r="577" ht="12.95" customHeight="1" x14ac:dyDescent="0.2"/>
    <row r="578" ht="12.95" customHeight="1" x14ac:dyDescent="0.2"/>
    <row r="579" ht="12.95" customHeight="1" x14ac:dyDescent="0.2"/>
    <row r="580" ht="12.95" customHeight="1" x14ac:dyDescent="0.2"/>
    <row r="581" ht="12.95" customHeight="1" x14ac:dyDescent="0.2"/>
    <row r="582" ht="12.95" customHeight="1" x14ac:dyDescent="0.2"/>
    <row r="583" ht="12.95" customHeight="1" x14ac:dyDescent="0.2"/>
    <row r="584" ht="12.95" customHeight="1" x14ac:dyDescent="0.2"/>
    <row r="585" ht="12.95" customHeight="1" x14ac:dyDescent="0.2"/>
    <row r="586" ht="12.95" customHeight="1" x14ac:dyDescent="0.2"/>
    <row r="587" ht="12.95" customHeight="1" x14ac:dyDescent="0.2"/>
    <row r="588" ht="12.95" customHeight="1" x14ac:dyDescent="0.2"/>
    <row r="589" ht="12.95" customHeight="1" x14ac:dyDescent="0.2"/>
    <row r="590" ht="12.95" customHeight="1" x14ac:dyDescent="0.2"/>
    <row r="591" ht="12.95" customHeight="1" x14ac:dyDescent="0.2"/>
    <row r="592" ht="12.95" customHeight="1" x14ac:dyDescent="0.2"/>
    <row r="593" ht="12.95" customHeight="1" x14ac:dyDescent="0.2"/>
    <row r="594" ht="12.95" customHeight="1" x14ac:dyDescent="0.2"/>
    <row r="595" ht="12.95" customHeight="1" x14ac:dyDescent="0.2"/>
    <row r="596" ht="12.95" customHeight="1" x14ac:dyDescent="0.2"/>
    <row r="597" ht="12.95" customHeight="1" x14ac:dyDescent="0.2"/>
    <row r="598" ht="12.95" customHeight="1" x14ac:dyDescent="0.2"/>
    <row r="599" ht="12.95" customHeight="1" x14ac:dyDescent="0.2"/>
    <row r="600" ht="12.95" customHeight="1" x14ac:dyDescent="0.2"/>
    <row r="601" ht="12.95" customHeight="1" x14ac:dyDescent="0.2"/>
    <row r="602" ht="12.95" customHeight="1" x14ac:dyDescent="0.2"/>
    <row r="603" ht="12.95" customHeight="1" x14ac:dyDescent="0.2"/>
    <row r="604" ht="12.95" customHeight="1" x14ac:dyDescent="0.2"/>
    <row r="605" ht="12.95" customHeight="1" x14ac:dyDescent="0.2"/>
    <row r="606" ht="12.95" customHeight="1" x14ac:dyDescent="0.2"/>
    <row r="607" ht="12.95" customHeight="1" x14ac:dyDescent="0.2"/>
    <row r="608" ht="12.95" customHeight="1" x14ac:dyDescent="0.2"/>
    <row r="609" ht="12.95" customHeight="1" x14ac:dyDescent="0.2"/>
    <row r="610" ht="12.95" customHeight="1" x14ac:dyDescent="0.2"/>
    <row r="611" ht="12.95" customHeight="1" x14ac:dyDescent="0.2"/>
    <row r="612" ht="12.95" customHeight="1" x14ac:dyDescent="0.2"/>
    <row r="613" ht="12.95" customHeight="1" x14ac:dyDescent="0.2"/>
    <row r="614" ht="12.95" customHeight="1" x14ac:dyDescent="0.2"/>
    <row r="615" ht="12.95" customHeight="1" x14ac:dyDescent="0.2"/>
    <row r="616" ht="12.95" customHeight="1" x14ac:dyDescent="0.2"/>
    <row r="617" ht="12.95" customHeight="1" x14ac:dyDescent="0.2"/>
    <row r="618" ht="12.95" customHeight="1" x14ac:dyDescent="0.2"/>
    <row r="619" ht="12.95" customHeight="1" x14ac:dyDescent="0.2"/>
    <row r="620" ht="12.95" customHeight="1" x14ac:dyDescent="0.2"/>
    <row r="621" ht="12.95" customHeight="1" x14ac:dyDescent="0.2"/>
    <row r="622" ht="12.95" customHeight="1" x14ac:dyDescent="0.2"/>
    <row r="623" ht="12.95" customHeight="1" x14ac:dyDescent="0.2"/>
    <row r="624" ht="12.95" customHeight="1" x14ac:dyDescent="0.2"/>
    <row r="625" ht="12.95" customHeight="1" x14ac:dyDescent="0.2"/>
    <row r="626" ht="12.95" customHeight="1" x14ac:dyDescent="0.2"/>
    <row r="627" ht="12.95" customHeight="1" x14ac:dyDescent="0.2"/>
    <row r="628" ht="12.95" customHeight="1" x14ac:dyDescent="0.2"/>
    <row r="629" ht="12.95" customHeight="1" x14ac:dyDescent="0.2"/>
    <row r="630" ht="12.95" customHeight="1" x14ac:dyDescent="0.2"/>
    <row r="631" ht="12.95" customHeight="1" x14ac:dyDescent="0.2"/>
    <row r="632" ht="12.95" customHeight="1" x14ac:dyDescent="0.2"/>
    <row r="633" ht="12.95" customHeight="1" x14ac:dyDescent="0.2"/>
    <row r="634" ht="12.95" customHeight="1" x14ac:dyDescent="0.2"/>
    <row r="635" ht="12.95" customHeight="1" x14ac:dyDescent="0.2"/>
    <row r="636" ht="12.95" customHeight="1" x14ac:dyDescent="0.2"/>
    <row r="637" ht="12.95" customHeight="1" x14ac:dyDescent="0.2"/>
    <row r="638" ht="12.95" customHeight="1" x14ac:dyDescent="0.2"/>
    <row r="639" ht="12.95" customHeight="1" x14ac:dyDescent="0.2"/>
    <row r="640" ht="12.95" customHeight="1" x14ac:dyDescent="0.2"/>
    <row r="641" ht="12.95" customHeight="1" x14ac:dyDescent="0.2"/>
    <row r="642" ht="12.95" customHeight="1" x14ac:dyDescent="0.2"/>
    <row r="643" ht="12.95" customHeight="1" x14ac:dyDescent="0.2"/>
    <row r="644" ht="12.95" customHeight="1" x14ac:dyDescent="0.2"/>
    <row r="645" ht="12.95" customHeight="1" x14ac:dyDescent="0.2"/>
    <row r="646" ht="12.95" customHeight="1" x14ac:dyDescent="0.2"/>
    <row r="647" ht="12.95" customHeight="1" x14ac:dyDescent="0.2"/>
    <row r="648" ht="12.95" customHeight="1" x14ac:dyDescent="0.2"/>
    <row r="649" ht="12.95" customHeight="1" x14ac:dyDescent="0.2"/>
    <row r="650" ht="12.95" customHeight="1" x14ac:dyDescent="0.2"/>
    <row r="651" ht="12.95" customHeight="1" x14ac:dyDescent="0.2"/>
    <row r="652" ht="12.95" customHeight="1" x14ac:dyDescent="0.2"/>
    <row r="653" ht="12.95" customHeight="1" x14ac:dyDescent="0.2"/>
    <row r="654" ht="12.95" customHeight="1" x14ac:dyDescent="0.2"/>
    <row r="655" ht="12.95" customHeight="1" x14ac:dyDescent="0.2"/>
    <row r="656" ht="12.95" customHeight="1" x14ac:dyDescent="0.2"/>
    <row r="657" ht="12.95" customHeight="1" x14ac:dyDescent="0.2"/>
    <row r="658" ht="12.95" customHeight="1" x14ac:dyDescent="0.2"/>
    <row r="659" ht="12.95" customHeight="1" x14ac:dyDescent="0.2"/>
    <row r="660" ht="12.95" customHeight="1" x14ac:dyDescent="0.2"/>
    <row r="661" ht="12.95" customHeight="1" x14ac:dyDescent="0.2"/>
    <row r="662" ht="12.95" customHeight="1" x14ac:dyDescent="0.2"/>
    <row r="663" ht="12.95" customHeight="1" x14ac:dyDescent="0.2"/>
    <row r="664" ht="12.95" customHeight="1" x14ac:dyDescent="0.2"/>
    <row r="665" ht="12.95" customHeight="1" x14ac:dyDescent="0.2"/>
    <row r="666" ht="12.95" customHeight="1" x14ac:dyDescent="0.2"/>
    <row r="667" ht="12.95" customHeight="1" x14ac:dyDescent="0.2"/>
    <row r="668" ht="12.95" customHeight="1" x14ac:dyDescent="0.2"/>
    <row r="669" ht="12.95" customHeight="1" x14ac:dyDescent="0.2"/>
    <row r="670" ht="12.95" customHeight="1" x14ac:dyDescent="0.2"/>
    <row r="671" ht="12.95" customHeight="1" x14ac:dyDescent="0.2"/>
    <row r="672" ht="12.95" customHeight="1" x14ac:dyDescent="0.2"/>
    <row r="673" ht="12.95" customHeight="1" x14ac:dyDescent="0.2"/>
    <row r="674" ht="12.95" customHeight="1" x14ac:dyDescent="0.2"/>
    <row r="675" ht="12.95" customHeight="1" x14ac:dyDescent="0.2"/>
    <row r="676" ht="12.95" customHeight="1" x14ac:dyDescent="0.2"/>
    <row r="677" ht="12.95" customHeight="1" x14ac:dyDescent="0.2"/>
    <row r="678" ht="12.95" customHeight="1" x14ac:dyDescent="0.2"/>
    <row r="679" ht="12.95" customHeight="1" x14ac:dyDescent="0.2"/>
    <row r="680" ht="12.95" customHeight="1" x14ac:dyDescent="0.2"/>
    <row r="681" ht="12.95" customHeight="1" x14ac:dyDescent="0.2"/>
    <row r="682" ht="12.95" customHeight="1" x14ac:dyDescent="0.2"/>
    <row r="683" ht="12.95" customHeight="1" x14ac:dyDescent="0.2"/>
    <row r="684" ht="12.95" customHeight="1" x14ac:dyDescent="0.2"/>
    <row r="685" ht="12.95" customHeight="1" x14ac:dyDescent="0.2"/>
    <row r="686" ht="12.95" customHeight="1" x14ac:dyDescent="0.2"/>
    <row r="687" ht="12.95" customHeight="1" x14ac:dyDescent="0.2"/>
    <row r="688" ht="12.95" customHeight="1" x14ac:dyDescent="0.2"/>
    <row r="689" ht="12.95" customHeight="1" x14ac:dyDescent="0.2"/>
    <row r="690" ht="12.95" customHeight="1" x14ac:dyDescent="0.2"/>
    <row r="691" ht="12.95" customHeight="1" x14ac:dyDescent="0.2"/>
    <row r="692" ht="12.95" customHeight="1" x14ac:dyDescent="0.2"/>
    <row r="693" ht="12.95" customHeight="1" x14ac:dyDescent="0.2"/>
    <row r="694" ht="12.95" customHeight="1" x14ac:dyDescent="0.2"/>
    <row r="695" ht="12.95" customHeight="1" x14ac:dyDescent="0.2"/>
    <row r="696" ht="12.95" customHeight="1" x14ac:dyDescent="0.2"/>
    <row r="697" ht="12.95" customHeight="1" x14ac:dyDescent="0.2"/>
    <row r="698" ht="12.95" customHeight="1" x14ac:dyDescent="0.2"/>
    <row r="699" ht="12.95" customHeight="1" x14ac:dyDescent="0.2"/>
    <row r="700" ht="12.95" customHeight="1" x14ac:dyDescent="0.2"/>
    <row r="701" ht="12.95" customHeight="1" x14ac:dyDescent="0.2"/>
    <row r="702" ht="12.95" customHeight="1" x14ac:dyDescent="0.2"/>
    <row r="703" ht="12.95" customHeight="1" x14ac:dyDescent="0.2"/>
    <row r="704" ht="12.95" customHeight="1" x14ac:dyDescent="0.2"/>
    <row r="705" ht="12.95" customHeight="1" x14ac:dyDescent="0.2"/>
    <row r="706" ht="12.95" customHeight="1" x14ac:dyDescent="0.2"/>
    <row r="707" ht="12.95" customHeight="1" x14ac:dyDescent="0.2"/>
    <row r="708" ht="12.95" customHeight="1" x14ac:dyDescent="0.2"/>
    <row r="709" ht="12.95" customHeight="1" x14ac:dyDescent="0.2"/>
    <row r="710" ht="12.95" customHeight="1" x14ac:dyDescent="0.2"/>
    <row r="711" ht="12.95" customHeight="1" x14ac:dyDescent="0.2"/>
    <row r="712" ht="12.95" customHeight="1" x14ac:dyDescent="0.2"/>
    <row r="713" ht="12.95" customHeight="1" x14ac:dyDescent="0.2"/>
    <row r="714" ht="12.95" customHeight="1" x14ac:dyDescent="0.2"/>
    <row r="715" ht="12.95" customHeight="1" x14ac:dyDescent="0.2"/>
    <row r="716" ht="12.95" customHeight="1" x14ac:dyDescent="0.2"/>
    <row r="717" ht="12.95" customHeight="1" x14ac:dyDescent="0.2"/>
    <row r="718" ht="12.95" customHeight="1" x14ac:dyDescent="0.2"/>
    <row r="719" ht="12.95" customHeight="1" x14ac:dyDescent="0.2"/>
    <row r="720" ht="12.95" customHeight="1" x14ac:dyDescent="0.2"/>
    <row r="721" ht="12.95" customHeight="1" x14ac:dyDescent="0.2"/>
    <row r="722" ht="12.95" customHeight="1" x14ac:dyDescent="0.2"/>
    <row r="723" ht="12.95" customHeight="1" x14ac:dyDescent="0.2"/>
    <row r="724" ht="12.95" customHeight="1" x14ac:dyDescent="0.2"/>
    <row r="725" ht="12.95" customHeight="1" x14ac:dyDescent="0.2"/>
    <row r="726" ht="12.95" customHeight="1" x14ac:dyDescent="0.2"/>
    <row r="727" ht="12.95" customHeight="1" x14ac:dyDescent="0.2"/>
    <row r="728" ht="12.95" customHeight="1" x14ac:dyDescent="0.2"/>
    <row r="729" ht="12.95" customHeight="1" x14ac:dyDescent="0.2"/>
    <row r="730" ht="12.95" customHeight="1" x14ac:dyDescent="0.2"/>
    <row r="731" ht="12.95" customHeight="1" x14ac:dyDescent="0.2"/>
    <row r="732" ht="12.95" customHeight="1" x14ac:dyDescent="0.2"/>
    <row r="733" ht="12.95" customHeight="1" x14ac:dyDescent="0.2"/>
    <row r="734" ht="12.95" customHeight="1" x14ac:dyDescent="0.2"/>
    <row r="735" ht="12.95" customHeight="1" x14ac:dyDescent="0.2"/>
    <row r="736" ht="12.95" customHeight="1" x14ac:dyDescent="0.2"/>
    <row r="737" ht="12.95" customHeight="1" x14ac:dyDescent="0.2"/>
    <row r="738" ht="12.95" customHeight="1" x14ac:dyDescent="0.2"/>
    <row r="739" ht="12.95" customHeight="1" x14ac:dyDescent="0.2"/>
    <row r="740" ht="12.95" customHeight="1" x14ac:dyDescent="0.2"/>
    <row r="741" ht="12.95" customHeight="1" x14ac:dyDescent="0.2"/>
    <row r="742" ht="12.95" customHeight="1" x14ac:dyDescent="0.2"/>
    <row r="743" ht="12.95" customHeight="1" x14ac:dyDescent="0.2"/>
    <row r="744" ht="12.95" customHeight="1" x14ac:dyDescent="0.2"/>
    <row r="745" ht="12.95" customHeight="1" x14ac:dyDescent="0.2"/>
    <row r="746" ht="12.95" customHeight="1" x14ac:dyDescent="0.2"/>
    <row r="747" ht="12.95" customHeight="1" x14ac:dyDescent="0.2"/>
    <row r="748" ht="12.95" customHeight="1" x14ac:dyDescent="0.2"/>
    <row r="749" ht="12.95" customHeight="1" x14ac:dyDescent="0.2"/>
    <row r="750" ht="12.95" customHeight="1" x14ac:dyDescent="0.2"/>
    <row r="751" ht="12.95" customHeight="1" x14ac:dyDescent="0.2"/>
    <row r="752" ht="12.95" customHeight="1" x14ac:dyDescent="0.2"/>
    <row r="753" ht="12.95" customHeight="1" x14ac:dyDescent="0.2"/>
    <row r="754" ht="12.95" customHeight="1" x14ac:dyDescent="0.2"/>
    <row r="755" ht="12.95" customHeight="1" x14ac:dyDescent="0.2"/>
    <row r="756" ht="12.95" customHeight="1" x14ac:dyDescent="0.2"/>
    <row r="757" ht="12.95" customHeight="1" x14ac:dyDescent="0.2"/>
    <row r="758" ht="12.95" customHeight="1" x14ac:dyDescent="0.2"/>
    <row r="759" ht="12.95" customHeight="1" x14ac:dyDescent="0.2"/>
    <row r="760" ht="12.95" customHeight="1" x14ac:dyDescent="0.2"/>
    <row r="761" ht="12.95" customHeight="1" x14ac:dyDescent="0.2"/>
    <row r="762" ht="12.95" customHeight="1" x14ac:dyDescent="0.2"/>
    <row r="763" ht="12.95" customHeight="1" x14ac:dyDescent="0.2"/>
    <row r="764" ht="12.95" customHeight="1" x14ac:dyDescent="0.2"/>
    <row r="765" ht="12.95" customHeight="1" x14ac:dyDescent="0.2"/>
    <row r="766" ht="12.95" customHeight="1" x14ac:dyDescent="0.2"/>
    <row r="767" ht="12.95" customHeight="1" x14ac:dyDescent="0.2"/>
    <row r="768" ht="12.95" customHeight="1" x14ac:dyDescent="0.2"/>
    <row r="769" ht="12.95" customHeight="1" x14ac:dyDescent="0.2"/>
    <row r="770" ht="12.95" customHeight="1" x14ac:dyDescent="0.2"/>
    <row r="771" ht="12.95" customHeight="1" x14ac:dyDescent="0.2"/>
    <row r="772" ht="12.95" customHeight="1" x14ac:dyDescent="0.2"/>
    <row r="773" ht="12.95" customHeight="1" x14ac:dyDescent="0.2"/>
    <row r="774" ht="12.95" customHeight="1" x14ac:dyDescent="0.2"/>
    <row r="775" ht="12.95" customHeight="1" x14ac:dyDescent="0.2"/>
    <row r="776" ht="12.95" customHeight="1" x14ac:dyDescent="0.2"/>
    <row r="777" ht="12.95" customHeight="1" x14ac:dyDescent="0.2"/>
    <row r="778" ht="12.95" customHeight="1" x14ac:dyDescent="0.2"/>
    <row r="779" ht="12.95" customHeight="1" x14ac:dyDescent="0.2"/>
    <row r="780" ht="12.95" customHeight="1" x14ac:dyDescent="0.2"/>
    <row r="781" ht="12.95" customHeight="1" x14ac:dyDescent="0.2"/>
    <row r="782" ht="12.95" customHeight="1" x14ac:dyDescent="0.2"/>
    <row r="783" ht="12.95" customHeight="1" x14ac:dyDescent="0.2"/>
    <row r="784" ht="12.95" customHeight="1" x14ac:dyDescent="0.2"/>
    <row r="785" ht="12.95" customHeight="1" x14ac:dyDescent="0.2"/>
    <row r="786" ht="12.95" customHeight="1" x14ac:dyDescent="0.2"/>
    <row r="787" ht="12.95" customHeight="1" x14ac:dyDescent="0.2"/>
    <row r="788" ht="12.95" customHeight="1" x14ac:dyDescent="0.2"/>
    <row r="789" ht="12.95" customHeight="1" x14ac:dyDescent="0.2"/>
    <row r="790" ht="12.95" customHeight="1" x14ac:dyDescent="0.2"/>
    <row r="791" ht="12.95" customHeight="1" x14ac:dyDescent="0.2"/>
    <row r="792" ht="12.95" customHeight="1" x14ac:dyDescent="0.2"/>
    <row r="793" ht="12.95" customHeight="1" x14ac:dyDescent="0.2"/>
    <row r="794" ht="12.95" customHeight="1" x14ac:dyDescent="0.2"/>
    <row r="795" ht="12.95" customHeight="1" x14ac:dyDescent="0.2"/>
    <row r="796" ht="12.95" customHeight="1" x14ac:dyDescent="0.2"/>
    <row r="797" ht="12.95" customHeight="1" x14ac:dyDescent="0.2"/>
    <row r="798" ht="12.95" customHeight="1" x14ac:dyDescent="0.2"/>
    <row r="799" ht="12.95" customHeight="1" x14ac:dyDescent="0.2"/>
    <row r="800" ht="12.95" customHeight="1" x14ac:dyDescent="0.2"/>
    <row r="801" ht="12.95" customHeight="1" x14ac:dyDescent="0.2"/>
    <row r="802" ht="12.95" customHeight="1" x14ac:dyDescent="0.2"/>
    <row r="803" ht="12.95" customHeight="1" x14ac:dyDescent="0.2"/>
    <row r="804" ht="12.95" customHeight="1" x14ac:dyDescent="0.2"/>
    <row r="805" ht="12.95" customHeight="1" x14ac:dyDescent="0.2"/>
    <row r="806" ht="12.95" customHeight="1" x14ac:dyDescent="0.2"/>
    <row r="807" ht="12.95" customHeight="1" x14ac:dyDescent="0.2"/>
    <row r="808" ht="12.95" customHeight="1" x14ac:dyDescent="0.2"/>
    <row r="809" ht="12.95" customHeight="1" x14ac:dyDescent="0.2"/>
    <row r="810" ht="12.95" customHeight="1" x14ac:dyDescent="0.2"/>
    <row r="811" ht="12.95" customHeight="1" x14ac:dyDescent="0.2"/>
    <row r="812" ht="12.95" customHeight="1" x14ac:dyDescent="0.2"/>
    <row r="813" ht="12.95" customHeight="1" x14ac:dyDescent="0.2"/>
    <row r="814" ht="12.95" customHeight="1" x14ac:dyDescent="0.2"/>
    <row r="815" ht="12.95" customHeight="1" x14ac:dyDescent="0.2"/>
    <row r="816" ht="12.95" customHeight="1" x14ac:dyDescent="0.2"/>
    <row r="817" ht="12.95" customHeight="1" x14ac:dyDescent="0.2"/>
    <row r="818" ht="12.95" customHeight="1" x14ac:dyDescent="0.2"/>
    <row r="819" ht="12.95" customHeight="1" x14ac:dyDescent="0.2"/>
    <row r="820" ht="12.95" customHeight="1" x14ac:dyDescent="0.2"/>
    <row r="821" ht="12.95" customHeight="1" x14ac:dyDescent="0.2"/>
    <row r="822" ht="12.95" customHeight="1" x14ac:dyDescent="0.2"/>
    <row r="823" ht="12.95" customHeight="1" x14ac:dyDescent="0.2"/>
    <row r="824" ht="12.95" customHeight="1" x14ac:dyDescent="0.2"/>
    <row r="825" ht="12.95" customHeight="1" x14ac:dyDescent="0.2"/>
    <row r="826" ht="12.95" customHeight="1" x14ac:dyDescent="0.2"/>
    <row r="827" ht="12.95" customHeight="1" x14ac:dyDescent="0.2"/>
    <row r="828" ht="12.95" customHeight="1" x14ac:dyDescent="0.2"/>
    <row r="829" ht="12.95" customHeight="1" x14ac:dyDescent="0.2"/>
    <row r="830" ht="12.95" customHeight="1" x14ac:dyDescent="0.2"/>
    <row r="831" ht="12.95" customHeight="1" x14ac:dyDescent="0.2"/>
    <row r="832" ht="12.95" customHeight="1" x14ac:dyDescent="0.2"/>
    <row r="833" ht="12.95" customHeight="1" x14ac:dyDescent="0.2"/>
    <row r="834" ht="12.95" customHeight="1" x14ac:dyDescent="0.2"/>
    <row r="835" ht="12.95" customHeight="1" x14ac:dyDescent="0.2"/>
    <row r="836" ht="12.95" customHeight="1" x14ac:dyDescent="0.2"/>
    <row r="837" ht="12.95" customHeight="1" x14ac:dyDescent="0.2"/>
    <row r="838" ht="12.95" customHeight="1" x14ac:dyDescent="0.2"/>
    <row r="839" ht="12.95" customHeight="1" x14ac:dyDescent="0.2"/>
    <row r="840" ht="12.95" customHeight="1" x14ac:dyDescent="0.2"/>
    <row r="841" ht="12.95" customHeight="1" x14ac:dyDescent="0.2"/>
    <row r="842" ht="12.95" customHeight="1" x14ac:dyDescent="0.2"/>
    <row r="843" ht="12.95" customHeight="1" x14ac:dyDescent="0.2"/>
    <row r="844" ht="12.95" customHeight="1" x14ac:dyDescent="0.2"/>
    <row r="845" ht="12.95" customHeight="1" x14ac:dyDescent="0.2"/>
    <row r="846" ht="12.95" customHeight="1" x14ac:dyDescent="0.2"/>
    <row r="847" ht="12.95" customHeight="1" x14ac:dyDescent="0.2"/>
    <row r="848" ht="12.95" customHeight="1" x14ac:dyDescent="0.2"/>
    <row r="849" ht="12.95" customHeight="1" x14ac:dyDescent="0.2"/>
    <row r="850" ht="12.95" customHeight="1" x14ac:dyDescent="0.2"/>
    <row r="851" ht="12.95" customHeight="1" x14ac:dyDescent="0.2"/>
    <row r="852" ht="12.95" customHeight="1" x14ac:dyDescent="0.2"/>
    <row r="853" ht="12.95" customHeight="1" x14ac:dyDescent="0.2"/>
    <row r="854" ht="12.95" customHeight="1" x14ac:dyDescent="0.2"/>
    <row r="855" ht="12.95" customHeight="1" x14ac:dyDescent="0.2"/>
    <row r="856" ht="12.95" customHeight="1" x14ac:dyDescent="0.2"/>
    <row r="857" ht="12.95" customHeight="1" x14ac:dyDescent="0.2"/>
    <row r="858" ht="12.95" customHeight="1" x14ac:dyDescent="0.2"/>
    <row r="859" ht="12.95" customHeight="1" x14ac:dyDescent="0.2"/>
    <row r="860" ht="12.95" customHeight="1" x14ac:dyDescent="0.2"/>
    <row r="861" ht="12.95" customHeight="1" x14ac:dyDescent="0.2"/>
    <row r="862" ht="12.95" customHeight="1" x14ac:dyDescent="0.2"/>
    <row r="863" ht="12.95" customHeight="1" x14ac:dyDescent="0.2"/>
    <row r="864" ht="12.95" customHeight="1" x14ac:dyDescent="0.2"/>
    <row r="865" ht="12.95" customHeight="1" x14ac:dyDescent="0.2"/>
    <row r="866" ht="12.95" customHeight="1" x14ac:dyDescent="0.2"/>
    <row r="867" ht="12.95" customHeight="1" x14ac:dyDescent="0.2"/>
    <row r="868" ht="12.95" customHeight="1" x14ac:dyDescent="0.2"/>
    <row r="869" ht="12.95" customHeight="1" x14ac:dyDescent="0.2"/>
    <row r="870" ht="12.95" customHeight="1" x14ac:dyDescent="0.2"/>
    <row r="871" ht="12.95" customHeight="1" x14ac:dyDescent="0.2"/>
    <row r="872" ht="12.95" customHeight="1" x14ac:dyDescent="0.2"/>
    <row r="873" ht="12.95" customHeight="1" x14ac:dyDescent="0.2"/>
    <row r="874" ht="12.95" customHeight="1" x14ac:dyDescent="0.2"/>
    <row r="875" ht="12.95" customHeight="1" x14ac:dyDescent="0.2"/>
    <row r="876" ht="12.95" customHeight="1" x14ac:dyDescent="0.2"/>
    <row r="877" ht="12.95" customHeight="1" x14ac:dyDescent="0.2"/>
    <row r="878" ht="12.95" customHeight="1" x14ac:dyDescent="0.2"/>
    <row r="879" ht="12.95" customHeight="1" x14ac:dyDescent="0.2"/>
    <row r="880" ht="12.95" customHeight="1" x14ac:dyDescent="0.2"/>
    <row r="881" ht="12.95" customHeight="1" x14ac:dyDescent="0.2"/>
    <row r="882" ht="12.95" customHeight="1" x14ac:dyDescent="0.2"/>
    <row r="883" ht="12.95" customHeight="1" x14ac:dyDescent="0.2"/>
    <row r="884" ht="12.95" customHeight="1" x14ac:dyDescent="0.2"/>
    <row r="885" ht="12.95" customHeight="1" x14ac:dyDescent="0.2"/>
    <row r="886" ht="12.95" customHeight="1" x14ac:dyDescent="0.2"/>
    <row r="887" ht="12.95" customHeight="1" x14ac:dyDescent="0.2"/>
    <row r="888" ht="12.95" customHeight="1" x14ac:dyDescent="0.2"/>
    <row r="889" ht="12.95" customHeight="1" x14ac:dyDescent="0.2"/>
    <row r="890" ht="12.95" customHeight="1" x14ac:dyDescent="0.2"/>
    <row r="891" ht="12.95" customHeight="1" x14ac:dyDescent="0.2"/>
    <row r="892" ht="12.95" customHeight="1" x14ac:dyDescent="0.2"/>
    <row r="893" ht="12.95" customHeight="1" x14ac:dyDescent="0.2"/>
    <row r="894" ht="12.95" customHeight="1" x14ac:dyDescent="0.2"/>
    <row r="895" ht="12.95" customHeight="1" x14ac:dyDescent="0.2"/>
    <row r="896" ht="12.95" customHeight="1" x14ac:dyDescent="0.2"/>
    <row r="897" ht="12.95" customHeight="1" x14ac:dyDescent="0.2"/>
    <row r="898" ht="12.95" customHeight="1" x14ac:dyDescent="0.2"/>
    <row r="899" ht="12.95" customHeight="1" x14ac:dyDescent="0.2"/>
    <row r="900" ht="12.95" customHeight="1" x14ac:dyDescent="0.2"/>
    <row r="901" ht="12.95" customHeight="1" x14ac:dyDescent="0.2"/>
    <row r="902" ht="12.95" customHeight="1" x14ac:dyDescent="0.2"/>
    <row r="903" ht="12.95" customHeight="1" x14ac:dyDescent="0.2"/>
    <row r="904" ht="12.95" customHeight="1" x14ac:dyDescent="0.2"/>
    <row r="905" ht="12.95" customHeight="1" x14ac:dyDescent="0.2"/>
    <row r="906" ht="12.95" customHeight="1" x14ac:dyDescent="0.2"/>
    <row r="907" ht="12.95" customHeight="1" x14ac:dyDescent="0.2"/>
    <row r="908" ht="12.95" customHeight="1" x14ac:dyDescent="0.2"/>
    <row r="909" ht="12.95" customHeight="1" x14ac:dyDescent="0.2"/>
    <row r="910" ht="12.95" customHeight="1" x14ac:dyDescent="0.2"/>
    <row r="911" ht="12.95" customHeight="1" x14ac:dyDescent="0.2"/>
    <row r="912" ht="12.95" customHeight="1" x14ac:dyDescent="0.2"/>
    <row r="913" ht="12.95" customHeight="1" x14ac:dyDescent="0.2"/>
    <row r="914" ht="12.95" customHeight="1" x14ac:dyDescent="0.2"/>
    <row r="915" ht="12.95" customHeight="1" x14ac:dyDescent="0.2"/>
    <row r="916" ht="12.95" customHeight="1" x14ac:dyDescent="0.2"/>
    <row r="917" ht="12.95" customHeight="1" x14ac:dyDescent="0.2"/>
    <row r="918" ht="12.95" customHeight="1" x14ac:dyDescent="0.2"/>
    <row r="919" ht="12.95" customHeight="1" x14ac:dyDescent="0.2"/>
    <row r="920" ht="12.95" customHeight="1" x14ac:dyDescent="0.2"/>
    <row r="921" ht="12.95" customHeight="1" x14ac:dyDescent="0.2"/>
    <row r="922" ht="12.95" customHeight="1" x14ac:dyDescent="0.2"/>
    <row r="923" ht="12.95" customHeight="1" x14ac:dyDescent="0.2"/>
    <row r="924" ht="12.95" customHeight="1" x14ac:dyDescent="0.2"/>
    <row r="925" ht="12.95" customHeight="1" x14ac:dyDescent="0.2"/>
    <row r="926" ht="12.95" customHeight="1" x14ac:dyDescent="0.2"/>
    <row r="927" ht="12.95" customHeight="1" x14ac:dyDescent="0.2"/>
    <row r="928" ht="12.95" customHeight="1" x14ac:dyDescent="0.2"/>
    <row r="929" ht="12.95" customHeight="1" x14ac:dyDescent="0.2"/>
    <row r="930" ht="12.95" customHeight="1" x14ac:dyDescent="0.2"/>
    <row r="931" ht="12.95" customHeight="1" x14ac:dyDescent="0.2"/>
    <row r="932" ht="12.95" customHeight="1" x14ac:dyDescent="0.2"/>
    <row r="933" ht="12.95" customHeight="1" x14ac:dyDescent="0.2"/>
    <row r="934" ht="12.95" customHeight="1" x14ac:dyDescent="0.2"/>
    <row r="935" ht="12.95" customHeight="1" x14ac:dyDescent="0.2"/>
    <row r="936" ht="12.95" customHeight="1" x14ac:dyDescent="0.2"/>
    <row r="937" ht="12.95" customHeight="1" x14ac:dyDescent="0.2"/>
    <row r="938" ht="12.95" customHeight="1" x14ac:dyDescent="0.2"/>
    <row r="939" ht="12.95" customHeight="1" x14ac:dyDescent="0.2"/>
    <row r="940" ht="12.95" customHeight="1" x14ac:dyDescent="0.2"/>
    <row r="941" ht="12.95" customHeight="1" x14ac:dyDescent="0.2"/>
    <row r="942" ht="12.95" customHeight="1" x14ac:dyDescent="0.2"/>
    <row r="943" ht="12.95" customHeight="1" x14ac:dyDescent="0.2"/>
    <row r="944" ht="12.95" customHeight="1" x14ac:dyDescent="0.2"/>
    <row r="945" ht="12.95" customHeight="1" x14ac:dyDescent="0.2"/>
    <row r="946" ht="12.95" customHeight="1" x14ac:dyDescent="0.2"/>
    <row r="947" ht="12.95" customHeight="1" x14ac:dyDescent="0.2"/>
    <row r="948" ht="12.95" customHeight="1" x14ac:dyDescent="0.2"/>
    <row r="949" ht="12.95" customHeight="1" x14ac:dyDescent="0.2"/>
    <row r="950" ht="12.95" customHeight="1" x14ac:dyDescent="0.2"/>
    <row r="951" ht="12.95" customHeight="1" x14ac:dyDescent="0.2"/>
    <row r="952" ht="12.95" customHeight="1" x14ac:dyDescent="0.2"/>
    <row r="953" ht="12.95" customHeight="1" x14ac:dyDescent="0.2"/>
    <row r="954" ht="12.95" customHeight="1" x14ac:dyDescent="0.2"/>
    <row r="955" ht="12.95" customHeight="1" x14ac:dyDescent="0.2"/>
    <row r="956" ht="12.95" customHeight="1" x14ac:dyDescent="0.2"/>
    <row r="957" ht="12.95" customHeight="1" x14ac:dyDescent="0.2"/>
    <row r="958" ht="12.95" customHeight="1" x14ac:dyDescent="0.2"/>
    <row r="959" ht="12.95" customHeight="1" x14ac:dyDescent="0.2"/>
    <row r="960" ht="12.95" customHeight="1" x14ac:dyDescent="0.2"/>
    <row r="961" ht="12.95" customHeight="1" x14ac:dyDescent="0.2"/>
    <row r="962" ht="12.95" customHeight="1" x14ac:dyDescent="0.2"/>
    <row r="963" ht="12.95" customHeight="1" x14ac:dyDescent="0.2"/>
    <row r="964" ht="12.95" customHeight="1" x14ac:dyDescent="0.2"/>
    <row r="965" ht="12.95" customHeight="1" x14ac:dyDescent="0.2"/>
    <row r="966" ht="12.95" customHeight="1" x14ac:dyDescent="0.2"/>
    <row r="967" ht="12.95" customHeight="1" x14ac:dyDescent="0.2"/>
    <row r="968" ht="12.95" customHeight="1" x14ac:dyDescent="0.2"/>
    <row r="969" ht="12.95" customHeight="1" x14ac:dyDescent="0.2"/>
    <row r="970" ht="12.95" customHeight="1" x14ac:dyDescent="0.2"/>
    <row r="971" ht="12.95" customHeight="1" x14ac:dyDescent="0.2"/>
    <row r="972" ht="12.95" customHeight="1" x14ac:dyDescent="0.2"/>
    <row r="973" ht="12.95" customHeight="1" x14ac:dyDescent="0.2"/>
    <row r="974" ht="12.95" customHeight="1" x14ac:dyDescent="0.2"/>
    <row r="975" ht="12.95" customHeight="1" x14ac:dyDescent="0.2"/>
    <row r="976" ht="12.95" customHeight="1" x14ac:dyDescent="0.2"/>
    <row r="977" ht="12.95" customHeight="1" x14ac:dyDescent="0.2"/>
    <row r="978" ht="12.95" customHeight="1" x14ac:dyDescent="0.2"/>
    <row r="979" ht="12.95" customHeight="1" x14ac:dyDescent="0.2"/>
    <row r="980" ht="12.95" customHeight="1" x14ac:dyDescent="0.2"/>
    <row r="981" ht="12.95" customHeight="1" x14ac:dyDescent="0.2"/>
    <row r="982" ht="12.95" customHeight="1" x14ac:dyDescent="0.2"/>
    <row r="983" ht="12.95" customHeight="1" x14ac:dyDescent="0.2"/>
    <row r="984" ht="12.95" customHeight="1" x14ac:dyDescent="0.2"/>
    <row r="985" ht="12.95" customHeight="1" x14ac:dyDescent="0.2"/>
    <row r="986" ht="12.95" customHeight="1" x14ac:dyDescent="0.2"/>
    <row r="987" ht="12.95" customHeight="1" x14ac:dyDescent="0.2"/>
    <row r="988" ht="12.95" customHeight="1" x14ac:dyDescent="0.2"/>
    <row r="989" ht="12.95" customHeight="1" x14ac:dyDescent="0.2"/>
    <row r="990" ht="12.95" customHeight="1" x14ac:dyDescent="0.2"/>
    <row r="991" ht="12.95" customHeight="1" x14ac:dyDescent="0.2"/>
    <row r="992" ht="12.95" customHeight="1" x14ac:dyDescent="0.2"/>
    <row r="993" ht="12.95" customHeight="1" x14ac:dyDescent="0.2"/>
    <row r="994" ht="12.95" customHeight="1" x14ac:dyDescent="0.2"/>
    <row r="995" ht="12.95" customHeight="1" x14ac:dyDescent="0.2"/>
    <row r="996" ht="12.95" customHeight="1" x14ac:dyDescent="0.2"/>
    <row r="997" ht="12.95" customHeight="1" x14ac:dyDescent="0.2"/>
    <row r="998" ht="12.95" customHeight="1" x14ac:dyDescent="0.2"/>
    <row r="999" ht="12.95" customHeight="1" x14ac:dyDescent="0.2"/>
    <row r="1000" ht="12.95" customHeight="1" x14ac:dyDescent="0.2"/>
    <row r="1001" ht="12.95" customHeight="1" x14ac:dyDescent="0.2"/>
    <row r="1002" ht="12.95" customHeight="1" x14ac:dyDescent="0.2"/>
    <row r="1003" ht="12.95" customHeight="1" x14ac:dyDescent="0.2"/>
    <row r="1004" ht="12.95" customHeight="1" x14ac:dyDescent="0.2"/>
    <row r="1005" ht="12.95" customHeight="1" x14ac:dyDescent="0.2"/>
    <row r="1006" ht="12.95" customHeight="1" x14ac:dyDescent="0.2"/>
    <row r="1007" ht="12.95" customHeight="1" x14ac:dyDescent="0.2"/>
    <row r="1008" ht="12.95" customHeight="1" x14ac:dyDescent="0.2"/>
    <row r="1009" ht="12.95" customHeight="1" x14ac:dyDescent="0.2"/>
    <row r="1010" ht="12.95" customHeight="1" x14ac:dyDescent="0.2"/>
    <row r="1011" ht="12.95" customHeight="1" x14ac:dyDescent="0.2"/>
    <row r="1012" ht="12.95" customHeight="1" x14ac:dyDescent="0.2"/>
    <row r="1013" ht="12.95" customHeight="1" x14ac:dyDescent="0.2"/>
    <row r="1014" ht="12.95" customHeight="1" x14ac:dyDescent="0.2"/>
    <row r="1015" ht="12.95" customHeight="1" x14ac:dyDescent="0.2"/>
    <row r="1016" ht="12.95" customHeight="1" x14ac:dyDescent="0.2"/>
    <row r="1017" ht="12.95" customHeight="1" x14ac:dyDescent="0.2"/>
    <row r="1018" ht="12.95" customHeight="1" x14ac:dyDescent="0.2"/>
    <row r="1019" ht="12.95" customHeight="1" x14ac:dyDescent="0.2"/>
    <row r="1020" ht="12.95" customHeight="1" x14ac:dyDescent="0.2"/>
    <row r="1021" ht="12.95" customHeight="1" x14ac:dyDescent="0.2"/>
    <row r="1022" ht="12.95" customHeight="1" x14ac:dyDescent="0.2"/>
    <row r="1023" ht="12.95" customHeight="1" x14ac:dyDescent="0.2"/>
    <row r="1024" ht="12.95" customHeight="1" x14ac:dyDescent="0.2"/>
    <row r="1025" ht="12.95" customHeight="1" x14ac:dyDescent="0.2"/>
    <row r="1026" ht="12.95" customHeight="1" x14ac:dyDescent="0.2"/>
    <row r="1027" ht="12.95" customHeight="1" x14ac:dyDescent="0.2"/>
    <row r="1028" ht="12.95" customHeight="1" x14ac:dyDescent="0.2"/>
    <row r="1029" ht="12.95" customHeight="1" x14ac:dyDescent="0.2"/>
    <row r="1030" ht="12.95" customHeight="1" x14ac:dyDescent="0.2"/>
    <row r="1031" ht="12.95" customHeight="1" x14ac:dyDescent="0.2"/>
    <row r="1032" ht="12.95" customHeight="1" x14ac:dyDescent="0.2"/>
    <row r="1033" ht="12.95" customHeight="1" x14ac:dyDescent="0.2"/>
    <row r="1034" ht="12.95" customHeight="1" x14ac:dyDescent="0.2"/>
    <row r="1035" ht="12.95" customHeight="1" x14ac:dyDescent="0.2"/>
    <row r="1036" ht="12.95" customHeight="1" x14ac:dyDescent="0.2"/>
    <row r="1037" ht="12.95" customHeight="1" x14ac:dyDescent="0.2"/>
    <row r="1038" ht="12.95" customHeight="1" x14ac:dyDescent="0.2"/>
    <row r="1039" ht="12.95" customHeight="1" x14ac:dyDescent="0.2"/>
    <row r="1040" ht="12.95" customHeight="1" x14ac:dyDescent="0.2"/>
    <row r="1041" ht="12.95" customHeight="1" x14ac:dyDescent="0.2"/>
    <row r="1042" ht="12.95" customHeight="1" x14ac:dyDescent="0.2"/>
    <row r="1043" ht="12.95" customHeight="1" x14ac:dyDescent="0.2"/>
    <row r="1044" ht="12.95" customHeight="1" x14ac:dyDescent="0.2"/>
    <row r="1045" ht="12.95" customHeight="1" x14ac:dyDescent="0.2"/>
    <row r="1046" ht="12.95" customHeight="1" x14ac:dyDescent="0.2"/>
    <row r="1047" ht="12.95" customHeight="1" x14ac:dyDescent="0.2"/>
    <row r="1048" ht="12.95" customHeight="1" x14ac:dyDescent="0.2"/>
    <row r="1049" ht="12.95" customHeight="1" x14ac:dyDescent="0.2"/>
    <row r="1050" ht="12.95" customHeight="1" x14ac:dyDescent="0.2"/>
    <row r="1051" ht="12.95" customHeight="1" x14ac:dyDescent="0.2"/>
    <row r="1052" ht="12.95" customHeight="1" x14ac:dyDescent="0.2"/>
    <row r="1053" ht="12.95" customHeight="1" x14ac:dyDescent="0.2"/>
    <row r="1054" ht="12.95" customHeight="1" x14ac:dyDescent="0.2"/>
    <row r="1055" ht="12.95" customHeight="1" x14ac:dyDescent="0.2"/>
    <row r="1056" ht="12.95" customHeight="1" x14ac:dyDescent="0.2"/>
    <row r="1057" ht="12.95" customHeight="1" x14ac:dyDescent="0.2"/>
    <row r="1058" ht="12.95" customHeight="1" x14ac:dyDescent="0.2"/>
    <row r="1059" ht="12.95" customHeight="1" x14ac:dyDescent="0.2"/>
    <row r="1060" ht="12.95" customHeight="1" x14ac:dyDescent="0.2"/>
    <row r="1061" ht="12.95" customHeight="1" x14ac:dyDescent="0.2"/>
    <row r="1062" ht="12.95" customHeight="1" x14ac:dyDescent="0.2"/>
    <row r="1063" ht="12.95" customHeight="1" x14ac:dyDescent="0.2"/>
    <row r="1064" ht="12.95" customHeight="1" x14ac:dyDescent="0.2"/>
    <row r="1065" ht="12.95" customHeight="1" x14ac:dyDescent="0.2"/>
    <row r="1066" ht="12.95" customHeight="1" x14ac:dyDescent="0.2"/>
    <row r="1067" ht="12.95" customHeight="1" x14ac:dyDescent="0.2"/>
    <row r="1068" ht="12.95" customHeight="1" x14ac:dyDescent="0.2"/>
    <row r="1069" ht="12.95" customHeight="1" x14ac:dyDescent="0.2"/>
    <row r="1070" ht="12.95" customHeight="1" x14ac:dyDescent="0.2"/>
    <row r="1071" ht="12.95" customHeight="1" x14ac:dyDescent="0.2"/>
    <row r="1072" ht="12.95" customHeight="1" x14ac:dyDescent="0.2"/>
    <row r="1073" ht="12.95" customHeight="1" x14ac:dyDescent="0.2"/>
    <row r="1074" ht="12.95" customHeight="1" x14ac:dyDescent="0.2"/>
    <row r="1075" ht="12.95" customHeight="1" x14ac:dyDescent="0.2"/>
    <row r="1076" ht="12.95" customHeight="1" x14ac:dyDescent="0.2"/>
    <row r="1077" ht="12.95" customHeight="1" x14ac:dyDescent="0.2"/>
    <row r="1078" ht="12.95" customHeight="1" x14ac:dyDescent="0.2"/>
    <row r="1079" ht="12.95" customHeight="1" x14ac:dyDescent="0.2"/>
    <row r="1080" ht="12.95" customHeight="1" x14ac:dyDescent="0.2"/>
    <row r="1081" ht="12.95" customHeight="1" x14ac:dyDescent="0.2"/>
    <row r="1082" ht="12.95" customHeight="1" x14ac:dyDescent="0.2"/>
    <row r="1083" ht="12.95" customHeight="1" x14ac:dyDescent="0.2"/>
    <row r="1084" ht="12.95" customHeight="1" x14ac:dyDescent="0.2"/>
    <row r="1085" ht="12.95" customHeight="1" x14ac:dyDescent="0.2"/>
    <row r="1086" ht="12.95" customHeight="1" x14ac:dyDescent="0.2"/>
    <row r="1087" ht="12.95" customHeight="1" x14ac:dyDescent="0.2"/>
    <row r="1088" ht="12.95" customHeight="1" x14ac:dyDescent="0.2"/>
    <row r="1089" ht="12.95" customHeight="1" x14ac:dyDescent="0.2"/>
    <row r="1090" ht="12.95" customHeight="1" x14ac:dyDescent="0.2"/>
    <row r="1091" ht="12.95" customHeight="1" x14ac:dyDescent="0.2"/>
    <row r="1092" ht="12.95" customHeight="1" x14ac:dyDescent="0.2"/>
    <row r="1093" ht="12.95" customHeight="1" x14ac:dyDescent="0.2"/>
    <row r="1094" ht="12.95" customHeight="1" x14ac:dyDescent="0.2"/>
    <row r="1095" ht="12.95" customHeight="1" x14ac:dyDescent="0.2"/>
    <row r="1096" ht="12.95" customHeight="1" x14ac:dyDescent="0.2"/>
    <row r="1097" ht="12.95" customHeight="1" x14ac:dyDescent="0.2"/>
    <row r="1098" ht="12.95" customHeight="1" x14ac:dyDescent="0.2"/>
    <row r="1099" ht="12.95" customHeight="1" x14ac:dyDescent="0.2"/>
    <row r="1100" ht="12.95" customHeight="1" x14ac:dyDescent="0.2"/>
    <row r="1101" ht="12.95" customHeight="1" x14ac:dyDescent="0.2"/>
    <row r="1102" ht="12.95" customHeight="1" x14ac:dyDescent="0.2"/>
    <row r="1103" ht="12.95" customHeight="1" x14ac:dyDescent="0.2"/>
    <row r="1104" ht="12.95" customHeight="1" x14ac:dyDescent="0.2"/>
    <row r="1105" ht="12.95" customHeight="1" x14ac:dyDescent="0.2"/>
    <row r="1106" ht="12.95" customHeight="1" x14ac:dyDescent="0.2"/>
    <row r="1107" ht="12.95" customHeight="1" x14ac:dyDescent="0.2"/>
    <row r="1108" ht="12.95" customHeight="1" x14ac:dyDescent="0.2"/>
    <row r="1109" ht="12.95" customHeight="1" x14ac:dyDescent="0.2"/>
    <row r="1110" ht="12.95" customHeight="1" x14ac:dyDescent="0.2"/>
    <row r="1111" ht="12.95" customHeight="1" x14ac:dyDescent="0.2"/>
    <row r="1112" ht="12.95" customHeight="1" x14ac:dyDescent="0.2"/>
    <row r="1113" ht="12.95" customHeight="1" x14ac:dyDescent="0.2"/>
    <row r="1114" ht="12.95" customHeight="1" x14ac:dyDescent="0.2"/>
    <row r="1115" ht="12.95" customHeight="1" x14ac:dyDescent="0.2"/>
    <row r="1116" ht="12.95" customHeight="1" x14ac:dyDescent="0.2"/>
    <row r="1117" ht="12.95" customHeight="1" x14ac:dyDescent="0.2"/>
    <row r="1118" ht="12.95" customHeight="1" x14ac:dyDescent="0.2"/>
    <row r="1119" ht="12.95" customHeight="1" x14ac:dyDescent="0.2"/>
    <row r="1120" ht="12.95" customHeight="1" x14ac:dyDescent="0.2"/>
    <row r="1121" ht="12.95" customHeight="1" x14ac:dyDescent="0.2"/>
    <row r="1122" ht="12.95" customHeight="1" x14ac:dyDescent="0.2"/>
    <row r="1123" ht="12.95" customHeight="1" x14ac:dyDescent="0.2"/>
    <row r="1124" ht="12.95" customHeight="1" x14ac:dyDescent="0.2"/>
    <row r="1125" ht="12.95" customHeight="1" x14ac:dyDescent="0.2"/>
    <row r="1126" ht="12.95" customHeight="1" x14ac:dyDescent="0.2"/>
    <row r="1127" ht="12.95" customHeight="1" x14ac:dyDescent="0.2"/>
    <row r="1128" ht="12.95" customHeight="1" x14ac:dyDescent="0.2"/>
    <row r="1129" ht="12.95" customHeight="1" x14ac:dyDescent="0.2"/>
    <row r="1130" ht="12.95" customHeight="1" x14ac:dyDescent="0.2"/>
    <row r="1131" ht="12.95" customHeight="1" x14ac:dyDescent="0.2"/>
    <row r="1132" ht="12.95" customHeight="1" x14ac:dyDescent="0.2"/>
    <row r="1133" ht="12.95" customHeight="1" x14ac:dyDescent="0.2"/>
    <row r="1134" ht="12.95" customHeight="1" x14ac:dyDescent="0.2"/>
    <row r="1135" ht="12.95" customHeight="1" x14ac:dyDescent="0.2"/>
    <row r="1136" ht="12.95" customHeight="1" x14ac:dyDescent="0.2"/>
    <row r="1137" ht="12.95" customHeight="1" x14ac:dyDescent="0.2"/>
    <row r="1138" ht="12.95" customHeight="1" x14ac:dyDescent="0.2"/>
    <row r="1139" ht="12.95" customHeight="1" x14ac:dyDescent="0.2"/>
    <row r="1140" ht="12.95" customHeight="1" x14ac:dyDescent="0.2"/>
    <row r="1141" ht="12.95" customHeight="1" x14ac:dyDescent="0.2"/>
    <row r="1142" ht="12.95" customHeight="1" x14ac:dyDescent="0.2"/>
    <row r="1143" ht="12.95" customHeight="1" x14ac:dyDescent="0.2"/>
    <row r="1144" ht="12.95" customHeight="1" x14ac:dyDescent="0.2"/>
    <row r="1145" ht="12.95" customHeight="1" x14ac:dyDescent="0.2"/>
    <row r="1146" ht="12.95" customHeight="1" x14ac:dyDescent="0.2"/>
    <row r="1147" ht="12.95" customHeight="1" x14ac:dyDescent="0.2"/>
    <row r="1148" ht="12.95" customHeight="1" x14ac:dyDescent="0.2"/>
    <row r="1149" ht="12.95" customHeight="1" x14ac:dyDescent="0.2"/>
    <row r="1150" ht="12.95" customHeight="1" x14ac:dyDescent="0.2"/>
    <row r="1151" ht="12.95" customHeight="1" x14ac:dyDescent="0.2"/>
    <row r="1152" ht="12.95" customHeight="1" x14ac:dyDescent="0.2"/>
    <row r="1153" ht="12.95" customHeight="1" x14ac:dyDescent="0.2"/>
    <row r="1154" ht="12.95" customHeight="1" x14ac:dyDescent="0.2"/>
    <row r="1155" ht="12.95" customHeight="1" x14ac:dyDescent="0.2"/>
    <row r="1156" ht="12.95" customHeight="1" x14ac:dyDescent="0.2"/>
    <row r="1157" ht="12.95" customHeight="1" x14ac:dyDescent="0.2"/>
    <row r="1158" ht="12.95" customHeight="1" x14ac:dyDescent="0.2"/>
    <row r="1159" ht="12.95" customHeight="1" x14ac:dyDescent="0.2"/>
    <row r="1160" ht="12.95" customHeight="1" x14ac:dyDescent="0.2"/>
    <row r="1161" ht="12.95" customHeight="1" x14ac:dyDescent="0.2"/>
    <row r="1162" ht="12.95" customHeight="1" x14ac:dyDescent="0.2"/>
    <row r="1163" ht="12.95" customHeight="1" x14ac:dyDescent="0.2"/>
    <row r="1164" ht="12.95" customHeight="1" x14ac:dyDescent="0.2"/>
    <row r="1165" ht="12.95" customHeight="1" x14ac:dyDescent="0.2"/>
    <row r="1166" ht="12.95" customHeight="1" x14ac:dyDescent="0.2"/>
    <row r="1167" ht="12.95" customHeight="1" x14ac:dyDescent="0.2"/>
    <row r="1168" ht="12.95" customHeight="1" x14ac:dyDescent="0.2"/>
    <row r="1169" ht="12.95" customHeight="1" x14ac:dyDescent="0.2"/>
    <row r="1170" ht="12.95" customHeight="1" x14ac:dyDescent="0.2"/>
    <row r="1171" ht="12.95" customHeight="1" x14ac:dyDescent="0.2"/>
    <row r="1172" ht="12.95" customHeight="1" x14ac:dyDescent="0.2"/>
    <row r="1173" ht="12.95" customHeight="1" x14ac:dyDescent="0.2"/>
    <row r="1174" ht="12.95" customHeight="1" x14ac:dyDescent="0.2"/>
    <row r="1175" ht="12.95" customHeight="1" x14ac:dyDescent="0.2"/>
    <row r="1176" ht="12.95" customHeight="1" x14ac:dyDescent="0.2"/>
    <row r="1177" ht="12.95" customHeight="1" x14ac:dyDescent="0.2"/>
    <row r="1178" ht="12.95" customHeight="1" x14ac:dyDescent="0.2"/>
    <row r="1179" ht="12.95" customHeight="1" x14ac:dyDescent="0.2"/>
    <row r="1180" ht="12.95" customHeight="1" x14ac:dyDescent="0.2"/>
    <row r="1181" ht="12.95" customHeight="1" x14ac:dyDescent="0.2"/>
    <row r="1182" ht="12.95" customHeight="1" x14ac:dyDescent="0.2"/>
    <row r="1183" ht="12.95" customHeight="1" x14ac:dyDescent="0.2"/>
    <row r="1184" ht="12.95" customHeight="1" x14ac:dyDescent="0.2"/>
    <row r="1185" ht="12.95" customHeight="1" x14ac:dyDescent="0.2"/>
    <row r="1186" ht="12.95" customHeight="1" x14ac:dyDescent="0.2"/>
    <row r="1187" ht="12.95" customHeight="1" x14ac:dyDescent="0.2"/>
    <row r="1188" ht="12.95" customHeight="1" x14ac:dyDescent="0.2"/>
    <row r="1189" ht="12.95" customHeight="1" x14ac:dyDescent="0.2"/>
    <row r="1190" ht="12.95" customHeight="1" x14ac:dyDescent="0.2"/>
    <row r="1191" ht="12.95" customHeight="1" x14ac:dyDescent="0.2"/>
    <row r="1192" ht="12.95" customHeight="1" x14ac:dyDescent="0.2"/>
    <row r="1193" ht="12.95" customHeight="1" x14ac:dyDescent="0.2"/>
    <row r="1194" ht="12.95" customHeight="1" x14ac:dyDescent="0.2"/>
    <row r="1195" ht="12.95" customHeight="1" x14ac:dyDescent="0.2"/>
    <row r="1196" ht="12.95" customHeight="1" x14ac:dyDescent="0.2"/>
    <row r="1197" ht="12.95" customHeight="1" x14ac:dyDescent="0.2"/>
    <row r="1198" ht="12.95" customHeight="1" x14ac:dyDescent="0.2"/>
    <row r="1199" ht="12.95" customHeight="1" x14ac:dyDescent="0.2"/>
    <row r="1200" ht="12.95" customHeight="1" x14ac:dyDescent="0.2"/>
    <row r="1201" ht="12.95" customHeight="1" x14ac:dyDescent="0.2"/>
    <row r="1202" ht="12.95" customHeight="1" x14ac:dyDescent="0.2"/>
    <row r="1203" ht="12.95" customHeight="1" x14ac:dyDescent="0.2"/>
    <row r="1204" ht="12.95" customHeight="1" x14ac:dyDescent="0.2"/>
    <row r="1205" ht="12.95" customHeight="1" x14ac:dyDescent="0.2"/>
    <row r="1206" ht="12.95" customHeight="1" x14ac:dyDescent="0.2"/>
    <row r="1207" ht="12.95" customHeight="1" x14ac:dyDescent="0.2"/>
    <row r="1208" ht="12.95" customHeight="1" x14ac:dyDescent="0.2"/>
    <row r="1209" ht="12.95" customHeight="1" x14ac:dyDescent="0.2"/>
    <row r="1210" ht="12.95" customHeight="1" x14ac:dyDescent="0.2"/>
    <row r="1211" ht="12.95" customHeight="1" x14ac:dyDescent="0.2"/>
    <row r="1212" ht="12.95" customHeight="1" x14ac:dyDescent="0.2"/>
    <row r="1213" ht="12.95" customHeight="1" x14ac:dyDescent="0.2"/>
    <row r="1214" ht="12.95" customHeight="1" x14ac:dyDescent="0.2"/>
    <row r="1215" ht="12.95" customHeight="1" x14ac:dyDescent="0.2"/>
    <row r="1216" ht="12.95" customHeight="1" x14ac:dyDescent="0.2"/>
    <row r="1217" ht="12.95" customHeight="1" x14ac:dyDescent="0.2"/>
    <row r="1218" ht="12.95" customHeight="1" x14ac:dyDescent="0.2"/>
    <row r="1219" ht="12.95" customHeight="1" x14ac:dyDescent="0.2"/>
    <row r="1220" ht="12.95" customHeight="1" x14ac:dyDescent="0.2"/>
    <row r="1221" ht="12.95" customHeight="1" x14ac:dyDescent="0.2"/>
    <row r="1222" ht="12.95" customHeight="1" x14ac:dyDescent="0.2"/>
    <row r="1223" ht="12.95" customHeight="1" x14ac:dyDescent="0.2"/>
    <row r="1224" ht="12.95" customHeight="1" x14ac:dyDescent="0.2"/>
    <row r="1225" ht="12.95" customHeight="1" x14ac:dyDescent="0.2"/>
    <row r="1226" ht="12.95" customHeight="1" x14ac:dyDescent="0.2"/>
    <row r="1227" ht="12.95" customHeight="1" x14ac:dyDescent="0.2"/>
    <row r="1228" ht="12.95" customHeight="1" x14ac:dyDescent="0.2"/>
    <row r="1229" ht="12.95" customHeight="1" x14ac:dyDescent="0.2"/>
    <row r="1230" ht="12.95" customHeight="1" x14ac:dyDescent="0.2"/>
    <row r="1231" ht="12.95" customHeight="1" x14ac:dyDescent="0.2"/>
    <row r="1232" ht="12.95" customHeight="1" x14ac:dyDescent="0.2"/>
    <row r="1233" ht="12.95" customHeight="1" x14ac:dyDescent="0.2"/>
    <row r="1234" ht="12.95" customHeight="1" x14ac:dyDescent="0.2"/>
    <row r="1235" ht="12.95" customHeight="1" x14ac:dyDescent="0.2"/>
    <row r="1236" ht="12.95" customHeight="1" x14ac:dyDescent="0.2"/>
    <row r="1237" ht="12.95" customHeight="1" x14ac:dyDescent="0.2"/>
    <row r="1238" ht="12.95" customHeight="1" x14ac:dyDescent="0.2"/>
    <row r="1239" ht="12.95" customHeight="1" x14ac:dyDescent="0.2"/>
    <row r="1240" ht="12.95" customHeight="1" x14ac:dyDescent="0.2"/>
    <row r="1241" ht="12.95" customHeight="1" x14ac:dyDescent="0.2"/>
    <row r="1242" ht="12.95" customHeight="1" x14ac:dyDescent="0.2"/>
    <row r="1243" ht="12.95" customHeight="1" x14ac:dyDescent="0.2"/>
    <row r="1244" ht="12.95" customHeight="1" x14ac:dyDescent="0.2"/>
    <row r="1245" ht="12.95" customHeight="1" x14ac:dyDescent="0.2"/>
    <row r="1246" ht="12.95" customHeight="1" x14ac:dyDescent="0.2"/>
    <row r="1247" ht="12.95" customHeight="1" x14ac:dyDescent="0.2"/>
    <row r="1248" ht="12.95" customHeight="1" x14ac:dyDescent="0.2"/>
    <row r="1249" ht="12.95" customHeight="1" x14ac:dyDescent="0.2"/>
    <row r="1250" ht="12.95" customHeight="1" x14ac:dyDescent="0.2"/>
    <row r="1251" ht="12.95" customHeight="1" x14ac:dyDescent="0.2"/>
    <row r="1252" ht="12.95" customHeight="1" x14ac:dyDescent="0.2"/>
    <row r="1253" ht="12.95" customHeight="1" x14ac:dyDescent="0.2"/>
    <row r="1254" ht="12.95" customHeight="1" x14ac:dyDescent="0.2"/>
    <row r="1255" ht="12.95" customHeight="1" x14ac:dyDescent="0.2"/>
    <row r="1256" ht="12.95" customHeight="1" x14ac:dyDescent="0.2"/>
    <row r="1257" ht="12.95" customHeight="1" x14ac:dyDescent="0.2"/>
  </sheetData>
  <conditionalFormatting sqref="J1">
    <cfRule type="cellIs" dxfId="13" priority="2" operator="equal">
      <formula>"Check"</formula>
    </cfRule>
    <cfRule type="cellIs" dxfId="12" priority="3" operator="equal">
      <formula>"Ok"</formula>
    </cfRule>
  </conditionalFormatting>
  <dataValidations disablePrompts="1" count="1">
    <dataValidation type="list" allowBlank="1" showInputMessage="1" showErrorMessage="1" sqref="C30:D31 M8 G30:J30 M30" xr:uid="{DFA421EB-BFF5-4CF2-BF0A-07603E9E2CEF}">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B4BC27B3-3B61-48CE-BDDC-3539EA68B8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B724C1F1-724D-4735-94DE-2F44FBB7CC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49" id="{1500EE3B-61C6-43EC-B8C3-BD30C5F3338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271A8B79-374E-48D1-AE9B-D9584E708EA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E82FCC9-EEF0-47C9-B447-C45F2032909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74" id="{4EF09A71-9F09-4E17-A6F1-DABC107E57A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EDD25600-CED4-4F60-878D-48D9826A812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7EF098BB-299F-475B-ADEE-BF8597CC4AB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0" id="{C46B495B-9538-4462-977F-EFBF3020AD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DC0108E6-3FDC-4BDD-80A0-1D3A823A55C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E5C04AB2-98E8-44C9-B722-8F4A1376E3A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75" id="{9E99283E-2F48-4EF4-819F-6DB8F9D938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D2459DB-B515-4D56-97F6-5B35F91D845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FF444D47-B9BF-42D2-8DD8-22B8D9A0F32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76" id="{68D644E8-324B-42B0-B934-06BB0A557C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6E9369C7-A129-4A5C-9E23-595D1CC7EC7B}">
          <x14:formula1>
            <xm:f>'Input|Setup'!$B$31:$B$49</xm:f>
          </x14:formula1>
          <xm:sqref>H10:H29 B10:B29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99"/>
  </sheetPr>
  <dimension ref="A1:K71"/>
  <sheetViews>
    <sheetView showGridLines="0" tabSelected="1" zoomScale="80" zoomScaleNormal="80" workbookViewId="0">
      <pane ySplit="8" topLeftCell="A27" activePane="bottomLeft" state="frozen"/>
      <selection sqref="A1:XFD2"/>
      <selection pane="bottomLeft" activeCell="G41" sqref="G41"/>
    </sheetView>
  </sheetViews>
  <sheetFormatPr defaultColWidth="9.140625" defaultRowHeight="12.6" customHeight="1" x14ac:dyDescent="0.2"/>
  <cols>
    <col min="1" max="1" width="5.28515625" customWidth="1"/>
    <col min="2" max="2" width="12" customWidth="1"/>
    <col min="3" max="3" width="45.42578125" bestFit="1" customWidth="1"/>
    <col min="4" max="4" width="15.140625" bestFit="1" customWidth="1"/>
    <col min="5" max="5" width="32.7109375" customWidth="1"/>
    <col min="6" max="6" width="13.85546875" bestFit="1" customWidth="1"/>
    <col min="7" max="7" width="19.85546875" bestFit="1" customWidth="1"/>
    <col min="8" max="8" width="17" bestFit="1" customWidth="1"/>
    <col min="9" max="9" width="4.7109375" customWidth="1"/>
    <col min="10" max="26" width="9.140625" customWidth="1"/>
  </cols>
  <sheetData>
    <row r="1" spans="1:11" s="176" customFormat="1" ht="24.95" customHeight="1" x14ac:dyDescent="0.2">
      <c r="B1" s="35" t="str">
        <f>Index!B1</f>
        <v>Jemena Electricity Networks – Alternative Control Services Forecast model</v>
      </c>
      <c r="C1" s="35"/>
      <c r="E1" s="28" t="s">
        <v>115</v>
      </c>
      <c r="F1" s="37" t="s">
        <v>116</v>
      </c>
      <c r="G1" s="179"/>
      <c r="H1" s="28" t="s">
        <v>117</v>
      </c>
      <c r="I1" s="122">
        <f>'Model Validation'!C8</f>
        <v>0</v>
      </c>
    </row>
    <row r="2" spans="1:11" s="176" customFormat="1" ht="24.95" customHeight="1" x14ac:dyDescent="0.2">
      <c r="B2" s="35" t="str">
        <f ca="1">MID(CELL("filename",A1),FIND("]",CELL("filename",A1))+1,255)</f>
        <v>Output|Fee Based</v>
      </c>
      <c r="C2" s="35"/>
      <c r="E2" s="28"/>
      <c r="F2" s="69" t="s">
        <v>118</v>
      </c>
      <c r="G2" s="179"/>
      <c r="H2" s="179"/>
      <c r="I2" s="179"/>
    </row>
    <row r="3" spans="1:11" s="5" customFormat="1" ht="12.75" x14ac:dyDescent="0.2">
      <c r="D3" s="4"/>
      <c r="E3" s="4"/>
      <c r="F3" s="4"/>
      <c r="G3" s="4"/>
      <c r="H3" s="4"/>
      <c r="I3" s="4"/>
    </row>
    <row r="4" spans="1:11" ht="12.75" x14ac:dyDescent="0.2">
      <c r="A4" s="5"/>
      <c r="B4" s="5"/>
      <c r="C4" s="4"/>
      <c r="D4" s="101">
        <f>IF(D7='Input|Escalations'!J27,0,1)</f>
        <v>0</v>
      </c>
      <c r="E4" s="101">
        <f>IF(E7='Input|Escalations'!K27,0,1)</f>
        <v>0</v>
      </c>
      <c r="F4" s="101">
        <f>IF(F7='Input|Escalations'!L27,0,1)</f>
        <v>0</v>
      </c>
      <c r="G4" s="101">
        <f>IF(G7='Input|Escalations'!M27,0,1)</f>
        <v>0</v>
      </c>
      <c r="H4" s="4"/>
      <c r="I4" s="4"/>
      <c r="J4" s="5"/>
      <c r="K4" s="5"/>
    </row>
    <row r="5" spans="1:11" ht="15" x14ac:dyDescent="0.25">
      <c r="A5" s="5"/>
      <c r="B5" s="47" t="str">
        <f>IFERROR("1.1 X-factors for each year of "&amp;'Input|Setup'!$E$11&amp;" to "&amp;'Input|Setup'!$E$15&amp;" regulatory period, (per cent)","")</f>
        <v>1.1 X-factors for each year of 2026-27 to 2030-31 regulatory period, (per cent)</v>
      </c>
      <c r="C5" s="47"/>
      <c r="D5" s="47"/>
      <c r="E5" s="47"/>
      <c r="F5" s="47"/>
      <c r="G5" s="47"/>
      <c r="H5" s="101">
        <f>IF(SUM(D4:G4)=0,0,1)</f>
        <v>0</v>
      </c>
    </row>
    <row r="6" spans="1:11" ht="12.75" x14ac:dyDescent="0.2">
      <c r="A6" s="5"/>
      <c r="B6" s="34"/>
      <c r="C6" s="34" t="str">
        <f>'Input|Setup'!$E$11</f>
        <v>2026-27</v>
      </c>
      <c r="D6" s="34" t="str">
        <f>'Input|Setup'!$E$12</f>
        <v>2027-28</v>
      </c>
      <c r="E6" s="34" t="str">
        <f>'Input|Setup'!$E$13</f>
        <v>2028-29</v>
      </c>
      <c r="F6" s="34" t="str">
        <f>'Input|Setup'!$E$14</f>
        <v>2029-30</v>
      </c>
      <c r="G6" s="34" t="str">
        <f>'Input|Setup'!$E$15</f>
        <v>2030-31</v>
      </c>
      <c r="H6" s="101"/>
    </row>
    <row r="7" spans="1:11" ht="12.75" x14ac:dyDescent="0.2">
      <c r="A7" s="5"/>
      <c r="B7" s="5"/>
      <c r="C7" s="5"/>
      <c r="D7" s="367">
        <f>'Input|Escalations'!J27</f>
        <v>-8.5734453709334808E-3</v>
      </c>
      <c r="E7" s="367">
        <f>'Input|Escalations'!K27</f>
        <v>-1.002659802990522E-2</v>
      </c>
      <c r="F7" s="367">
        <f>'Input|Escalations'!L27</f>
        <v>-1.1296131514512021E-2</v>
      </c>
      <c r="G7" s="367">
        <f>'Input|Escalations'!M27</f>
        <v>-1.1485766163867313E-2</v>
      </c>
      <c r="H7" s="101"/>
    </row>
    <row r="8" spans="1:11" ht="12.75" x14ac:dyDescent="0.2">
      <c r="A8" s="5"/>
      <c r="B8" s="5"/>
      <c r="C8" s="5"/>
      <c r="D8" s="4"/>
      <c r="E8" s="4"/>
      <c r="F8" s="4"/>
      <c r="G8" s="4"/>
      <c r="H8" s="4"/>
      <c r="I8" s="4"/>
    </row>
    <row r="9" spans="1:11" ht="12.75" x14ac:dyDescent="0.2">
      <c r="A9" s="5"/>
      <c r="B9" s="5"/>
      <c r="C9" s="5"/>
      <c r="D9" s="4"/>
      <c r="E9" s="4"/>
      <c r="F9" s="4"/>
      <c r="G9" s="4"/>
      <c r="H9" s="4"/>
      <c r="I9" s="4"/>
    </row>
    <row r="10" spans="1:11" ht="15" x14ac:dyDescent="0.25">
      <c r="A10" s="5"/>
      <c r="B10" s="47" t="str">
        <f>IFERROR("1.2 Fee based services for "&amp;'Input|Setup'!$E$11,"")</f>
        <v>1.2 Fee based services for 2026-27</v>
      </c>
      <c r="C10" s="47"/>
      <c r="D10" s="47"/>
      <c r="E10" s="47"/>
      <c r="F10" s="47"/>
      <c r="G10" s="47"/>
      <c r="H10" s="47"/>
      <c r="I10" s="101">
        <f>IF(SUM(I12:I61)=0,0,1)</f>
        <v>0</v>
      </c>
    </row>
    <row r="11" spans="1:11" ht="24.95" customHeight="1" x14ac:dyDescent="0.2">
      <c r="A11" s="5"/>
      <c r="B11" s="34" t="str">
        <f>'Calc|Fee Based'!B11</f>
        <v>Service code</v>
      </c>
      <c r="C11" s="34" t="str">
        <f>'Calc|Fee Based'!C11</f>
        <v>Service</v>
      </c>
      <c r="D11" s="40" t="str">
        <f>'Input|Setup'!B24</f>
        <v>Hours</v>
      </c>
      <c r="E11" s="34" t="str">
        <f>'Input|Setup'!E30</f>
        <v>Service category</v>
      </c>
      <c r="F11" s="34" t="str">
        <f>'Input|Setup'!H30</f>
        <v>Expense Type</v>
      </c>
      <c r="G11" s="34" t="str">
        <f>'Input|Setup'!H40</f>
        <v>Control Mechanism</v>
      </c>
      <c r="H11" s="34" t="str">
        <f>"Price ($" &amp; 'Input|Setup'!$E$8 &amp; ")"</f>
        <v>Price ($2026-27)</v>
      </c>
      <c r="I11" s="5"/>
    </row>
    <row r="12" spans="1:11" ht="12.75" x14ac:dyDescent="0.2">
      <c r="A12" s="15">
        <v>1</v>
      </c>
      <c r="B12" s="403" t="str">
        <f>'Calc|Fee Based'!B12</f>
        <v>ND1P</v>
      </c>
      <c r="C12" s="403" t="str">
        <f>'Calc|Fee Based'!C12</f>
        <v>Basic connection, single-phase BH</v>
      </c>
      <c r="D12" s="403" t="str">
        <f>'Calc|Fee Based'!E12</f>
        <v>Business Hours</v>
      </c>
      <c r="E12" s="403" t="str">
        <f>'Calc|Fee Based'!D12</f>
        <v>Basic connection services</v>
      </c>
      <c r="F12" s="404" t="str">
        <f>'Calc|Fee Based'!F12</f>
        <v>Capex</v>
      </c>
      <c r="G12" s="404" t="str">
        <f>'Calc|Fee Based'!G12</f>
        <v>Fee Based</v>
      </c>
      <c r="H12" s="404">
        <f>'Calc|Fee Based'!H12</f>
        <v>816.75607668400971</v>
      </c>
      <c r="I12" s="101">
        <f>IF(AND(B12='Calc|Fee Based'!B12,C12='Calc|Fee Based'!C12,D12='Calc|Fee Based'!E12,E12='Calc|Fee Based'!D12, F12='Calc|Fee Based'!F12,G12='Calc|Fee Based'!G12, H12='Calc|Fee Based'!H12),0,1)</f>
        <v>0</v>
      </c>
    </row>
    <row r="13" spans="1:11" ht="12.75" x14ac:dyDescent="0.2">
      <c r="A13" s="15">
        <v>2</v>
      </c>
      <c r="B13" s="403" t="str">
        <f>'Calc|Fee Based'!B13</f>
        <v>ND1P</v>
      </c>
      <c r="C13" s="403" t="str">
        <f>'Calc|Fee Based'!C13</f>
        <v>Basic connection, single-phase AH</v>
      </c>
      <c r="D13" s="403" t="str">
        <f>'Calc|Fee Based'!E13</f>
        <v>After Hours</v>
      </c>
      <c r="E13" s="403" t="str">
        <f>'Calc|Fee Based'!D13</f>
        <v>Basic connection services</v>
      </c>
      <c r="F13" s="404" t="str">
        <f>'Calc|Fee Based'!F13</f>
        <v>Capex</v>
      </c>
      <c r="G13" s="404" t="str">
        <f>'Calc|Fee Based'!G13</f>
        <v>Fee Based</v>
      </c>
      <c r="H13" s="404">
        <f>'Calc|Fee Based'!H13</f>
        <v>1198.3979733013819</v>
      </c>
      <c r="I13" s="101">
        <f>IF(AND(B13='Calc|Fee Based'!B13,C13='Calc|Fee Based'!C13,D13='Calc|Fee Based'!E13,E13='Calc|Fee Based'!D13, F13='Calc|Fee Based'!F13,G13='Calc|Fee Based'!G13, H13='Calc|Fee Based'!H13),0,1)</f>
        <v>0</v>
      </c>
    </row>
    <row r="14" spans="1:11" ht="12.75" x14ac:dyDescent="0.2">
      <c r="A14" s="15">
        <v>3</v>
      </c>
      <c r="B14" s="403" t="str">
        <f>'Calc|Fee Based'!B14</f>
        <v>ND3P</v>
      </c>
      <c r="C14" s="403" t="str">
        <f>'Calc|Fee Based'!C14</f>
        <v>Basic connection, three-phase BH</v>
      </c>
      <c r="D14" s="403" t="str">
        <f>'Calc|Fee Based'!E14</f>
        <v>Business Hours</v>
      </c>
      <c r="E14" s="403" t="str">
        <f>'Calc|Fee Based'!D14</f>
        <v>Basic connection services</v>
      </c>
      <c r="F14" s="404" t="str">
        <f>'Calc|Fee Based'!F14</f>
        <v>Capex</v>
      </c>
      <c r="G14" s="404" t="str">
        <f>'Calc|Fee Based'!G14</f>
        <v>Fee Based</v>
      </c>
      <c r="H14" s="404">
        <f>'Calc|Fee Based'!H14</f>
        <v>1079.7718462563191</v>
      </c>
      <c r="I14" s="101">
        <f>IF(AND(B14='Calc|Fee Based'!B14,C14='Calc|Fee Based'!C14,D14='Calc|Fee Based'!E14,E14='Calc|Fee Based'!D14, F14='Calc|Fee Based'!F14,G14='Calc|Fee Based'!G14, H14='Calc|Fee Based'!H14),0,1)</f>
        <v>0</v>
      </c>
    </row>
    <row r="15" spans="1:11" ht="12.75" x14ac:dyDescent="0.2">
      <c r="A15" s="15">
        <v>4</v>
      </c>
      <c r="B15" s="403" t="str">
        <f>'Calc|Fee Based'!B15</f>
        <v>ND3P</v>
      </c>
      <c r="C15" s="403" t="str">
        <f>'Calc|Fee Based'!C15</f>
        <v>Basic connection, three-phase AH</v>
      </c>
      <c r="D15" s="403" t="str">
        <f>'Calc|Fee Based'!E15</f>
        <v>After Hours</v>
      </c>
      <c r="E15" s="403" t="str">
        <f>'Calc|Fee Based'!D15</f>
        <v>Basic connection services</v>
      </c>
      <c r="F15" s="404" t="str">
        <f>'Calc|Fee Based'!F15</f>
        <v>Capex</v>
      </c>
      <c r="G15" s="404" t="str">
        <f>'Calc|Fee Based'!G15</f>
        <v>Fee Based</v>
      </c>
      <c r="H15" s="404">
        <f>'Calc|Fee Based'!H15</f>
        <v>1461.4137428736913</v>
      </c>
      <c r="I15" s="101">
        <f>IF(AND(B15='Calc|Fee Based'!B15,C15='Calc|Fee Based'!C15,D15='Calc|Fee Based'!E15,E15='Calc|Fee Based'!D15, F15='Calc|Fee Based'!F15,G15='Calc|Fee Based'!G15, H15='Calc|Fee Based'!H15),0,1)</f>
        <v>0</v>
      </c>
    </row>
    <row r="16" spans="1:11" ht="12.75" x14ac:dyDescent="0.2">
      <c r="A16" s="15">
        <v>5</v>
      </c>
      <c r="B16" s="403" t="str">
        <f>'Calc|Fee Based'!B16</f>
        <v>BTSO</v>
      </c>
      <c r="C16" s="403" t="str">
        <f>'Calc|Fee Based'!C16</f>
        <v>Temporary connection, single-phase BH</v>
      </c>
      <c r="D16" s="403" t="str">
        <f>'Calc|Fee Based'!E16</f>
        <v>Business Hours</v>
      </c>
      <c r="E16" s="403" t="str">
        <f>'Calc|Fee Based'!D16</f>
        <v>Connection service</v>
      </c>
      <c r="F16" s="404" t="str">
        <f>'Calc|Fee Based'!F16</f>
        <v>Capex</v>
      </c>
      <c r="G16" s="404" t="str">
        <f>'Calc|Fee Based'!G16</f>
        <v>Fee Based</v>
      </c>
      <c r="H16" s="404">
        <f>'Calc|Fee Based'!H16</f>
        <v>775.84744624698351</v>
      </c>
      <c r="I16" s="101">
        <f>IF(AND(B16='Calc|Fee Based'!B16,C16='Calc|Fee Based'!C16,D16='Calc|Fee Based'!E16,E16='Calc|Fee Based'!D16, F16='Calc|Fee Based'!F16,G16='Calc|Fee Based'!G16, H16='Calc|Fee Based'!H16),0,1)</f>
        <v>0</v>
      </c>
    </row>
    <row r="17" spans="1:9" ht="12.75" x14ac:dyDescent="0.2">
      <c r="A17" s="15">
        <v>6</v>
      </c>
      <c r="B17" s="403" t="str">
        <f>'Calc|Fee Based'!B17</f>
        <v>BTSO</v>
      </c>
      <c r="C17" s="403" t="str">
        <f>'Calc|Fee Based'!C17</f>
        <v>Temporary connection, single-phase AH</v>
      </c>
      <c r="D17" s="403" t="str">
        <f>'Calc|Fee Based'!E17</f>
        <v>After Hours</v>
      </c>
      <c r="E17" s="403" t="str">
        <f>'Calc|Fee Based'!D17</f>
        <v>Connection service</v>
      </c>
      <c r="F17" s="404" t="str">
        <f>'Calc|Fee Based'!F17</f>
        <v>Capex</v>
      </c>
      <c r="G17" s="404" t="str">
        <f>'Calc|Fee Based'!G17</f>
        <v>Fee Based</v>
      </c>
      <c r="H17" s="404">
        <f>'Calc|Fee Based'!H17</f>
        <v>1157.4893428643556</v>
      </c>
      <c r="I17" s="101">
        <f>IF(AND(B17='Calc|Fee Based'!B17,C17='Calc|Fee Based'!C17,D17='Calc|Fee Based'!E17,E17='Calc|Fee Based'!D17, F17='Calc|Fee Based'!F17,G17='Calc|Fee Based'!G17, H17='Calc|Fee Based'!H17),0,1)</f>
        <v>0</v>
      </c>
    </row>
    <row r="18" spans="1:9" ht="12.75" x14ac:dyDescent="0.2">
      <c r="A18" s="15">
        <v>7</v>
      </c>
      <c r="B18" s="403" t="str">
        <f>'Calc|Fee Based'!B18</f>
        <v>BTSP</v>
      </c>
      <c r="C18" s="403" t="str">
        <f>'Calc|Fee Based'!C18</f>
        <v>Temporary connection, three-phase BH</v>
      </c>
      <c r="D18" s="403" t="str">
        <f>'Calc|Fee Based'!E18</f>
        <v>Business Hours</v>
      </c>
      <c r="E18" s="403" t="str">
        <f>'Calc|Fee Based'!D18</f>
        <v>Connection service</v>
      </c>
      <c r="F18" s="404" t="str">
        <f>'Calc|Fee Based'!F18</f>
        <v>Capex</v>
      </c>
      <c r="G18" s="404" t="str">
        <f>'Calc|Fee Based'!G18</f>
        <v>Fee Based</v>
      </c>
      <c r="H18" s="404">
        <f>'Calc|Fee Based'!H18</f>
        <v>825.94062054517963</v>
      </c>
      <c r="I18" s="101">
        <f>IF(AND(B18='Calc|Fee Based'!B18,C18='Calc|Fee Based'!C18,D18='Calc|Fee Based'!E18,E18='Calc|Fee Based'!D18, F18='Calc|Fee Based'!F18,G18='Calc|Fee Based'!G18, H18='Calc|Fee Based'!H18),0,1)</f>
        <v>0</v>
      </c>
    </row>
    <row r="19" spans="1:9" ht="12.75" x14ac:dyDescent="0.2">
      <c r="A19" s="15">
        <v>8</v>
      </c>
      <c r="B19" s="403" t="str">
        <f>'Calc|Fee Based'!B19</f>
        <v>BTSP</v>
      </c>
      <c r="C19" s="403" t="str">
        <f>'Calc|Fee Based'!C19</f>
        <v>Temporary connection, three-phase AH</v>
      </c>
      <c r="D19" s="403" t="str">
        <f>'Calc|Fee Based'!E19</f>
        <v>After Hours</v>
      </c>
      <c r="E19" s="403" t="str">
        <f>'Calc|Fee Based'!D19</f>
        <v>Connection service</v>
      </c>
      <c r="F19" s="404" t="str">
        <f>'Calc|Fee Based'!F19</f>
        <v>Capex</v>
      </c>
      <c r="G19" s="404" t="str">
        <f>'Calc|Fee Based'!G19</f>
        <v>Fee Based</v>
      </c>
      <c r="H19" s="404">
        <f>'Calc|Fee Based'!H19</f>
        <v>1207.5825171625515</v>
      </c>
      <c r="I19" s="101">
        <f>IF(AND(B19='Calc|Fee Based'!B19,C19='Calc|Fee Based'!C19,D19='Calc|Fee Based'!E19,E19='Calc|Fee Based'!D19, F19='Calc|Fee Based'!F19,G19='Calc|Fee Based'!G19, H19='Calc|Fee Based'!H19),0,1)</f>
        <v>0</v>
      </c>
    </row>
    <row r="20" spans="1:9" ht="12.75" x14ac:dyDescent="0.2">
      <c r="A20" s="15">
        <v>9</v>
      </c>
      <c r="B20" s="403" t="str">
        <f>'Calc|Fee Based'!B20</f>
        <v>SUTK</v>
      </c>
      <c r="C20" s="403" t="str">
        <f>'Calc|Fee Based'!C20</f>
        <v>Supply upgrade/enhancement (1ph to 3ph) BH</v>
      </c>
      <c r="D20" s="403" t="str">
        <f>'Calc|Fee Based'!E20</f>
        <v>Business Hours</v>
      </c>
      <c r="E20" s="403" t="str">
        <f>'Calc|Fee Based'!D20</f>
        <v>Connection service</v>
      </c>
      <c r="F20" s="404" t="str">
        <f>'Calc|Fee Based'!F20</f>
        <v>Capex</v>
      </c>
      <c r="G20" s="404" t="str">
        <f>'Calc|Fee Based'!G20</f>
        <v>Fee Based</v>
      </c>
      <c r="H20" s="404">
        <f>'Calc|Fee Based'!H20</f>
        <v>1050.687018310251</v>
      </c>
      <c r="I20" s="101">
        <f>IF(AND(B20='Calc|Fee Based'!B20,C20='Calc|Fee Based'!C20,D20='Calc|Fee Based'!E20,E20='Calc|Fee Based'!D20, F20='Calc|Fee Based'!F20,G20='Calc|Fee Based'!G20, H20='Calc|Fee Based'!H20),0,1)</f>
        <v>0</v>
      </c>
    </row>
    <row r="21" spans="1:9" ht="12.75" x14ac:dyDescent="0.2">
      <c r="A21" s="15">
        <v>10</v>
      </c>
      <c r="B21" s="403" t="str">
        <f>'Calc|Fee Based'!B21</f>
        <v>SUTK</v>
      </c>
      <c r="C21" s="403" t="str">
        <f>'Calc|Fee Based'!C21</f>
        <v>Supply upgrade/enhancement (1ph to 3ph) AH</v>
      </c>
      <c r="D21" s="403" t="str">
        <f>'Calc|Fee Based'!E21</f>
        <v>After Hours</v>
      </c>
      <c r="E21" s="403" t="str">
        <f>'Calc|Fee Based'!D21</f>
        <v>Connection service</v>
      </c>
      <c r="F21" s="404" t="str">
        <f>'Calc|Fee Based'!F21</f>
        <v>Capex</v>
      </c>
      <c r="G21" s="404" t="str">
        <f>'Calc|Fee Based'!G21</f>
        <v>Fee Based</v>
      </c>
      <c r="H21" s="404">
        <f>'Calc|Fee Based'!H21</f>
        <v>1432.3289149276234</v>
      </c>
      <c r="I21" s="101">
        <f>IF(AND(B21='Calc|Fee Based'!B21,C21='Calc|Fee Based'!C21,D21='Calc|Fee Based'!E21,E21='Calc|Fee Based'!D21, F21='Calc|Fee Based'!F21,G21='Calc|Fee Based'!G21, H21='Calc|Fee Based'!H21),0,1)</f>
        <v>0</v>
      </c>
    </row>
    <row r="22" spans="1:9" ht="12.75" x14ac:dyDescent="0.2">
      <c r="A22" s="15">
        <v>11</v>
      </c>
      <c r="B22" s="403" t="str">
        <f>'Calc|Fee Based'!B22</f>
        <v>RTK1</v>
      </c>
      <c r="C22" s="403" t="str">
        <f>'Calc|Fee Based'!C22</f>
        <v>Replacement of 1-phase overhead service line BH</v>
      </c>
      <c r="D22" s="403" t="str">
        <f>'Calc|Fee Based'!E22</f>
        <v>Business Hours</v>
      </c>
      <c r="E22" s="403" t="str">
        <f>'Calc|Fee Based'!D22</f>
        <v>Connection service</v>
      </c>
      <c r="F22" s="404" t="str">
        <f>'Calc|Fee Based'!F22</f>
        <v>Capex</v>
      </c>
      <c r="G22" s="404" t="str">
        <f>'Calc|Fee Based'!G22</f>
        <v>Fee Based</v>
      </c>
      <c r="H22" s="404">
        <f>'Calc|Fee Based'!H22</f>
        <v>775.84744624698351</v>
      </c>
      <c r="I22" s="101">
        <f>IF(AND(B22='Calc|Fee Based'!B22,C22='Calc|Fee Based'!C22,D22='Calc|Fee Based'!E22,E22='Calc|Fee Based'!D22, F22='Calc|Fee Based'!F22,G22='Calc|Fee Based'!G22, H22='Calc|Fee Based'!H22),0,1)</f>
        <v>0</v>
      </c>
    </row>
    <row r="23" spans="1:9" ht="12.75" x14ac:dyDescent="0.2">
      <c r="A23" s="15">
        <v>12</v>
      </c>
      <c r="B23" s="403" t="str">
        <f>'Calc|Fee Based'!B23</f>
        <v>RTK1</v>
      </c>
      <c r="C23" s="403" t="str">
        <f>'Calc|Fee Based'!C23</f>
        <v>Replacement of 1-phase overhead service line AH</v>
      </c>
      <c r="D23" s="403" t="str">
        <f>'Calc|Fee Based'!E23</f>
        <v>After Hours</v>
      </c>
      <c r="E23" s="403" t="str">
        <f>'Calc|Fee Based'!D23</f>
        <v>Connection service</v>
      </c>
      <c r="F23" s="404" t="str">
        <f>'Calc|Fee Based'!F23</f>
        <v>Capex</v>
      </c>
      <c r="G23" s="404" t="str">
        <f>'Calc|Fee Based'!G23</f>
        <v>Fee Based</v>
      </c>
      <c r="H23" s="404">
        <f>'Calc|Fee Based'!H23</f>
        <v>1157.4893428643556</v>
      </c>
      <c r="I23" s="101">
        <f>IF(AND(B23='Calc|Fee Based'!B23,C23='Calc|Fee Based'!C23,D23='Calc|Fee Based'!E23,E23='Calc|Fee Based'!D23, F23='Calc|Fee Based'!F23,G23='Calc|Fee Based'!G23, H23='Calc|Fee Based'!H23),0,1)</f>
        <v>0</v>
      </c>
    </row>
    <row r="24" spans="1:9" ht="12.75" customHeight="1" x14ac:dyDescent="0.2">
      <c r="A24" s="15">
        <v>13</v>
      </c>
      <c r="B24" s="403" t="str">
        <f>'Calc|Fee Based'!B24</f>
        <v>REEN</v>
      </c>
      <c r="C24" s="403" t="str">
        <f>'Calc|Fee Based'!C24</f>
        <v>Field-based energisation BH</v>
      </c>
      <c r="D24" s="403" t="str">
        <f>'Calc|Fee Based'!E24</f>
        <v>Business Hours</v>
      </c>
      <c r="E24" s="403" t="str">
        <f>'Calc|Fee Based'!D24</f>
        <v>Connection service</v>
      </c>
      <c r="F24" s="404" t="str">
        <f>'Calc|Fee Based'!F24</f>
        <v>Opex</v>
      </c>
      <c r="G24" s="404" t="str">
        <f>'Calc|Fee Based'!G24</f>
        <v>Fee Based</v>
      </c>
      <c r="H24" s="404">
        <f>'Calc|Fee Based'!H24</f>
        <v>64.351625299667774</v>
      </c>
      <c r="I24" s="101">
        <f>IF(AND(B24='Calc|Fee Based'!B24,C24='Calc|Fee Based'!C24,D24='Calc|Fee Based'!E24,E24='Calc|Fee Based'!D24, F24='Calc|Fee Based'!F24,G24='Calc|Fee Based'!G24, H24='Calc|Fee Based'!H24),0,1)</f>
        <v>0</v>
      </c>
    </row>
    <row r="25" spans="1:9" ht="12.75" customHeight="1" x14ac:dyDescent="0.2">
      <c r="A25" s="15">
        <v>14</v>
      </c>
      <c r="B25" s="403" t="str">
        <f>'Calc|Fee Based'!B25</f>
        <v>REEN</v>
      </c>
      <c r="C25" s="403" t="str">
        <f>'Calc|Fee Based'!C25</f>
        <v>Field-based energisation AH</v>
      </c>
      <c r="D25" s="403" t="str">
        <f>'Calc|Fee Based'!E25</f>
        <v>After Hours</v>
      </c>
      <c r="E25" s="403" t="str">
        <f>'Calc|Fee Based'!D25</f>
        <v>Connection service</v>
      </c>
      <c r="F25" s="404" t="str">
        <f>'Calc|Fee Based'!F25</f>
        <v>Opex</v>
      </c>
      <c r="G25" s="404" t="str">
        <f>'Calc|Fee Based'!G25</f>
        <v>Fee Based</v>
      </c>
      <c r="H25" s="404">
        <f>'Calc|Fee Based'!H25</f>
        <v>112.33673134944479</v>
      </c>
      <c r="I25" s="101">
        <f>IF(AND(B25='Calc|Fee Based'!B25,C25='Calc|Fee Based'!C25,D25='Calc|Fee Based'!E25,E25='Calc|Fee Based'!D25, F25='Calc|Fee Based'!F25,G25='Calc|Fee Based'!G25, H25='Calc|Fee Based'!H25),0,1)</f>
        <v>0</v>
      </c>
    </row>
    <row r="26" spans="1:9" ht="12.75" customHeight="1" x14ac:dyDescent="0.2">
      <c r="A26" s="15">
        <v>15</v>
      </c>
      <c r="B26" s="403" t="str">
        <f>'Calc|Fee Based'!B26</f>
        <v>DEEN</v>
      </c>
      <c r="C26" s="403" t="str">
        <f>'Calc|Fee Based'!C26</f>
        <v>Field-based de-energisation BH</v>
      </c>
      <c r="D26" s="403" t="str">
        <f>'Calc|Fee Based'!E26</f>
        <v>Business Hours</v>
      </c>
      <c r="E26" s="403" t="str">
        <f>'Calc|Fee Based'!D26</f>
        <v>Connection service</v>
      </c>
      <c r="F26" s="404" t="str">
        <f>'Calc|Fee Based'!F26</f>
        <v>Opex</v>
      </c>
      <c r="G26" s="404" t="str">
        <f>'Calc|Fee Based'!G26</f>
        <v>Fee Based</v>
      </c>
      <c r="H26" s="404">
        <f>'Calc|Fee Based'!H26</f>
        <v>92.287214577042931</v>
      </c>
      <c r="I26" s="101">
        <f>IF(AND(B26='Calc|Fee Based'!B26,C26='Calc|Fee Based'!C26,D26='Calc|Fee Based'!E26,E26='Calc|Fee Based'!D26, F26='Calc|Fee Based'!F26,G26='Calc|Fee Based'!G26, H26='Calc|Fee Based'!H26),0,1)</f>
        <v>0</v>
      </c>
    </row>
    <row r="27" spans="1:9" ht="12.75" customHeight="1" x14ac:dyDescent="0.2">
      <c r="A27" s="15">
        <v>16</v>
      </c>
      <c r="B27" s="403" t="str">
        <f>'Calc|Fee Based'!B27</f>
        <v>DCTK</v>
      </c>
      <c r="C27" s="403" t="str">
        <f>'Calc|Fee Based'!C27</f>
        <v>Disconnection (temporary) BH</v>
      </c>
      <c r="D27" s="403" t="str">
        <f>'Calc|Fee Based'!E27</f>
        <v>Business Hours</v>
      </c>
      <c r="E27" s="403" t="str">
        <f>'Calc|Fee Based'!D27</f>
        <v>Customer requested supply outage</v>
      </c>
      <c r="F27" s="404" t="str">
        <f>'Calc|Fee Based'!F27</f>
        <v>Opex</v>
      </c>
      <c r="G27" s="404" t="str">
        <f>'Calc|Fee Based'!G27</f>
        <v>Fee Based</v>
      </c>
      <c r="H27" s="404">
        <f>'Calc|Fee Based'!H27</f>
        <v>512.14286253462149</v>
      </c>
      <c r="I27" s="101">
        <f>IF(AND(B27='Calc|Fee Based'!B27,C27='Calc|Fee Based'!C27,D27='Calc|Fee Based'!E27,E27='Calc|Fee Based'!D27, F27='Calc|Fee Based'!F27,G27='Calc|Fee Based'!G27, H27='Calc|Fee Based'!H27),0,1)</f>
        <v>0</v>
      </c>
    </row>
    <row r="28" spans="1:9" ht="12.75" customHeight="1" x14ac:dyDescent="0.2">
      <c r="A28" s="15">
        <v>17</v>
      </c>
      <c r="B28" s="403" t="str">
        <f>'Calc|Fee Based'!B28</f>
        <v>DCTK</v>
      </c>
      <c r="C28" s="403" t="str">
        <f>'Calc|Fee Based'!C28</f>
        <v>Disconnection (temporary) AH</v>
      </c>
      <c r="D28" s="403" t="str">
        <f>'Calc|Fee Based'!E28</f>
        <v>After Hours</v>
      </c>
      <c r="E28" s="403" t="str">
        <f>'Calc|Fee Based'!D28</f>
        <v>Customer requested supply outage</v>
      </c>
      <c r="F28" s="404" t="str">
        <f>'Calc|Fee Based'!F28</f>
        <v>Opex</v>
      </c>
      <c r="G28" s="404" t="str">
        <f>'Calc|Fee Based'!G28</f>
        <v>Fee Based</v>
      </c>
      <c r="H28" s="404">
        <f>'Calc|Fee Based'!H28</f>
        <v>820.73226537192193</v>
      </c>
      <c r="I28" s="101">
        <f>IF(AND(B28='Calc|Fee Based'!B28,C28='Calc|Fee Based'!C28,D28='Calc|Fee Based'!E28,E28='Calc|Fee Based'!D28, F28='Calc|Fee Based'!F28,G28='Calc|Fee Based'!G28, H28='Calc|Fee Based'!H28),0,1)</f>
        <v>0</v>
      </c>
    </row>
    <row r="29" spans="1:9" ht="12.75" customHeight="1" x14ac:dyDescent="0.2">
      <c r="A29" s="15">
        <v>18</v>
      </c>
      <c r="B29" s="403" t="str">
        <f>'Calc|Fee Based'!B29</f>
        <v>RCTK</v>
      </c>
      <c r="C29" s="403" t="str">
        <f>'Calc|Fee Based'!C29</f>
        <v>Reconnection after temp discon BH</v>
      </c>
      <c r="D29" s="403" t="str">
        <f>'Calc|Fee Based'!E29</f>
        <v>Business Hours</v>
      </c>
      <c r="E29" s="403" t="str">
        <f>'Calc|Fee Based'!D29</f>
        <v>Customer requested supply outage</v>
      </c>
      <c r="F29" s="404" t="str">
        <f>'Calc|Fee Based'!F29</f>
        <v>Opex</v>
      </c>
      <c r="G29" s="404" t="str">
        <f>'Calc|Fee Based'!G29</f>
        <v>Fee Based</v>
      </c>
      <c r="H29" s="404">
        <f>'Calc|Fee Based'!H29</f>
        <v>594.38162537760184</v>
      </c>
      <c r="I29" s="101">
        <f>IF(AND(B29='Calc|Fee Based'!B29,C29='Calc|Fee Based'!C29,D29='Calc|Fee Based'!E29,E29='Calc|Fee Based'!D29, F29='Calc|Fee Based'!F29,G29='Calc|Fee Based'!G29, H29='Calc|Fee Based'!H29),0,1)</f>
        <v>0</v>
      </c>
    </row>
    <row r="30" spans="1:9" ht="12.75" customHeight="1" x14ac:dyDescent="0.2">
      <c r="A30" s="15">
        <v>19</v>
      </c>
      <c r="B30" s="403" t="str">
        <f>'Calc|Fee Based'!B30</f>
        <v>RCTK</v>
      </c>
      <c r="C30" s="403" t="str">
        <f>'Calc|Fee Based'!C30</f>
        <v>Reconnection after temp discon AH</v>
      </c>
      <c r="D30" s="403" t="str">
        <f>'Calc|Fee Based'!E30</f>
        <v>After Hours</v>
      </c>
      <c r="E30" s="403" t="str">
        <f>'Calc|Fee Based'!D30</f>
        <v>Customer requested supply outage</v>
      </c>
      <c r="F30" s="404" t="str">
        <f>'Calc|Fee Based'!F30</f>
        <v>Opex</v>
      </c>
      <c r="G30" s="404" t="str">
        <f>'Calc|Fee Based'!G30</f>
        <v>Fee Based</v>
      </c>
      <c r="H30" s="404">
        <f>'Calc|Fee Based'!H30</f>
        <v>959.07819236713851</v>
      </c>
      <c r="I30" s="101">
        <f>IF(AND(B30='Calc|Fee Based'!B30,C30='Calc|Fee Based'!C30,D30='Calc|Fee Based'!E30,E30='Calc|Fee Based'!D30, F30='Calc|Fee Based'!F30,G30='Calc|Fee Based'!G30, H30='Calc|Fee Based'!H30),0,1)</f>
        <v>0</v>
      </c>
    </row>
    <row r="31" spans="1:9" ht="12.75" x14ac:dyDescent="0.2">
      <c r="A31" s="15">
        <v>20</v>
      </c>
      <c r="B31" s="403" t="str">
        <f>'Calc|Fee Based'!B31</f>
        <v>SLOM</v>
      </c>
      <c r="C31" s="403" t="str">
        <f>'Calc|Fee Based'!C31</f>
        <v>Security Lighting - O&amp;M</v>
      </c>
      <c r="D31" s="403" t="str">
        <f>'Calc|Fee Based'!E31</f>
        <v>Business Hours</v>
      </c>
      <c r="E31" s="403" t="str">
        <f>'Calc|Fee Based'!D31</f>
        <v>Security lights</v>
      </c>
      <c r="F31" s="404" t="str">
        <f>'Calc|Fee Based'!F31</f>
        <v>Capex</v>
      </c>
      <c r="G31" s="404" t="str">
        <f>'Calc|Fee Based'!G31</f>
        <v>Fee Based</v>
      </c>
      <c r="H31" s="404">
        <f>'Calc|Fee Based'!H31</f>
        <v>179.35565029992011</v>
      </c>
      <c r="I31" s="101">
        <f>IF(AND(B31='Calc|Fee Based'!B31,C31='Calc|Fee Based'!C31,D31='Calc|Fee Based'!E31,E31='Calc|Fee Based'!D31, F31='Calc|Fee Based'!F31,G31='Calc|Fee Based'!G31, H31='Calc|Fee Based'!H31),0,1)</f>
        <v>0</v>
      </c>
    </row>
    <row r="32" spans="1:9" ht="12.75" x14ac:dyDescent="0.2">
      <c r="A32" s="15">
        <v>21</v>
      </c>
      <c r="B32" s="403" t="str">
        <f>'Calc|Fee Based'!B32</f>
        <v>RFOM</v>
      </c>
      <c r="C32" s="403" t="str">
        <f>'Calc|Fee Based'!C32</f>
        <v>Enhanced Connection Operation and Maintenance</v>
      </c>
      <c r="D32" s="403" t="str">
        <f>'Calc|Fee Based'!E32</f>
        <v>Business Hours</v>
      </c>
      <c r="E32" s="403" t="str">
        <f>'Calc|Fee Based'!D32</f>
        <v>Enhanced connection services</v>
      </c>
      <c r="F32" s="404" t="str">
        <f>'Calc|Fee Based'!F32</f>
        <v>Opex</v>
      </c>
      <c r="G32" s="404" t="str">
        <f>'Calc|Fee Based'!G32</f>
        <v>Fee Based</v>
      </c>
      <c r="H32" s="404">
        <f>'Calc|Fee Based'!H32</f>
        <v>16.324063947037612</v>
      </c>
      <c r="I32" s="101">
        <f>IF(AND(B32='Calc|Fee Based'!B32,C32='Calc|Fee Based'!C32,D32='Calc|Fee Based'!E32,E32='Calc|Fee Based'!D32, F32='Calc|Fee Based'!F32,G32='Calc|Fee Based'!G32, H32='Calc|Fee Based'!H32),0,1)</f>
        <v>0</v>
      </c>
    </row>
    <row r="33" spans="1:9" ht="12.75" x14ac:dyDescent="0.2">
      <c r="A33" s="15">
        <v>22</v>
      </c>
      <c r="B33" s="403" t="str">
        <f>'Calc|Fee Based'!B33</f>
        <v>REENRM</v>
      </c>
      <c r="C33" s="403" t="str">
        <f>'Calc|Fee Based'!C33</f>
        <v>Remote  energisation</v>
      </c>
      <c r="D33" s="403" t="str">
        <f>'Calc|Fee Based'!E33</f>
        <v>Business Hours</v>
      </c>
      <c r="E33" s="403" t="str">
        <f>'Calc|Fee Based'!D33</f>
        <v>Auxiliary metering services</v>
      </c>
      <c r="F33" s="404" t="str">
        <f>'Calc|Fee Based'!F33</f>
        <v>Opex</v>
      </c>
      <c r="G33" s="404" t="str">
        <f>'Calc|Fee Based'!G33</f>
        <v>Fee Based</v>
      </c>
      <c r="H33" s="404">
        <f>'Calc|Fee Based'!H33</f>
        <v>0</v>
      </c>
      <c r="I33" s="101">
        <f>IF(AND(B33='Calc|Fee Based'!B33,C33='Calc|Fee Based'!C33,D33='Calc|Fee Based'!E33,E33='Calc|Fee Based'!D33, F33='Calc|Fee Based'!F33,G33='Calc|Fee Based'!G33, H33='Calc|Fee Based'!H33),0,1)</f>
        <v>0</v>
      </c>
    </row>
    <row r="34" spans="1:9" ht="12.75" x14ac:dyDescent="0.2">
      <c r="A34" s="15">
        <v>23</v>
      </c>
      <c r="B34" s="403" t="str">
        <f>'Calc|Fee Based'!B34</f>
        <v>DEENRM</v>
      </c>
      <c r="C34" s="403" t="str">
        <f>'Calc|Fee Based'!C34</f>
        <v>Remote de-energisation</v>
      </c>
      <c r="D34" s="403" t="str">
        <f>'Calc|Fee Based'!E34</f>
        <v>Business Hours</v>
      </c>
      <c r="E34" s="403" t="str">
        <f>'Calc|Fee Based'!D34</f>
        <v>Auxiliary metering services</v>
      </c>
      <c r="F34" s="404" t="str">
        <f>'Calc|Fee Based'!F34</f>
        <v>Opex</v>
      </c>
      <c r="G34" s="404" t="str">
        <f>'Calc|Fee Based'!G34</f>
        <v>Fee Based</v>
      </c>
      <c r="H34" s="404">
        <f>'Calc|Fee Based'!H34</f>
        <v>0</v>
      </c>
      <c r="I34" s="101">
        <f>IF(AND(B34='Calc|Fee Based'!B34,C34='Calc|Fee Based'!C34,D34='Calc|Fee Based'!E34,E34='Calc|Fee Based'!D34, F34='Calc|Fee Based'!F34,G34='Calc|Fee Based'!G34, H34='Calc|Fee Based'!H34),0,1)</f>
        <v>0</v>
      </c>
    </row>
    <row r="35" spans="1:9" ht="12.75" x14ac:dyDescent="0.2">
      <c r="A35" s="15">
        <v>24</v>
      </c>
      <c r="B35" s="403" t="str">
        <f>'Calc|Fee Based'!B35</f>
        <v>MCTK</v>
      </c>
      <c r="C35" s="403" t="str">
        <f>'Calc|Fee Based'!C35</f>
        <v>Meter Alteration BH</v>
      </c>
      <c r="D35" s="403" t="str">
        <f>'Calc|Fee Based'!E35</f>
        <v>Business Hours</v>
      </c>
      <c r="E35" s="403" t="str">
        <f>'Calc|Fee Based'!D35</f>
        <v>Auxiliary metering services</v>
      </c>
      <c r="F35" s="404" t="str">
        <f>'Calc|Fee Based'!F35</f>
        <v>Opex</v>
      </c>
      <c r="G35" s="404" t="str">
        <f>'Calc|Fee Based'!G35</f>
        <v>Fee Based</v>
      </c>
      <c r="H35" s="404">
        <f>'Calc|Fee Based'!H35</f>
        <v>654.21129227583151</v>
      </c>
      <c r="I35" s="101">
        <f>IF(AND(B35='Calc|Fee Based'!B35,C35='Calc|Fee Based'!C35,D35='Calc|Fee Based'!E35,E35='Calc|Fee Based'!D35, F35='Calc|Fee Based'!F35,G35='Calc|Fee Based'!G35, H35='Calc|Fee Based'!H35),0,1)</f>
        <v>0</v>
      </c>
    </row>
    <row r="36" spans="1:9" ht="12.75" x14ac:dyDescent="0.2">
      <c r="A36" s="15">
        <v>25</v>
      </c>
      <c r="B36" s="403" t="str">
        <f>'Calc|Fee Based'!B36</f>
        <v>MCTK</v>
      </c>
      <c r="C36" s="403" t="str">
        <f>'Calc|Fee Based'!C36</f>
        <v>Meter Alteration AH</v>
      </c>
      <c r="D36" s="403" t="str">
        <f>'Calc|Fee Based'!E36</f>
        <v>After Hours</v>
      </c>
      <c r="E36" s="403" t="str">
        <f>'Calc|Fee Based'!D36</f>
        <v>Auxiliary metering services</v>
      </c>
      <c r="F36" s="404" t="str">
        <f>'Calc|Fee Based'!F36</f>
        <v>Opex</v>
      </c>
      <c r="G36" s="404" t="str">
        <f>'Calc|Fee Based'!G36</f>
        <v>Fee Based</v>
      </c>
      <c r="H36" s="404">
        <f>'Calc|Fee Based'!H36</f>
        <v>1018.9078592653684</v>
      </c>
      <c r="I36" s="101">
        <f>IF(AND(B36='Calc|Fee Based'!B36,C36='Calc|Fee Based'!C36,D36='Calc|Fee Based'!E36,E36='Calc|Fee Based'!D36, F36='Calc|Fee Based'!F36,G36='Calc|Fee Based'!G36, H36='Calc|Fee Based'!H36),0,1)</f>
        <v>0</v>
      </c>
    </row>
    <row r="37" spans="1:9" ht="12.75" customHeight="1" x14ac:dyDescent="0.2">
      <c r="A37" s="15">
        <v>26</v>
      </c>
      <c r="B37" s="403" t="str">
        <f>'Calc|Fee Based'!B37</f>
        <v>SPRDRM</v>
      </c>
      <c r="C37" s="403" t="str">
        <f>'Calc|Fee Based'!C37</f>
        <v>Remote special meter read</v>
      </c>
      <c r="D37" s="403" t="str">
        <f>'Calc|Fee Based'!E37</f>
        <v>Business Hours</v>
      </c>
      <c r="E37" s="403" t="str">
        <f>'Calc|Fee Based'!D37</f>
        <v>Auxiliary metering services</v>
      </c>
      <c r="F37" s="404" t="str">
        <f>'Calc|Fee Based'!F37</f>
        <v>Opex</v>
      </c>
      <c r="G37" s="404" t="str">
        <f>'Calc|Fee Based'!G37</f>
        <v>Fee Based</v>
      </c>
      <c r="H37" s="404">
        <f>'Calc|Fee Based'!H37</f>
        <v>0</v>
      </c>
      <c r="I37" s="101">
        <f>IF(AND(B37='Calc|Fee Based'!B37,C37='Calc|Fee Based'!C37,D37='Calc|Fee Based'!E37,E37='Calc|Fee Based'!D37, F37='Calc|Fee Based'!F37,G37='Calc|Fee Based'!G37, H37='Calc|Fee Based'!H37),0,1)</f>
        <v>0</v>
      </c>
    </row>
    <row r="38" spans="1:9" ht="12.75" x14ac:dyDescent="0.2">
      <c r="A38" s="15">
        <v>27</v>
      </c>
      <c r="B38" s="403" t="str">
        <f>'Calc|Fee Based'!B38</f>
        <v>MECFRM</v>
      </c>
      <c r="C38" s="403" t="str">
        <f>'Calc|Fee Based'!C38</f>
        <v>Remote meter reconfiguration</v>
      </c>
      <c r="D38" s="403" t="str">
        <f>'Calc|Fee Based'!E38</f>
        <v>Business Hours</v>
      </c>
      <c r="E38" s="403" t="str">
        <f>'Calc|Fee Based'!D38</f>
        <v>Auxiliary metering services</v>
      </c>
      <c r="F38" s="404" t="str">
        <f>'Calc|Fee Based'!F38</f>
        <v>Opex</v>
      </c>
      <c r="G38" s="404" t="str">
        <f>'Calc|Fee Based'!G38</f>
        <v>Fee Based</v>
      </c>
      <c r="H38" s="404">
        <f>'Calc|Fee Based'!H38</f>
        <v>63.818311358111771</v>
      </c>
      <c r="I38" s="101">
        <f>IF(AND(B38='Calc|Fee Based'!B38,C38='Calc|Fee Based'!C38,D38='Calc|Fee Based'!E38,E38='Calc|Fee Based'!D38, F38='Calc|Fee Based'!F38,G38='Calc|Fee Based'!G38, H38='Calc|Fee Based'!H38),0,1)</f>
        <v>0</v>
      </c>
    </row>
    <row r="39" spans="1:9" ht="12.75" x14ac:dyDescent="0.2">
      <c r="A39" s="15">
        <v>28</v>
      </c>
      <c r="B39" s="403" t="str">
        <f>'Calc|Fee Based'!B39</f>
        <v>SPRD</v>
      </c>
      <c r="C39" s="403" t="str">
        <f>'Calc|Fee Based'!C39</f>
        <v xml:space="preserve">Field-based special meter reads </v>
      </c>
      <c r="D39" s="403" t="str">
        <f>'Calc|Fee Based'!E39</f>
        <v>Business Hours</v>
      </c>
      <c r="E39" s="403" t="str">
        <f>'Calc|Fee Based'!D39</f>
        <v>Auxiliary metering services</v>
      </c>
      <c r="F39" s="404" t="str">
        <f>'Calc|Fee Based'!F39</f>
        <v>Opex</v>
      </c>
      <c r="G39" s="404" t="str">
        <f>'Calc|Fee Based'!G39</f>
        <v>Fee Based</v>
      </c>
      <c r="H39" s="404">
        <f>'Calc|Fee Based'!H39</f>
        <v>62.016583642744322</v>
      </c>
      <c r="I39" s="101">
        <f>IF(AND(B39='Calc|Fee Based'!B39,C39='Calc|Fee Based'!C39,D39='Calc|Fee Based'!E39,E39='Calc|Fee Based'!D39, F39='Calc|Fee Based'!F39,G39='Calc|Fee Based'!G39, H39='Calc|Fee Based'!H39),0,1)</f>
        <v>0</v>
      </c>
    </row>
    <row r="40" spans="1:9" ht="12.75" x14ac:dyDescent="0.2">
      <c r="A40" s="15">
        <v>29</v>
      </c>
      <c r="B40" s="403" t="str">
        <f>'Calc|Fee Based'!B40</f>
        <v>MTAL</v>
      </c>
      <c r="C40" s="403" t="str">
        <f>'Calc|Fee Based'!C40</f>
        <v>Meter test of types 5, 6 and AMI smart metering installations BH</v>
      </c>
      <c r="D40" s="403" t="str">
        <f>'Calc|Fee Based'!E40</f>
        <v>Business Hours</v>
      </c>
      <c r="E40" s="403" t="str">
        <f>'Calc|Fee Based'!D40</f>
        <v>Auxiliary metering services</v>
      </c>
      <c r="F40" s="404" t="str">
        <f>'Calc|Fee Based'!F40</f>
        <v>Opex</v>
      </c>
      <c r="G40" s="404" t="str">
        <f>'Calc|Fee Based'!G40</f>
        <v>Fee Based</v>
      </c>
      <c r="H40" s="404">
        <f>'Calc|Fee Based'!H40</f>
        <v>668.49058490004552</v>
      </c>
      <c r="I40" s="101">
        <f>IF(AND(B40='Calc|Fee Based'!B40,C40='Calc|Fee Based'!C40,D40='Calc|Fee Based'!E40,E40='Calc|Fee Based'!D40, F40='Calc|Fee Based'!F40,G40='Calc|Fee Based'!G40, H40='Calc|Fee Based'!H40),0,1)</f>
        <v>0</v>
      </c>
    </row>
    <row r="41" spans="1:9" ht="12.75" x14ac:dyDescent="0.2">
      <c r="A41" s="15">
        <v>30</v>
      </c>
      <c r="B41" s="403" t="str">
        <f>'Calc|Fee Based'!B41</f>
        <v>MTAL</v>
      </c>
      <c r="C41" s="403" t="str">
        <f>'Calc|Fee Based'!C41</f>
        <v>Meter test of types 5, 6 and AMI smart metering installations AH</v>
      </c>
      <c r="D41" s="403" t="str">
        <f>'Calc|Fee Based'!E41</f>
        <v>After Hours</v>
      </c>
      <c r="E41" s="403" t="str">
        <f>'Calc|Fee Based'!D41</f>
        <v>Auxiliary metering services</v>
      </c>
      <c r="F41" s="404" t="str">
        <f>'Calc|Fee Based'!F41</f>
        <v>Opex</v>
      </c>
      <c r="G41" s="404" t="str">
        <f>'Calc|Fee Based'!G41</f>
        <v>Fee Based</v>
      </c>
      <c r="H41" s="404">
        <f>'Calc|Fee Based'!H41</f>
        <v>907.56700909186748</v>
      </c>
      <c r="I41" s="101">
        <f>IF(AND(B41='Calc|Fee Based'!B41,C41='Calc|Fee Based'!C41,D41='Calc|Fee Based'!E41,E41='Calc|Fee Based'!D41, F41='Calc|Fee Based'!F41,G41='Calc|Fee Based'!G41, H41='Calc|Fee Based'!H41),0,1)</f>
        <v>0</v>
      </c>
    </row>
    <row r="42" spans="1:9" ht="12.75" x14ac:dyDescent="0.2">
      <c r="A42" s="15">
        <v>31</v>
      </c>
      <c r="B42" s="403" t="str">
        <f>'Calc|Fee Based'!B42</f>
        <v>MDCH</v>
      </c>
      <c r="C42" s="403" t="str">
        <f>'Calc|Fee Based'!C42</f>
        <v>Type 7 metering</v>
      </c>
      <c r="D42" s="403" t="str">
        <f>'Calc|Fee Based'!E42</f>
        <v>Business Hours</v>
      </c>
      <c r="E42" s="403" t="str">
        <f>'Calc|Fee Based'!D42</f>
        <v>Type 7 metering services</v>
      </c>
      <c r="F42" s="404" t="str">
        <f>'Calc|Fee Based'!F42</f>
        <v>Opex</v>
      </c>
      <c r="G42" s="404" t="str">
        <f>'Calc|Fee Based'!G42</f>
        <v>Fee Based</v>
      </c>
      <c r="H42" s="404">
        <f>'Calc|Fee Based'!H42</f>
        <v>0</v>
      </c>
      <c r="I42" s="101">
        <f>IF(AND(B42='Calc|Fee Based'!B42,C42='Calc|Fee Based'!C42,D42='Calc|Fee Based'!E42,E42='Calc|Fee Based'!D42, F42='Calc|Fee Based'!F42,G42='Calc|Fee Based'!G42, H42='Calc|Fee Based'!H42),0,1)</f>
        <v>0</v>
      </c>
    </row>
    <row r="43" spans="1:9" ht="12.75" customHeight="1" x14ac:dyDescent="0.2">
      <c r="A43" s="15">
        <v>32</v>
      </c>
      <c r="B43" s="403" t="str">
        <f>'Calc|Fee Based'!B43</f>
        <v>NCUM</v>
      </c>
      <c r="C43" s="403" t="str">
        <f>'Calc|Fee Based'!C43</f>
        <v>Non-contestable unmetered loads</v>
      </c>
      <c r="D43" s="403" t="str">
        <f>'Calc|Fee Based'!E43</f>
        <v>Business Hours</v>
      </c>
      <c r="E43" s="403" t="str">
        <f>'Calc|Fee Based'!D43</f>
        <v>Auxiliary metering services</v>
      </c>
      <c r="F43" s="404" t="str">
        <f>'Calc|Fee Based'!F43</f>
        <v>Capex</v>
      </c>
      <c r="G43" s="404" t="str">
        <f>'Calc|Fee Based'!G43</f>
        <v>Fee Based</v>
      </c>
      <c r="H43" s="404">
        <f>'Calc|Fee Based'!H43</f>
        <v>0</v>
      </c>
      <c r="I43" s="101">
        <f>IF(AND(B43='Calc|Fee Based'!B43,C43='Calc|Fee Based'!C43,D43='Calc|Fee Based'!E43,E43='Calc|Fee Based'!D43, F43='Calc|Fee Based'!F43,G43='Calc|Fee Based'!G43, H43='Calc|Fee Based'!H43),0,1)</f>
        <v>0</v>
      </c>
    </row>
    <row r="44" spans="1:9" ht="12.75" x14ac:dyDescent="0.2">
      <c r="A44" s="15">
        <v>33</v>
      </c>
      <c r="B44" s="403" t="str">
        <f>'Calc|Fee Based'!B44</f>
        <v>WSVR</v>
      </c>
      <c r="C44" s="403" t="str">
        <f>'Calc|Fee Based'!C44</f>
        <v>Wasted site attendance BH</v>
      </c>
      <c r="D44" s="403" t="str">
        <f>'Calc|Fee Based'!E44</f>
        <v>Business Hours</v>
      </c>
      <c r="E44" s="403" t="str">
        <f>'Calc|Fee Based'!D44</f>
        <v>Connection service</v>
      </c>
      <c r="F44" s="404" t="str">
        <f>'Calc|Fee Based'!F44</f>
        <v>Opex</v>
      </c>
      <c r="G44" s="404" t="str">
        <f>'Calc|Fee Based'!G44</f>
        <v>Fee Based</v>
      </c>
      <c r="H44" s="404">
        <f>'Calc|Fee Based'!H44</f>
        <v>654.21129227583151</v>
      </c>
      <c r="I44" s="101">
        <f>IF(AND(B44='Calc|Fee Based'!B44,C44='Calc|Fee Based'!C44,D44='Calc|Fee Based'!E44,E44='Calc|Fee Based'!D44, F44='Calc|Fee Based'!F44,G44='Calc|Fee Based'!G44, H44='Calc|Fee Based'!H44),0,1)</f>
        <v>0</v>
      </c>
    </row>
    <row r="45" spans="1:9" ht="12.75" x14ac:dyDescent="0.2">
      <c r="A45" s="15">
        <v>34</v>
      </c>
      <c r="B45" s="403" t="str">
        <f>'Calc|Fee Based'!B45</f>
        <v>WSVR</v>
      </c>
      <c r="C45" s="403" t="str">
        <f>'Calc|Fee Based'!C45</f>
        <v>Wasted site attendance AH</v>
      </c>
      <c r="D45" s="403" t="str">
        <f>'Calc|Fee Based'!E45</f>
        <v>After Hours</v>
      </c>
      <c r="E45" s="403" t="str">
        <f>'Calc|Fee Based'!D45</f>
        <v>Connection service</v>
      </c>
      <c r="F45" s="404" t="str">
        <f>'Calc|Fee Based'!F45</f>
        <v>Opex</v>
      </c>
      <c r="G45" s="404" t="str">
        <f>'Calc|Fee Based'!G45</f>
        <v>Fee Based</v>
      </c>
      <c r="H45" s="404">
        <f>'Calc|Fee Based'!H45</f>
        <v>1018.9078592653684</v>
      </c>
      <c r="I45" s="101">
        <f>IF(AND(B45='Calc|Fee Based'!B45,C45='Calc|Fee Based'!C45,D45='Calc|Fee Based'!E45,E45='Calc|Fee Based'!D45, F45='Calc|Fee Based'!F45,G45='Calc|Fee Based'!G45, H45='Calc|Fee Based'!H45),0,1)</f>
        <v>0</v>
      </c>
    </row>
    <row r="46" spans="1:9" ht="12.75" x14ac:dyDescent="0.2">
      <c r="A46" s="15">
        <v>35</v>
      </c>
      <c r="B46" s="403" t="str">
        <f>'Calc|Fee Based'!B46</f>
        <v>RTK3</v>
      </c>
      <c r="C46" s="403" t="str">
        <f>'Calc|Fee Based'!C46</f>
        <v>Replacement of 3-phase overhead service line BH</v>
      </c>
      <c r="D46" s="403" t="str">
        <f>'Calc|Fee Based'!E46</f>
        <v>Business Hours</v>
      </c>
      <c r="E46" s="403" t="str">
        <f>'Calc|Fee Based'!D46</f>
        <v>Connection service</v>
      </c>
      <c r="F46" s="404" t="str">
        <f>'Calc|Fee Based'!F46</f>
        <v>Capex</v>
      </c>
      <c r="G46" s="404" t="str">
        <f>'Calc|Fee Based'!G46</f>
        <v>Fee Based</v>
      </c>
      <c r="H46" s="404">
        <f>'Calc|Fee Based'!H46</f>
        <v>830.27378311067059</v>
      </c>
      <c r="I46" s="101">
        <f>IF(AND(B46='Calc|Fee Based'!B46,C46='Calc|Fee Based'!C46,D46='Calc|Fee Based'!E46,E46='Calc|Fee Based'!D46, F46='Calc|Fee Based'!F46,G46='Calc|Fee Based'!G46, H46='Calc|Fee Based'!H46),0,1)</f>
        <v>0</v>
      </c>
    </row>
    <row r="47" spans="1:9" ht="12.75" x14ac:dyDescent="0.2">
      <c r="A47" s="15">
        <v>36</v>
      </c>
      <c r="B47" s="403" t="str">
        <f>'Calc|Fee Based'!B47</f>
        <v>RTK3</v>
      </c>
      <c r="C47" s="403" t="str">
        <f>'Calc|Fee Based'!C47</f>
        <v>Replacement of 3-phase overhead service line AH</v>
      </c>
      <c r="D47" s="403" t="str">
        <f>'Calc|Fee Based'!E47</f>
        <v>After Hours</v>
      </c>
      <c r="E47" s="403" t="str">
        <f>'Calc|Fee Based'!D47</f>
        <v>Connection service</v>
      </c>
      <c r="F47" s="404" t="str">
        <f>'Calc|Fee Based'!F47</f>
        <v>Capex</v>
      </c>
      <c r="G47" s="404" t="str">
        <f>'Calc|Fee Based'!G47</f>
        <v>Fee Based</v>
      </c>
      <c r="H47" s="404">
        <f>'Calc|Fee Based'!H47</f>
        <v>1211.9156797280427</v>
      </c>
      <c r="I47" s="101">
        <f>IF(AND(B47='Calc|Fee Based'!B47,C47='Calc|Fee Based'!C47,D47='Calc|Fee Based'!E47,E47='Calc|Fee Based'!D47, F47='Calc|Fee Based'!F47,G47='Calc|Fee Based'!G47, H47='Calc|Fee Based'!H47),0,1)</f>
        <v>0</v>
      </c>
    </row>
    <row r="48" spans="1:9" ht="12.75" x14ac:dyDescent="0.2">
      <c r="A48" s="15">
        <v>37</v>
      </c>
      <c r="B48" s="403" t="str">
        <f>'Calc|Fee Based'!B48</f>
        <v/>
      </c>
      <c r="C48" s="403" t="str">
        <f>'Calc|Fee Based'!C48</f>
        <v/>
      </c>
      <c r="D48" s="403" t="str">
        <f>'Calc|Fee Based'!E48</f>
        <v/>
      </c>
      <c r="E48" s="403" t="str">
        <f>'Calc|Fee Based'!D48</f>
        <v/>
      </c>
      <c r="F48" s="404" t="str">
        <f>'Calc|Fee Based'!F48</f>
        <v/>
      </c>
      <c r="G48" s="404" t="str">
        <f>'Calc|Fee Based'!G48</f>
        <v/>
      </c>
      <c r="H48" s="404">
        <f>'Calc|Fee Based'!H48</f>
        <v>0</v>
      </c>
      <c r="I48" s="101">
        <f>IF(AND(B48='Calc|Fee Based'!B48,C48='Calc|Fee Based'!C48,D48='Calc|Fee Based'!E48,E48='Calc|Fee Based'!D48, F48='Calc|Fee Based'!F48,G48='Calc|Fee Based'!G48, H48='Calc|Fee Based'!H48),0,1)</f>
        <v>0</v>
      </c>
    </row>
    <row r="49" spans="1:9" ht="12.75" customHeight="1" x14ac:dyDescent="0.2">
      <c r="A49" s="15">
        <v>38</v>
      </c>
      <c r="B49" s="405">
        <f>'Calc|Fee Based'!B49</f>
        <v>0</v>
      </c>
      <c r="C49" s="405">
        <f>'Calc|Fee Based'!C49</f>
        <v>0</v>
      </c>
      <c r="D49" s="405">
        <f>'Calc|Fee Based'!E49</f>
        <v>0</v>
      </c>
      <c r="E49" s="405">
        <f>'Calc|Fee Based'!D49</f>
        <v>0</v>
      </c>
      <c r="F49" s="406">
        <f>'Calc|Fee Based'!F49</f>
        <v>0</v>
      </c>
      <c r="G49" s="406">
        <f>'Calc|Fee Based'!G49</f>
        <v>0</v>
      </c>
      <c r="H49" s="404">
        <f>'Calc|Fee Based'!H49</f>
        <v>0</v>
      </c>
      <c r="I49" s="101">
        <f>IF(AND(B49='Calc|Fee Based'!B49,C49='Calc|Fee Based'!C49,D49='Calc|Fee Based'!E49,E49='Calc|Fee Based'!D49, F49='Calc|Fee Based'!F49,G49='Calc|Fee Based'!G49, H49='Calc|Fee Based'!H49),0,1)</f>
        <v>0</v>
      </c>
    </row>
    <row r="50" spans="1:9" ht="12.75" x14ac:dyDescent="0.2">
      <c r="A50" s="15">
        <v>39</v>
      </c>
      <c r="B50" s="405">
        <f>'Calc|Fee Based'!B50</f>
        <v>0</v>
      </c>
      <c r="C50" s="405">
        <f>'Calc|Fee Based'!C50</f>
        <v>0</v>
      </c>
      <c r="D50" s="405">
        <f>'Calc|Fee Based'!E50</f>
        <v>0</v>
      </c>
      <c r="E50" s="405">
        <f>'Calc|Fee Based'!D50</f>
        <v>0</v>
      </c>
      <c r="F50" s="406">
        <f>'Calc|Fee Based'!F50</f>
        <v>0</v>
      </c>
      <c r="G50" s="406">
        <f>'Calc|Fee Based'!G50</f>
        <v>0</v>
      </c>
      <c r="H50" s="404">
        <f>'Calc|Fee Based'!H50</f>
        <v>0</v>
      </c>
      <c r="I50" s="101">
        <f>IF(AND(B50='Calc|Fee Based'!B50,C50='Calc|Fee Based'!C50,D50='Calc|Fee Based'!E50,E50='Calc|Fee Based'!D50, F50='Calc|Fee Based'!F50,G50='Calc|Fee Based'!G50, H50='Calc|Fee Based'!H50),0,1)</f>
        <v>0</v>
      </c>
    </row>
    <row r="51" spans="1:9" ht="12.75" customHeight="1" x14ac:dyDescent="0.2">
      <c r="A51" s="15">
        <v>40</v>
      </c>
      <c r="B51" s="405">
        <f>'Calc|Fee Based'!B51</f>
        <v>0</v>
      </c>
      <c r="C51" s="405">
        <f>'Calc|Fee Based'!C51</f>
        <v>0</v>
      </c>
      <c r="D51" s="405">
        <f>'Calc|Fee Based'!E51</f>
        <v>0</v>
      </c>
      <c r="E51" s="405">
        <f>'Calc|Fee Based'!D51</f>
        <v>0</v>
      </c>
      <c r="F51" s="406">
        <f>'Calc|Fee Based'!F51</f>
        <v>0</v>
      </c>
      <c r="G51" s="406">
        <f>'Calc|Fee Based'!G51</f>
        <v>0</v>
      </c>
      <c r="H51" s="404">
        <f>'Calc|Fee Based'!H51</f>
        <v>0</v>
      </c>
      <c r="I51" s="101">
        <f>IF(AND(B51='Calc|Fee Based'!B51,C51='Calc|Fee Based'!C51,D51='Calc|Fee Based'!E51,E51='Calc|Fee Based'!D51, F51='Calc|Fee Based'!F51,G51='Calc|Fee Based'!G51, H51='Calc|Fee Based'!H51),0,1)</f>
        <v>0</v>
      </c>
    </row>
    <row r="52" spans="1:9" ht="12.75" x14ac:dyDescent="0.2">
      <c r="A52" s="15">
        <v>41</v>
      </c>
      <c r="B52" s="405">
        <f>'Calc|Fee Based'!B52</f>
        <v>0</v>
      </c>
      <c r="C52" s="405">
        <f>'Calc|Fee Based'!C52</f>
        <v>0</v>
      </c>
      <c r="D52" s="405">
        <f>'Calc|Fee Based'!E52</f>
        <v>0</v>
      </c>
      <c r="E52" s="405">
        <f>'Calc|Fee Based'!D52</f>
        <v>0</v>
      </c>
      <c r="F52" s="406">
        <f>'Calc|Fee Based'!F52</f>
        <v>0</v>
      </c>
      <c r="G52" s="406">
        <f>'Calc|Fee Based'!G52</f>
        <v>0</v>
      </c>
      <c r="H52" s="404">
        <f>'Calc|Fee Based'!H52</f>
        <v>0</v>
      </c>
      <c r="I52" s="101">
        <f>IF(AND(B52='Calc|Fee Based'!B52,C52='Calc|Fee Based'!C52,D52='Calc|Fee Based'!E52,E52='Calc|Fee Based'!D52, F52='Calc|Fee Based'!F52,G52='Calc|Fee Based'!G52, H52='Calc|Fee Based'!H52),0,1)</f>
        <v>0</v>
      </c>
    </row>
    <row r="53" spans="1:9" ht="12.75" x14ac:dyDescent="0.2">
      <c r="A53" s="15">
        <v>42</v>
      </c>
      <c r="B53" s="405">
        <f>'Calc|Fee Based'!B53</f>
        <v>0</v>
      </c>
      <c r="C53" s="405">
        <f>'Calc|Fee Based'!C53</f>
        <v>0</v>
      </c>
      <c r="D53" s="405">
        <f>'Calc|Fee Based'!E53</f>
        <v>0</v>
      </c>
      <c r="E53" s="405">
        <f>'Calc|Fee Based'!D53</f>
        <v>0</v>
      </c>
      <c r="F53" s="406">
        <f>'Calc|Fee Based'!F53</f>
        <v>0</v>
      </c>
      <c r="G53" s="406">
        <f>'Calc|Fee Based'!G53</f>
        <v>0</v>
      </c>
      <c r="H53" s="404">
        <f>'Calc|Fee Based'!H53</f>
        <v>0</v>
      </c>
      <c r="I53" s="101">
        <f>IF(AND(B53='Calc|Fee Based'!B53,C53='Calc|Fee Based'!C53,D53='Calc|Fee Based'!E53,E53='Calc|Fee Based'!D53, F53='Calc|Fee Based'!F53,G53='Calc|Fee Based'!G53, H53='Calc|Fee Based'!H53),0,1)</f>
        <v>0</v>
      </c>
    </row>
    <row r="54" spans="1:9" ht="12.75" x14ac:dyDescent="0.2">
      <c r="A54" s="15">
        <v>43</v>
      </c>
      <c r="B54" s="405">
        <f>'Calc|Fee Based'!B54</f>
        <v>0</v>
      </c>
      <c r="C54" s="405">
        <f>'Calc|Fee Based'!C54</f>
        <v>0</v>
      </c>
      <c r="D54" s="405">
        <f>'Calc|Fee Based'!E54</f>
        <v>0</v>
      </c>
      <c r="E54" s="405">
        <f>'Calc|Fee Based'!D54</f>
        <v>0</v>
      </c>
      <c r="F54" s="406">
        <f>'Calc|Fee Based'!F54</f>
        <v>0</v>
      </c>
      <c r="G54" s="406">
        <f>'Calc|Fee Based'!G54</f>
        <v>0</v>
      </c>
      <c r="H54" s="404">
        <f>'Calc|Fee Based'!H54</f>
        <v>0</v>
      </c>
      <c r="I54" s="101">
        <f>IF(AND(B54='Calc|Fee Based'!B54,C54='Calc|Fee Based'!C54,D54='Calc|Fee Based'!E54,E54='Calc|Fee Based'!D54, F54='Calc|Fee Based'!F54,G54='Calc|Fee Based'!G54, H54='Calc|Fee Based'!H54),0,1)</f>
        <v>0</v>
      </c>
    </row>
    <row r="55" spans="1:9" ht="12.75" x14ac:dyDescent="0.2">
      <c r="A55" s="15">
        <v>44</v>
      </c>
      <c r="B55" s="405">
        <f>'Calc|Fee Based'!B55</f>
        <v>0</v>
      </c>
      <c r="C55" s="405">
        <f>'Calc|Fee Based'!C55</f>
        <v>0</v>
      </c>
      <c r="D55" s="405">
        <f>'Calc|Fee Based'!E55</f>
        <v>0</v>
      </c>
      <c r="E55" s="405">
        <f>'Calc|Fee Based'!D55</f>
        <v>0</v>
      </c>
      <c r="F55" s="406">
        <f>'Calc|Fee Based'!F55</f>
        <v>0</v>
      </c>
      <c r="G55" s="406">
        <f>'Calc|Fee Based'!G55</f>
        <v>0</v>
      </c>
      <c r="H55" s="404">
        <f>'Calc|Fee Based'!H55</f>
        <v>0</v>
      </c>
      <c r="I55" s="101">
        <f>IF(AND(B55='Calc|Fee Based'!B55,C55='Calc|Fee Based'!C55,D55='Calc|Fee Based'!E55,E55='Calc|Fee Based'!D55, F55='Calc|Fee Based'!F55,G55='Calc|Fee Based'!G55, H55='Calc|Fee Based'!H55),0,1)</f>
        <v>0</v>
      </c>
    </row>
    <row r="56" spans="1:9" ht="12.75" x14ac:dyDescent="0.2">
      <c r="A56" s="15">
        <v>45</v>
      </c>
      <c r="B56" s="405">
        <f>'Calc|Fee Based'!B56</f>
        <v>0</v>
      </c>
      <c r="C56" s="405">
        <f>'Calc|Fee Based'!C56</f>
        <v>0</v>
      </c>
      <c r="D56" s="405">
        <f>'Calc|Fee Based'!E56</f>
        <v>0</v>
      </c>
      <c r="E56" s="405">
        <f>'Calc|Fee Based'!D56</f>
        <v>0</v>
      </c>
      <c r="F56" s="406">
        <f>'Calc|Fee Based'!F56</f>
        <v>0</v>
      </c>
      <c r="G56" s="406">
        <f>'Calc|Fee Based'!G56</f>
        <v>0</v>
      </c>
      <c r="H56" s="404">
        <f>'Calc|Fee Based'!H56</f>
        <v>0</v>
      </c>
      <c r="I56" s="101">
        <f>IF(AND(B56='Calc|Fee Based'!B56,C56='Calc|Fee Based'!C56,D56='Calc|Fee Based'!E56,E56='Calc|Fee Based'!D56, F56='Calc|Fee Based'!F56,G56='Calc|Fee Based'!G56, H56='Calc|Fee Based'!H56),0,1)</f>
        <v>0</v>
      </c>
    </row>
    <row r="57" spans="1:9" ht="12.75" x14ac:dyDescent="0.2">
      <c r="A57" s="15">
        <v>46</v>
      </c>
      <c r="B57" s="405">
        <f>'Calc|Fee Based'!B57</f>
        <v>0</v>
      </c>
      <c r="C57" s="405">
        <f>'Calc|Fee Based'!C57</f>
        <v>0</v>
      </c>
      <c r="D57" s="405">
        <f>'Calc|Fee Based'!E57</f>
        <v>0</v>
      </c>
      <c r="E57" s="405">
        <f>'Calc|Fee Based'!D57</f>
        <v>0</v>
      </c>
      <c r="F57" s="406">
        <f>'Calc|Fee Based'!F57</f>
        <v>0</v>
      </c>
      <c r="G57" s="406">
        <f>'Calc|Fee Based'!G57</f>
        <v>0</v>
      </c>
      <c r="H57" s="404">
        <f>'Calc|Fee Based'!H57</f>
        <v>0</v>
      </c>
      <c r="I57" s="101">
        <f>IF(AND(B57='Calc|Fee Based'!B57,C57='Calc|Fee Based'!C57,D57='Calc|Fee Based'!E57,E57='Calc|Fee Based'!D57, F57='Calc|Fee Based'!F57,G57='Calc|Fee Based'!G57, H57='Calc|Fee Based'!H57),0,1)</f>
        <v>0</v>
      </c>
    </row>
    <row r="58" spans="1:9" ht="12.75" x14ac:dyDescent="0.2">
      <c r="A58" s="15">
        <v>47</v>
      </c>
      <c r="B58" s="405">
        <f>'Calc|Fee Based'!B58</f>
        <v>0</v>
      </c>
      <c r="C58" s="405">
        <f>'Calc|Fee Based'!C58</f>
        <v>0</v>
      </c>
      <c r="D58" s="405">
        <f>'Calc|Fee Based'!E58</f>
        <v>0</v>
      </c>
      <c r="E58" s="405">
        <f>'Calc|Fee Based'!D58</f>
        <v>0</v>
      </c>
      <c r="F58" s="406">
        <f>'Calc|Fee Based'!F58</f>
        <v>0</v>
      </c>
      <c r="G58" s="406">
        <f>'Calc|Fee Based'!G58</f>
        <v>0</v>
      </c>
      <c r="H58" s="404">
        <f>'Calc|Fee Based'!H58</f>
        <v>0</v>
      </c>
      <c r="I58" s="101">
        <f>IF(AND(B58='Calc|Fee Based'!B58,C58='Calc|Fee Based'!C58,D58='Calc|Fee Based'!E58,E58='Calc|Fee Based'!D58, F58='Calc|Fee Based'!F58,G58='Calc|Fee Based'!G58, H58='Calc|Fee Based'!H58),0,1)</f>
        <v>0</v>
      </c>
    </row>
    <row r="59" spans="1:9" ht="12.75" x14ac:dyDescent="0.2">
      <c r="A59" s="15">
        <v>48</v>
      </c>
      <c r="B59" s="405">
        <f>'Calc|Fee Based'!B59</f>
        <v>0</v>
      </c>
      <c r="C59" s="405">
        <f>'Calc|Fee Based'!C59</f>
        <v>0</v>
      </c>
      <c r="D59" s="405">
        <f>'Calc|Fee Based'!E59</f>
        <v>0</v>
      </c>
      <c r="E59" s="405">
        <f>'Calc|Fee Based'!D59</f>
        <v>0</v>
      </c>
      <c r="F59" s="406">
        <f>'Calc|Fee Based'!F59</f>
        <v>0</v>
      </c>
      <c r="G59" s="406">
        <f>'Calc|Fee Based'!G59</f>
        <v>0</v>
      </c>
      <c r="H59" s="404">
        <f>'Calc|Fee Based'!H59</f>
        <v>0</v>
      </c>
      <c r="I59" s="101">
        <f>IF(AND(B59='Calc|Fee Based'!B59,C59='Calc|Fee Based'!C59,D59='Calc|Fee Based'!E59,E59='Calc|Fee Based'!D59, F59='Calc|Fee Based'!F59,G59='Calc|Fee Based'!G59, H59='Calc|Fee Based'!H59),0,1)</f>
        <v>0</v>
      </c>
    </row>
    <row r="60" spans="1:9" ht="12.75" x14ac:dyDescent="0.2">
      <c r="A60" s="15">
        <v>49</v>
      </c>
      <c r="B60" s="405">
        <f>'Calc|Fee Based'!B60</f>
        <v>0</v>
      </c>
      <c r="C60" s="405">
        <f>'Calc|Fee Based'!C60</f>
        <v>0</v>
      </c>
      <c r="D60" s="405">
        <f>'Calc|Fee Based'!E60</f>
        <v>0</v>
      </c>
      <c r="E60" s="405">
        <f>'Calc|Fee Based'!D60</f>
        <v>0</v>
      </c>
      <c r="F60" s="406">
        <f>'Calc|Fee Based'!F60</f>
        <v>0</v>
      </c>
      <c r="G60" s="406">
        <f>'Calc|Fee Based'!G60</f>
        <v>0</v>
      </c>
      <c r="H60" s="404">
        <f>'Calc|Fee Based'!H60</f>
        <v>0</v>
      </c>
      <c r="I60" s="101">
        <f>IF(AND(B60='Calc|Fee Based'!B60,C60='Calc|Fee Based'!C60,D60='Calc|Fee Based'!E60,E60='Calc|Fee Based'!D60, F60='Calc|Fee Based'!F60,G60='Calc|Fee Based'!G60, H60='Calc|Fee Based'!H60),0,1)</f>
        <v>0</v>
      </c>
    </row>
    <row r="61" spans="1:9" ht="12.75" x14ac:dyDescent="0.2">
      <c r="A61" s="15">
        <v>50</v>
      </c>
      <c r="B61" s="405">
        <f>'Calc|Fee Based'!B61</f>
        <v>0</v>
      </c>
      <c r="C61" s="405">
        <f>'Calc|Fee Based'!C61</f>
        <v>0</v>
      </c>
      <c r="D61" s="405">
        <f>'Calc|Fee Based'!E61</f>
        <v>0</v>
      </c>
      <c r="E61" s="405">
        <f>'Calc|Fee Based'!D61</f>
        <v>0</v>
      </c>
      <c r="F61" s="406">
        <f>'Calc|Fee Based'!F61</f>
        <v>0</v>
      </c>
      <c r="G61" s="406">
        <f>'Calc|Fee Based'!G61</f>
        <v>0</v>
      </c>
      <c r="H61" s="404">
        <f>'Calc|Fee Based'!H61</f>
        <v>0</v>
      </c>
      <c r="I61" s="101">
        <f>IF(AND(B61='Calc|Fee Based'!B61,C61='Calc|Fee Based'!C61,D61='Calc|Fee Based'!E61,E61='Calc|Fee Based'!D61, F61='Calc|Fee Based'!F61,G61='Calc|Fee Based'!G61, H61='Calc|Fee Based'!H61),0,1)</f>
        <v>0</v>
      </c>
    </row>
    <row r="62" spans="1:9" ht="12.75" x14ac:dyDescent="0.2">
      <c r="A62" s="15">
        <v>51</v>
      </c>
      <c r="B62" s="405">
        <f>'Calc|Fee Based'!B62</f>
        <v>0</v>
      </c>
      <c r="C62" s="405">
        <f>'Calc|Fee Based'!C62</f>
        <v>0</v>
      </c>
      <c r="D62" s="405">
        <f>'Calc|Fee Based'!E62</f>
        <v>0</v>
      </c>
      <c r="E62" s="405">
        <f>'Calc|Fee Based'!D62</f>
        <v>0</v>
      </c>
      <c r="F62" s="406">
        <f>'Calc|Fee Based'!F62</f>
        <v>0</v>
      </c>
      <c r="G62" s="406">
        <f>'Calc|Fee Based'!G62</f>
        <v>0</v>
      </c>
      <c r="H62" s="404">
        <f>'Calc|Fee Based'!H62</f>
        <v>0</v>
      </c>
      <c r="I62" s="101">
        <f>IF(AND(B62='Calc|Fee Based'!B62,C62='Calc|Fee Based'!C62,D62='Calc|Fee Based'!E62,E62='Calc|Fee Based'!D62, F62='Calc|Fee Based'!F62,G62='Calc|Fee Based'!G62, H62='Calc|Fee Based'!H62),0,1)</f>
        <v>0</v>
      </c>
    </row>
    <row r="63" spans="1:9" ht="12.75" x14ac:dyDescent="0.2">
      <c r="A63" s="15">
        <v>52</v>
      </c>
      <c r="B63" s="405">
        <f>'Calc|Fee Based'!B63</f>
        <v>0</v>
      </c>
      <c r="C63" s="405">
        <f>'Calc|Fee Based'!C63</f>
        <v>0</v>
      </c>
      <c r="D63" s="405">
        <f>'Calc|Fee Based'!E63</f>
        <v>0</v>
      </c>
      <c r="E63" s="405">
        <f>'Calc|Fee Based'!D63</f>
        <v>0</v>
      </c>
      <c r="F63" s="406">
        <f>'Calc|Fee Based'!F63</f>
        <v>0</v>
      </c>
      <c r="G63" s="406">
        <f>'Calc|Fee Based'!G63</f>
        <v>0</v>
      </c>
      <c r="H63" s="404">
        <f>'Calc|Fee Based'!H63</f>
        <v>0</v>
      </c>
      <c r="I63" s="101">
        <f>IF(AND(B63='Calc|Fee Based'!B63,C63='Calc|Fee Based'!C63,D63='Calc|Fee Based'!E63,E63='Calc|Fee Based'!D63, F63='Calc|Fee Based'!F63,G63='Calc|Fee Based'!G63, H63='Calc|Fee Based'!H63),0,1)</f>
        <v>0</v>
      </c>
    </row>
    <row r="64" spans="1:9" ht="12.75" x14ac:dyDescent="0.2">
      <c r="A64" s="15">
        <v>53</v>
      </c>
      <c r="B64" s="405">
        <f>'Calc|Fee Based'!B64</f>
        <v>0</v>
      </c>
      <c r="C64" s="405">
        <f>'Calc|Fee Based'!C64</f>
        <v>0</v>
      </c>
      <c r="D64" s="405">
        <f>'Calc|Fee Based'!E64</f>
        <v>0</v>
      </c>
      <c r="E64" s="405">
        <f>'Calc|Fee Based'!D64</f>
        <v>0</v>
      </c>
      <c r="F64" s="406">
        <f>'Calc|Fee Based'!F64</f>
        <v>0</v>
      </c>
      <c r="G64" s="406">
        <f>'Calc|Fee Based'!G64</f>
        <v>0</v>
      </c>
      <c r="H64" s="404">
        <f>'Calc|Fee Based'!H64</f>
        <v>0</v>
      </c>
      <c r="I64" s="101">
        <f>IF(AND(B64='Calc|Fee Based'!B64,C64='Calc|Fee Based'!C64,D64='Calc|Fee Based'!E64,E64='Calc|Fee Based'!D64, F64='Calc|Fee Based'!F64,G64='Calc|Fee Based'!G64, H64='Calc|Fee Based'!H64),0,1)</f>
        <v>0</v>
      </c>
    </row>
    <row r="65" spans="1:9" ht="12.75" x14ac:dyDescent="0.2">
      <c r="A65" s="15">
        <v>54</v>
      </c>
      <c r="B65" s="405">
        <f>'Calc|Fee Based'!B65</f>
        <v>0</v>
      </c>
      <c r="C65" s="405">
        <f>'Calc|Fee Based'!C65</f>
        <v>0</v>
      </c>
      <c r="D65" s="405">
        <f>'Calc|Fee Based'!E65</f>
        <v>0</v>
      </c>
      <c r="E65" s="405">
        <f>'Calc|Fee Based'!D65</f>
        <v>0</v>
      </c>
      <c r="F65" s="406">
        <f>'Calc|Fee Based'!F65</f>
        <v>0</v>
      </c>
      <c r="G65" s="406">
        <f>'Calc|Fee Based'!G65</f>
        <v>0</v>
      </c>
      <c r="H65" s="404">
        <f>'Calc|Fee Based'!H65</f>
        <v>0</v>
      </c>
      <c r="I65" s="101">
        <f>IF(AND(B65='Calc|Fee Based'!B65,C65='Calc|Fee Based'!C65,D65='Calc|Fee Based'!E65,E65='Calc|Fee Based'!D65, F65='Calc|Fee Based'!F65,G65='Calc|Fee Based'!G65, H65='Calc|Fee Based'!H65),0,1)</f>
        <v>0</v>
      </c>
    </row>
    <row r="66" spans="1:9" ht="12.75" x14ac:dyDescent="0.2">
      <c r="A66" s="15">
        <v>55</v>
      </c>
      <c r="B66" s="405">
        <f>'Calc|Fee Based'!B66</f>
        <v>0</v>
      </c>
      <c r="C66" s="405">
        <f>'Calc|Fee Based'!C66</f>
        <v>0</v>
      </c>
      <c r="D66" s="405">
        <f>'Calc|Fee Based'!E66</f>
        <v>0</v>
      </c>
      <c r="E66" s="405">
        <f>'Calc|Fee Based'!D66</f>
        <v>0</v>
      </c>
      <c r="F66" s="406">
        <f>'Calc|Fee Based'!F66</f>
        <v>0</v>
      </c>
      <c r="G66" s="406">
        <f>'Calc|Fee Based'!G66</f>
        <v>0</v>
      </c>
      <c r="H66" s="404">
        <f>'Calc|Fee Based'!H66</f>
        <v>0</v>
      </c>
      <c r="I66" s="101">
        <f>IF(AND(B66='Calc|Fee Based'!B66,C66='Calc|Fee Based'!C66,D66='Calc|Fee Based'!E66,E66='Calc|Fee Based'!D66, F66='Calc|Fee Based'!F66,G66='Calc|Fee Based'!G66, H66='Calc|Fee Based'!H66),0,1)</f>
        <v>0</v>
      </c>
    </row>
    <row r="67" spans="1:9" ht="12.75" x14ac:dyDescent="0.2">
      <c r="A67" s="15">
        <v>56</v>
      </c>
      <c r="B67" s="405">
        <f>'Calc|Fee Based'!B67</f>
        <v>0</v>
      </c>
      <c r="C67" s="405">
        <f>'Calc|Fee Based'!C67</f>
        <v>0</v>
      </c>
      <c r="D67" s="405">
        <f>'Calc|Fee Based'!E67</f>
        <v>0</v>
      </c>
      <c r="E67" s="405">
        <f>'Calc|Fee Based'!D67</f>
        <v>0</v>
      </c>
      <c r="F67" s="406">
        <f>'Calc|Fee Based'!F67</f>
        <v>0</v>
      </c>
      <c r="G67" s="406">
        <f>'Calc|Fee Based'!G67</f>
        <v>0</v>
      </c>
      <c r="H67" s="404">
        <f>'Calc|Fee Based'!H67</f>
        <v>0</v>
      </c>
      <c r="I67" s="101">
        <f>IF(AND(B67='Calc|Fee Based'!B67,C67='Calc|Fee Based'!C67,D67='Calc|Fee Based'!E67,E67='Calc|Fee Based'!D67, F67='Calc|Fee Based'!F67,G67='Calc|Fee Based'!G67, H67='Calc|Fee Based'!H67),0,1)</f>
        <v>0</v>
      </c>
    </row>
    <row r="68" spans="1:9" ht="12.75" x14ac:dyDescent="0.2">
      <c r="A68" s="15">
        <v>57</v>
      </c>
      <c r="B68" s="405">
        <f>'Calc|Fee Based'!B68</f>
        <v>0</v>
      </c>
      <c r="C68" s="405">
        <f>'Calc|Fee Based'!C68</f>
        <v>0</v>
      </c>
      <c r="D68" s="405">
        <f>'Calc|Fee Based'!E68</f>
        <v>0</v>
      </c>
      <c r="E68" s="405">
        <f>'Calc|Fee Based'!D68</f>
        <v>0</v>
      </c>
      <c r="F68" s="406">
        <f>'Calc|Fee Based'!F68</f>
        <v>0</v>
      </c>
      <c r="G68" s="406">
        <f>'Calc|Fee Based'!G68</f>
        <v>0</v>
      </c>
      <c r="H68" s="404">
        <f>'Calc|Fee Based'!H68</f>
        <v>0</v>
      </c>
      <c r="I68" s="101">
        <f>IF(AND(B68='Calc|Fee Based'!B68,C68='Calc|Fee Based'!C68,D68='Calc|Fee Based'!E68,E68='Calc|Fee Based'!D68, F68='Calc|Fee Based'!F68,G68='Calc|Fee Based'!G68, H68='Calc|Fee Based'!H68),0,1)</f>
        <v>0</v>
      </c>
    </row>
    <row r="69" spans="1:9" ht="12.75" x14ac:dyDescent="0.2">
      <c r="A69" s="15">
        <v>58</v>
      </c>
      <c r="B69" s="405">
        <f>'Calc|Fee Based'!B69</f>
        <v>0</v>
      </c>
      <c r="C69" s="405">
        <f>'Calc|Fee Based'!C69</f>
        <v>0</v>
      </c>
      <c r="D69" s="405">
        <f>'Calc|Fee Based'!E69</f>
        <v>0</v>
      </c>
      <c r="E69" s="405">
        <f>'Calc|Fee Based'!D69</f>
        <v>0</v>
      </c>
      <c r="F69" s="406">
        <f>'Calc|Fee Based'!F69</f>
        <v>0</v>
      </c>
      <c r="G69" s="406">
        <f>'Calc|Fee Based'!G69</f>
        <v>0</v>
      </c>
      <c r="H69" s="404">
        <f>'Calc|Fee Based'!H69</f>
        <v>0</v>
      </c>
      <c r="I69" s="101">
        <f>IF(AND(B69='Calc|Fee Based'!B69,C69='Calc|Fee Based'!C69,D69='Calc|Fee Based'!E69,E69='Calc|Fee Based'!D69, F69='Calc|Fee Based'!F69,G69='Calc|Fee Based'!G69, H69='Calc|Fee Based'!H69),0,1)</f>
        <v>0</v>
      </c>
    </row>
    <row r="70" spans="1:9" ht="12.75" x14ac:dyDescent="0.2">
      <c r="A70" s="15">
        <v>59</v>
      </c>
      <c r="B70" s="405">
        <f>'Calc|Fee Based'!B70</f>
        <v>0</v>
      </c>
      <c r="C70" s="405">
        <f>'Calc|Fee Based'!C70</f>
        <v>0</v>
      </c>
      <c r="D70" s="405">
        <f>'Calc|Fee Based'!E70</f>
        <v>0</v>
      </c>
      <c r="E70" s="405">
        <f>'Calc|Fee Based'!D70</f>
        <v>0</v>
      </c>
      <c r="F70" s="406">
        <f>'Calc|Fee Based'!F70</f>
        <v>0</v>
      </c>
      <c r="G70" s="406">
        <f>'Calc|Fee Based'!G70</f>
        <v>0</v>
      </c>
      <c r="H70" s="404">
        <f>'Calc|Fee Based'!H70</f>
        <v>0</v>
      </c>
      <c r="I70" s="101">
        <f>IF(AND(B70='Calc|Fee Based'!B70,C70='Calc|Fee Based'!C70,D70='Calc|Fee Based'!E70,E70='Calc|Fee Based'!D70, F70='Calc|Fee Based'!F70,G70='Calc|Fee Based'!G70, H70='Calc|Fee Based'!H70),0,1)</f>
        <v>0</v>
      </c>
    </row>
    <row r="71" spans="1:9" ht="12.75" x14ac:dyDescent="0.2">
      <c r="A71" s="15">
        <v>60</v>
      </c>
      <c r="B71" s="405">
        <f>'Calc|Fee Based'!B71</f>
        <v>0</v>
      </c>
      <c r="C71" s="405">
        <f>'Calc|Fee Based'!C71</f>
        <v>0</v>
      </c>
      <c r="D71" s="405">
        <f>'Calc|Fee Based'!E71</f>
        <v>0</v>
      </c>
      <c r="E71" s="405">
        <f>'Calc|Fee Based'!D71</f>
        <v>0</v>
      </c>
      <c r="F71" s="406">
        <f>'Calc|Fee Based'!F71</f>
        <v>0</v>
      </c>
      <c r="G71" s="406">
        <f>'Calc|Fee Based'!G71</f>
        <v>0</v>
      </c>
      <c r="H71" s="404">
        <f>'Calc|Fee Based'!H71</f>
        <v>0</v>
      </c>
      <c r="I71" s="101">
        <f>IF(AND(B71='Calc|Fee Based'!B71,C71='Calc|Fee Based'!C71,D71='Calc|Fee Based'!E71,E71='Calc|Fee Based'!D71, F71='Calc|Fee Based'!F71,G71='Calc|Fee Based'!G71, H71='Calc|Fee Based'!H71),0,1)</f>
        <v>0</v>
      </c>
    </row>
  </sheetData>
  <conditionalFormatting sqref="I1">
    <cfRule type="cellIs" dxfId="108" priority="4" operator="equal">
      <formula>"Check"</formula>
    </cfRule>
    <cfRule type="cellIs" dxfId="107" priority="5" operator="equal">
      <formula>"Ok"</formula>
    </cfRule>
  </conditionalFormatting>
  <pageMargins left="0.7" right="0.7" top="0.75" bottom="0.75" header="0.3" footer="0.3"/>
  <pageSetup paperSize="9" orientation="portrait" r:id="rId1"/>
  <ignoredErrors>
    <ignoredError sqref="A11 H2:I3 A1:A4 C3:F3" unlockedFormula="1"/>
  </ignoredErrors>
  <extLst>
    <ext xmlns:x14="http://schemas.microsoft.com/office/spreadsheetml/2009/9/main" uri="{78C0D931-6437-407d-A8EE-F0AAD7539E65}">
      <x14:conditionalFormattings>
        <x14:conditionalFormatting xmlns:xm="http://schemas.microsoft.com/office/excel/2006/main">
          <x14:cfRule type="iconSet" priority="22" id="{2CB79343-537A-4676-8CA3-26C26BE96B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D4:G4</xm:sqref>
        </x14:conditionalFormatting>
        <x14:conditionalFormatting xmlns:xm="http://schemas.microsoft.com/office/excel/2006/main">
          <x14:cfRule type="iconSet" priority="1" id="{9328E8F2-E379-42B8-BF10-CA72F8A106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H5:H7</xm:sqref>
        </x14:conditionalFormatting>
        <x14:conditionalFormatting xmlns:xm="http://schemas.microsoft.com/office/excel/2006/main">
          <x14:cfRule type="iconSet" priority="2" id="{8460E02B-9125-4FAE-83E2-28BB67AE6D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I10</xm:sqref>
        </x14:conditionalFormatting>
        <x14:conditionalFormatting xmlns:xm="http://schemas.microsoft.com/office/excel/2006/main">
          <x14:cfRule type="iconSet" priority="3" id="{C6BDE181-411E-4F8A-B5FD-81A65E8C7D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I12:I14</xm:sqref>
        </x14:conditionalFormatting>
        <x14:conditionalFormatting xmlns:xm="http://schemas.microsoft.com/office/excel/2006/main">
          <x14:cfRule type="iconSet" priority="7" id="{BFCABEA5-A125-4FDD-825E-963997AEC43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I15:I20</xm:sqref>
        </x14:conditionalFormatting>
        <x14:conditionalFormatting xmlns:xm="http://schemas.microsoft.com/office/excel/2006/main">
          <x14:cfRule type="iconSet" priority="214" id="{30371429-2CC6-4B69-B58B-49DF24A8F2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I21:I71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99"/>
  </sheetPr>
  <dimension ref="A1:J85"/>
  <sheetViews>
    <sheetView showGridLines="0" zoomScale="85" zoomScaleNormal="85" workbookViewId="0">
      <selection activeCell="L29" sqref="L29"/>
    </sheetView>
  </sheetViews>
  <sheetFormatPr defaultColWidth="9.140625" defaultRowHeight="12.6" customHeight="1" outlineLevelCol="1" x14ac:dyDescent="0.2"/>
  <cols>
    <col min="1" max="1" width="5" customWidth="1"/>
    <col min="2" max="2" width="47" customWidth="1"/>
    <col min="3" max="3" width="15.7109375" customWidth="1"/>
    <col min="4" max="7" width="14.5703125" customWidth="1"/>
    <col min="8" max="8" width="12.85546875" customWidth="1"/>
    <col min="9" max="10" width="23.5703125" customWidth="1" outlineLevel="1"/>
    <col min="11" max="30" width="9.140625" customWidth="1"/>
  </cols>
  <sheetData>
    <row r="1" spans="1:10" s="179" customFormat="1" ht="24.95" customHeight="1" x14ac:dyDescent="0.2">
      <c r="A1" s="176"/>
      <c r="B1" s="35" t="str">
        <f>Index!B1</f>
        <v>Jemena Electricity Networks – Alternative Control Services Forecast model</v>
      </c>
      <c r="C1" s="28" t="s">
        <v>115</v>
      </c>
      <c r="D1" s="37" t="s">
        <v>116</v>
      </c>
      <c r="E1" s="176"/>
      <c r="F1" s="28" t="s">
        <v>117</v>
      </c>
      <c r="G1" s="122">
        <f>'Model Validation'!C9</f>
        <v>0</v>
      </c>
    </row>
    <row r="2" spans="1:10" s="179" customFormat="1" ht="24.95" customHeight="1" x14ac:dyDescent="0.2">
      <c r="A2" s="176"/>
      <c r="B2" s="35" t="str">
        <f ca="1">MID(CELL("filename",A1),FIND("]",CELL("filename",A1))+1,255)</f>
        <v>Output|Quoted</v>
      </c>
      <c r="C2" s="28"/>
      <c r="D2" s="69" t="s">
        <v>118</v>
      </c>
      <c r="E2" s="176"/>
    </row>
    <row r="3" spans="1:10" s="4" customFormat="1" ht="12.75" x14ac:dyDescent="0.2">
      <c r="A3" s="5"/>
      <c r="B3" s="5"/>
      <c r="C3" s="5"/>
    </row>
    <row r="4" spans="1:10" s="4" customFormat="1" ht="12.75" x14ac:dyDescent="0.2">
      <c r="A4" s="5"/>
      <c r="B4" s="5"/>
      <c r="C4" s="5"/>
      <c r="D4" s="101">
        <f>IF(D7='Input|Escalations'!J27,0,1)</f>
        <v>0</v>
      </c>
      <c r="E4" s="101">
        <f>IF(E7='Input|Escalations'!K27,0,1)</f>
        <v>0</v>
      </c>
      <c r="F4" s="101">
        <f>IF(F7='Input|Escalations'!L27,0,1)</f>
        <v>0</v>
      </c>
      <c r="G4" s="101">
        <f>IF(G7='Input|Escalations'!M27,0,1)</f>
        <v>0</v>
      </c>
    </row>
    <row r="5" spans="1:10" ht="15" x14ac:dyDescent="0.25">
      <c r="A5" s="5"/>
      <c r="B5" s="47" t="str">
        <f>IFERROR("2.1 X-factors for each year of "&amp;'Input|Setup'!$E$11&amp;" to "&amp;'Input|Setup'!$E$15&amp;" regulatory period, (per cent)","")</f>
        <v>2.1 X-factors for each year of 2026-27 to 2030-31 regulatory period, (per cent)</v>
      </c>
      <c r="C5" s="47"/>
      <c r="D5" s="47"/>
      <c r="E5" s="47"/>
      <c r="F5" s="47"/>
      <c r="G5" s="47"/>
      <c r="H5" s="101">
        <f>IF(SUM(D4:G4)=0,0,1)</f>
        <v>0</v>
      </c>
      <c r="I5" s="77"/>
      <c r="J5" s="77"/>
    </row>
    <row r="6" spans="1:10" ht="15" x14ac:dyDescent="0.25">
      <c r="A6" s="5"/>
      <c r="B6" s="34"/>
      <c r="C6" s="34" t="str">
        <f>'Output|Fee Based'!C6</f>
        <v>2026-27</v>
      </c>
      <c r="D6" s="34" t="str">
        <f>'Output|Fee Based'!D6</f>
        <v>2027-28</v>
      </c>
      <c r="E6" s="34" t="str">
        <f>'Output|Fee Based'!E6</f>
        <v>2028-29</v>
      </c>
      <c r="F6" s="34" t="str">
        <f>'Output|Fee Based'!F6</f>
        <v>2029-30</v>
      </c>
      <c r="G6" s="34" t="str">
        <f>'Output|Fee Based'!G6</f>
        <v>2030-31</v>
      </c>
      <c r="H6" s="4"/>
      <c r="I6" s="77"/>
      <c r="J6" s="77"/>
    </row>
    <row r="7" spans="1:10" ht="15" x14ac:dyDescent="0.25">
      <c r="A7" s="5"/>
      <c r="B7" s="5"/>
      <c r="C7" s="5"/>
      <c r="D7" s="228">
        <f>'Output|Fee Based'!D7</f>
        <v>-8.5734453709334808E-3</v>
      </c>
      <c r="E7" s="228">
        <f>'Output|Fee Based'!E7</f>
        <v>-1.002659802990522E-2</v>
      </c>
      <c r="F7" s="228">
        <f>'Output|Fee Based'!F7</f>
        <v>-1.1296131514512021E-2</v>
      </c>
      <c r="G7" s="228">
        <f>'Output|Fee Based'!G7</f>
        <v>-1.1485766163867313E-2</v>
      </c>
      <c r="H7" s="4"/>
      <c r="I7" s="77"/>
      <c r="J7" s="77"/>
    </row>
    <row r="8" spans="1:10" ht="15" x14ac:dyDescent="0.25">
      <c r="A8" s="5"/>
      <c r="B8" s="5"/>
      <c r="C8" s="5"/>
      <c r="D8" s="4"/>
      <c r="E8" s="4"/>
      <c r="F8" s="4"/>
      <c r="G8" s="4"/>
      <c r="H8" s="4"/>
      <c r="I8" s="77"/>
      <c r="J8" s="77"/>
    </row>
    <row r="9" spans="1:10" ht="15" x14ac:dyDescent="0.25">
      <c r="A9" s="5"/>
      <c r="B9" s="5"/>
      <c r="C9" s="5"/>
      <c r="D9" s="4"/>
      <c r="E9" s="4"/>
      <c r="F9" s="4"/>
      <c r="G9" s="4"/>
      <c r="H9" s="4"/>
      <c r="I9" s="510" t="s">
        <v>119</v>
      </c>
      <c r="J9" s="510"/>
    </row>
    <row r="10" spans="1:10" ht="15" x14ac:dyDescent="0.25">
      <c r="A10" s="5"/>
      <c r="B10" s="47" t="str">
        <f>IFERROR("2.2 Labour rates for "&amp;'Input|Setup'!$E$11&amp;", ($"&amp;'Input|Setup'!$E$8&amp;")","")</f>
        <v>2.2 Labour rates for 2026-27, ($2026-27)</v>
      </c>
      <c r="C10" s="47"/>
      <c r="D10" s="47"/>
      <c r="E10" s="65"/>
      <c r="F10" s="5"/>
      <c r="G10" s="5"/>
      <c r="H10" s="5"/>
      <c r="I10" s="67" t="s">
        <v>120</v>
      </c>
      <c r="J10" s="67" t="s">
        <v>121</v>
      </c>
    </row>
    <row r="11" spans="1:10" ht="12.75" x14ac:dyDescent="0.2">
      <c r="A11" s="5"/>
      <c r="B11" s="34" t="s">
        <v>122</v>
      </c>
      <c r="C11" s="34" t="s">
        <v>16</v>
      </c>
      <c r="D11" s="34" t="s">
        <v>123</v>
      </c>
      <c r="E11" s="57"/>
      <c r="F11" s="5"/>
      <c r="G11" s="5"/>
      <c r="H11" s="5"/>
      <c r="I11" s="34" t="s">
        <v>123</v>
      </c>
      <c r="J11" s="34" t="s">
        <v>123</v>
      </c>
    </row>
    <row r="12" spans="1:10" ht="12.75" x14ac:dyDescent="0.2">
      <c r="A12" s="15">
        <v>1</v>
      </c>
      <c r="B12" s="403" t="str">
        <f>'Calc|Labour Rates'!B10</f>
        <v>Administrative Officer</v>
      </c>
      <c r="C12" s="403" t="str">
        <f>'Calc|Labour Rates'!C10</f>
        <v>Business hours</v>
      </c>
      <c r="D12" s="404" cm="1">
        <f t="array" ref="D12">IF('Calc|Labour Rates'!$D10="No","NA",IFERROR(LOOKUP(2, 1/('Calc|Labour Rates'!$B$10:$B$29='Output|Quoted'!$B12)/('Calc|Labour Rates'!$C$10:$C$29='Output|Quoted'!$C12),'Calc|Labour Rates'!$F$10:$F$29),0))</f>
        <v>117.90428373511546</v>
      </c>
      <c r="E12" s="66"/>
      <c r="F12" s="4"/>
      <c r="G12" s="101">
        <f>IF(OR($D12="NA",AND(B12='Calc|Labour Rates'!B10,'Output|Quoted'!C12='Calc|Labour Rates'!C10,'Output|Quoted'!D12='Calc|Labour Rates'!F10)),0,1)</f>
        <v>0</v>
      </c>
      <c r="H12" s="4"/>
      <c r="I12" s="68">
        <v>72</v>
      </c>
      <c r="J12" s="56">
        <f t="shared" ref="J12:J31" si="0">MIN($I12,$D12)</f>
        <v>72</v>
      </c>
    </row>
    <row r="13" spans="1:10" ht="12.75" x14ac:dyDescent="0.2">
      <c r="A13" s="15">
        <f>IFERROR(A12+1,"")</f>
        <v>2</v>
      </c>
      <c r="B13" s="403" t="str">
        <f>'Calc|Labour Rates'!B11</f>
        <v>Field Worker</v>
      </c>
      <c r="C13" s="403" t="str">
        <f>'Calc|Labour Rates'!C11</f>
        <v>Business hours</v>
      </c>
      <c r="D13" s="404" cm="1">
        <f t="array" ref="D13">IF('Calc|Labour Rates'!$D11="No","NA",IFERROR(LOOKUP(2, 1/('Calc|Labour Rates'!$B$10:$B$29='Output|Quoted'!$B13)/('Calc|Labour Rates'!$C$10:$C$29='Output|Quoted'!$C13),'Calc|Labour Rates'!$F$10:$F$29),0))</f>
        <v>222.20152713203854</v>
      </c>
      <c r="E13" s="66"/>
      <c r="F13" s="4"/>
      <c r="G13" s="101">
        <f>IF(OR($D13="NA",AND(B13='Calc|Labour Rates'!B11,'Output|Quoted'!C13='Calc|Labour Rates'!C11,'Output|Quoted'!D13='Calc|Labour Rates'!F11)),0,1)</f>
        <v>0</v>
      </c>
      <c r="H13" s="4"/>
      <c r="I13" s="68">
        <v>150</v>
      </c>
      <c r="J13" s="56">
        <f t="shared" si="0"/>
        <v>150</v>
      </c>
    </row>
    <row r="14" spans="1:10" ht="12.75" x14ac:dyDescent="0.2">
      <c r="A14" s="15">
        <f t="shared" ref="A14:A31" si="1">IFERROR(A13+1,"")</f>
        <v>3</v>
      </c>
      <c r="B14" s="403" t="str">
        <f>'Calc|Labour Rates'!B12</f>
        <v>Technical Specialist</v>
      </c>
      <c r="C14" s="403" t="str">
        <f>'Calc|Labour Rates'!C12</f>
        <v>Business hours</v>
      </c>
      <c r="D14" s="404" cm="1">
        <f t="array" ref="D14">IF('Calc|Labour Rates'!$D12="No","NA",IFERROR(LOOKUP(2, 1/('Calc|Labour Rates'!$B$10:$B$29='Output|Quoted'!$B14)/('Calc|Labour Rates'!$C$10:$C$29='Output|Quoted'!$C14),'Calc|Labour Rates'!$F$10:$F$29),0))</f>
        <v>222.8643692871733</v>
      </c>
      <c r="E14" s="66"/>
      <c r="F14" s="4"/>
      <c r="G14" s="101">
        <f>IF(OR($D14="NA",AND(B14='Calc|Labour Rates'!B12,'Output|Quoted'!C14='Calc|Labour Rates'!C12,'Output|Quoted'!D14='Calc|Labour Rates'!F12)),0,1)</f>
        <v>0</v>
      </c>
      <c r="H14" s="4"/>
      <c r="I14" s="68">
        <v>150</v>
      </c>
      <c r="J14" s="56">
        <f t="shared" si="0"/>
        <v>150</v>
      </c>
    </row>
    <row r="15" spans="1:10" ht="12.75" x14ac:dyDescent="0.2">
      <c r="A15" s="15">
        <f t="shared" si="1"/>
        <v>4</v>
      </c>
      <c r="B15" s="403" t="str">
        <f>'Calc|Labour Rates'!B13</f>
        <v>Engineer</v>
      </c>
      <c r="C15" s="403" t="str">
        <f>'Calc|Labour Rates'!C13</f>
        <v>Business hours</v>
      </c>
      <c r="D15" s="404" cm="1">
        <f t="array" ref="D15">IF('Calc|Labour Rates'!$D13="No","NA",IFERROR(LOOKUP(2, 1/('Calc|Labour Rates'!$B$10:$B$29='Output|Quoted'!$B15)/('Calc|Labour Rates'!$C$10:$C$29='Output|Quoted'!$C15),'Calc|Labour Rates'!$F$10:$F$29),0))</f>
        <v>254.07797670843706</v>
      </c>
      <c r="E15" s="66"/>
      <c r="F15" s="4"/>
      <c r="G15" s="101">
        <f>IF(OR($D15="NA",AND(B15='Calc|Labour Rates'!B13,'Output|Quoted'!C15='Calc|Labour Rates'!C13,'Output|Quoted'!D15='Calc|Labour Rates'!F13)),0,1)</f>
        <v>0</v>
      </c>
      <c r="H15" s="4"/>
      <c r="I15" s="68">
        <v>205</v>
      </c>
      <c r="J15" s="56">
        <f t="shared" si="0"/>
        <v>205</v>
      </c>
    </row>
    <row r="16" spans="1:10" ht="12.75" x14ac:dyDescent="0.2">
      <c r="A16" s="15">
        <f t="shared" si="1"/>
        <v>5</v>
      </c>
      <c r="B16" s="403" t="str">
        <f>'Calc|Labour Rates'!B14</f>
        <v>Senior Engineer</v>
      </c>
      <c r="C16" s="403" t="str">
        <f>'Calc|Labour Rates'!C14</f>
        <v>Business hours</v>
      </c>
      <c r="D16" s="404" cm="1">
        <f t="array" ref="D16">IF('Calc|Labour Rates'!$D14="No","NA",IFERROR(LOOKUP(2, 1/('Calc|Labour Rates'!$B$10:$B$29='Output|Quoted'!$B16)/('Calc|Labour Rates'!$C$10:$C$29='Output|Quoted'!$C16),'Calc|Labour Rates'!$F$10:$F$29),0))</f>
        <v>304.89357205012459</v>
      </c>
      <c r="E16" s="66"/>
      <c r="F16" s="4"/>
      <c r="G16" s="101">
        <f>IF(OR($D16="NA",AND(B16='Calc|Labour Rates'!B14,'Output|Quoted'!C16='Calc|Labour Rates'!C14,'Output|Quoted'!D16='Calc|Labour Rates'!F14)),0,1)</f>
        <v>0</v>
      </c>
      <c r="H16" s="4"/>
      <c r="I16" s="68">
        <v>300</v>
      </c>
      <c r="J16" s="56">
        <f t="shared" si="0"/>
        <v>300</v>
      </c>
    </row>
    <row r="17" spans="1:10" ht="12.75" x14ac:dyDescent="0.2">
      <c r="A17" s="15">
        <f t="shared" si="1"/>
        <v>6</v>
      </c>
      <c r="B17" s="403" t="str">
        <f>'Calc|Labour Rates'!B15</f>
        <v>Administrative Officer</v>
      </c>
      <c r="C17" s="403" t="str">
        <f>'Calc|Labour Rates'!C15</f>
        <v>After Hours</v>
      </c>
      <c r="D17" s="404" t="str" cm="1">
        <f t="array" ref="D17">IF('Calc|Labour Rates'!$D15="No","NA",IFERROR(LOOKUP(2, 1/('Calc|Labour Rates'!$B$10:$B$29='Output|Quoted'!$B17)/('Calc|Labour Rates'!$C$10:$C$29='Output|Quoted'!$C17),'Calc|Labour Rates'!$F$10:$F$29),0))</f>
        <v>NA</v>
      </c>
      <c r="E17" s="66"/>
      <c r="F17" s="4"/>
      <c r="G17" s="101">
        <f>IF(OR($D17="NA",AND(B17='Calc|Labour Rates'!B15,'Output|Quoted'!C17='Calc|Labour Rates'!C15,'Output|Quoted'!D17='Calc|Labour Rates'!F15)),0,1)</f>
        <v>0</v>
      </c>
      <c r="H17" s="4"/>
      <c r="I17" s="68">
        <f>I12*1.69</f>
        <v>121.67999999999999</v>
      </c>
      <c r="J17" s="56">
        <f t="shared" si="0"/>
        <v>121.67999999999999</v>
      </c>
    </row>
    <row r="18" spans="1:10" ht="12.75" x14ac:dyDescent="0.2">
      <c r="A18" s="15">
        <f t="shared" si="1"/>
        <v>7</v>
      </c>
      <c r="B18" s="403" t="str">
        <f>'Calc|Labour Rates'!B16</f>
        <v>Field Worker</v>
      </c>
      <c r="C18" s="403" t="str">
        <f>'Calc|Labour Rates'!C16</f>
        <v>After Hours</v>
      </c>
      <c r="D18" s="404" cm="1">
        <f t="array" ref="D18">IF('Calc|Labour Rates'!$D16="No","NA",IFERROR(LOOKUP(2, 1/('Calc|Labour Rates'!$B$10:$B$29='Output|Quoted'!$B18)/('Calc|Labour Rates'!$C$10:$C$29='Output|Quoted'!$C18),'Calc|Labour Rates'!$F$10:$F$29),0))</f>
        <v>388.21524441641481</v>
      </c>
      <c r="E18" s="66"/>
      <c r="F18" s="4"/>
      <c r="G18" s="101">
        <f>IF(OR($D18="NA",AND(B18='Calc|Labour Rates'!B16,'Output|Quoted'!C18='Calc|Labour Rates'!C16,'Output|Quoted'!D18='Calc|Labour Rates'!F16)),0,1)</f>
        <v>0</v>
      </c>
      <c r="H18" s="4"/>
      <c r="I18" s="68">
        <f>I13*1.69</f>
        <v>253.5</v>
      </c>
      <c r="J18" s="56">
        <f t="shared" si="0"/>
        <v>253.5</v>
      </c>
    </row>
    <row r="19" spans="1:10" ht="12.75" x14ac:dyDescent="0.2">
      <c r="A19" s="15">
        <f t="shared" si="1"/>
        <v>8</v>
      </c>
      <c r="B19" s="403" t="str">
        <f>'Calc|Labour Rates'!B17</f>
        <v>Technical Specialist</v>
      </c>
      <c r="C19" s="403" t="str">
        <f>'Calc|Labour Rates'!C17</f>
        <v>After Hours</v>
      </c>
      <c r="D19" s="404" t="str" cm="1">
        <f t="array" ref="D19">IF('Calc|Labour Rates'!$D17="No","NA",IFERROR(LOOKUP(2, 1/('Calc|Labour Rates'!$B$10:$B$29='Output|Quoted'!$B19)/('Calc|Labour Rates'!$C$10:$C$29='Output|Quoted'!$C19),'Calc|Labour Rates'!$F$10:$F$29),0))</f>
        <v>NA</v>
      </c>
      <c r="E19" s="66"/>
      <c r="F19" s="4"/>
      <c r="G19" s="101">
        <f>IF(OR($D19="NA",AND(B19='Calc|Labour Rates'!B17,'Output|Quoted'!C19='Calc|Labour Rates'!C17,'Output|Quoted'!D19='Calc|Labour Rates'!F17)),0,1)</f>
        <v>0</v>
      </c>
      <c r="H19" s="4"/>
      <c r="I19" s="68">
        <f>I14*1.69</f>
        <v>253.5</v>
      </c>
      <c r="J19" s="56">
        <f t="shared" si="0"/>
        <v>253.5</v>
      </c>
    </row>
    <row r="20" spans="1:10" ht="12.75" x14ac:dyDescent="0.2">
      <c r="A20" s="15">
        <f t="shared" si="1"/>
        <v>9</v>
      </c>
      <c r="B20" s="403" t="str">
        <f>'Calc|Labour Rates'!B18</f>
        <v>Engineer</v>
      </c>
      <c r="C20" s="403" t="str">
        <f>'Calc|Labour Rates'!C18</f>
        <v>After Hours</v>
      </c>
      <c r="D20" s="404" t="str" cm="1">
        <f t="array" ref="D20">IF('Calc|Labour Rates'!$D18="No","NA",IFERROR(LOOKUP(2, 1/('Calc|Labour Rates'!$B$10:$B$29='Output|Quoted'!$B20)/('Calc|Labour Rates'!$C$10:$C$29='Output|Quoted'!$C20),'Calc|Labour Rates'!$F$10:$F$29),0))</f>
        <v>NA</v>
      </c>
      <c r="E20" s="66"/>
      <c r="F20" s="5"/>
      <c r="G20" s="101">
        <f>IF(OR($D20="NA",AND(B20='Calc|Labour Rates'!B18,'Output|Quoted'!C20='Calc|Labour Rates'!C18,'Output|Quoted'!D20='Calc|Labour Rates'!F18)),0,1)</f>
        <v>0</v>
      </c>
      <c r="H20" s="5"/>
      <c r="I20" s="68">
        <f>I15*1.69</f>
        <v>346.45</v>
      </c>
      <c r="J20" s="56">
        <f t="shared" si="0"/>
        <v>346.45</v>
      </c>
    </row>
    <row r="21" spans="1:10" ht="12.75" x14ac:dyDescent="0.2">
      <c r="A21" s="15">
        <f t="shared" si="1"/>
        <v>10</v>
      </c>
      <c r="B21" s="403" t="str">
        <f>'Calc|Labour Rates'!B19</f>
        <v>Senior Engineer</v>
      </c>
      <c r="C21" s="403" t="str">
        <f>'Calc|Labour Rates'!C19</f>
        <v>After Hours</v>
      </c>
      <c r="D21" s="404" t="str" cm="1">
        <f t="array" ref="D21">IF('Calc|Labour Rates'!$D19="No","NA",IFERROR(LOOKUP(2, 1/('Calc|Labour Rates'!$B$10:$B$29='Output|Quoted'!$B21)/('Calc|Labour Rates'!$C$10:$C$29='Output|Quoted'!$C21),'Calc|Labour Rates'!$F$10:$F$29),0))</f>
        <v>NA</v>
      </c>
      <c r="E21" s="66"/>
      <c r="F21" s="5"/>
      <c r="G21" s="101">
        <f>IF(OR($D21="NA",AND(B21='Calc|Labour Rates'!B19,'Output|Quoted'!C21='Calc|Labour Rates'!C19,'Output|Quoted'!D21='Calc|Labour Rates'!F19)),0,1)</f>
        <v>0</v>
      </c>
      <c r="H21" s="5"/>
      <c r="I21" s="68">
        <f>I16*1.69</f>
        <v>507</v>
      </c>
      <c r="J21" s="56">
        <f t="shared" si="0"/>
        <v>507</v>
      </c>
    </row>
    <row r="22" spans="1:10" ht="12.75" x14ac:dyDescent="0.2">
      <c r="A22" s="15">
        <f t="shared" si="1"/>
        <v>11</v>
      </c>
      <c r="B22" s="403" t="str">
        <f>'Calc|Labour Rates'!B20</f>
        <v/>
      </c>
      <c r="C22" s="403" t="str">
        <f>'Calc|Labour Rates'!C20</f>
        <v/>
      </c>
      <c r="D22" s="404" cm="1">
        <f t="array" ref="D22">IF('Calc|Labour Rates'!$D20="No","NA",IFERROR(LOOKUP(2, 1/('Calc|Labour Rates'!$B$10:$B$29='Output|Quoted'!$B22)/('Calc|Labour Rates'!$C$10:$C$29='Output|Quoted'!$C22),'Calc|Labour Rates'!$F$10:$F$29),0))</f>
        <v>0</v>
      </c>
      <c r="E22" s="66"/>
      <c r="F22" s="4"/>
      <c r="G22" s="101">
        <f>IF(OR($D22="NA",AND(B22='Calc|Labour Rates'!B20,'Output|Quoted'!C22='Calc|Labour Rates'!C20,'Output|Quoted'!D22='Calc|Labour Rates'!F20)),0,1)</f>
        <v>0</v>
      </c>
      <c r="H22" s="4"/>
      <c r="I22" s="68"/>
      <c r="J22" s="56">
        <f t="shared" si="0"/>
        <v>0</v>
      </c>
    </row>
    <row r="23" spans="1:10" ht="12.75" x14ac:dyDescent="0.2">
      <c r="A23" s="15">
        <f t="shared" si="1"/>
        <v>12</v>
      </c>
      <c r="B23" s="403" t="str">
        <f>'Calc|Labour Rates'!B21</f>
        <v/>
      </c>
      <c r="C23" s="403" t="str">
        <f>'Calc|Labour Rates'!C21</f>
        <v/>
      </c>
      <c r="D23" s="404" cm="1">
        <f t="array" ref="D23">IF('Calc|Labour Rates'!$D21="No","NA",IFERROR(LOOKUP(2, 1/('Calc|Labour Rates'!$B$10:$B$29='Output|Quoted'!$B23)/('Calc|Labour Rates'!$C$10:$C$29='Output|Quoted'!$C23),'Calc|Labour Rates'!$F$10:$F$29),0))</f>
        <v>0</v>
      </c>
      <c r="E23" s="66"/>
      <c r="F23" s="4"/>
      <c r="G23" s="101">
        <f>IF(OR($D23="NA",AND(B23='Calc|Labour Rates'!B21,'Output|Quoted'!C23='Calc|Labour Rates'!C21,'Output|Quoted'!D23='Calc|Labour Rates'!F21)),0,1)</f>
        <v>0</v>
      </c>
      <c r="H23" s="4"/>
      <c r="I23" s="68"/>
      <c r="J23" s="56">
        <f t="shared" si="0"/>
        <v>0</v>
      </c>
    </row>
    <row r="24" spans="1:10" ht="12.75" x14ac:dyDescent="0.2">
      <c r="A24" s="15">
        <f t="shared" si="1"/>
        <v>13</v>
      </c>
      <c r="B24" s="403" t="str">
        <f>'Calc|Labour Rates'!B22</f>
        <v/>
      </c>
      <c r="C24" s="403" t="str">
        <f>'Calc|Labour Rates'!C22</f>
        <v/>
      </c>
      <c r="D24" s="404" cm="1">
        <f t="array" ref="D24">IF('Calc|Labour Rates'!$D22="No","NA",IFERROR(LOOKUP(2, 1/('Calc|Labour Rates'!$B$10:$B$29='Output|Quoted'!$B24)/('Calc|Labour Rates'!$C$10:$C$29='Output|Quoted'!$C24),'Calc|Labour Rates'!$F$10:$F$29),0))</f>
        <v>0</v>
      </c>
      <c r="E24" s="66"/>
      <c r="F24" s="4"/>
      <c r="G24" s="101">
        <f>IF(OR($D24="NA",AND(B24='Calc|Labour Rates'!B22,'Output|Quoted'!C24='Calc|Labour Rates'!C22,'Output|Quoted'!D24='Calc|Labour Rates'!F22)),0,1)</f>
        <v>0</v>
      </c>
      <c r="H24" s="4"/>
      <c r="I24" s="68"/>
      <c r="J24" s="56">
        <f t="shared" si="0"/>
        <v>0</v>
      </c>
    </row>
    <row r="25" spans="1:10" ht="12.75" x14ac:dyDescent="0.2">
      <c r="A25" s="15">
        <f t="shared" si="1"/>
        <v>14</v>
      </c>
      <c r="B25" s="403" t="str">
        <f>'Calc|Labour Rates'!B23</f>
        <v/>
      </c>
      <c r="C25" s="405">
        <f>'Calc|Labour Rates'!C23</f>
        <v>0</v>
      </c>
      <c r="D25" s="404" cm="1">
        <f t="array" ref="D25">IF('Calc|Labour Rates'!$D23="No","NA",IFERROR(LOOKUP(2, 1/('Calc|Labour Rates'!$B$10:$B$29='Output|Quoted'!$B25)/('Calc|Labour Rates'!$C$10:$C$29='Output|Quoted'!$C25),'Calc|Labour Rates'!$F$10:$F$29),0))</f>
        <v>0</v>
      </c>
      <c r="E25" s="66"/>
      <c r="F25" s="4"/>
      <c r="G25" s="101">
        <f>IF(OR($D25="NA",AND(B25='Calc|Labour Rates'!B23,'Output|Quoted'!C25='Calc|Labour Rates'!C23,'Output|Quoted'!D25='Calc|Labour Rates'!F23)),0,1)</f>
        <v>0</v>
      </c>
      <c r="H25" s="4"/>
      <c r="I25" s="68"/>
      <c r="J25" s="56">
        <f t="shared" si="0"/>
        <v>0</v>
      </c>
    </row>
    <row r="26" spans="1:10" ht="12.75" x14ac:dyDescent="0.2">
      <c r="A26" s="15">
        <f t="shared" si="1"/>
        <v>15</v>
      </c>
      <c r="B26" s="403" t="str">
        <f>'Calc|Labour Rates'!B24</f>
        <v/>
      </c>
      <c r="C26" s="405">
        <f>'Calc|Labour Rates'!C24</f>
        <v>0</v>
      </c>
      <c r="D26" s="404" cm="1">
        <f t="array" ref="D26">IF('Calc|Labour Rates'!$D24="No","NA",IFERROR(LOOKUP(2, 1/('Calc|Labour Rates'!$B$10:$B$29='Output|Quoted'!$B26)/('Calc|Labour Rates'!$C$10:$C$29='Output|Quoted'!$C26),'Calc|Labour Rates'!$F$10:$F$29),0))</f>
        <v>0</v>
      </c>
      <c r="E26" s="66"/>
      <c r="F26" s="4"/>
      <c r="G26" s="101">
        <f>IF(OR($D26="NA",AND(B26='Calc|Labour Rates'!B24,'Output|Quoted'!C26='Calc|Labour Rates'!C24,'Output|Quoted'!D26='Calc|Labour Rates'!F24)),0,1)</f>
        <v>0</v>
      </c>
      <c r="H26" s="4"/>
      <c r="I26" s="68"/>
      <c r="J26" s="56">
        <f t="shared" si="0"/>
        <v>0</v>
      </c>
    </row>
    <row r="27" spans="1:10" ht="12.75" x14ac:dyDescent="0.2">
      <c r="A27" s="15">
        <f t="shared" si="1"/>
        <v>16</v>
      </c>
      <c r="B27" s="403" t="str">
        <f>'Calc|Labour Rates'!B25</f>
        <v/>
      </c>
      <c r="C27" s="403" t="str">
        <f>'Calc|Labour Rates'!C25</f>
        <v/>
      </c>
      <c r="D27" s="404" cm="1">
        <f t="array" ref="D27">IF('Calc|Labour Rates'!$D25="No","NA",IFERROR(LOOKUP(2, 1/('Calc|Labour Rates'!$B$10:$B$29='Output|Quoted'!$B27)/('Calc|Labour Rates'!$C$10:$C$29='Output|Quoted'!$C27),'Calc|Labour Rates'!$F$10:$F$29),0))</f>
        <v>0</v>
      </c>
      <c r="E27" s="66"/>
      <c r="F27" s="4"/>
      <c r="G27" s="101">
        <f>IF(OR($D27="NA",AND(B27='Calc|Labour Rates'!B25,'Output|Quoted'!C27='Calc|Labour Rates'!C25,'Output|Quoted'!D27='Calc|Labour Rates'!F25)),0,1)</f>
        <v>0</v>
      </c>
      <c r="H27" s="4"/>
      <c r="I27" s="68"/>
      <c r="J27" s="56">
        <f t="shared" si="0"/>
        <v>0</v>
      </c>
    </row>
    <row r="28" spans="1:10" ht="12.75" x14ac:dyDescent="0.2">
      <c r="A28" s="15">
        <f t="shared" si="1"/>
        <v>17</v>
      </c>
      <c r="B28" s="403" t="str">
        <f>'Calc|Labour Rates'!B26</f>
        <v/>
      </c>
      <c r="C28" s="403" t="str">
        <f>'Calc|Labour Rates'!C26</f>
        <v/>
      </c>
      <c r="D28" s="404" cm="1">
        <f t="array" ref="D28">IF('Calc|Labour Rates'!$D26="No","NA",IFERROR(LOOKUP(2, 1/('Calc|Labour Rates'!$B$10:$B$29='Output|Quoted'!$B28)/('Calc|Labour Rates'!$C$10:$C$29='Output|Quoted'!$C28),'Calc|Labour Rates'!$F$10:$F$29),0))</f>
        <v>0</v>
      </c>
      <c r="E28" s="66"/>
      <c r="F28" s="4"/>
      <c r="G28" s="101">
        <f>IF(OR($D28="NA",AND(B28='Calc|Labour Rates'!B26,'Output|Quoted'!C28='Calc|Labour Rates'!C26,'Output|Quoted'!D28='Calc|Labour Rates'!F26)),0,1)</f>
        <v>0</v>
      </c>
      <c r="H28" s="4"/>
      <c r="I28" s="68"/>
      <c r="J28" s="56">
        <f t="shared" si="0"/>
        <v>0</v>
      </c>
    </row>
    <row r="29" spans="1:10" ht="12.75" x14ac:dyDescent="0.2">
      <c r="A29" s="15">
        <f t="shared" si="1"/>
        <v>18</v>
      </c>
      <c r="B29" s="403" t="str">
        <f>'Calc|Labour Rates'!B27</f>
        <v/>
      </c>
      <c r="C29" s="403" t="str">
        <f>'Calc|Labour Rates'!C27</f>
        <v/>
      </c>
      <c r="D29" s="404" cm="1">
        <f t="array" ref="D29">IF('Calc|Labour Rates'!$D27="No","NA",IFERROR(LOOKUP(2, 1/('Calc|Labour Rates'!$B$10:$B$29='Output|Quoted'!$B29)/('Calc|Labour Rates'!$C$10:$C$29='Output|Quoted'!$C29),'Calc|Labour Rates'!$F$10:$F$29),0))</f>
        <v>0</v>
      </c>
      <c r="E29" s="66"/>
      <c r="F29" s="4"/>
      <c r="G29" s="101">
        <f>IF(OR($D29="NA",AND(B29='Calc|Labour Rates'!B27,'Output|Quoted'!C29='Calc|Labour Rates'!C27,'Output|Quoted'!D29='Calc|Labour Rates'!F27)),0,1)</f>
        <v>0</v>
      </c>
      <c r="H29" s="4"/>
      <c r="I29" s="68"/>
      <c r="J29" s="56">
        <f t="shared" si="0"/>
        <v>0</v>
      </c>
    </row>
    <row r="30" spans="1:10" ht="12.75" x14ac:dyDescent="0.2">
      <c r="A30" s="15">
        <f t="shared" si="1"/>
        <v>19</v>
      </c>
      <c r="B30" s="403" t="str">
        <f>'Calc|Labour Rates'!B28</f>
        <v/>
      </c>
      <c r="C30" s="403" t="str">
        <f>'Calc|Labour Rates'!C28</f>
        <v/>
      </c>
      <c r="D30" s="404" cm="1">
        <f t="array" ref="D30">IF('Calc|Labour Rates'!$D28="No","NA",IFERROR(LOOKUP(2, 1/('Calc|Labour Rates'!$B$10:$B$29='Output|Quoted'!$B30)/('Calc|Labour Rates'!$C$10:$C$29='Output|Quoted'!$C30),'Calc|Labour Rates'!$F$10:$F$29),0))</f>
        <v>0</v>
      </c>
      <c r="E30" s="66"/>
      <c r="F30" s="4"/>
      <c r="G30" s="101">
        <f>IF(OR($D30="NA",AND(B30='Calc|Labour Rates'!B28,'Output|Quoted'!C30='Calc|Labour Rates'!C28,'Output|Quoted'!D30='Calc|Labour Rates'!F28)),0,1)</f>
        <v>0</v>
      </c>
      <c r="H30" s="4"/>
      <c r="I30" s="68"/>
      <c r="J30" s="56">
        <f t="shared" si="0"/>
        <v>0</v>
      </c>
    </row>
    <row r="31" spans="1:10" ht="12.75" x14ac:dyDescent="0.2">
      <c r="A31" s="15">
        <f t="shared" si="1"/>
        <v>20</v>
      </c>
      <c r="B31" s="403" t="str">
        <f>'Calc|Labour Rates'!B29</f>
        <v/>
      </c>
      <c r="C31" s="403" t="str">
        <f>'Calc|Labour Rates'!C29</f>
        <v/>
      </c>
      <c r="D31" s="404" cm="1">
        <f t="array" ref="D31">IF('Calc|Labour Rates'!$D29="No","NA",IFERROR(LOOKUP(2, 1/('Calc|Labour Rates'!$B$10:$B$29='Output|Quoted'!$B31)/('Calc|Labour Rates'!$C$10:$C$29='Output|Quoted'!$C31),'Calc|Labour Rates'!$F$10:$F$29),0))</f>
        <v>0</v>
      </c>
      <c r="E31" s="66"/>
      <c r="F31" s="4"/>
      <c r="G31" s="101">
        <f>IF(OR($D31="NA",AND(B31='Calc|Labour Rates'!B29,'Output|Quoted'!C31='Calc|Labour Rates'!C29,'Output|Quoted'!D31='Calc|Labour Rates'!F29)),0,1)</f>
        <v>0</v>
      </c>
      <c r="H31" s="4"/>
      <c r="I31" s="68"/>
      <c r="J31" s="56">
        <f t="shared" si="0"/>
        <v>0</v>
      </c>
    </row>
    <row r="32" spans="1:10" ht="12.75" x14ac:dyDescent="0.2">
      <c r="A32" s="15"/>
      <c r="B32" s="63"/>
      <c r="C32" s="63"/>
      <c r="D32" s="64"/>
      <c r="E32" s="64"/>
      <c r="F32" s="4"/>
      <c r="G32" s="4"/>
      <c r="H32" s="4"/>
      <c r="I32" s="4"/>
      <c r="J32" s="4"/>
    </row>
    <row r="33" spans="1:10" ht="12.75" x14ac:dyDescent="0.2">
      <c r="A33" s="5"/>
      <c r="B33" s="5"/>
      <c r="C33" s="5"/>
      <c r="D33" s="4"/>
      <c r="E33" s="4"/>
      <c r="F33" s="4"/>
      <c r="G33" s="4"/>
      <c r="H33" s="4"/>
      <c r="I33" s="4"/>
      <c r="J33" s="4"/>
    </row>
    <row r="34" spans="1:10" ht="15" x14ac:dyDescent="0.25">
      <c r="A34" s="5"/>
      <c r="B34" s="47" t="str">
        <f>IFERROR("2.3 List of quoted services for "&amp;'Input|Setup'!$E$11&amp;" to "&amp;'Input|Setup'!$E$15&amp;" regulatory period","")</f>
        <v>2.3 List of quoted services for 2026-27 to 2030-31 regulatory period</v>
      </c>
      <c r="C34" s="47"/>
      <c r="D34" s="47"/>
      <c r="E34" s="65"/>
      <c r="F34" s="65"/>
      <c r="G34" s="65"/>
      <c r="H34" s="65"/>
    </row>
    <row r="35" spans="1:10" ht="12.75" x14ac:dyDescent="0.2">
      <c r="A35" s="5"/>
      <c r="B35" s="33"/>
      <c r="C35" s="33"/>
      <c r="D35" s="33"/>
      <c r="E35" s="108"/>
      <c r="F35" s="108"/>
      <c r="G35" s="108"/>
      <c r="H35" s="108"/>
    </row>
    <row r="36" spans="1:10" ht="12.75" x14ac:dyDescent="0.2">
      <c r="A36" s="15">
        <v>1</v>
      </c>
      <c r="B36" s="407" t="str">
        <f>'Input|Labour Rates'!B47</f>
        <v xml:space="preserve">Supply abolishment (non-basic) </v>
      </c>
      <c r="C36" s="408"/>
      <c r="D36" s="408"/>
      <c r="E36" s="109"/>
      <c r="F36" s="109"/>
      <c r="G36" s="101">
        <f>IF(B36='Input|Labour Rates'!B47,0,1)</f>
        <v>0</v>
      </c>
      <c r="H36" s="109"/>
    </row>
    <row r="37" spans="1:10" ht="12.75" x14ac:dyDescent="0.2">
      <c r="A37" s="15">
        <f>IFERROR(A36+1,"")</f>
        <v>2</v>
      </c>
      <c r="B37" s="407" t="str">
        <f>'Input|Labour Rates'!B48</f>
        <v xml:space="preserve">Temporary covering of low voltage mains and service lines (fitting of tiger tails) </v>
      </c>
      <c r="C37" s="408"/>
      <c r="D37" s="408"/>
      <c r="E37" s="109"/>
      <c r="F37" s="109"/>
      <c r="G37" s="101">
        <f>IF(B37='Input|Labour Rates'!B48,0,1)</f>
        <v>0</v>
      </c>
      <c r="H37" s="109"/>
    </row>
    <row r="38" spans="1:10" ht="12.75" x14ac:dyDescent="0.2">
      <c r="A38" s="15">
        <f t="shared" ref="A38:A66" si="2">IFERROR(A37+1,"")</f>
        <v>3</v>
      </c>
      <c r="B38" s="407" t="str">
        <f>'Input|Labour Rates'!B49</f>
        <v xml:space="preserve">Rearrangement of network assets at customer request, excluding alteration and relocation of public lighting assets </v>
      </c>
      <c r="C38" s="408"/>
      <c r="D38" s="408"/>
      <c r="E38" s="109"/>
      <c r="F38" s="109"/>
      <c r="G38" s="101">
        <f>IF(B38='Input|Labour Rates'!B49,0,1)</f>
        <v>0</v>
      </c>
      <c r="H38" s="109"/>
    </row>
    <row r="39" spans="1:10" ht="12.75" x14ac:dyDescent="0.2">
      <c r="A39" s="15">
        <f t="shared" si="2"/>
        <v>4</v>
      </c>
      <c r="B39" s="407" t="str">
        <f>'Input|Labour Rates'!B50</f>
        <v xml:space="preserve">Elective undergrounding </v>
      </c>
      <c r="C39" s="408"/>
      <c r="D39" s="408"/>
      <c r="E39" s="109"/>
      <c r="F39" s="109"/>
      <c r="G39" s="101">
        <f>IF(B39='Input|Labour Rates'!B50,0,1)</f>
        <v>0</v>
      </c>
      <c r="H39" s="109"/>
    </row>
    <row r="40" spans="1:10" ht="12.75" x14ac:dyDescent="0.2">
      <c r="A40" s="15">
        <f t="shared" si="2"/>
        <v>5</v>
      </c>
      <c r="B40" s="407" t="str">
        <f>'Input|Labour Rates'!B51</f>
        <v xml:space="preserve">Reserve feeder construction </v>
      </c>
      <c r="C40" s="408"/>
      <c r="D40" s="408"/>
      <c r="E40" s="109"/>
      <c r="F40" s="109"/>
      <c r="G40" s="101">
        <f>IF(B40='Input|Labour Rates'!B51,0,1)</f>
        <v>0</v>
      </c>
      <c r="H40" s="109"/>
    </row>
    <row r="41" spans="1:10" ht="12.75" x14ac:dyDescent="0.2">
      <c r="A41" s="15">
        <f t="shared" si="2"/>
        <v>6</v>
      </c>
      <c r="B41" s="407" t="str">
        <f>'Input|Labour Rates'!B52</f>
        <v xml:space="preserve">Access permits, oversight and facilitation </v>
      </c>
      <c r="C41" s="408"/>
      <c r="D41" s="408"/>
      <c r="E41" s="109"/>
      <c r="F41" s="109"/>
      <c r="G41" s="101">
        <f>IF(B41='Input|Labour Rates'!B52,0,1)</f>
        <v>0</v>
      </c>
      <c r="H41" s="109"/>
    </row>
    <row r="42" spans="1:10" ht="12.75" x14ac:dyDescent="0.2">
      <c r="A42" s="15">
        <f t="shared" si="2"/>
        <v>7</v>
      </c>
      <c r="B42" s="407" t="str">
        <f>'Input|Labour Rates'!B53</f>
        <v xml:space="preserve">Sale of approved materials or equipment </v>
      </c>
      <c r="C42" s="408"/>
      <c r="D42" s="408"/>
      <c r="E42" s="109"/>
      <c r="F42" s="109"/>
      <c r="G42" s="101">
        <f>IF(B42='Input|Labour Rates'!B53,0,1)</f>
        <v>0</v>
      </c>
      <c r="H42" s="109"/>
    </row>
    <row r="43" spans="1:10" ht="12.75" x14ac:dyDescent="0.2">
      <c r="A43" s="15">
        <f t="shared" si="2"/>
        <v>8</v>
      </c>
      <c r="B43" s="407" t="str">
        <f>'Input|Labour Rates'!B54</f>
        <v xml:space="preserve">Notices of arrangement and completion notices </v>
      </c>
      <c r="C43" s="408"/>
      <c r="D43" s="408"/>
      <c r="E43" s="109"/>
      <c r="F43" s="109"/>
      <c r="G43" s="101">
        <f>IF(B43='Input|Labour Rates'!B54,0,1)</f>
        <v>0</v>
      </c>
      <c r="H43" s="109"/>
    </row>
    <row r="44" spans="1:10" ht="12.75" x14ac:dyDescent="0.2">
      <c r="A44" s="15">
        <f t="shared" si="2"/>
        <v>9</v>
      </c>
      <c r="B44" s="407" t="str">
        <f>'Input|Labour Rates'!B55</f>
        <v xml:space="preserve">Network related property services </v>
      </c>
      <c r="C44" s="408"/>
      <c r="D44" s="408"/>
      <c r="E44" s="109"/>
      <c r="F44" s="109"/>
      <c r="G44" s="101">
        <f>IF(B44='Input|Labour Rates'!B55,0,1)</f>
        <v>0</v>
      </c>
      <c r="H44" s="109"/>
    </row>
    <row r="45" spans="1:10" ht="12.75" x14ac:dyDescent="0.2">
      <c r="A45" s="15">
        <f t="shared" si="2"/>
        <v>10</v>
      </c>
      <c r="B45" s="407" t="str">
        <f>'Input|Labour Rates'!B56</f>
        <v xml:space="preserve">Network safety services </v>
      </c>
      <c r="C45" s="408"/>
      <c r="D45" s="408"/>
      <c r="E45" s="109"/>
      <c r="F45" s="109"/>
      <c r="G45" s="101">
        <f>IF(B45='Input|Labour Rates'!B56,0,1)</f>
        <v>0</v>
      </c>
      <c r="H45" s="109"/>
    </row>
    <row r="46" spans="1:10" ht="12.75" x14ac:dyDescent="0.2">
      <c r="A46" s="15">
        <f t="shared" si="2"/>
        <v>11</v>
      </c>
      <c r="B46" s="407" t="str">
        <f>'Input|Labour Rates'!B57</f>
        <v xml:space="preserve">High load escorts </v>
      </c>
      <c r="C46" s="408"/>
      <c r="D46" s="408"/>
      <c r="E46" s="109"/>
      <c r="F46" s="109"/>
      <c r="G46" s="101">
        <f>IF(B46='Input|Labour Rates'!B57,0,1)</f>
        <v>0</v>
      </c>
      <c r="H46" s="109"/>
    </row>
    <row r="47" spans="1:10" ht="12.75" x14ac:dyDescent="0.2">
      <c r="A47" s="15">
        <f t="shared" si="2"/>
        <v>12</v>
      </c>
      <c r="B47" s="407" t="str">
        <f>'Input|Labour Rates'!B58</f>
        <v xml:space="preserve">Fitting of possum guards and aerial markers </v>
      </c>
      <c r="C47" s="408"/>
      <c r="D47" s="408"/>
      <c r="E47" s="109"/>
      <c r="F47" s="109"/>
      <c r="G47" s="101">
        <f>IF(B47='Input|Labour Rates'!B58,0,1)</f>
        <v>0</v>
      </c>
      <c r="H47" s="109"/>
    </row>
    <row r="48" spans="1:10" ht="12.75" customHeight="1" x14ac:dyDescent="0.2">
      <c r="A48" s="15">
        <f t="shared" si="2"/>
        <v>13</v>
      </c>
      <c r="B48" s="407" t="str">
        <f>'Input|Labour Rates'!B59</f>
        <v xml:space="preserve">Site visit relating to location of underground cables/assets </v>
      </c>
      <c r="C48" s="408"/>
      <c r="D48" s="408"/>
      <c r="E48" s="109"/>
      <c r="F48" s="109"/>
      <c r="G48" s="101">
        <f>IF(B48='Input|Labour Rates'!B59,0,1)</f>
        <v>0</v>
      </c>
      <c r="H48" s="109"/>
    </row>
    <row r="49" spans="1:8" ht="12.75" customHeight="1" x14ac:dyDescent="0.2">
      <c r="A49" s="15">
        <f t="shared" si="2"/>
        <v>14</v>
      </c>
      <c r="B49" s="407" t="str">
        <f>'Input|Labour Rates'!B60</f>
        <v xml:space="preserve">Third party request for de-energising wires for safe approach </v>
      </c>
      <c r="C49" s="408"/>
      <c r="D49" s="408"/>
      <c r="E49" s="109"/>
      <c r="F49" s="109"/>
      <c r="G49" s="101">
        <f>IF(B49='Input|Labour Rates'!B60,0,1)</f>
        <v>0</v>
      </c>
      <c r="H49" s="109"/>
    </row>
    <row r="50" spans="1:8" ht="12.75" customHeight="1" x14ac:dyDescent="0.2">
      <c r="A50" s="15">
        <f t="shared" si="2"/>
        <v>15</v>
      </c>
      <c r="B50" s="407" t="str">
        <f>'Input|Labour Rates'!B61</f>
        <v xml:space="preserve">Provision of traffic control and safety observer services by the distributor where required </v>
      </c>
      <c r="C50" s="408"/>
      <c r="D50" s="408"/>
      <c r="E50" s="109"/>
      <c r="F50" s="109"/>
      <c r="G50" s="101">
        <f>IF(B50='Input|Labour Rates'!B61,0,1)</f>
        <v>0</v>
      </c>
      <c r="H50" s="109"/>
    </row>
    <row r="51" spans="1:8" ht="12.75" customHeight="1" x14ac:dyDescent="0.2">
      <c r="A51" s="15">
        <f t="shared" si="2"/>
        <v>16</v>
      </c>
      <c r="B51" s="407" t="str">
        <f>'Input|Labour Rates'!B62</f>
        <v xml:space="preserve">Planned interruption – customer requested </v>
      </c>
      <c r="C51" s="408"/>
      <c r="D51" s="408"/>
      <c r="E51" s="109"/>
      <c r="F51" s="109"/>
      <c r="G51" s="101">
        <f>IF(B51='Input|Labour Rates'!B62,0,1)</f>
        <v>0</v>
      </c>
      <c r="H51" s="109"/>
    </row>
    <row r="52" spans="1:8" ht="12.75" customHeight="1" x14ac:dyDescent="0.2">
      <c r="A52" s="15">
        <f t="shared" si="2"/>
        <v>17</v>
      </c>
      <c r="B52" s="407" t="str">
        <f>'Input|Labour Rates'!B63</f>
        <v xml:space="preserve">Customer requested supply interruption </v>
      </c>
      <c r="C52" s="408"/>
      <c r="D52" s="408"/>
      <c r="E52" s="109"/>
      <c r="F52" s="109"/>
      <c r="G52" s="101">
        <f>IF(B52='Input|Labour Rates'!B63,0,1)</f>
        <v>0</v>
      </c>
      <c r="H52" s="109"/>
    </row>
    <row r="53" spans="1:8" ht="12.75" customHeight="1" x14ac:dyDescent="0.2">
      <c r="A53" s="15">
        <f t="shared" si="2"/>
        <v>18</v>
      </c>
      <c r="B53" s="407" t="str">
        <f>'Input|Labour Rates'!B64</f>
        <v xml:space="preserve">Inspection and auditing services </v>
      </c>
      <c r="C53" s="408"/>
      <c r="D53" s="408"/>
      <c r="E53" s="109"/>
      <c r="F53" s="109"/>
      <c r="G53" s="101">
        <f>IF(B53='Input|Labour Rates'!B64,0,1)</f>
        <v>0</v>
      </c>
      <c r="H53" s="109"/>
    </row>
    <row r="54" spans="1:8" ht="12.75" customHeight="1" x14ac:dyDescent="0.2">
      <c r="A54" s="15">
        <f t="shared" si="2"/>
        <v>19</v>
      </c>
      <c r="B54" s="407" t="str">
        <f>'Input|Labour Rates'!B65</f>
        <v xml:space="preserve">Provision of training to third parties for network related access </v>
      </c>
      <c r="C54" s="408"/>
      <c r="D54" s="408"/>
      <c r="E54" s="109"/>
      <c r="F54" s="109"/>
      <c r="G54" s="101">
        <f>IF(B54='Input|Labour Rates'!B65,0,1)</f>
        <v>0</v>
      </c>
      <c r="H54" s="109"/>
    </row>
    <row r="55" spans="1:8" ht="12.75" x14ac:dyDescent="0.2">
      <c r="A55" s="15">
        <f t="shared" si="2"/>
        <v>20</v>
      </c>
      <c r="B55" s="407" t="str">
        <f>'Input|Labour Rates'!B66</f>
        <v xml:space="preserve">Authorisation and approval of third party service providers </v>
      </c>
      <c r="C55" s="408"/>
      <c r="D55" s="408"/>
      <c r="E55" s="109"/>
      <c r="F55" s="109"/>
      <c r="G55" s="101">
        <f>IF(B55='Input|Labour Rates'!B66,0,1)</f>
        <v>0</v>
      </c>
      <c r="H55" s="109"/>
    </row>
    <row r="56" spans="1:8" ht="12.75" x14ac:dyDescent="0.2">
      <c r="A56" s="15">
        <f t="shared" si="2"/>
        <v>21</v>
      </c>
      <c r="B56" s="407" t="str">
        <f>'Input|Labour Rates'!B67</f>
        <v xml:space="preserve">Replacement of security lights that are beyond repair </v>
      </c>
      <c r="C56" s="408"/>
      <c r="D56" s="408"/>
      <c r="E56" s="109"/>
      <c r="F56" s="109"/>
      <c r="G56" s="101">
        <f>IF(B56='Input|Labour Rates'!B67,0,1)</f>
        <v>0</v>
      </c>
      <c r="H56" s="109"/>
    </row>
    <row r="57" spans="1:8" ht="12.75" x14ac:dyDescent="0.2">
      <c r="A57" s="15">
        <f t="shared" si="2"/>
        <v>22</v>
      </c>
      <c r="B57" s="407" t="str">
        <f>'Input|Labour Rates'!B68</f>
        <v>Provision of electricity network data to customers or third parties outside of legislative obligations</v>
      </c>
      <c r="C57" s="408"/>
      <c r="D57" s="408"/>
      <c r="E57" s="109"/>
      <c r="F57" s="109"/>
      <c r="G57" s="101">
        <f>IF(B57='Input|Labour Rates'!B68,0,1)</f>
        <v>0</v>
      </c>
      <c r="H57" s="109"/>
    </row>
    <row r="58" spans="1:8" ht="12.75" x14ac:dyDescent="0.2">
      <c r="A58" s="15">
        <f t="shared" si="2"/>
        <v>23</v>
      </c>
      <c r="B58" s="407" t="str">
        <f>'Input|Labour Rates'!B69</f>
        <v xml:space="preserve">Third party requested network alterations or other improvements </v>
      </c>
      <c r="C58" s="408"/>
      <c r="D58" s="408"/>
      <c r="E58" s="109"/>
      <c r="F58" s="109"/>
      <c r="G58" s="101">
        <f>IF(B58='Input|Labour Rates'!B69,0,1)</f>
        <v>0</v>
      </c>
      <c r="H58" s="109"/>
    </row>
    <row r="59" spans="1:8" ht="12.75" x14ac:dyDescent="0.2">
      <c r="A59" s="15">
        <f t="shared" si="2"/>
        <v>24</v>
      </c>
      <c r="B59" s="407" t="str">
        <f>'Input|Labour Rates'!B70</f>
        <v xml:space="preserve">Community network upgrades </v>
      </c>
      <c r="C59" s="408"/>
      <c r="D59" s="408"/>
      <c r="E59" s="109"/>
      <c r="F59" s="109"/>
      <c r="G59" s="101">
        <f>IF(B59='Input|Labour Rates'!B70,0,1)</f>
        <v>0</v>
      </c>
      <c r="H59" s="109"/>
    </row>
    <row r="60" spans="1:8" ht="12.75" x14ac:dyDescent="0.2">
      <c r="A60" s="15">
        <f t="shared" si="2"/>
        <v>25</v>
      </c>
      <c r="B60" s="407" t="str">
        <f>'Input|Labour Rates'!B71</f>
        <v xml:space="preserve">Non-standard metering services (eg. initial setup of load and inventory table of non-contestable unmetered devices) </v>
      </c>
      <c r="C60" s="408"/>
      <c r="D60" s="408"/>
      <c r="E60" s="109"/>
      <c r="F60" s="109"/>
      <c r="G60" s="101">
        <f>IF(B60='Input|Labour Rates'!B71,0,1)</f>
        <v>0</v>
      </c>
      <c r="H60" s="109"/>
    </row>
    <row r="61" spans="1:8" ht="12.75" customHeight="1" x14ac:dyDescent="0.2">
      <c r="A61" s="15">
        <f t="shared" si="2"/>
        <v>26</v>
      </c>
      <c r="B61" s="407" t="str">
        <f>'Input|Labour Rates'!B72</f>
        <v xml:space="preserve">Connection management services </v>
      </c>
      <c r="C61" s="408"/>
      <c r="D61" s="408"/>
      <c r="E61" s="109"/>
      <c r="F61" s="109"/>
      <c r="G61" s="101">
        <f>IF(B61='Input|Labour Rates'!B72,0,1)</f>
        <v>0</v>
      </c>
      <c r="H61" s="109"/>
    </row>
    <row r="62" spans="1:8" ht="12.75" x14ac:dyDescent="0.2">
      <c r="A62" s="15">
        <f t="shared" si="2"/>
        <v>27</v>
      </c>
      <c r="B62" s="407" t="str">
        <f>'Input|Labour Rates'!B73</f>
        <v xml:space="preserve">Temporary non-basic connections </v>
      </c>
      <c r="C62" s="408"/>
      <c r="D62" s="408"/>
      <c r="E62" s="109"/>
      <c r="F62" s="109"/>
      <c r="G62" s="101">
        <f>IF(B62='Input|Labour Rates'!B73,0,1)</f>
        <v>0</v>
      </c>
      <c r="H62" s="109"/>
    </row>
    <row r="63" spans="1:8" ht="12.75" x14ac:dyDescent="0.2">
      <c r="A63" s="15">
        <f t="shared" si="2"/>
        <v>28</v>
      </c>
      <c r="B63" s="407" t="str">
        <f>'Input|Labour Rates'!B74</f>
        <v xml:space="preserve">Temporary disconnection of non-basic connections </v>
      </c>
      <c r="C63" s="408"/>
      <c r="D63" s="408"/>
      <c r="E63" s="109"/>
      <c r="F63" s="109"/>
      <c r="G63" s="101">
        <f>IF(B63='Input|Labour Rates'!B74,0,1)</f>
        <v>0</v>
      </c>
      <c r="H63" s="109"/>
    </row>
    <row r="64" spans="1:8" ht="12.75" x14ac:dyDescent="0.2">
      <c r="A64" s="15">
        <f t="shared" si="2"/>
        <v>29</v>
      </c>
      <c r="B64" s="407" t="str">
        <f>'Input|Labour Rates'!B75</f>
        <v xml:space="preserve">Reconnection of non-basic connection after temporary disconnection </v>
      </c>
      <c r="C64" s="408"/>
      <c r="D64" s="408"/>
      <c r="E64" s="109"/>
      <c r="F64" s="109"/>
      <c r="G64" s="101">
        <f>IF(B64='Input|Labour Rates'!B75,0,1)</f>
        <v>0</v>
      </c>
      <c r="H64" s="109"/>
    </row>
    <row r="65" spans="1:10" ht="12.75" x14ac:dyDescent="0.2">
      <c r="A65" s="15">
        <f t="shared" si="2"/>
        <v>30</v>
      </c>
      <c r="B65" s="407" t="str">
        <f>'Input|Labour Rates'!B76</f>
        <v xml:space="preserve">Protection and power quality assessment </v>
      </c>
      <c r="C65" s="408"/>
      <c r="D65" s="408"/>
      <c r="E65" s="109"/>
      <c r="F65" s="109"/>
      <c r="G65" s="101">
        <f>IF(B65='Input|Labour Rates'!B76,0,1)</f>
        <v>0</v>
      </c>
      <c r="H65" s="109"/>
    </row>
    <row r="66" spans="1:10" ht="12.75" x14ac:dyDescent="0.2">
      <c r="A66" s="15">
        <f t="shared" si="2"/>
        <v>31</v>
      </c>
      <c r="B66" s="407" t="str">
        <f>'Input|Labour Rates'!B77</f>
        <v xml:space="preserve">Customer requested change requiring secondary and primary plant studies </v>
      </c>
      <c r="C66" s="408"/>
      <c r="D66" s="408"/>
      <c r="E66" s="4"/>
      <c r="F66" s="4"/>
      <c r="G66" s="101">
        <f>IF(B66='Input|Labour Rates'!B77,0,1)</f>
        <v>0</v>
      </c>
      <c r="H66" s="4" t="s">
        <v>124</v>
      </c>
      <c r="I66" s="4"/>
      <c r="J66" s="4"/>
    </row>
    <row r="67" spans="1:10" ht="12.75" customHeight="1" x14ac:dyDescent="0.2">
      <c r="A67" s="15">
        <v>32</v>
      </c>
      <c r="B67" s="407" t="str">
        <f>'Input|Labour Rates'!B78</f>
        <v xml:space="preserve">Calculation of a site-specific distribution loss factor on request </v>
      </c>
      <c r="C67" s="408"/>
      <c r="D67" s="408"/>
      <c r="E67" s="4"/>
      <c r="F67" s="4"/>
      <c r="G67" s="101">
        <f>IF(B67='Input|Labour Rates'!B78,0,1)</f>
        <v>0</v>
      </c>
      <c r="H67" s="4"/>
      <c r="I67" s="4"/>
      <c r="J67" s="4"/>
    </row>
    <row r="68" spans="1:10" ht="12.75" x14ac:dyDescent="0.2">
      <c r="A68" s="15">
        <v>33</v>
      </c>
      <c r="B68" s="407" t="str">
        <f>'Input|Labour Rates'!B79</f>
        <v xml:space="preserve">Embedded network management </v>
      </c>
      <c r="C68" s="408"/>
      <c r="D68" s="408"/>
      <c r="E68" s="4"/>
      <c r="F68" s="4"/>
      <c r="G68" s="101">
        <f>IF(B68='Input|Labour Rates'!B79,0,1)</f>
        <v>0</v>
      </c>
      <c r="H68" s="4"/>
      <c r="I68" s="4"/>
      <c r="J68" s="4"/>
    </row>
    <row r="69" spans="1:10" ht="12.75" x14ac:dyDescent="0.2">
      <c r="A69" s="15">
        <v>34</v>
      </c>
      <c r="B69" s="407" t="str">
        <f>'Input|Labour Rates'!B80</f>
        <v xml:space="preserve">Connection application related services </v>
      </c>
      <c r="C69" s="408"/>
      <c r="D69" s="408"/>
      <c r="E69" s="4"/>
      <c r="F69" s="4"/>
      <c r="G69" s="101">
        <f>IF(B69='Input|Labour Rates'!B80,0,1)</f>
        <v>0</v>
      </c>
      <c r="H69" s="4"/>
      <c r="I69" s="4"/>
      <c r="J69" s="4"/>
    </row>
    <row r="70" spans="1:10" ht="12.75" x14ac:dyDescent="0.2">
      <c r="A70" s="15">
        <v>35</v>
      </c>
      <c r="B70" s="407" t="str">
        <f>'Input|Labour Rates'!B81</f>
        <v xml:space="preserve">Alteration and relocation of public lighting assets </v>
      </c>
      <c r="C70" s="408"/>
      <c r="D70" s="408"/>
      <c r="E70" s="4"/>
      <c r="F70" s="4"/>
      <c r="G70" s="101">
        <f>IF(B70='Input|Labour Rates'!B81,0,1)</f>
        <v>0</v>
      </c>
      <c r="H70" s="4"/>
      <c r="I70" s="4"/>
      <c r="J70" s="4"/>
    </row>
    <row r="71" spans="1:10" ht="12.75" x14ac:dyDescent="0.2">
      <c r="A71" s="15">
        <v>36</v>
      </c>
      <c r="B71" s="407" t="str">
        <f>'Input|Labour Rates'!B82</f>
        <v>New public lighting services including greenfield sites and new light types (distributor provided)</v>
      </c>
      <c r="C71" s="408"/>
      <c r="D71" s="408"/>
      <c r="E71" s="4"/>
      <c r="F71" s="4"/>
      <c r="G71" s="101">
        <f>IF(B71='Input|Labour Rates'!B82,0,1)</f>
        <v>0</v>
      </c>
      <c r="H71" s="4"/>
      <c r="I71" s="4"/>
      <c r="J71" s="4"/>
    </row>
    <row r="72" spans="1:10" ht="12.75" x14ac:dyDescent="0.2">
      <c r="A72" s="15">
        <v>37</v>
      </c>
      <c r="B72" s="407" t="str">
        <f>'Input|Labour Rates'!B83</f>
        <v>Provision, construction and maintenance of emerging public lighting technology</v>
      </c>
      <c r="C72" s="408"/>
      <c r="D72" s="408"/>
      <c r="E72" s="4"/>
      <c r="F72" s="4"/>
      <c r="G72" s="101">
        <f>IF(B72='Input|Labour Rates'!B83,0,1)</f>
        <v>0</v>
      </c>
      <c r="H72" s="4"/>
      <c r="I72" s="4"/>
      <c r="J72" s="4"/>
    </row>
    <row r="73" spans="1:10" ht="12.75" customHeight="1" x14ac:dyDescent="0.2">
      <c r="A73" s="15">
        <v>38</v>
      </c>
      <c r="B73" s="407">
        <f>'Input|Labour Rates'!B84</f>
        <v>0</v>
      </c>
      <c r="C73" s="408"/>
      <c r="D73" s="408"/>
      <c r="E73" s="4"/>
      <c r="F73" s="4"/>
      <c r="G73" s="101">
        <f>IF(B73='Input|Labour Rates'!B84,0,1)</f>
        <v>0</v>
      </c>
      <c r="H73" s="4"/>
      <c r="I73" s="4"/>
      <c r="J73" s="4"/>
    </row>
    <row r="74" spans="1:10" ht="12.75" x14ac:dyDescent="0.2">
      <c r="A74" s="15">
        <v>39</v>
      </c>
      <c r="B74" s="407">
        <f>'Input|Labour Rates'!B85</f>
        <v>0</v>
      </c>
      <c r="C74" s="408"/>
      <c r="D74" s="408"/>
      <c r="E74" s="4"/>
      <c r="F74" s="4"/>
      <c r="G74" s="101">
        <f>IF(B74='Input|Labour Rates'!B85,0,1)</f>
        <v>0</v>
      </c>
      <c r="H74" s="4"/>
      <c r="I74" s="4"/>
      <c r="J74" s="4"/>
    </row>
    <row r="75" spans="1:10" ht="12.75" customHeight="1" x14ac:dyDescent="0.2">
      <c r="A75" s="15">
        <v>40</v>
      </c>
      <c r="B75" s="407">
        <f>'Input|Labour Rates'!B86</f>
        <v>0</v>
      </c>
      <c r="C75" s="408"/>
      <c r="D75" s="408"/>
      <c r="E75" s="4"/>
      <c r="F75" s="4"/>
      <c r="G75" s="101">
        <f>IF(B75='Input|Labour Rates'!B86,0,1)</f>
        <v>0</v>
      </c>
      <c r="H75" s="4"/>
      <c r="I75" s="4"/>
      <c r="J75" s="4"/>
    </row>
    <row r="76" spans="1:10" ht="12.75" x14ac:dyDescent="0.2">
      <c r="A76" s="15">
        <v>41</v>
      </c>
      <c r="B76" s="407">
        <f>'Input|Labour Rates'!B87</f>
        <v>0</v>
      </c>
      <c r="C76" s="408"/>
      <c r="D76" s="408"/>
      <c r="E76" s="4"/>
      <c r="F76" s="4"/>
      <c r="G76" s="101">
        <f>IF(B76='Input|Labour Rates'!B87,0,1)</f>
        <v>0</v>
      </c>
      <c r="H76" s="4"/>
      <c r="I76" s="4"/>
      <c r="J76" s="4"/>
    </row>
    <row r="77" spans="1:10" ht="12.75" x14ac:dyDescent="0.2">
      <c r="A77" s="15">
        <v>42</v>
      </c>
      <c r="B77" s="407">
        <f>'Input|Labour Rates'!B88</f>
        <v>0</v>
      </c>
      <c r="C77" s="408"/>
      <c r="D77" s="408"/>
      <c r="E77" s="4"/>
      <c r="F77" s="4"/>
      <c r="G77" s="101">
        <f>IF(B77='Input|Labour Rates'!B88,0,1)</f>
        <v>0</v>
      </c>
      <c r="H77" s="4"/>
      <c r="I77" s="4"/>
      <c r="J77" s="4"/>
    </row>
    <row r="78" spans="1:10" ht="12.75" x14ac:dyDescent="0.2">
      <c r="A78" s="15">
        <v>43</v>
      </c>
      <c r="B78" s="407">
        <f>'Input|Labour Rates'!B89</f>
        <v>0</v>
      </c>
      <c r="C78" s="408"/>
      <c r="D78" s="408"/>
      <c r="E78" s="4"/>
      <c r="F78" s="4"/>
      <c r="G78" s="101">
        <f>IF(B78='Input|Labour Rates'!B89,0,1)</f>
        <v>0</v>
      </c>
      <c r="H78" s="4"/>
      <c r="I78" s="4"/>
      <c r="J78" s="4"/>
    </row>
    <row r="79" spans="1:10" ht="12.75" x14ac:dyDescent="0.2">
      <c r="A79" s="15">
        <v>44</v>
      </c>
      <c r="B79" s="407">
        <f>'Input|Labour Rates'!B90</f>
        <v>0</v>
      </c>
      <c r="C79" s="408"/>
      <c r="D79" s="408"/>
      <c r="E79" s="4"/>
      <c r="F79" s="4"/>
      <c r="G79" s="101">
        <f>IF(B79='Input|Labour Rates'!B90,0,1)</f>
        <v>0</v>
      </c>
      <c r="H79" s="4"/>
      <c r="I79" s="4"/>
      <c r="J79" s="4"/>
    </row>
    <row r="80" spans="1:10" ht="12.75" x14ac:dyDescent="0.2">
      <c r="A80" s="15">
        <v>45</v>
      </c>
      <c r="B80" s="407">
        <f>'Input|Labour Rates'!B91</f>
        <v>0</v>
      </c>
      <c r="C80" s="408"/>
      <c r="D80" s="408"/>
      <c r="E80" s="4"/>
      <c r="F80" s="4"/>
      <c r="G80" s="101">
        <f>IF(B80='Input|Labour Rates'!B91,0,1)</f>
        <v>0</v>
      </c>
      <c r="H80" s="4"/>
      <c r="I80" s="4"/>
      <c r="J80" s="4"/>
    </row>
    <row r="81" spans="1:10" ht="12.75" x14ac:dyDescent="0.2">
      <c r="A81" s="15">
        <v>46</v>
      </c>
      <c r="B81" s="407">
        <f>'Input|Labour Rates'!B92</f>
        <v>0</v>
      </c>
      <c r="C81" s="408"/>
      <c r="D81" s="408"/>
      <c r="E81" s="4"/>
      <c r="F81" s="4"/>
      <c r="G81" s="101">
        <f>IF(B81='Input|Labour Rates'!B92,0,1)</f>
        <v>0</v>
      </c>
      <c r="H81" s="4"/>
      <c r="I81" s="4"/>
      <c r="J81" s="4"/>
    </row>
    <row r="82" spans="1:10" ht="12.75" x14ac:dyDescent="0.2">
      <c r="A82" s="15">
        <v>47</v>
      </c>
      <c r="B82" s="407">
        <f>'Input|Labour Rates'!B93</f>
        <v>0</v>
      </c>
      <c r="C82" s="408"/>
      <c r="D82" s="408"/>
      <c r="E82" s="4"/>
      <c r="F82" s="4"/>
      <c r="G82" s="101">
        <f>IF(B82='Input|Labour Rates'!B93,0,1)</f>
        <v>0</v>
      </c>
      <c r="H82" s="4"/>
      <c r="I82" s="4"/>
      <c r="J82" s="4"/>
    </row>
    <row r="83" spans="1:10" ht="12.75" x14ac:dyDescent="0.2">
      <c r="A83" s="15">
        <v>48</v>
      </c>
      <c r="B83" s="407">
        <f>'Input|Labour Rates'!B94</f>
        <v>0</v>
      </c>
      <c r="C83" s="408"/>
      <c r="D83" s="408"/>
      <c r="E83" s="4"/>
      <c r="F83" s="4"/>
      <c r="G83" s="101">
        <f>IF(B83='Input|Labour Rates'!B94,0,1)</f>
        <v>0</v>
      </c>
      <c r="H83" s="4"/>
      <c r="I83" s="4"/>
      <c r="J83" s="4"/>
    </row>
    <row r="84" spans="1:10" ht="12.75" x14ac:dyDescent="0.2">
      <c r="A84" s="15">
        <v>49</v>
      </c>
      <c r="B84" s="407">
        <f>'Input|Labour Rates'!B95</f>
        <v>0</v>
      </c>
      <c r="C84" s="408"/>
      <c r="D84" s="408"/>
      <c r="E84" s="4"/>
      <c r="F84" s="4"/>
      <c r="G84" s="101">
        <f>IF(B84='Input|Labour Rates'!B95,0,1)</f>
        <v>0</v>
      </c>
      <c r="H84" s="4"/>
      <c r="I84" s="4"/>
      <c r="J84" s="4"/>
    </row>
    <row r="85" spans="1:10" ht="12.75" x14ac:dyDescent="0.2">
      <c r="A85" s="15">
        <v>50</v>
      </c>
      <c r="B85" s="407">
        <f>'Input|Labour Rates'!B96</f>
        <v>0</v>
      </c>
      <c r="C85" s="408"/>
      <c r="D85" s="408"/>
      <c r="E85" s="4"/>
      <c r="F85" s="4"/>
      <c r="G85" s="101">
        <f>IF(B85='Input|Labour Rates'!B96,0,1)</f>
        <v>0</v>
      </c>
      <c r="H85" s="4"/>
      <c r="I85" s="4"/>
      <c r="J85" s="4"/>
    </row>
  </sheetData>
  <sheetProtection formatColumns="0"/>
  <mergeCells count="1">
    <mergeCell ref="I9:J9"/>
  </mergeCells>
  <conditionalFormatting sqref="G1">
    <cfRule type="cellIs" dxfId="106" priority="2" operator="equal">
      <formula>"Check"</formula>
    </cfRule>
    <cfRule type="cellIs" dxfId="105" priority="3" operator="equal">
      <formula>"Ok"</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5" id="{AF08A182-2ABC-4163-A965-74F2FD45F56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D4:G4</xm:sqref>
        </x14:conditionalFormatting>
        <x14:conditionalFormatting xmlns:xm="http://schemas.microsoft.com/office/excel/2006/main">
          <x14:cfRule type="iconSet" priority="203" id="{F39DC8E4-2782-46F9-B61A-5FEB918906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G12:G31</xm:sqref>
        </x14:conditionalFormatting>
        <x14:conditionalFormatting xmlns:xm="http://schemas.microsoft.com/office/excel/2006/main">
          <x14:cfRule type="iconSet" priority="204" id="{79987329-142D-4792-BCAA-CD6934C4AA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G36:G85</xm:sqref>
        </x14:conditionalFormatting>
        <x14:conditionalFormatting xmlns:xm="http://schemas.microsoft.com/office/excel/2006/main">
          <x14:cfRule type="iconSet" priority="1" id="{705DD371-0EFD-4FEA-89E1-20E59DCA6DC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F52EE-0C0F-4C3E-A907-D63419352C2B}">
  <sheetPr codeName="Sheet25">
    <tabColor rgb="FFFFCC99"/>
  </sheetPr>
  <dimension ref="B1:I27"/>
  <sheetViews>
    <sheetView workbookViewId="0">
      <selection activeCell="C24" sqref="C24"/>
    </sheetView>
  </sheetViews>
  <sheetFormatPr defaultRowHeight="12.75" x14ac:dyDescent="0.2"/>
  <cols>
    <col min="2" max="2" width="37.28515625" customWidth="1"/>
    <col min="3" max="9" width="23" customWidth="1"/>
  </cols>
  <sheetData>
    <row r="1" spans="2:9" ht="13.5" thickBot="1" x14ac:dyDescent="0.25"/>
    <row r="2" spans="2:9" ht="16.5" thickBot="1" x14ac:dyDescent="0.25">
      <c r="B2" s="277" t="s">
        <v>125</v>
      </c>
      <c r="C2" s="277"/>
      <c r="D2" s="277"/>
      <c r="E2" s="277"/>
      <c r="F2" s="277"/>
      <c r="G2" s="277"/>
      <c r="H2" s="277"/>
      <c r="I2" s="277"/>
    </row>
    <row r="3" spans="2:9" ht="15" customHeight="1" x14ac:dyDescent="0.2">
      <c r="B3" s="511"/>
      <c r="C3" s="514" t="s">
        <v>126</v>
      </c>
      <c r="D3" s="515"/>
      <c r="E3" s="515"/>
      <c r="F3" s="515"/>
      <c r="G3" s="515"/>
      <c r="H3" s="515"/>
      <c r="I3" s="516"/>
    </row>
    <row r="4" spans="2:9" ht="15.75" thickBot="1" x14ac:dyDescent="0.25">
      <c r="B4" s="512"/>
      <c r="C4" s="517" t="s">
        <v>127</v>
      </c>
      <c r="D4" s="518"/>
      <c r="E4" s="518"/>
      <c r="F4" s="518"/>
      <c r="G4" s="518"/>
      <c r="H4" s="518"/>
      <c r="I4" s="519"/>
    </row>
    <row r="5" spans="2:9" ht="13.5" thickBot="1" x14ac:dyDescent="0.25">
      <c r="B5" s="513"/>
      <c r="C5" s="278" t="s">
        <v>128</v>
      </c>
      <c r="D5" s="278" t="s">
        <v>129</v>
      </c>
      <c r="E5" s="279" t="s">
        <v>3</v>
      </c>
      <c r="F5" s="279" t="s">
        <v>4</v>
      </c>
      <c r="G5" s="279" t="s">
        <v>5</v>
      </c>
      <c r="H5" s="279" t="s">
        <v>6</v>
      </c>
      <c r="I5" s="280" t="s">
        <v>7</v>
      </c>
    </row>
    <row r="6" spans="2:9" ht="15.75" thickBot="1" x14ac:dyDescent="0.25">
      <c r="B6" s="281" t="s">
        <v>130</v>
      </c>
      <c r="C6" s="297"/>
      <c r="D6" s="298"/>
      <c r="E6" s="297"/>
      <c r="F6" s="297"/>
      <c r="G6" s="297"/>
      <c r="H6" s="297"/>
      <c r="I6" s="298"/>
    </row>
    <row r="7" spans="2:9" ht="15.75" thickBot="1" x14ac:dyDescent="0.25">
      <c r="B7" s="281" t="s">
        <v>131</v>
      </c>
      <c r="C7" s="282"/>
      <c r="D7" s="283"/>
      <c r="E7" s="282"/>
      <c r="F7" s="282"/>
      <c r="G7" s="282"/>
      <c r="H7" s="282"/>
      <c r="I7" s="283"/>
    </row>
    <row r="8" spans="2:9" ht="15.75" thickBot="1" x14ac:dyDescent="0.25">
      <c r="B8" s="281" t="s">
        <v>132</v>
      </c>
      <c r="C8" s="284" t="s">
        <v>133</v>
      </c>
      <c r="D8" s="285" t="s">
        <v>134</v>
      </c>
      <c r="E8" s="284" t="s">
        <v>134</v>
      </c>
      <c r="F8" s="284" t="s">
        <v>134</v>
      </c>
      <c r="G8" s="284" t="s">
        <v>134</v>
      </c>
      <c r="H8" s="284" t="s">
        <v>134</v>
      </c>
      <c r="I8" s="285" t="s">
        <v>134</v>
      </c>
    </row>
    <row r="9" spans="2:9" ht="15.75" thickBot="1" x14ac:dyDescent="0.25">
      <c r="B9" s="286" t="s">
        <v>135</v>
      </c>
      <c r="C9" s="297">
        <f>SUM('Input|Volume, Revenue, Cost'!BC74)</f>
        <v>906726.08767354675</v>
      </c>
      <c r="D9" s="298">
        <f>SUM('Input|Volume, Revenue, Cost'!BD74)</f>
        <v>925970.70230255194</v>
      </c>
      <c r="E9" s="297">
        <f>SUM('Input|Volume, Revenue, Cost'!BE74)</f>
        <v>1116506.4576092374</v>
      </c>
      <c r="F9" s="297">
        <f>SUM('Input|Volume, Revenue, Cost'!BF74)</f>
        <v>1146391.8998937397</v>
      </c>
      <c r="G9" s="297">
        <f>SUM('Input|Volume, Revenue, Cost'!BG74)</f>
        <v>1178327.1720033039</v>
      </c>
      <c r="H9" s="297">
        <f>SUM('Input|Volume, Revenue, Cost'!BH74)</f>
        <v>1212282.0959989771</v>
      </c>
      <c r="I9" s="298">
        <f>SUM('Input|Volume, Revenue, Cost'!BI74)</f>
        <v>1247098.7802934789</v>
      </c>
    </row>
    <row r="10" spans="2:9" ht="15.75" thickBot="1" x14ac:dyDescent="0.25">
      <c r="B10" s="287" t="s">
        <v>136</v>
      </c>
      <c r="C10" s="372">
        <f>D10/(D9/C9)</f>
        <v>112635.23630611468</v>
      </c>
      <c r="D10" s="373">
        <f>E10/(E9/D9)</f>
        <v>115025.83887708487</v>
      </c>
      <c r="E10" s="368">
        <f>'Input|Volume, Revenue, Cost'!BU74</f>
        <v>138694.55219137445</v>
      </c>
      <c r="F10" s="368">
        <f>'Input|Volume, Revenue, Cost'!BV74</f>
        <v>142406.97857855877</v>
      </c>
      <c r="G10" s="368">
        <f>'Input|Volume, Revenue, Cost'!BW74</f>
        <v>146374.03871883763</v>
      </c>
      <c r="H10" s="368">
        <f>'Input|Volume, Revenue, Cost'!BX74</f>
        <v>150591.98385133262</v>
      </c>
      <c r="I10" s="369">
        <f>'Input|Volume, Revenue, Cost'!BY74</f>
        <v>154916.9784844621</v>
      </c>
    </row>
    <row r="11" spans="2:9" ht="15.75" thickBot="1" x14ac:dyDescent="0.25">
      <c r="B11" s="288" t="s">
        <v>137</v>
      </c>
      <c r="C11" s="289">
        <v>0</v>
      </c>
      <c r="D11" s="290">
        <v>0</v>
      </c>
      <c r="E11" s="289">
        <v>0</v>
      </c>
      <c r="F11" s="289">
        <v>0</v>
      </c>
      <c r="G11" s="289">
        <v>0</v>
      </c>
      <c r="H11" s="289">
        <v>0</v>
      </c>
      <c r="I11" s="290">
        <v>0</v>
      </c>
    </row>
    <row r="12" spans="2:9" ht="15.75" thickBot="1" x14ac:dyDescent="0.25">
      <c r="B12" s="291" t="s">
        <v>138</v>
      </c>
      <c r="C12" s="297"/>
      <c r="D12" s="298"/>
      <c r="E12" s="297"/>
      <c r="F12" s="297"/>
      <c r="G12" s="297"/>
      <c r="H12" s="297"/>
      <c r="I12" s="298"/>
    </row>
    <row r="13" spans="2:9" ht="13.5" thickBot="1" x14ac:dyDescent="0.25">
      <c r="B13" s="292" t="s">
        <v>139</v>
      </c>
      <c r="C13" s="293" t="s">
        <v>140</v>
      </c>
      <c r="D13" s="293" t="s">
        <v>140</v>
      </c>
      <c r="E13" s="293" t="s">
        <v>140</v>
      </c>
      <c r="F13" s="293" t="s">
        <v>140</v>
      </c>
      <c r="G13" s="293" t="s">
        <v>140</v>
      </c>
      <c r="H13" s="293" t="s">
        <v>140</v>
      </c>
      <c r="I13" s="294" t="s">
        <v>140</v>
      </c>
    </row>
    <row r="15" spans="2:9" ht="13.5" thickBot="1" x14ac:dyDescent="0.25"/>
    <row r="16" spans="2:9" ht="16.5" thickBot="1" x14ac:dyDescent="0.25">
      <c r="B16" s="277" t="s">
        <v>141</v>
      </c>
      <c r="C16" s="277"/>
      <c r="D16" s="277"/>
      <c r="E16" s="277"/>
      <c r="F16" s="277"/>
      <c r="G16" s="277"/>
      <c r="H16" s="277"/>
      <c r="I16" s="277"/>
    </row>
    <row r="17" spans="2:9" ht="15" customHeight="1" x14ac:dyDescent="0.2">
      <c r="B17" s="511"/>
      <c r="C17" s="514" t="s">
        <v>126</v>
      </c>
      <c r="D17" s="515"/>
      <c r="E17" s="515"/>
      <c r="F17" s="515"/>
      <c r="G17" s="515"/>
      <c r="H17" s="515"/>
      <c r="I17" s="516"/>
    </row>
    <row r="18" spans="2:9" ht="15.75" thickBot="1" x14ac:dyDescent="0.25">
      <c r="B18" s="512"/>
      <c r="C18" s="517" t="s">
        <v>142</v>
      </c>
      <c r="D18" s="518"/>
      <c r="E18" s="518"/>
      <c r="F18" s="518"/>
      <c r="G18" s="518"/>
      <c r="H18" s="518"/>
      <c r="I18" s="519"/>
    </row>
    <row r="19" spans="2:9" ht="13.5" thickBot="1" x14ac:dyDescent="0.25">
      <c r="B19" s="513"/>
      <c r="C19" s="278" t="s">
        <v>128</v>
      </c>
      <c r="D19" s="278" t="s">
        <v>129</v>
      </c>
      <c r="E19" s="279" t="s">
        <v>3</v>
      </c>
      <c r="F19" s="279" t="s">
        <v>4</v>
      </c>
      <c r="G19" s="279" t="s">
        <v>5</v>
      </c>
      <c r="H19" s="279" t="s">
        <v>6</v>
      </c>
      <c r="I19" s="280" t="s">
        <v>7</v>
      </c>
    </row>
    <row r="20" spans="2:9" ht="15.75" thickBot="1" x14ac:dyDescent="0.25">
      <c r="B20" s="281" t="s">
        <v>130</v>
      </c>
      <c r="C20" s="295"/>
      <c r="D20" s="298"/>
      <c r="E20" s="297"/>
      <c r="F20" s="295"/>
      <c r="G20" s="295"/>
      <c r="H20" s="295"/>
      <c r="I20" s="298"/>
    </row>
    <row r="21" spans="2:9" ht="15.75" thickBot="1" x14ac:dyDescent="0.25">
      <c r="B21" s="281" t="s">
        <v>131</v>
      </c>
      <c r="C21" s="284"/>
      <c r="D21" s="285"/>
      <c r="E21" s="284"/>
      <c r="F21" s="284"/>
      <c r="G21" s="284"/>
      <c r="H21" s="284"/>
      <c r="I21" s="285"/>
    </row>
    <row r="22" spans="2:9" ht="15.75" thickBot="1" x14ac:dyDescent="0.25">
      <c r="B22" s="281" t="s">
        <v>132</v>
      </c>
      <c r="C22" s="284"/>
      <c r="D22" s="285"/>
      <c r="E22" s="284"/>
      <c r="F22" s="284"/>
      <c r="G22" s="284"/>
      <c r="H22" s="284"/>
      <c r="I22" s="285"/>
    </row>
    <row r="23" spans="2:9" ht="15.75" thickBot="1" x14ac:dyDescent="0.25">
      <c r="B23" s="286" t="s">
        <v>135</v>
      </c>
      <c r="C23" s="297">
        <f>'Input|Volume, Revenue, Cost'!AU74</f>
        <v>9621213.2285652775</v>
      </c>
      <c r="D23" s="298">
        <f>'Input|Volume, Revenue, Cost'!AV74</f>
        <v>9825416.6185022499</v>
      </c>
      <c r="E23" s="297">
        <f>'Input|Volume, Revenue, Cost'!AW74</f>
        <v>11225868.628709473</v>
      </c>
      <c r="F23" s="297">
        <f>'Input|Volume, Revenue, Cost'!AX74</f>
        <v>11526350.588943787</v>
      </c>
      <c r="G23" s="297">
        <f>'Input|Volume, Revenue, Cost'!AY74</f>
        <v>11847442.479528733</v>
      </c>
      <c r="H23" s="297">
        <f>'Input|Volume, Revenue, Cost'!AZ74</f>
        <v>12188840.877608266</v>
      </c>
      <c r="I23" s="298">
        <f>'Input|Volume, Revenue, Cost'!BA74</f>
        <v>12538903.809455741</v>
      </c>
    </row>
    <row r="24" spans="2:9" ht="15.75" thickBot="1" x14ac:dyDescent="0.25">
      <c r="B24" s="287" t="s">
        <v>136</v>
      </c>
      <c r="C24" s="368">
        <f>D24/(D23/C23)</f>
        <v>1177926.4137413746</v>
      </c>
      <c r="D24" s="369">
        <f>E24/(E23/D23)</f>
        <v>1202927.0618995652</v>
      </c>
      <c r="E24" s="368">
        <f>'Input|Volume, Revenue, Cost'!CC74</f>
        <v>1374384.5875578222</v>
      </c>
      <c r="F24" s="368">
        <f>'Input|Volume, Revenue, Cost'!CD74</f>
        <v>1411172.6338680247</v>
      </c>
      <c r="G24" s="368">
        <f>'Input|Volume, Revenue, Cost'!CE74</f>
        <v>1450483.9566890621</v>
      </c>
      <c r="H24" s="368">
        <f>'Input|Volume, Revenue, Cost'!CF74</f>
        <v>1492281.4079203596</v>
      </c>
      <c r="I24" s="369">
        <f>'Input|Volume, Revenue, Cost'!CG74</f>
        <v>1535139.6591719401</v>
      </c>
    </row>
    <row r="25" spans="2:9" ht="15.75" thickBot="1" x14ac:dyDescent="0.25">
      <c r="B25" s="288" t="s">
        <v>137</v>
      </c>
      <c r="C25" s="370">
        <f>D25/(D23/C23)</f>
        <v>2484022.8785759723</v>
      </c>
      <c r="D25" s="371">
        <f>E25/(E23/D23)</f>
        <v>2536744.4928293806</v>
      </c>
      <c r="E25" s="370">
        <f>'Input|Volume, Revenue, Cost'!CS74</f>
        <v>2898315.8197566401</v>
      </c>
      <c r="F25" s="370">
        <f>'Input|Volume, Revenue, Cost'!CT74</f>
        <v>2975894.8158862907</v>
      </c>
      <c r="G25" s="370">
        <f>'Input|Volume, Revenue, Cost'!CU74</f>
        <v>3058794.9224934429</v>
      </c>
      <c r="H25" s="370">
        <f>'Input|Volume, Revenue, Cost'!CV74</f>
        <v>3146937.8012959748</v>
      </c>
      <c r="I25" s="371">
        <f>'Input|Volume, Revenue, Cost'!CW74</f>
        <v>3237317.7056794236</v>
      </c>
    </row>
    <row r="26" spans="2:9" ht="13.5" thickBot="1" x14ac:dyDescent="0.25">
      <c r="B26" s="292" t="s">
        <v>139</v>
      </c>
      <c r="C26" s="293" t="s">
        <v>143</v>
      </c>
      <c r="D26" s="293" t="s">
        <v>140</v>
      </c>
      <c r="E26" s="293" t="s">
        <v>140</v>
      </c>
      <c r="F26" s="293" t="s">
        <v>140</v>
      </c>
      <c r="G26" s="293" t="s">
        <v>140</v>
      </c>
      <c r="H26" s="293" t="s">
        <v>140</v>
      </c>
      <c r="I26" s="294" t="s">
        <v>140</v>
      </c>
    </row>
    <row r="27" spans="2:9" x14ac:dyDescent="0.2">
      <c r="B27" s="296"/>
    </row>
  </sheetData>
  <mergeCells count="6">
    <mergeCell ref="B3:B5"/>
    <mergeCell ref="C3:I3"/>
    <mergeCell ref="C4:I4"/>
    <mergeCell ref="B17:B19"/>
    <mergeCell ref="C17:I17"/>
    <mergeCell ref="C18:I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764D7-8BBC-4105-8724-6DC6CC428D57}">
  <sheetPr codeName="Sheet38">
    <tabColor rgb="FFFFCC99"/>
  </sheetPr>
  <dimension ref="A1:S58"/>
  <sheetViews>
    <sheetView workbookViewId="0">
      <selection activeCell="B42" sqref="B42"/>
    </sheetView>
  </sheetViews>
  <sheetFormatPr defaultColWidth="0" defaultRowHeight="15" zeroHeight="1" outlineLevelRow="1" x14ac:dyDescent="0.25"/>
  <cols>
    <col min="1" max="1" width="20.7109375" style="365" customWidth="1"/>
    <col min="2" max="2" width="75.85546875" style="306" customWidth="1"/>
    <col min="3" max="9" width="12.7109375" style="306" customWidth="1"/>
    <col min="10" max="10" width="3.85546875" style="306" customWidth="1"/>
    <col min="11" max="17" width="12.7109375" style="306" customWidth="1"/>
    <col min="18" max="19" width="9.140625" style="306" customWidth="1"/>
    <col min="20" max="16384" width="9.140625" style="306" hidden="1"/>
  </cols>
  <sheetData>
    <row r="1" spans="1:17" ht="30" customHeight="1" x14ac:dyDescent="0.25">
      <c r="A1" s="304"/>
      <c r="B1" s="304" t="s">
        <v>144</v>
      </c>
      <c r="C1" s="305"/>
      <c r="D1" s="305"/>
      <c r="E1" s="305"/>
      <c r="F1" s="305"/>
      <c r="G1" s="305"/>
      <c r="H1" s="305"/>
      <c r="I1" s="305"/>
      <c r="J1" s="305"/>
      <c r="K1" s="305"/>
      <c r="L1" s="305"/>
      <c r="M1" s="305"/>
      <c r="N1" s="305"/>
      <c r="O1" s="305"/>
      <c r="P1" s="305"/>
      <c r="Q1" s="305"/>
    </row>
    <row r="2" spans="1:17" ht="30" customHeight="1" x14ac:dyDescent="0.25">
      <c r="A2" s="307"/>
      <c r="B2" s="307" t="s">
        <v>145</v>
      </c>
      <c r="C2" s="305"/>
      <c r="D2" s="305"/>
      <c r="E2" s="305"/>
      <c r="F2" s="305"/>
      <c r="G2" s="305"/>
      <c r="H2" s="305"/>
      <c r="I2" s="305"/>
      <c r="J2" s="305"/>
      <c r="K2" s="305"/>
      <c r="L2" s="305"/>
      <c r="M2" s="305"/>
      <c r="N2" s="305"/>
      <c r="O2" s="305"/>
      <c r="P2" s="305"/>
      <c r="Q2" s="305"/>
    </row>
    <row r="3" spans="1:17" ht="30" customHeight="1" x14ac:dyDescent="0.25">
      <c r="A3" s="308"/>
      <c r="B3" s="308" t="s">
        <v>146</v>
      </c>
      <c r="C3" s="309"/>
      <c r="D3" s="309"/>
      <c r="E3" s="309"/>
      <c r="F3" s="309"/>
      <c r="G3" s="309"/>
      <c r="H3" s="309"/>
      <c r="I3" s="309"/>
      <c r="J3" s="309"/>
      <c r="K3" s="309"/>
      <c r="L3" s="309"/>
      <c r="M3" s="309"/>
      <c r="N3" s="309"/>
      <c r="O3" s="309"/>
      <c r="P3" s="309"/>
      <c r="Q3" s="309"/>
    </row>
    <row r="4" spans="1:17" ht="30" customHeight="1" x14ac:dyDescent="0.25">
      <c r="A4" s="310"/>
      <c r="B4" s="310" t="s">
        <v>147</v>
      </c>
      <c r="C4" s="310"/>
      <c r="D4" s="310"/>
      <c r="E4" s="310"/>
      <c r="F4" s="310"/>
      <c r="G4" s="310"/>
      <c r="H4" s="310"/>
      <c r="I4" s="310"/>
      <c r="J4" s="310"/>
      <c r="K4" s="310"/>
      <c r="L4" s="310"/>
      <c r="M4" s="310"/>
      <c r="N4" s="310"/>
      <c r="O4" s="310"/>
      <c r="P4" s="310"/>
      <c r="Q4" s="310"/>
    </row>
    <row r="5" spans="1:17" ht="21" customHeight="1" x14ac:dyDescent="0.25">
      <c r="A5" s="306"/>
      <c r="B5" s="311" t="s">
        <v>148</v>
      </c>
      <c r="C5" s="311"/>
      <c r="D5" s="311"/>
      <c r="E5" s="311"/>
      <c r="F5" s="311"/>
      <c r="G5" s="311"/>
      <c r="H5" s="311"/>
      <c r="I5" s="311"/>
      <c r="J5" s="311"/>
      <c r="K5" s="311"/>
      <c r="L5" s="311"/>
      <c r="M5" s="311"/>
      <c r="N5" s="311"/>
      <c r="O5" s="311"/>
      <c r="P5" s="311"/>
      <c r="Q5" s="311"/>
    </row>
    <row r="6" spans="1:17" x14ac:dyDescent="0.25">
      <c r="A6" s="306"/>
    </row>
    <row r="7" spans="1:17" ht="49.5" customHeight="1" x14ac:dyDescent="0.25">
      <c r="A7" s="306"/>
      <c r="B7" s="312" t="s">
        <v>149</v>
      </c>
    </row>
    <row r="8" spans="1:17" ht="15.75" thickBot="1" x14ac:dyDescent="0.3">
      <c r="A8" s="306"/>
    </row>
    <row r="9" spans="1:17" s="315" customFormat="1" ht="30" customHeight="1" thickBot="1" x14ac:dyDescent="0.25">
      <c r="A9" s="313"/>
      <c r="B9" s="314" t="s">
        <v>150</v>
      </c>
      <c r="C9" s="314"/>
      <c r="D9" s="314"/>
      <c r="E9" s="314"/>
      <c r="F9" s="314"/>
      <c r="G9" s="314"/>
      <c r="H9" s="314"/>
      <c r="I9" s="314"/>
      <c r="J9" s="314"/>
      <c r="K9" s="314"/>
      <c r="L9" s="314"/>
      <c r="M9" s="314"/>
      <c r="N9" s="314"/>
      <c r="O9" s="314"/>
      <c r="P9" s="314"/>
      <c r="Q9" s="314"/>
    </row>
    <row r="10" spans="1:17" ht="15.75" hidden="1" outlineLevel="1" thickBot="1" x14ac:dyDescent="0.3">
      <c r="A10" s="316"/>
      <c r="B10" s="317"/>
      <c r="C10" s="520" t="s">
        <v>151</v>
      </c>
      <c r="D10" s="520"/>
      <c r="E10" s="520"/>
      <c r="F10" s="520"/>
      <c r="G10" s="520"/>
      <c r="H10" s="520"/>
      <c r="I10" s="520"/>
      <c r="J10" s="318"/>
      <c r="K10" s="521" t="s">
        <v>152</v>
      </c>
      <c r="L10" s="521"/>
      <c r="M10" s="521"/>
      <c r="N10" s="521"/>
      <c r="O10" s="521"/>
      <c r="P10" s="521"/>
      <c r="Q10" s="521"/>
    </row>
    <row r="11" spans="1:17" ht="30.75" hidden="1" customHeight="1" outlineLevel="1" x14ac:dyDescent="0.25">
      <c r="A11" s="316"/>
      <c r="B11" s="319"/>
      <c r="C11" s="320" t="s">
        <v>153</v>
      </c>
      <c r="D11" s="320"/>
      <c r="E11" s="320"/>
      <c r="F11" s="320"/>
      <c r="G11" s="320"/>
      <c r="H11" s="320"/>
      <c r="I11" s="320"/>
      <c r="J11" s="318"/>
      <c r="K11" s="320" t="s">
        <v>153</v>
      </c>
      <c r="L11" s="320"/>
      <c r="M11" s="320"/>
      <c r="N11" s="320"/>
      <c r="O11" s="320"/>
      <c r="P11" s="320"/>
      <c r="Q11" s="320"/>
    </row>
    <row r="12" spans="1:17" ht="15.75" hidden="1" outlineLevel="1" thickBot="1" x14ac:dyDescent="0.3">
      <c r="A12" s="316"/>
      <c r="B12" s="321"/>
      <c r="C12" s="322" t="s">
        <v>128</v>
      </c>
      <c r="D12" s="322" t="s">
        <v>129</v>
      </c>
      <c r="E12" s="323" t="s">
        <v>3</v>
      </c>
      <c r="F12" s="323" t="s">
        <v>4</v>
      </c>
      <c r="G12" s="323" t="s">
        <v>5</v>
      </c>
      <c r="H12" s="323" t="s">
        <v>6</v>
      </c>
      <c r="I12" s="323" t="s">
        <v>7</v>
      </c>
      <c r="J12" s="318"/>
      <c r="K12" s="324" t="s">
        <v>128</v>
      </c>
      <c r="L12" s="322" t="s">
        <v>129</v>
      </c>
      <c r="M12" s="323" t="s">
        <v>3</v>
      </c>
      <c r="N12" s="323" t="s">
        <v>4</v>
      </c>
      <c r="O12" s="323" t="s">
        <v>5</v>
      </c>
      <c r="P12" s="323" t="s">
        <v>6</v>
      </c>
      <c r="Q12" s="325" t="s">
        <v>7</v>
      </c>
    </row>
    <row r="13" spans="1:17" hidden="1" outlineLevel="1" x14ac:dyDescent="0.25">
      <c r="A13" s="316" t="s">
        <v>154</v>
      </c>
      <c r="B13" s="326" t="s">
        <v>155</v>
      </c>
      <c r="C13" s="327"/>
      <c r="D13" s="328"/>
      <c r="E13" s="327"/>
      <c r="F13" s="329"/>
      <c r="G13" s="329"/>
      <c r="H13" s="329"/>
      <c r="I13" s="328"/>
      <c r="J13" s="330"/>
      <c r="K13" s="331"/>
      <c r="L13" s="328"/>
      <c r="M13" s="327"/>
      <c r="N13" s="329"/>
      <c r="O13" s="329"/>
      <c r="P13" s="329"/>
      <c r="Q13" s="328"/>
    </row>
    <row r="14" spans="1:17" hidden="1" outlineLevel="1" x14ac:dyDescent="0.25">
      <c r="A14" s="316" t="s">
        <v>156</v>
      </c>
      <c r="B14" s="332" t="s">
        <v>157</v>
      </c>
      <c r="C14" s="333"/>
      <c r="D14" s="334"/>
      <c r="E14" s="333"/>
      <c r="F14" s="335"/>
      <c r="G14" s="335"/>
      <c r="H14" s="335"/>
      <c r="I14" s="334"/>
      <c r="J14" s="330"/>
      <c r="K14" s="336"/>
      <c r="L14" s="334"/>
      <c r="M14" s="333"/>
      <c r="N14" s="335"/>
      <c r="O14" s="335"/>
      <c r="P14" s="335"/>
      <c r="Q14" s="334"/>
    </row>
    <row r="15" spans="1:17" hidden="1" outlineLevel="1" x14ac:dyDescent="0.25">
      <c r="A15" s="316" t="s">
        <v>158</v>
      </c>
      <c r="B15" s="332" t="s">
        <v>159</v>
      </c>
      <c r="C15" s="333"/>
      <c r="D15" s="334"/>
      <c r="E15" s="333"/>
      <c r="F15" s="335"/>
      <c r="G15" s="335"/>
      <c r="H15" s="335"/>
      <c r="I15" s="334"/>
      <c r="J15" s="330"/>
      <c r="K15" s="336"/>
      <c r="L15" s="334"/>
      <c r="M15" s="333"/>
      <c r="N15" s="335"/>
      <c r="O15" s="335"/>
      <c r="P15" s="335"/>
      <c r="Q15" s="334"/>
    </row>
    <row r="16" spans="1:17" hidden="1" outlineLevel="1" x14ac:dyDescent="0.25">
      <c r="A16" s="316" t="s">
        <v>160</v>
      </c>
      <c r="B16" s="332" t="s">
        <v>161</v>
      </c>
      <c r="C16" s="333"/>
      <c r="D16" s="334"/>
      <c r="E16" s="333"/>
      <c r="F16" s="335"/>
      <c r="G16" s="335"/>
      <c r="H16" s="335"/>
      <c r="I16" s="334"/>
      <c r="J16" s="330"/>
      <c r="K16" s="336"/>
      <c r="L16" s="334"/>
      <c r="M16" s="333"/>
      <c r="N16" s="335"/>
      <c r="O16" s="335"/>
      <c r="P16" s="335"/>
      <c r="Q16" s="334"/>
    </row>
    <row r="17" spans="1:17" hidden="1" outlineLevel="1" x14ac:dyDescent="0.25">
      <c r="A17" s="316" t="s">
        <v>162</v>
      </c>
      <c r="B17" s="332" t="s">
        <v>163</v>
      </c>
      <c r="C17" s="333"/>
      <c r="D17" s="334"/>
      <c r="E17" s="333"/>
      <c r="F17" s="335"/>
      <c r="G17" s="335"/>
      <c r="H17" s="335"/>
      <c r="I17" s="334"/>
      <c r="J17" s="330"/>
      <c r="K17" s="336"/>
      <c r="L17" s="334"/>
      <c r="M17" s="333"/>
      <c r="N17" s="335"/>
      <c r="O17" s="335"/>
      <c r="P17" s="335"/>
      <c r="Q17" s="334"/>
    </row>
    <row r="18" spans="1:17" hidden="1" outlineLevel="1" x14ac:dyDescent="0.25">
      <c r="A18" s="316" t="s">
        <v>164</v>
      </c>
      <c r="B18" s="332" t="s">
        <v>165</v>
      </c>
      <c r="C18" s="333"/>
      <c r="D18" s="334"/>
      <c r="E18" s="333"/>
      <c r="F18" s="335"/>
      <c r="G18" s="335"/>
      <c r="H18" s="335"/>
      <c r="I18" s="334"/>
      <c r="J18" s="330"/>
      <c r="K18" s="336"/>
      <c r="L18" s="334"/>
      <c r="M18" s="333"/>
      <c r="N18" s="335"/>
      <c r="O18" s="335"/>
      <c r="P18" s="335"/>
      <c r="Q18" s="334"/>
    </row>
    <row r="19" spans="1:17" hidden="1" outlineLevel="1" x14ac:dyDescent="0.25">
      <c r="A19" s="316" t="s">
        <v>166</v>
      </c>
      <c r="B19" s="332" t="s">
        <v>167</v>
      </c>
      <c r="C19" s="333"/>
      <c r="D19" s="334"/>
      <c r="E19" s="333"/>
      <c r="F19" s="335"/>
      <c r="G19" s="335"/>
      <c r="H19" s="335"/>
      <c r="I19" s="334"/>
      <c r="J19" s="330"/>
      <c r="K19" s="336"/>
      <c r="L19" s="334"/>
      <c r="M19" s="333"/>
      <c r="N19" s="335"/>
      <c r="O19" s="335"/>
      <c r="P19" s="335"/>
      <c r="Q19" s="334"/>
    </row>
    <row r="20" spans="1:17" hidden="1" outlineLevel="1" x14ac:dyDescent="0.25">
      <c r="A20" s="316" t="s">
        <v>168</v>
      </c>
      <c r="B20" s="332" t="s">
        <v>169</v>
      </c>
      <c r="C20" s="333"/>
      <c r="D20" s="334"/>
      <c r="E20" s="333"/>
      <c r="F20" s="335"/>
      <c r="G20" s="335"/>
      <c r="H20" s="335"/>
      <c r="I20" s="334"/>
      <c r="J20" s="330"/>
      <c r="K20" s="336"/>
      <c r="L20" s="334"/>
      <c r="M20" s="333"/>
      <c r="N20" s="335"/>
      <c r="O20" s="335"/>
      <c r="P20" s="335"/>
      <c r="Q20" s="334"/>
    </row>
    <row r="21" spans="1:17" hidden="1" outlineLevel="1" x14ac:dyDescent="0.25">
      <c r="A21" s="316" t="s">
        <v>170</v>
      </c>
      <c r="B21" s="332" t="s">
        <v>171</v>
      </c>
      <c r="C21" s="333"/>
      <c r="D21" s="334"/>
      <c r="E21" s="333"/>
      <c r="F21" s="335"/>
      <c r="G21" s="335"/>
      <c r="H21" s="335"/>
      <c r="I21" s="334"/>
      <c r="J21" s="330"/>
      <c r="K21" s="336"/>
      <c r="L21" s="334"/>
      <c r="M21" s="333"/>
      <c r="N21" s="335"/>
      <c r="O21" s="335"/>
      <c r="P21" s="335"/>
      <c r="Q21" s="334"/>
    </row>
    <row r="22" spans="1:17" hidden="1" outlineLevel="1" x14ac:dyDescent="0.25">
      <c r="A22" s="316" t="s">
        <v>172</v>
      </c>
      <c r="B22" s="332" t="s">
        <v>173</v>
      </c>
      <c r="C22" s="333"/>
      <c r="D22" s="334"/>
      <c r="E22" s="333"/>
      <c r="F22" s="335"/>
      <c r="G22" s="335"/>
      <c r="H22" s="335"/>
      <c r="I22" s="334"/>
      <c r="J22" s="330"/>
      <c r="K22" s="337">
        <f>SUM('Input|Volume, Revenue, Cost'!AG36:AG37,'Input|Volume, Revenue, Cost'!AG38:AG39,'Input|Volume, Revenue, Cost'!AG40:AG43)</f>
        <v>1004316.7809586322</v>
      </c>
      <c r="L22" s="338">
        <f>SUM('Input|Volume, Revenue, Cost'!AH36:AH37,'Input|Volume, Revenue, Cost'!AH38:AH39,'Input|Volume, Revenue, Cost'!AH40:AH43)</f>
        <v>1025632.6884611752</v>
      </c>
      <c r="M22" s="339">
        <f>SUM('Input|Volume, Revenue, Cost'!AI36:AI37,'Input|Volume, Revenue, Cost'!AI38:AI39,'Input|Volume, Revenue, Cost'!AI40:AI43)</f>
        <v>1105776.1292524769</v>
      </c>
      <c r="N22" s="340">
        <f>SUM('Input|Volume, Revenue, Cost'!AJ36:AJ37,'Input|Volume, Revenue, Cost'!AJ38:AJ39,'Input|Volume, Revenue, Cost'!AJ40:AJ43)</f>
        <v>1135374.3536650052</v>
      </c>
      <c r="O22" s="340">
        <f>SUM('Input|Volume, Revenue, Cost'!AK36:AK37,'Input|Volume, Revenue, Cost'!AK38:AK39,'Input|Volume, Revenue, Cost'!AK40:AK43)</f>
        <v>1167002.7077504385</v>
      </c>
      <c r="P22" s="340">
        <f>SUM('Input|Volume, Revenue, Cost'!AL36:AL37,'Input|Volume, Revenue, Cost'!AL38:AL39,'Input|Volume, Revenue, Cost'!AL40:AL43)</f>
        <v>1200631.3035987739</v>
      </c>
      <c r="Q22" s="338">
        <f>SUM('Input|Volume, Revenue, Cost'!AM36:AM37,'Input|Volume, Revenue, Cost'!AM38:AM39,'Input|Volume, Revenue, Cost'!AM40:AM43)</f>
        <v>1235113.3776881779</v>
      </c>
    </row>
    <row r="23" spans="1:17" hidden="1" outlineLevel="1" x14ac:dyDescent="0.25">
      <c r="A23" s="316" t="s">
        <v>174</v>
      </c>
      <c r="B23" s="332" t="s">
        <v>175</v>
      </c>
      <c r="C23" s="333"/>
      <c r="D23" s="334"/>
      <c r="E23" s="333"/>
      <c r="F23" s="335"/>
      <c r="G23" s="335"/>
      <c r="H23" s="335"/>
      <c r="I23" s="334"/>
      <c r="J23" s="330"/>
      <c r="K23" s="337">
        <f>SUM('Input|Volume, Revenue, Cost'!AG13:AG20)</f>
        <v>5694416.6739581348</v>
      </c>
      <c r="L23" s="338">
        <f>SUM('Input|Volume, Revenue, Cost'!AH13:AH20)</f>
        <v>5815276.6072026705</v>
      </c>
      <c r="M23" s="339">
        <f>SUM('Input|Volume, Revenue, Cost'!AI13:AI20)</f>
        <v>6916134.9144662311</v>
      </c>
      <c r="N23" s="340">
        <f>SUM('Input|Volume, Revenue, Cost'!AJ13:AJ20)</f>
        <v>7101258.5645888615</v>
      </c>
      <c r="O23" s="340">
        <f>SUM('Input|Volume, Revenue, Cost'!AK13:AK20)</f>
        <v>7299079.7674441291</v>
      </c>
      <c r="P23" s="340">
        <f>SUM('Input|Volume, Revenue, Cost'!AL13:AL20)</f>
        <v>7509411.5875281598</v>
      </c>
      <c r="Q23" s="338">
        <f>SUM('Input|Volume, Revenue, Cost'!AM13:AM20)</f>
        <v>7725081.5321254954</v>
      </c>
    </row>
    <row r="24" spans="1:17" hidden="1" outlineLevel="1" x14ac:dyDescent="0.25">
      <c r="A24" s="316" t="s">
        <v>176</v>
      </c>
      <c r="B24" s="332" t="s">
        <v>177</v>
      </c>
      <c r="C24" s="333"/>
      <c r="D24" s="334"/>
      <c r="E24" s="333"/>
      <c r="F24" s="335"/>
      <c r="G24" s="335"/>
      <c r="H24" s="335"/>
      <c r="I24" s="334"/>
      <c r="J24" s="330"/>
      <c r="K24" s="337"/>
      <c r="L24" s="338"/>
      <c r="M24" s="339"/>
      <c r="N24" s="340"/>
      <c r="O24" s="340"/>
      <c r="P24" s="340"/>
      <c r="Q24" s="338"/>
    </row>
    <row r="25" spans="1:17" ht="15.75" hidden="1" outlineLevel="1" thickBot="1" x14ac:dyDescent="0.3">
      <c r="A25" s="316" t="s">
        <v>178</v>
      </c>
      <c r="B25" s="341" t="s">
        <v>179</v>
      </c>
      <c r="C25" s="342"/>
      <c r="D25" s="343"/>
      <c r="E25" s="342"/>
      <c r="F25" s="344"/>
      <c r="G25" s="344"/>
      <c r="H25" s="344"/>
      <c r="I25" s="343"/>
      <c r="J25" s="330"/>
      <c r="K25" s="345">
        <f>'Input|Volume, Revenue, Cost'!AG74-SUM('Output|RIN Revenue'!K22:K23)</f>
        <v>3829205.8613220612</v>
      </c>
      <c r="L25" s="346">
        <f>'Input|Volume, Revenue, Cost'!AH74-SUM('Output|RIN Revenue'!L22:L23)</f>
        <v>3910478.0251409551</v>
      </c>
      <c r="M25" s="347">
        <f>'Input|Volume, Revenue, Cost'!AI74-SUM('Output|RIN Revenue'!M22:M23)</f>
        <v>4320464.0426000012</v>
      </c>
      <c r="N25" s="348">
        <f>'Input|Volume, Revenue, Cost'!AJ74-SUM('Output|RIN Revenue'!N22:N23)</f>
        <v>4436109.5705836583</v>
      </c>
      <c r="O25" s="348">
        <f>'Input|Volume, Revenue, Cost'!AK74-SUM('Output|RIN Revenue'!O22:O23)</f>
        <v>4559687.1763374694</v>
      </c>
      <c r="P25" s="348">
        <f>'Input|Volume, Revenue, Cost'!AL74-SUM('Output|RIN Revenue'!P22:P23)</f>
        <v>4691080.0824803095</v>
      </c>
      <c r="Q25" s="346">
        <f>'Input|Volume, Revenue, Cost'!AM74-SUM('Output|RIN Revenue'!Q22:Q23)</f>
        <v>4825807.6799355485</v>
      </c>
    </row>
    <row r="26" spans="1:17" ht="24.75" hidden="1" customHeight="1" outlineLevel="1" thickBot="1" x14ac:dyDescent="0.3">
      <c r="A26" s="316" t="s">
        <v>180</v>
      </c>
      <c r="B26" s="349" t="s">
        <v>181</v>
      </c>
      <c r="C26" s="350">
        <v>0</v>
      </c>
      <c r="D26" s="351">
        <v>0</v>
      </c>
      <c r="E26" s="351">
        <v>0</v>
      </c>
      <c r="F26" s="351">
        <v>0</v>
      </c>
      <c r="G26" s="351">
        <v>0</v>
      </c>
      <c r="H26" s="351">
        <v>0</v>
      </c>
      <c r="I26" s="352">
        <v>0</v>
      </c>
      <c r="J26" s="330"/>
      <c r="K26" s="350">
        <f>SUM(K22:K25)</f>
        <v>10527939.316238828</v>
      </c>
      <c r="L26" s="351">
        <f t="shared" ref="L26:Q26" si="0">SUM(L22:L25)</f>
        <v>10751387.320804801</v>
      </c>
      <c r="M26" s="351">
        <f t="shared" si="0"/>
        <v>12342375.086318709</v>
      </c>
      <c r="N26" s="351">
        <f t="shared" si="0"/>
        <v>12672742.488837525</v>
      </c>
      <c r="O26" s="351">
        <f t="shared" si="0"/>
        <v>13025769.651532037</v>
      </c>
      <c r="P26" s="351">
        <f t="shared" si="0"/>
        <v>13401122.973607244</v>
      </c>
      <c r="Q26" s="352">
        <f t="shared" si="0"/>
        <v>13786002.589749221</v>
      </c>
    </row>
    <row r="27" spans="1:17" collapsed="1" x14ac:dyDescent="0.25">
      <c r="A27" s="353"/>
      <c r="B27" s="354"/>
      <c r="C27" s="355"/>
      <c r="D27" s="356"/>
      <c r="E27" s="356"/>
      <c r="F27" s="356"/>
      <c r="G27" s="356"/>
      <c r="H27" s="356"/>
      <c r="I27" s="356"/>
      <c r="J27" s="330"/>
      <c r="K27" s="366" t="str">
        <f>IF(ROUND(K26-'Input|Volume, Revenue, Cost'!AG74,10)=0,"Ok","Error")</f>
        <v>Ok</v>
      </c>
      <c r="L27" s="366" t="str">
        <f>IF(ROUND(L26-'Input|Volume, Revenue, Cost'!AH74,10)=0,"Ok","Error")</f>
        <v>Ok</v>
      </c>
      <c r="M27" s="366" t="str">
        <f>IF(ROUND(M26-'Input|Volume, Revenue, Cost'!AI74,10)=0,"Ok","Error")</f>
        <v>Ok</v>
      </c>
      <c r="N27" s="366" t="str">
        <f>IF(ROUND(N26-'Input|Volume, Revenue, Cost'!AJ74,10)=0,"Ok","Error")</f>
        <v>Ok</v>
      </c>
      <c r="O27" s="366" t="str">
        <f>IF(ROUND(O26-'Input|Volume, Revenue, Cost'!AK74,10)=0,"Ok","Error")</f>
        <v>Ok</v>
      </c>
      <c r="P27" s="366" t="str">
        <f>IF(ROUND(P26-'Input|Volume, Revenue, Cost'!AL74,10)=0,"Ok","Error")</f>
        <v>Ok</v>
      </c>
      <c r="Q27" s="366" t="str">
        <f>IF(ROUND(Q26-'Input|Volume, Revenue, Cost'!AM74,10)=0,"Ok","Error")</f>
        <v>Ok</v>
      </c>
    </row>
    <row r="28" spans="1:17" ht="15.75" thickBot="1" x14ac:dyDescent="0.3">
      <c r="A28" s="353"/>
      <c r="B28" s="354"/>
      <c r="C28" s="355"/>
      <c r="D28" s="356"/>
      <c r="E28" s="356"/>
      <c r="F28" s="356"/>
      <c r="G28" s="356"/>
      <c r="H28" s="356"/>
      <c r="I28" s="356"/>
      <c r="J28" s="330"/>
      <c r="K28" s="330"/>
      <c r="L28" s="356"/>
      <c r="M28" s="356"/>
      <c r="N28" s="356"/>
      <c r="O28" s="356"/>
      <c r="P28" s="356"/>
      <c r="Q28" s="356"/>
    </row>
    <row r="29" spans="1:17" s="315" customFormat="1" ht="30" customHeight="1" thickBot="1" x14ac:dyDescent="0.25">
      <c r="A29" s="313"/>
      <c r="B29" s="314" t="s">
        <v>182</v>
      </c>
      <c r="C29" s="314"/>
      <c r="D29" s="314"/>
      <c r="E29" s="314"/>
      <c r="F29" s="314"/>
      <c r="G29" s="314"/>
      <c r="H29" s="314"/>
      <c r="I29" s="314"/>
      <c r="J29" s="314"/>
      <c r="K29" s="314"/>
      <c r="L29" s="314"/>
      <c r="M29" s="314"/>
      <c r="N29" s="314"/>
      <c r="O29" s="314"/>
      <c r="P29" s="314"/>
      <c r="Q29" s="314"/>
    </row>
    <row r="30" spans="1:17" ht="15.75" hidden="1" outlineLevel="1" thickBot="1" x14ac:dyDescent="0.3">
      <c r="A30" s="316"/>
      <c r="B30" s="317"/>
      <c r="C30" s="521" t="s">
        <v>151</v>
      </c>
      <c r="D30" s="521"/>
      <c r="E30" s="521"/>
      <c r="F30" s="521"/>
      <c r="G30" s="521"/>
      <c r="H30" s="521"/>
      <c r="I30" s="521"/>
      <c r="J30" s="318"/>
      <c r="K30" s="521" t="s">
        <v>152</v>
      </c>
      <c r="L30" s="521"/>
      <c r="M30" s="521"/>
      <c r="N30" s="521"/>
      <c r="O30" s="521"/>
      <c r="P30" s="521"/>
      <c r="Q30" s="521"/>
    </row>
    <row r="31" spans="1:17" ht="30" hidden="1" outlineLevel="1" x14ac:dyDescent="0.25">
      <c r="A31" s="316"/>
      <c r="B31" s="357"/>
      <c r="C31" s="320" t="s">
        <v>153</v>
      </c>
      <c r="D31" s="320"/>
      <c r="E31" s="320"/>
      <c r="F31" s="320"/>
      <c r="G31" s="320"/>
      <c r="H31" s="320"/>
      <c r="I31" s="320"/>
      <c r="J31" s="318"/>
      <c r="K31" s="320" t="s">
        <v>153</v>
      </c>
      <c r="L31" s="320"/>
      <c r="M31" s="320"/>
      <c r="N31" s="320"/>
      <c r="O31" s="320"/>
      <c r="P31" s="320"/>
      <c r="Q31" s="320"/>
    </row>
    <row r="32" spans="1:17" ht="15.75" hidden="1" outlineLevel="1" thickBot="1" x14ac:dyDescent="0.3">
      <c r="A32" s="316"/>
      <c r="B32" s="321"/>
      <c r="C32" s="322" t="s">
        <v>128</v>
      </c>
      <c r="D32" s="322" t="s">
        <v>129</v>
      </c>
      <c r="E32" s="323" t="s">
        <v>3</v>
      </c>
      <c r="F32" s="323" t="s">
        <v>4</v>
      </c>
      <c r="G32" s="323" t="s">
        <v>5</v>
      </c>
      <c r="H32" s="323" t="s">
        <v>6</v>
      </c>
      <c r="I32" s="323" t="s">
        <v>7</v>
      </c>
      <c r="J32" s="318"/>
      <c r="K32" s="324" t="s">
        <v>128</v>
      </c>
      <c r="L32" s="322" t="s">
        <v>129</v>
      </c>
      <c r="M32" s="323" t="s">
        <v>3</v>
      </c>
      <c r="N32" s="323" t="s">
        <v>4</v>
      </c>
      <c r="O32" s="323" t="s">
        <v>5</v>
      </c>
      <c r="P32" s="323" t="s">
        <v>6</v>
      </c>
      <c r="Q32" s="325" t="s">
        <v>7</v>
      </c>
    </row>
    <row r="33" spans="1:17" hidden="1" outlineLevel="1" x14ac:dyDescent="0.25">
      <c r="A33" s="316" t="s">
        <v>183</v>
      </c>
      <c r="B33" s="326" t="s">
        <v>184</v>
      </c>
      <c r="C33" s="327"/>
      <c r="D33" s="328"/>
      <c r="E33" s="327"/>
      <c r="F33" s="329"/>
      <c r="G33" s="329"/>
      <c r="H33" s="329"/>
      <c r="I33" s="328"/>
      <c r="J33" s="330"/>
      <c r="K33" s="331"/>
      <c r="L33" s="328"/>
      <c r="M33" s="327"/>
      <c r="N33" s="329"/>
      <c r="O33" s="329"/>
      <c r="P33" s="329"/>
      <c r="Q33" s="328"/>
    </row>
    <row r="34" spans="1:17" hidden="1" outlineLevel="1" x14ac:dyDescent="0.25">
      <c r="A34" s="316" t="s">
        <v>185</v>
      </c>
      <c r="B34" s="332" t="s">
        <v>186</v>
      </c>
      <c r="C34" s="333"/>
      <c r="D34" s="334"/>
      <c r="E34" s="333"/>
      <c r="F34" s="335"/>
      <c r="G34" s="335"/>
      <c r="H34" s="335"/>
      <c r="I34" s="334"/>
      <c r="J34" s="330"/>
      <c r="K34" s="336"/>
      <c r="L34" s="334"/>
      <c r="M34" s="333"/>
      <c r="N34" s="335"/>
      <c r="O34" s="335"/>
      <c r="P34" s="335"/>
      <c r="Q34" s="334"/>
    </row>
    <row r="35" spans="1:17" hidden="1" outlineLevel="1" x14ac:dyDescent="0.25">
      <c r="A35" s="316" t="s">
        <v>187</v>
      </c>
      <c r="B35" s="332" t="s">
        <v>188</v>
      </c>
      <c r="C35" s="333"/>
      <c r="D35" s="334"/>
      <c r="E35" s="333"/>
      <c r="F35" s="335"/>
      <c r="G35" s="335"/>
      <c r="H35" s="335"/>
      <c r="I35" s="334"/>
      <c r="J35" s="330"/>
      <c r="K35" s="336"/>
      <c r="L35" s="334"/>
      <c r="M35" s="333"/>
      <c r="N35" s="335"/>
      <c r="O35" s="335"/>
      <c r="P35" s="335"/>
      <c r="Q35" s="334"/>
    </row>
    <row r="36" spans="1:17" hidden="1" outlineLevel="1" x14ac:dyDescent="0.25">
      <c r="A36" s="316" t="s">
        <v>189</v>
      </c>
      <c r="B36" s="332" t="s">
        <v>190</v>
      </c>
      <c r="C36" s="333"/>
      <c r="D36" s="334"/>
      <c r="E36" s="333"/>
      <c r="F36" s="335"/>
      <c r="G36" s="335"/>
      <c r="H36" s="335"/>
      <c r="I36" s="334"/>
      <c r="J36" s="330"/>
      <c r="K36" s="336"/>
      <c r="L36" s="334"/>
      <c r="M36" s="333"/>
      <c r="N36" s="335"/>
      <c r="O36" s="335"/>
      <c r="P36" s="335"/>
      <c r="Q36" s="334"/>
    </row>
    <row r="37" spans="1:17" hidden="1" outlineLevel="1" x14ac:dyDescent="0.25">
      <c r="A37" s="316" t="s">
        <v>191</v>
      </c>
      <c r="B37" s="332" t="s">
        <v>167</v>
      </c>
      <c r="C37" s="333"/>
      <c r="D37" s="334"/>
      <c r="E37" s="333"/>
      <c r="F37" s="335"/>
      <c r="G37" s="335"/>
      <c r="H37" s="335"/>
      <c r="I37" s="334"/>
      <c r="J37" s="330"/>
      <c r="K37" s="336"/>
      <c r="L37" s="334"/>
      <c r="M37" s="333"/>
      <c r="N37" s="335"/>
      <c r="O37" s="335"/>
      <c r="P37" s="335"/>
      <c r="Q37" s="334"/>
    </row>
    <row r="38" spans="1:17" ht="15.75" hidden="1" outlineLevel="1" thickBot="1" x14ac:dyDescent="0.3">
      <c r="A38" s="316" t="s">
        <v>192</v>
      </c>
      <c r="B38" s="341" t="s">
        <v>193</v>
      </c>
      <c r="C38" s="342"/>
      <c r="D38" s="343"/>
      <c r="E38" s="342"/>
      <c r="F38" s="344"/>
      <c r="G38" s="344"/>
      <c r="H38" s="344"/>
      <c r="I38" s="343"/>
      <c r="J38" s="330"/>
      <c r="K38" s="358"/>
      <c r="L38" s="343"/>
      <c r="M38" s="342"/>
      <c r="N38" s="344"/>
      <c r="O38" s="344"/>
      <c r="P38" s="344"/>
      <c r="Q38" s="343"/>
    </row>
    <row r="39" spans="1:17" ht="24.75" hidden="1" customHeight="1" outlineLevel="1" thickBot="1" x14ac:dyDescent="0.3">
      <c r="A39" s="316" t="s">
        <v>194</v>
      </c>
      <c r="B39" s="349" t="s">
        <v>195</v>
      </c>
      <c r="C39" s="350">
        <v>0</v>
      </c>
      <c r="D39" s="351">
        <v>0</v>
      </c>
      <c r="E39" s="351">
        <v>0</v>
      </c>
      <c r="F39" s="351">
        <v>0</v>
      </c>
      <c r="G39" s="351">
        <v>0</v>
      </c>
      <c r="H39" s="351">
        <v>0</v>
      </c>
      <c r="I39" s="352">
        <v>0</v>
      </c>
      <c r="J39" s="330"/>
      <c r="K39" s="350">
        <v>0</v>
      </c>
      <c r="L39" s="351">
        <v>0</v>
      </c>
      <c r="M39" s="351">
        <v>0</v>
      </c>
      <c r="N39" s="351">
        <v>0</v>
      </c>
      <c r="O39" s="351">
        <v>0</v>
      </c>
      <c r="P39" s="351">
        <v>0</v>
      </c>
      <c r="Q39" s="352">
        <v>0</v>
      </c>
    </row>
    <row r="40" spans="1:17" collapsed="1" x14ac:dyDescent="0.25">
      <c r="A40" s="353"/>
      <c r="B40" s="354"/>
      <c r="C40" s="355"/>
      <c r="D40" s="359"/>
      <c r="E40" s="359"/>
      <c r="F40" s="359"/>
      <c r="G40" s="359"/>
      <c r="H40" s="359"/>
      <c r="I40" s="359"/>
      <c r="J40" s="359"/>
      <c r="K40" s="359"/>
      <c r="L40" s="359"/>
      <c r="M40" s="359"/>
      <c r="N40" s="359"/>
      <c r="O40" s="359"/>
      <c r="P40" s="359"/>
      <c r="Q40" s="359"/>
    </row>
    <row r="41" spans="1:17" ht="15.75" thickBot="1" x14ac:dyDescent="0.3">
      <c r="A41" s="353"/>
      <c r="B41" s="354"/>
      <c r="C41" s="355"/>
      <c r="D41" s="359"/>
      <c r="E41" s="359"/>
      <c r="F41" s="359"/>
      <c r="G41" s="359"/>
      <c r="H41" s="359"/>
      <c r="I41" s="359"/>
      <c r="J41" s="359"/>
      <c r="K41" s="359"/>
      <c r="L41" s="359"/>
      <c r="M41" s="359"/>
      <c r="N41" s="359"/>
      <c r="O41" s="359"/>
      <c r="P41" s="359"/>
      <c r="Q41" s="359"/>
    </row>
    <row r="42" spans="1:17" s="315" customFormat="1" ht="30" customHeight="1" thickBot="1" x14ac:dyDescent="0.25">
      <c r="A42" s="313"/>
      <c r="B42" s="314" t="s">
        <v>196</v>
      </c>
      <c r="C42" s="314"/>
      <c r="D42" s="314"/>
      <c r="E42" s="314"/>
      <c r="F42" s="314"/>
      <c r="G42" s="314"/>
      <c r="H42" s="314"/>
      <c r="I42" s="314"/>
      <c r="J42" s="314"/>
      <c r="K42" s="314"/>
      <c r="L42" s="314"/>
      <c r="M42" s="314"/>
      <c r="N42" s="314"/>
      <c r="O42" s="314"/>
      <c r="P42" s="314"/>
      <c r="Q42" s="314"/>
    </row>
    <row r="43" spans="1:17" ht="15.75" hidden="1" outlineLevel="1" thickBot="1" x14ac:dyDescent="0.3">
      <c r="A43" s="316"/>
      <c r="B43" s="317"/>
      <c r="C43" s="521" t="s">
        <v>151</v>
      </c>
      <c r="D43" s="521"/>
      <c r="E43" s="521"/>
      <c r="F43" s="521"/>
      <c r="G43" s="521"/>
      <c r="H43" s="521"/>
      <c r="I43" s="521"/>
      <c r="J43" s="318"/>
      <c r="K43" s="521" t="s">
        <v>152</v>
      </c>
      <c r="L43" s="521"/>
      <c r="M43" s="521"/>
      <c r="N43" s="521"/>
      <c r="O43" s="521"/>
      <c r="P43" s="521"/>
      <c r="Q43" s="521"/>
    </row>
    <row r="44" spans="1:17" ht="30" hidden="1" outlineLevel="1" x14ac:dyDescent="0.25">
      <c r="A44" s="316"/>
      <c r="B44" s="357"/>
      <c r="C44" s="320" t="s">
        <v>153</v>
      </c>
      <c r="D44" s="320"/>
      <c r="E44" s="320"/>
      <c r="F44" s="320"/>
      <c r="G44" s="320"/>
      <c r="H44" s="320"/>
      <c r="I44" s="320"/>
      <c r="J44" s="318"/>
      <c r="K44" s="320" t="s">
        <v>153</v>
      </c>
      <c r="L44" s="320"/>
      <c r="M44" s="320"/>
      <c r="N44" s="320"/>
      <c r="O44" s="320"/>
      <c r="P44" s="320"/>
      <c r="Q44" s="320"/>
    </row>
    <row r="45" spans="1:17" ht="15.75" hidden="1" outlineLevel="1" thickBot="1" x14ac:dyDescent="0.3">
      <c r="A45" s="316"/>
      <c r="B45" s="321"/>
      <c r="C45" s="322" t="s">
        <v>128</v>
      </c>
      <c r="D45" s="322" t="s">
        <v>129</v>
      </c>
      <c r="E45" s="323" t="s">
        <v>3</v>
      </c>
      <c r="F45" s="323" t="s">
        <v>4</v>
      </c>
      <c r="G45" s="323" t="s">
        <v>5</v>
      </c>
      <c r="H45" s="323" t="s">
        <v>6</v>
      </c>
      <c r="I45" s="323" t="s">
        <v>7</v>
      </c>
      <c r="J45" s="318"/>
      <c r="K45" s="324" t="s">
        <v>128</v>
      </c>
      <c r="L45" s="322" t="s">
        <v>129</v>
      </c>
      <c r="M45" s="323" t="s">
        <v>3</v>
      </c>
      <c r="N45" s="323" t="s">
        <v>4</v>
      </c>
      <c r="O45" s="323" t="s">
        <v>5</v>
      </c>
      <c r="P45" s="323" t="s">
        <v>6</v>
      </c>
      <c r="Q45" s="325" t="s">
        <v>7</v>
      </c>
    </row>
    <row r="46" spans="1:17" hidden="1" outlineLevel="1" x14ac:dyDescent="0.25">
      <c r="A46" s="316" t="s">
        <v>197</v>
      </c>
      <c r="B46" s="326" t="s">
        <v>198</v>
      </c>
      <c r="C46" s="327"/>
      <c r="D46" s="328"/>
      <c r="E46" s="327"/>
      <c r="F46" s="329"/>
      <c r="G46" s="329"/>
      <c r="H46" s="329"/>
      <c r="I46" s="328"/>
      <c r="J46" s="356"/>
      <c r="K46" s="331"/>
      <c r="L46" s="328"/>
      <c r="M46" s="327"/>
      <c r="N46" s="329"/>
      <c r="O46" s="329"/>
      <c r="P46" s="329"/>
      <c r="Q46" s="328"/>
    </row>
    <row r="47" spans="1:17" hidden="1" outlineLevel="1" x14ac:dyDescent="0.25">
      <c r="A47" s="316" t="s">
        <v>199</v>
      </c>
      <c r="B47" s="332" t="s">
        <v>200</v>
      </c>
      <c r="C47" s="333"/>
      <c r="D47" s="334"/>
      <c r="E47" s="333"/>
      <c r="F47" s="335"/>
      <c r="G47" s="335"/>
      <c r="H47" s="335"/>
      <c r="I47" s="334"/>
      <c r="J47" s="356"/>
      <c r="K47" s="336"/>
      <c r="L47" s="334"/>
      <c r="M47" s="333"/>
      <c r="N47" s="335"/>
      <c r="O47" s="335"/>
      <c r="P47" s="335"/>
      <c r="Q47" s="334"/>
    </row>
    <row r="48" spans="1:17" hidden="1" outlineLevel="1" x14ac:dyDescent="0.25">
      <c r="A48" s="316" t="s">
        <v>201</v>
      </c>
      <c r="B48" s="332" t="s">
        <v>202</v>
      </c>
      <c r="C48" s="333"/>
      <c r="D48" s="334"/>
      <c r="E48" s="333"/>
      <c r="F48" s="335"/>
      <c r="G48" s="335"/>
      <c r="H48" s="335"/>
      <c r="I48" s="334"/>
      <c r="J48" s="356"/>
      <c r="K48" s="336"/>
      <c r="L48" s="334"/>
      <c r="M48" s="333"/>
      <c r="N48" s="335"/>
      <c r="O48" s="335"/>
      <c r="P48" s="335"/>
      <c r="Q48" s="334"/>
    </row>
    <row r="49" spans="1:17" hidden="1" outlineLevel="1" x14ac:dyDescent="0.25">
      <c r="A49" s="316" t="s">
        <v>203</v>
      </c>
      <c r="B49" s="332" t="s">
        <v>204</v>
      </c>
      <c r="C49" s="333"/>
      <c r="D49" s="334"/>
      <c r="E49" s="333"/>
      <c r="F49" s="335"/>
      <c r="G49" s="335"/>
      <c r="H49" s="335"/>
      <c r="I49" s="334"/>
      <c r="J49" s="356"/>
      <c r="K49" s="336"/>
      <c r="L49" s="334"/>
      <c r="M49" s="333"/>
      <c r="N49" s="335"/>
      <c r="O49" s="335"/>
      <c r="P49" s="335"/>
      <c r="Q49" s="334"/>
    </row>
    <row r="50" spans="1:17" hidden="1" outlineLevel="1" x14ac:dyDescent="0.25">
      <c r="A50" s="316" t="s">
        <v>205</v>
      </c>
      <c r="B50" s="360" t="s">
        <v>206</v>
      </c>
      <c r="C50" s="361"/>
      <c r="D50" s="362"/>
      <c r="E50" s="361"/>
      <c r="F50" s="363"/>
      <c r="G50" s="363"/>
      <c r="H50" s="363"/>
      <c r="I50" s="362"/>
      <c r="J50" s="356"/>
      <c r="K50" s="364"/>
      <c r="L50" s="362"/>
      <c r="M50" s="361"/>
      <c r="N50" s="363"/>
      <c r="O50" s="363"/>
      <c r="P50" s="363"/>
      <c r="Q50" s="362"/>
    </row>
    <row r="51" spans="1:17" hidden="1" outlineLevel="1" x14ac:dyDescent="0.25">
      <c r="A51" s="316" t="s">
        <v>207</v>
      </c>
      <c r="B51" s="360" t="s">
        <v>208</v>
      </c>
      <c r="C51" s="361"/>
      <c r="D51" s="362"/>
      <c r="E51" s="361"/>
      <c r="F51" s="363"/>
      <c r="G51" s="363"/>
      <c r="H51" s="363"/>
      <c r="I51" s="362"/>
      <c r="J51" s="356"/>
      <c r="K51" s="364"/>
      <c r="L51" s="362"/>
      <c r="M51" s="361"/>
      <c r="N51" s="363"/>
      <c r="O51" s="363"/>
      <c r="P51" s="363"/>
      <c r="Q51" s="362"/>
    </row>
    <row r="52" spans="1:17" hidden="1" outlineLevel="1" x14ac:dyDescent="0.25">
      <c r="A52" s="316" t="s">
        <v>209</v>
      </c>
      <c r="B52" s="360" t="s">
        <v>210</v>
      </c>
      <c r="C52" s="361"/>
      <c r="D52" s="362"/>
      <c r="E52" s="361"/>
      <c r="F52" s="363"/>
      <c r="G52" s="363"/>
      <c r="H52" s="363"/>
      <c r="I52" s="362"/>
      <c r="J52" s="356"/>
      <c r="K52" s="364"/>
      <c r="L52" s="362"/>
      <c r="M52" s="361"/>
      <c r="N52" s="363"/>
      <c r="O52" s="363"/>
      <c r="P52" s="363"/>
      <c r="Q52" s="362"/>
    </row>
    <row r="53" spans="1:17" ht="15.75" hidden="1" outlineLevel="1" thickBot="1" x14ac:dyDescent="0.3">
      <c r="A53" s="316" t="s">
        <v>211</v>
      </c>
      <c r="B53" s="341" t="s">
        <v>212</v>
      </c>
      <c r="C53" s="342"/>
      <c r="D53" s="343"/>
      <c r="E53" s="342"/>
      <c r="F53" s="344"/>
      <c r="G53" s="344"/>
      <c r="H53" s="344"/>
      <c r="I53" s="343"/>
      <c r="J53" s="356"/>
      <c r="K53" s="358"/>
      <c r="L53" s="343"/>
      <c r="M53" s="342"/>
      <c r="N53" s="344"/>
      <c r="O53" s="344"/>
      <c r="P53" s="344"/>
      <c r="Q53" s="343"/>
    </row>
    <row r="54" spans="1:17" ht="24.75" hidden="1" customHeight="1" outlineLevel="1" thickBot="1" x14ac:dyDescent="0.3">
      <c r="A54" s="316" t="s">
        <v>213</v>
      </c>
      <c r="B54" s="349" t="s">
        <v>214</v>
      </c>
      <c r="C54" s="350">
        <v>0</v>
      </c>
      <c r="D54" s="351">
        <v>0</v>
      </c>
      <c r="E54" s="351">
        <v>0</v>
      </c>
      <c r="F54" s="351">
        <v>0</v>
      </c>
      <c r="G54" s="351">
        <v>0</v>
      </c>
      <c r="H54" s="351">
        <v>0</v>
      </c>
      <c r="I54" s="352">
        <v>0</v>
      </c>
      <c r="J54" s="330"/>
      <c r="K54" s="350">
        <v>0</v>
      </c>
      <c r="L54" s="351">
        <v>0</v>
      </c>
      <c r="M54" s="351">
        <v>0</v>
      </c>
      <c r="N54" s="351">
        <v>0</v>
      </c>
      <c r="O54" s="351">
        <v>0</v>
      </c>
      <c r="P54" s="351">
        <v>0</v>
      </c>
      <c r="Q54" s="352">
        <v>0</v>
      </c>
    </row>
    <row r="55" spans="1:17" collapsed="1" x14ac:dyDescent="0.25">
      <c r="A55" s="316"/>
      <c r="B55" s="318"/>
      <c r="C55" s="318"/>
      <c r="D55" s="318"/>
      <c r="E55" s="318"/>
      <c r="F55" s="318"/>
      <c r="G55" s="318"/>
      <c r="H55" s="318"/>
      <c r="I55" s="318"/>
      <c r="J55" s="318"/>
      <c r="K55" s="318"/>
      <c r="L55" s="318"/>
      <c r="M55" s="318"/>
      <c r="N55" s="318"/>
      <c r="O55" s="318"/>
      <c r="P55" s="318"/>
      <c r="Q55" s="318"/>
    </row>
    <row r="56" spans="1:17" x14ac:dyDescent="0.25">
      <c r="A56" s="316"/>
      <c r="B56" s="318"/>
      <c r="C56" s="318"/>
      <c r="D56" s="318"/>
      <c r="E56" s="318"/>
      <c r="F56" s="318"/>
      <c r="G56" s="318"/>
      <c r="H56" s="318"/>
      <c r="I56" s="318"/>
      <c r="J56" s="318"/>
      <c r="K56" s="318"/>
      <c r="L56" s="318"/>
      <c r="M56" s="318"/>
      <c r="N56" s="318"/>
      <c r="O56" s="318"/>
      <c r="P56" s="318"/>
      <c r="Q56" s="318"/>
    </row>
    <row r="57" spans="1:17" x14ac:dyDescent="0.25">
      <c r="A57" s="316"/>
      <c r="B57" s="318"/>
      <c r="C57" s="318"/>
      <c r="D57" s="318"/>
      <c r="E57" s="318"/>
      <c r="F57" s="318"/>
      <c r="G57" s="318"/>
      <c r="H57" s="318"/>
      <c r="I57" s="318"/>
      <c r="J57" s="318"/>
      <c r="K57" s="318"/>
      <c r="L57" s="318"/>
      <c r="M57" s="318"/>
      <c r="N57" s="318"/>
      <c r="O57" s="318"/>
      <c r="P57" s="318"/>
      <c r="Q57" s="318"/>
    </row>
    <row r="58" spans="1:17" hidden="1" x14ac:dyDescent="0.25">
      <c r="A58" s="316"/>
      <c r="B58" s="318"/>
      <c r="C58" s="318"/>
      <c r="D58" s="318"/>
      <c r="E58" s="318"/>
      <c r="F58" s="318"/>
      <c r="G58" s="318"/>
      <c r="H58" s="318"/>
      <c r="I58" s="318"/>
      <c r="J58" s="318"/>
      <c r="K58" s="318"/>
      <c r="L58" s="318"/>
      <c r="M58" s="318"/>
      <c r="N58" s="318"/>
      <c r="O58" s="318"/>
      <c r="P58" s="318"/>
      <c r="Q58" s="318"/>
    </row>
  </sheetData>
  <mergeCells count="6">
    <mergeCell ref="C10:I10"/>
    <mergeCell ref="K10:Q10"/>
    <mergeCell ref="C30:I30"/>
    <mergeCell ref="K30:Q30"/>
    <mergeCell ref="C43:I43"/>
    <mergeCell ref="K43:Q43"/>
  </mergeCells>
  <conditionalFormatting sqref="G13:G25 O13:O25 G33:G38 O33:O38 G46:G53 O46:O53">
    <cfRule type="expression" dxfId="104" priority="3">
      <formula>(dms_FRCPlength_Num)&lt;3</formula>
    </cfRule>
  </conditionalFormatting>
  <conditionalFormatting sqref="H13:H25 P13:P25 H33:H38 P33:P38 H46:H53 P46:P53">
    <cfRule type="expression" dxfId="103" priority="2">
      <formula>(dms_FRCPlength_Num)&lt;4</formula>
    </cfRule>
  </conditionalFormatting>
  <conditionalFormatting sqref="I13:I25 Q13:Q25 I33:I38 Q33:Q38 I46:I53 Q46:Q53">
    <cfRule type="expression" dxfId="102" priority="1">
      <formula>(dms_FRCPlength_Num)&lt;5</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C5B7-AA1C-4603-9EAE-C0F9E979A518}">
  <sheetPr codeName="Sheet4">
    <tabColor theme="8" tint="0.79998168889431442"/>
  </sheetPr>
  <dimension ref="A1:R55"/>
  <sheetViews>
    <sheetView showGridLines="0" zoomScaleNormal="100" workbookViewId="0">
      <pane ySplit="4" topLeftCell="A5" activePane="bottomLeft" state="frozen"/>
      <selection activeCell="A2" sqref="A2"/>
      <selection pane="bottomLeft" activeCell="E14" sqref="E14"/>
    </sheetView>
  </sheetViews>
  <sheetFormatPr defaultRowHeight="12.75" outlineLevelCol="1" x14ac:dyDescent="0.2"/>
  <cols>
    <col min="1" max="1" width="5.5703125" customWidth="1"/>
    <col min="2" max="2" width="38.28515625" bestFit="1" customWidth="1"/>
    <col min="3" max="3" width="7.42578125" customWidth="1"/>
    <col min="4" max="4" width="5.5703125" customWidth="1"/>
    <col min="5" max="5" width="29.140625" bestFit="1" customWidth="1"/>
    <col min="6" max="6" width="7.42578125" bestFit="1" customWidth="1"/>
    <col min="7" max="7" width="5.5703125" customWidth="1"/>
    <col min="8" max="8" width="21.85546875" bestFit="1" customWidth="1"/>
    <col min="9" max="9" width="7.42578125" customWidth="1"/>
    <col min="10" max="10" width="7" bestFit="1" customWidth="1"/>
    <col min="11" max="11" width="21.85546875" bestFit="1" customWidth="1"/>
    <col min="12" max="12" width="7.42578125" customWidth="1"/>
    <col min="17" max="17" width="15.5703125" customWidth="1" outlineLevel="1"/>
  </cols>
  <sheetData>
    <row r="1" spans="1:18" s="27" customFormat="1" ht="24.95" customHeight="1" x14ac:dyDescent="0.2">
      <c r="B1" s="35" t="str">
        <f>IFERROR(Index!B1,"")</f>
        <v>Jemena Electricity Networks – Alternative Control Services Forecast model</v>
      </c>
      <c r="C1" s="36"/>
      <c r="E1" s="217" t="s">
        <v>115</v>
      </c>
      <c r="F1" s="37" t="s">
        <v>116</v>
      </c>
      <c r="H1" s="217" t="s">
        <v>117</v>
      </c>
      <c r="I1" s="122">
        <f>'Model Validation'!C10</f>
        <v>0</v>
      </c>
    </row>
    <row r="2" spans="1:18" s="27" customFormat="1" ht="24.95" customHeight="1" x14ac:dyDescent="0.2">
      <c r="B2" s="35" t="str">
        <f ca="1">IFERROR(MID(CELL("filename",A1),FIND("]",CELL("filename",A1))+1,255),"")</f>
        <v>Input|Setup</v>
      </c>
      <c r="C2" s="28"/>
      <c r="E2" s="28"/>
      <c r="F2" s="69" t="s">
        <v>118</v>
      </c>
    </row>
    <row r="3" spans="1:18" s="4" customFormat="1" ht="24.95" customHeight="1" x14ac:dyDescent="0.2">
      <c r="A3" s="3"/>
      <c r="B3" s="3"/>
      <c r="D3" s="3"/>
    </row>
    <row r="4" spans="1:18" ht="24.95" customHeight="1" x14ac:dyDescent="0.25">
      <c r="A4" s="3"/>
      <c r="B4" s="3"/>
      <c r="C4" s="3"/>
      <c r="D4" s="3"/>
      <c r="E4" s="3"/>
      <c r="F4" s="3"/>
      <c r="G4" s="1"/>
      <c r="H4" s="1"/>
      <c r="I4" s="1"/>
      <c r="Q4" s="154" t="s">
        <v>119</v>
      </c>
      <c r="R4" s="139"/>
    </row>
    <row r="5" spans="1:18" ht="15" x14ac:dyDescent="0.25">
      <c r="A5" s="135">
        <v>3.1</v>
      </c>
      <c r="B5" s="54" t="s">
        <v>215</v>
      </c>
      <c r="C5" s="54"/>
      <c r="D5" s="54"/>
      <c r="E5" s="54" t="s">
        <v>216</v>
      </c>
      <c r="F5" s="101">
        <f>IF(COUNTA(E6:E7)=0,1,0)</f>
        <v>0</v>
      </c>
      <c r="G5" s="1"/>
      <c r="H5" s="1"/>
      <c r="I5" s="1"/>
      <c r="Q5" s="1" t="s">
        <v>217</v>
      </c>
    </row>
    <row r="6" spans="1:18" ht="12.95" customHeight="1" x14ac:dyDescent="0.2">
      <c r="A6" s="3"/>
      <c r="B6" s="209" t="s">
        <v>218</v>
      </c>
      <c r="C6" s="3"/>
      <c r="D6" s="3"/>
      <c r="E6" s="409" t="s">
        <v>3</v>
      </c>
      <c r="F6" s="101"/>
      <c r="G6" s="1"/>
      <c r="H6" s="1"/>
      <c r="I6" s="1"/>
      <c r="Q6" s="29" t="s">
        <v>219</v>
      </c>
    </row>
    <row r="7" spans="1:18" ht="12.95" customHeight="1" x14ac:dyDescent="0.2">
      <c r="A7" s="3"/>
      <c r="B7" s="209" t="s">
        <v>220</v>
      </c>
      <c r="C7" s="3"/>
      <c r="D7" s="3"/>
      <c r="E7" s="409" t="s">
        <v>128</v>
      </c>
      <c r="F7" s="101"/>
      <c r="G7" s="20"/>
      <c r="H7" s="1"/>
      <c r="I7" s="1"/>
      <c r="Q7" s="29" t="str">
        <f t="shared" ref="Q7:Q23" si="0">LEFT(Q6,4)+1&amp;"-"&amp;RIGHT(Q6,2)+1</f>
        <v>2017-18</v>
      </c>
    </row>
    <row r="8" spans="1:18" ht="12.95" customHeight="1" x14ac:dyDescent="0.2">
      <c r="A8" s="3"/>
      <c r="B8" s="209" t="s">
        <v>221</v>
      </c>
      <c r="C8" s="3"/>
      <c r="D8" s="3"/>
      <c r="E8" s="229" t="str">
        <f>E6</f>
        <v>2026-27</v>
      </c>
      <c r="F8" s="3"/>
      <c r="G8" s="20"/>
      <c r="H8" s="1"/>
      <c r="I8" s="1"/>
      <c r="Q8" s="29" t="str">
        <f t="shared" si="0"/>
        <v>2018-19</v>
      </c>
    </row>
    <row r="9" spans="1:18" ht="12.95" customHeight="1" x14ac:dyDescent="0.2">
      <c r="A9" s="3"/>
      <c r="B9" s="3"/>
      <c r="C9" s="3"/>
      <c r="D9" s="3"/>
      <c r="E9" s="3"/>
      <c r="F9" s="3"/>
      <c r="G9" s="20"/>
      <c r="H9" s="1"/>
      <c r="I9" s="1"/>
      <c r="Q9" s="29" t="str">
        <f t="shared" si="0"/>
        <v>2019-20</v>
      </c>
    </row>
    <row r="10" spans="1:18" ht="15" x14ac:dyDescent="0.25">
      <c r="A10" s="136">
        <v>3.2</v>
      </c>
      <c r="B10" s="54" t="s">
        <v>222</v>
      </c>
      <c r="C10" s="3"/>
      <c r="D10" s="135">
        <v>3.3</v>
      </c>
      <c r="E10" s="54" t="s">
        <v>223</v>
      </c>
      <c r="F10" s="20"/>
      <c r="G10" s="3"/>
      <c r="H10" s="20"/>
      <c r="I10" s="20"/>
      <c r="Q10" s="29" t="str">
        <f t="shared" si="0"/>
        <v>2020-21</v>
      </c>
    </row>
    <row r="11" spans="1:18" ht="12.95" customHeight="1" x14ac:dyDescent="0.2">
      <c r="A11" s="82">
        <v>1</v>
      </c>
      <c r="B11" s="29" t="str">
        <f>LEFT(B12,4)-1&amp;"-"&amp;RIGHT(B12,2)-1</f>
        <v>2021-22</v>
      </c>
      <c r="C11" s="3"/>
      <c r="D11" s="4">
        <v>1</v>
      </c>
      <c r="E11" s="29" t="str">
        <f>E6</f>
        <v>2026-27</v>
      </c>
      <c r="F11" s="4"/>
      <c r="G11" s="3"/>
      <c r="H11" s="20"/>
      <c r="I11" s="20"/>
      <c r="Q11" s="29" t="str">
        <f t="shared" si="0"/>
        <v>2021-22</v>
      </c>
    </row>
    <row r="12" spans="1:18" ht="12.95" customHeight="1" x14ac:dyDescent="0.2">
      <c r="A12" s="82">
        <f>A11+1</f>
        <v>2</v>
      </c>
      <c r="B12" s="29" t="str">
        <f>LEFT(B13,4)-1&amp;"-"&amp;RIGHT(B13,2)-1</f>
        <v>2022-23</v>
      </c>
      <c r="C12" s="3"/>
      <c r="D12" s="4">
        <f>D11+1</f>
        <v>2</v>
      </c>
      <c r="E12" s="29" t="str">
        <f>LEFT(E11,4)+1&amp;"-"&amp;RIGHT(E11,2)+1</f>
        <v>2027-28</v>
      </c>
      <c r="F12" s="4"/>
      <c r="G12" s="3"/>
      <c r="H12" s="20"/>
      <c r="I12" s="20"/>
      <c r="Q12" s="29" t="str">
        <f t="shared" si="0"/>
        <v>2022-23</v>
      </c>
    </row>
    <row r="13" spans="1:18" ht="12.95" customHeight="1" x14ac:dyDescent="0.2">
      <c r="A13" s="82">
        <f>A12+1</f>
        <v>3</v>
      </c>
      <c r="B13" s="29" t="str">
        <f>LEFT(B14,4)-1&amp;"-"&amp;RIGHT(B14,2)-1</f>
        <v>2023-24</v>
      </c>
      <c r="C13" s="3"/>
      <c r="D13" s="4">
        <f>D12+1</f>
        <v>3</v>
      </c>
      <c r="E13" s="29" t="str">
        <f>LEFT(E12,4)+1&amp;"-"&amp;RIGHT(E12,2)+1</f>
        <v>2028-29</v>
      </c>
      <c r="F13" s="4"/>
      <c r="G13" s="3"/>
      <c r="H13" s="20"/>
      <c r="I13" s="20"/>
      <c r="Q13" s="29" t="str">
        <f t="shared" si="0"/>
        <v>2023-24</v>
      </c>
    </row>
    <row r="14" spans="1:18" ht="12.95" customHeight="1" x14ac:dyDescent="0.2">
      <c r="A14" s="82">
        <f>A13+1</f>
        <v>4</v>
      </c>
      <c r="B14" s="29" t="str">
        <f>LEFT(B15,4)-1&amp;"-"&amp;RIGHT(B15,2)-1</f>
        <v>2024-25</v>
      </c>
      <c r="C14" s="3"/>
      <c r="D14" s="4">
        <f>D13+1</f>
        <v>4</v>
      </c>
      <c r="E14" s="29" t="str">
        <f>LEFT(E13,4)+1&amp;"-"&amp;RIGHT(E13,2)+1</f>
        <v>2029-30</v>
      </c>
      <c r="F14" s="4"/>
      <c r="G14" s="3"/>
      <c r="H14" s="20"/>
      <c r="I14" s="20"/>
      <c r="Q14" s="29" t="str">
        <f t="shared" si="0"/>
        <v>2024-25</v>
      </c>
    </row>
    <row r="15" spans="1:18" ht="12.95" customHeight="1" x14ac:dyDescent="0.2">
      <c r="A15" s="82">
        <f>A14+1</f>
        <v>5</v>
      </c>
      <c r="B15" s="29" t="str">
        <f>LEFT(E11,4)-1&amp;"-"&amp;RIGHT(E11,2)-1</f>
        <v>2025-26</v>
      </c>
      <c r="C15" s="3"/>
      <c r="D15" s="4">
        <f>D14+1</f>
        <v>5</v>
      </c>
      <c r="E15" s="29" t="str">
        <f>LEFT(E14,4)+1&amp;"-"&amp;RIGHT(E14,2)+1</f>
        <v>2030-31</v>
      </c>
      <c r="F15" s="4"/>
      <c r="G15" s="3"/>
      <c r="H15" s="20"/>
      <c r="I15" s="20"/>
      <c r="Q15" s="29" t="str">
        <f t="shared" si="0"/>
        <v>2025-26</v>
      </c>
    </row>
    <row r="16" spans="1:18" ht="12.95" customHeight="1" x14ac:dyDescent="0.2">
      <c r="A16" s="1"/>
      <c r="B16" s="3"/>
      <c r="C16" s="3"/>
      <c r="D16" s="20"/>
      <c r="E16" s="2"/>
      <c r="F16" s="4"/>
      <c r="G16" s="3"/>
      <c r="H16" s="20"/>
      <c r="I16" s="20"/>
      <c r="Q16" s="29" t="str">
        <f t="shared" si="0"/>
        <v>2026-27</v>
      </c>
    </row>
    <row r="17" spans="1:17" ht="12.95" customHeight="1" x14ac:dyDescent="0.2">
      <c r="A17" s="20"/>
      <c r="B17" s="20"/>
      <c r="C17" s="3"/>
      <c r="D17" s="20"/>
      <c r="E17" s="2"/>
      <c r="F17" s="4"/>
      <c r="G17" s="3"/>
      <c r="H17" s="20"/>
      <c r="I17" s="20"/>
      <c r="Q17" s="29" t="str">
        <f t="shared" si="0"/>
        <v>2027-28</v>
      </c>
    </row>
    <row r="18" spans="1:17" ht="15" x14ac:dyDescent="0.25">
      <c r="A18" s="136">
        <v>3.4</v>
      </c>
      <c r="B18" s="43" t="s">
        <v>224</v>
      </c>
      <c r="D18" s="136">
        <v>3.5</v>
      </c>
      <c r="E18" s="43" t="s">
        <v>225</v>
      </c>
      <c r="F18" s="4"/>
      <c r="G18" s="3"/>
      <c r="H18" s="20"/>
      <c r="I18" s="20"/>
      <c r="Q18" s="29" t="str">
        <f t="shared" si="0"/>
        <v>2028-29</v>
      </c>
    </row>
    <row r="19" spans="1:17" ht="12.95" customHeight="1" x14ac:dyDescent="0.2">
      <c r="A19" s="82">
        <v>1</v>
      </c>
      <c r="B19" s="137" t="s">
        <v>226</v>
      </c>
      <c r="C19" s="101"/>
      <c r="D19" s="1"/>
      <c r="E19" s="29">
        <v>60</v>
      </c>
      <c r="F19" s="4" t="s">
        <v>227</v>
      </c>
      <c r="G19" s="3"/>
      <c r="H19" s="20"/>
      <c r="I19" s="20"/>
      <c r="Q19" s="29" t="str">
        <f t="shared" si="0"/>
        <v>2029-30</v>
      </c>
    </row>
    <row r="20" spans="1:17" ht="12.95" customHeight="1" x14ac:dyDescent="0.2">
      <c r="A20" s="82">
        <f>A19+1</f>
        <v>2</v>
      </c>
      <c r="B20" s="137" t="s">
        <v>228</v>
      </c>
      <c r="C20" s="101"/>
      <c r="D20" s="1"/>
      <c r="E20" s="79"/>
      <c r="F20" s="4"/>
      <c r="G20" s="3"/>
      <c r="H20" s="20"/>
      <c r="I20" s="20"/>
      <c r="Q20" s="29" t="str">
        <f t="shared" si="0"/>
        <v>2030-31</v>
      </c>
    </row>
    <row r="21" spans="1:17" ht="12.95" customHeight="1" x14ac:dyDescent="0.2">
      <c r="A21" s="82"/>
      <c r="B21" s="142"/>
      <c r="C21" s="4"/>
      <c r="D21" s="1"/>
      <c r="E21" s="79"/>
      <c r="F21" s="4"/>
      <c r="G21" s="3"/>
      <c r="H21" s="20"/>
      <c r="I21" s="20"/>
      <c r="Q21" s="29" t="str">
        <f t="shared" si="0"/>
        <v>2031-32</v>
      </c>
    </row>
    <row r="22" spans="1:17" ht="12.95" customHeight="1" x14ac:dyDescent="0.2">
      <c r="A22" s="20"/>
      <c r="B22" s="20"/>
      <c r="C22" s="2"/>
      <c r="D22" s="20"/>
      <c r="E22" s="2"/>
      <c r="F22" s="3"/>
      <c r="G22" s="3"/>
      <c r="H22" s="20"/>
      <c r="I22" s="20"/>
      <c r="Q22" s="29" t="str">
        <f t="shared" si="0"/>
        <v>2032-33</v>
      </c>
    </row>
    <row r="23" spans="1:17" ht="12.95" customHeight="1" x14ac:dyDescent="0.2">
      <c r="A23" s="20"/>
      <c r="B23" s="20"/>
      <c r="C23" s="2"/>
      <c r="D23" s="20"/>
      <c r="E23" s="2"/>
      <c r="F23" s="3"/>
      <c r="G23" s="3"/>
      <c r="H23" s="20"/>
      <c r="I23" s="20"/>
      <c r="Q23" s="29" t="str">
        <f t="shared" si="0"/>
        <v>2033-34</v>
      </c>
    </row>
    <row r="24" spans="1:17" ht="15" x14ac:dyDescent="0.25">
      <c r="A24" s="136">
        <v>3.6</v>
      </c>
      <c r="B24" s="43" t="s">
        <v>16</v>
      </c>
      <c r="C24" s="101">
        <f>IF(COUNTA(B25:B27)=0,1,0)</f>
        <v>0</v>
      </c>
      <c r="D24" s="143"/>
      <c r="E24" s="144"/>
      <c r="F24" s="126"/>
      <c r="G24" s="3"/>
      <c r="H24" s="101"/>
      <c r="I24" s="20"/>
      <c r="Q24" s="81" t="s">
        <v>229</v>
      </c>
    </row>
    <row r="25" spans="1:17" ht="12.95" customHeight="1" x14ac:dyDescent="0.2">
      <c r="A25" s="1"/>
      <c r="B25" s="79" t="s">
        <v>230</v>
      </c>
      <c r="C25" s="4"/>
      <c r="D25" s="1"/>
      <c r="E25" s="142"/>
      <c r="F25" s="82"/>
      <c r="G25" s="3"/>
      <c r="H25" s="20"/>
      <c r="I25" s="20"/>
    </row>
    <row r="26" spans="1:17" ht="12.95" customHeight="1" x14ac:dyDescent="0.2">
      <c r="A26" s="1"/>
      <c r="B26" s="79" t="s">
        <v>231</v>
      </c>
      <c r="C26" s="4"/>
      <c r="D26" s="1"/>
      <c r="E26" s="142"/>
      <c r="F26" s="82"/>
      <c r="G26" s="3"/>
      <c r="H26" s="20"/>
      <c r="I26" s="20"/>
    </row>
    <row r="27" spans="1:17" ht="12.95" customHeight="1" x14ac:dyDescent="0.2">
      <c r="A27" s="1"/>
      <c r="B27" s="79" t="s">
        <v>232</v>
      </c>
      <c r="C27" s="4"/>
      <c r="D27" s="1"/>
      <c r="E27" s="145"/>
      <c r="F27" s="82"/>
      <c r="G27" s="3"/>
      <c r="H27" s="20"/>
      <c r="I27" s="20"/>
    </row>
    <row r="28" spans="1:17" ht="12.95" customHeight="1" x14ac:dyDescent="0.2">
      <c r="A28" s="1"/>
      <c r="B28" s="3"/>
      <c r="C28" s="4"/>
      <c r="D28" s="20"/>
      <c r="E28" s="2"/>
      <c r="F28" s="4"/>
      <c r="G28" s="3"/>
      <c r="H28" s="20"/>
      <c r="I28" s="20"/>
    </row>
    <row r="29" spans="1:17" ht="12.95" customHeight="1" x14ac:dyDescent="0.2">
      <c r="A29" s="20"/>
      <c r="B29" s="20"/>
      <c r="C29" s="2"/>
      <c r="D29" s="20"/>
      <c r="E29" s="2"/>
      <c r="F29" s="20"/>
      <c r="G29" s="20"/>
      <c r="H29" s="20"/>
      <c r="I29" s="20"/>
    </row>
    <row r="30" spans="1:17" ht="15" x14ac:dyDescent="0.25">
      <c r="A30" s="135">
        <v>3.7</v>
      </c>
      <c r="B30" s="54" t="s">
        <v>233</v>
      </c>
      <c r="C30" s="101">
        <f>IF(COUNTA(B31:B49)=0,1,0)</f>
        <v>0</v>
      </c>
      <c r="D30" s="136">
        <v>3.8</v>
      </c>
      <c r="E30" s="54" t="s">
        <v>17</v>
      </c>
      <c r="F30" s="101">
        <f>IF(COUNTA(E31:E49)=0,1,0)</f>
        <v>0</v>
      </c>
      <c r="G30" s="136" t="str">
        <f>"3.9"</f>
        <v>3.9</v>
      </c>
      <c r="H30" s="54" t="s">
        <v>234</v>
      </c>
      <c r="I30" s="101">
        <f>IF(COUNTA(H31:H38)=0,1,0)</f>
        <v>0</v>
      </c>
    </row>
    <row r="31" spans="1:17" ht="12.95" customHeight="1" x14ac:dyDescent="0.2">
      <c r="A31" s="4">
        <v>1</v>
      </c>
      <c r="B31" s="26" t="s">
        <v>235</v>
      </c>
      <c r="C31" s="2"/>
      <c r="D31" s="20"/>
      <c r="E31" s="26" t="s">
        <v>236</v>
      </c>
      <c r="F31" s="3"/>
      <c r="G31" s="1"/>
      <c r="H31" s="26" t="s">
        <v>237</v>
      </c>
      <c r="I31" s="3"/>
    </row>
    <row r="32" spans="1:17" ht="12.95" customHeight="1" x14ac:dyDescent="0.2">
      <c r="A32" s="4">
        <f>A31+1</f>
        <v>2</v>
      </c>
      <c r="B32" s="26" t="s">
        <v>238</v>
      </c>
      <c r="C32" s="2"/>
      <c r="D32" s="20"/>
      <c r="E32" s="26" t="s">
        <v>239</v>
      </c>
      <c r="F32" s="3"/>
      <c r="G32" s="1"/>
      <c r="H32" s="26" t="s">
        <v>240</v>
      </c>
      <c r="I32" s="3"/>
    </row>
    <row r="33" spans="1:9" ht="12.95" customHeight="1" x14ac:dyDescent="0.2">
      <c r="A33" s="4">
        <f>A32+1</f>
        <v>3</v>
      </c>
      <c r="B33" s="26" t="s">
        <v>241</v>
      </c>
      <c r="C33" s="2"/>
      <c r="D33" s="20"/>
      <c r="E33" s="26" t="s">
        <v>242</v>
      </c>
      <c r="F33" s="3"/>
      <c r="G33" s="1"/>
      <c r="H33" s="26"/>
      <c r="I33" s="3"/>
    </row>
    <row r="34" spans="1:9" ht="12.95" customHeight="1" x14ac:dyDescent="0.2">
      <c r="A34" s="4">
        <f t="shared" ref="A34:A49" si="1">A33+1</f>
        <v>4</v>
      </c>
      <c r="B34" s="26" t="s">
        <v>243</v>
      </c>
      <c r="C34" s="2"/>
      <c r="D34" s="20"/>
      <c r="E34" s="26" t="s">
        <v>244</v>
      </c>
      <c r="F34" s="3"/>
      <c r="G34" s="1"/>
      <c r="H34" s="26"/>
      <c r="I34" s="3"/>
    </row>
    <row r="35" spans="1:9" ht="12.95" customHeight="1" x14ac:dyDescent="0.2">
      <c r="A35" s="4">
        <f t="shared" si="1"/>
        <v>5</v>
      </c>
      <c r="B35" s="26" t="s">
        <v>245</v>
      </c>
      <c r="C35" s="2"/>
      <c r="D35" s="20"/>
      <c r="E35" s="26" t="s">
        <v>246</v>
      </c>
      <c r="F35" s="3"/>
      <c r="G35" s="1"/>
      <c r="H35" s="26"/>
      <c r="I35" s="3"/>
    </row>
    <row r="36" spans="1:9" ht="12.95" customHeight="1" x14ac:dyDescent="0.2">
      <c r="A36" s="4">
        <f t="shared" si="1"/>
        <v>6</v>
      </c>
      <c r="B36" s="26"/>
      <c r="C36" s="2"/>
      <c r="D36" s="20"/>
      <c r="E36" s="26" t="s">
        <v>247</v>
      </c>
      <c r="F36" s="3"/>
      <c r="G36" s="1"/>
      <c r="H36" s="26"/>
      <c r="I36" s="3"/>
    </row>
    <row r="37" spans="1:9" ht="12.95" customHeight="1" x14ac:dyDescent="0.2">
      <c r="A37" s="4">
        <f t="shared" si="1"/>
        <v>7</v>
      </c>
      <c r="B37" s="26"/>
      <c r="C37" s="2"/>
      <c r="D37" s="20"/>
      <c r="E37" s="26" t="s">
        <v>248</v>
      </c>
      <c r="F37" s="3"/>
      <c r="G37" s="1"/>
      <c r="H37" s="26"/>
      <c r="I37" s="3"/>
    </row>
    <row r="38" spans="1:9" ht="12.95" customHeight="1" x14ac:dyDescent="0.2">
      <c r="A38" s="4">
        <f t="shared" si="1"/>
        <v>8</v>
      </c>
      <c r="B38" s="26"/>
      <c r="C38" s="2"/>
      <c r="D38" s="20"/>
      <c r="E38" s="26" t="s">
        <v>249</v>
      </c>
      <c r="F38" s="3"/>
      <c r="G38" s="1"/>
      <c r="H38" s="26"/>
      <c r="I38" s="3"/>
    </row>
    <row r="39" spans="1:9" ht="12.95" customHeight="1" x14ac:dyDescent="0.2">
      <c r="A39" s="4">
        <f t="shared" si="1"/>
        <v>9</v>
      </c>
      <c r="B39" s="26"/>
      <c r="C39" s="2"/>
      <c r="D39" s="20"/>
      <c r="E39" s="26" t="s">
        <v>250</v>
      </c>
      <c r="F39" s="3"/>
      <c r="G39" s="1"/>
      <c r="H39" s="78"/>
      <c r="I39" s="3"/>
    </row>
    <row r="40" spans="1:9" ht="12.95" customHeight="1" x14ac:dyDescent="0.25">
      <c r="A40" s="4">
        <f t="shared" si="1"/>
        <v>10</v>
      </c>
      <c r="B40" s="26"/>
      <c r="C40" s="2"/>
      <c r="D40" s="20"/>
      <c r="E40" s="26" t="s">
        <v>251</v>
      </c>
      <c r="G40" s="136" t="str">
        <f>"3.10"</f>
        <v>3.10</v>
      </c>
      <c r="H40" s="54" t="s">
        <v>252</v>
      </c>
      <c r="I40" s="101">
        <f>IF(COUNTA(H41:H48)=0,1,0)</f>
        <v>0</v>
      </c>
    </row>
    <row r="41" spans="1:9" ht="12.95" customHeight="1" x14ac:dyDescent="0.2">
      <c r="A41" s="4">
        <f t="shared" si="1"/>
        <v>11</v>
      </c>
      <c r="B41" s="26"/>
      <c r="C41" s="2"/>
      <c r="D41" s="20"/>
      <c r="E41" s="26" t="s">
        <v>253</v>
      </c>
      <c r="G41" s="1"/>
      <c r="H41" s="26" t="s">
        <v>254</v>
      </c>
    </row>
    <row r="42" spans="1:9" ht="12.95" customHeight="1" x14ac:dyDescent="0.2">
      <c r="A42" s="4">
        <f t="shared" si="1"/>
        <v>12</v>
      </c>
      <c r="B42" s="26"/>
      <c r="C42" s="2"/>
      <c r="D42" s="20"/>
      <c r="E42" s="26" t="s">
        <v>255</v>
      </c>
      <c r="G42" s="1"/>
      <c r="H42" s="26"/>
    </row>
    <row r="43" spans="1:9" ht="12.95" customHeight="1" x14ac:dyDescent="0.2">
      <c r="A43" s="4">
        <f t="shared" si="1"/>
        <v>13</v>
      </c>
      <c r="B43" s="26"/>
      <c r="C43" s="2"/>
      <c r="D43" s="20"/>
      <c r="E43" s="26"/>
      <c r="G43" s="1"/>
      <c r="H43" s="26"/>
    </row>
    <row r="44" spans="1:9" ht="12.95" customHeight="1" x14ac:dyDescent="0.2">
      <c r="A44" s="4">
        <f t="shared" si="1"/>
        <v>14</v>
      </c>
      <c r="B44" s="26"/>
      <c r="C44" s="4"/>
      <c r="D44" s="3"/>
      <c r="E44" s="26"/>
      <c r="G44" s="1"/>
      <c r="H44" s="26"/>
    </row>
    <row r="45" spans="1:9" ht="12.95" customHeight="1" x14ac:dyDescent="0.2">
      <c r="A45" s="4">
        <f t="shared" si="1"/>
        <v>15</v>
      </c>
      <c r="B45" s="26"/>
      <c r="C45" s="4"/>
      <c r="D45" s="3"/>
      <c r="E45" s="26"/>
      <c r="G45" s="1"/>
      <c r="H45" s="26"/>
    </row>
    <row r="46" spans="1:9" ht="12.95" customHeight="1" x14ac:dyDescent="0.2">
      <c r="A46" s="4">
        <f t="shared" si="1"/>
        <v>16</v>
      </c>
      <c r="B46" s="26"/>
      <c r="C46" s="2"/>
      <c r="D46" s="20"/>
      <c r="E46" s="26"/>
      <c r="G46" s="1"/>
      <c r="H46" s="26"/>
    </row>
    <row r="47" spans="1:9" ht="12.95" customHeight="1" x14ac:dyDescent="0.2">
      <c r="A47" s="4">
        <f t="shared" si="1"/>
        <v>17</v>
      </c>
      <c r="B47" s="26"/>
      <c r="C47" s="2"/>
      <c r="D47" s="20"/>
      <c r="E47" s="26"/>
      <c r="G47" s="1"/>
      <c r="H47" s="26"/>
    </row>
    <row r="48" spans="1:9" ht="12.95" customHeight="1" x14ac:dyDescent="0.2">
      <c r="A48" s="4">
        <f t="shared" si="1"/>
        <v>18</v>
      </c>
      <c r="B48" s="26"/>
      <c r="C48" s="2"/>
      <c r="D48" s="20"/>
      <c r="E48" s="26"/>
      <c r="G48" s="1"/>
      <c r="H48" s="26"/>
    </row>
    <row r="49" spans="1:9" ht="12.95" customHeight="1" x14ac:dyDescent="0.2">
      <c r="A49" s="4">
        <f t="shared" si="1"/>
        <v>19</v>
      </c>
      <c r="B49" s="26"/>
      <c r="C49" s="2"/>
      <c r="D49" s="20"/>
      <c r="E49" s="26"/>
      <c r="G49" s="1"/>
      <c r="H49" s="1"/>
    </row>
    <row r="50" spans="1:9" x14ac:dyDescent="0.2">
      <c r="A50" s="20"/>
      <c r="B50" s="20"/>
      <c r="C50" s="2"/>
      <c r="D50" s="20"/>
      <c r="E50" s="2"/>
      <c r="F50" s="20"/>
      <c r="G50" s="20"/>
      <c r="H50" s="20"/>
      <c r="I50" s="20"/>
    </row>
    <row r="51" spans="1:9" x14ac:dyDescent="0.2">
      <c r="A51" s="20"/>
      <c r="B51" s="20"/>
      <c r="C51" s="2"/>
      <c r="D51" s="20"/>
      <c r="E51" s="2"/>
      <c r="F51" s="20"/>
      <c r="G51" s="20"/>
      <c r="H51" s="20"/>
      <c r="I51" s="20"/>
    </row>
    <row r="52" spans="1:9" x14ac:dyDescent="0.2">
      <c r="A52" s="20"/>
      <c r="B52" s="20"/>
      <c r="C52" s="2"/>
      <c r="D52" s="20"/>
      <c r="E52" s="2"/>
      <c r="F52" s="20"/>
      <c r="G52" s="20"/>
      <c r="H52" s="20"/>
      <c r="I52" s="20"/>
    </row>
    <row r="53" spans="1:9" x14ac:dyDescent="0.2">
      <c r="A53" s="20"/>
      <c r="B53" s="20"/>
      <c r="C53" s="2"/>
      <c r="D53" s="20"/>
      <c r="E53" s="2"/>
      <c r="F53" s="20"/>
      <c r="G53" s="20"/>
      <c r="H53" s="20"/>
      <c r="I53" s="1"/>
    </row>
    <row r="54" spans="1:9" x14ac:dyDescent="0.2">
      <c r="A54" s="20"/>
      <c r="B54" s="20"/>
      <c r="C54" s="2"/>
      <c r="D54" s="20"/>
      <c r="E54" s="2"/>
      <c r="F54" s="20"/>
      <c r="G54" s="20"/>
      <c r="H54" s="20"/>
      <c r="I54" s="1"/>
    </row>
    <row r="55" spans="1:9" x14ac:dyDescent="0.2">
      <c r="A55" s="20"/>
      <c r="B55" s="20"/>
      <c r="C55" s="2"/>
      <c r="D55" s="20"/>
      <c r="E55" s="2"/>
      <c r="F55" s="20"/>
      <c r="G55" s="20"/>
      <c r="H55" s="20"/>
      <c r="I55" s="20"/>
    </row>
  </sheetData>
  <conditionalFormatting sqref="I1">
    <cfRule type="cellIs" dxfId="101" priority="9" operator="equal">
      <formula>"Check"</formula>
    </cfRule>
    <cfRule type="cellIs" dxfId="100" priority="10" operator="equal">
      <formula>"Ok"</formula>
    </cfRule>
  </conditionalFormatting>
  <dataValidations count="1">
    <dataValidation type="list" allowBlank="1" showInputMessage="1" showErrorMessage="1" sqref="E6:E7" xr:uid="{B32F7E8E-F934-425B-B38E-AC119659E212}">
      <formula1>$Q$6:$Q$24</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4" id="{7690C18A-124E-4515-B22C-A9F20C6E763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C19:C20 H24</xm:sqref>
        </x14:conditionalFormatting>
        <x14:conditionalFormatting xmlns:xm="http://schemas.microsoft.com/office/excel/2006/main">
          <x14:cfRule type="iconSet" priority="13" id="{6DDA1B39-72DB-43DB-A430-DA32959B5CC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C24</xm:sqref>
        </x14:conditionalFormatting>
        <x14:conditionalFormatting xmlns:xm="http://schemas.microsoft.com/office/excel/2006/main">
          <x14:cfRule type="iconSet" priority="12" id="{7484BFD7-4EFD-4452-B2C1-DB3F8C102BF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C30</xm:sqref>
        </x14:conditionalFormatting>
        <x14:conditionalFormatting xmlns:xm="http://schemas.microsoft.com/office/excel/2006/main">
          <x14:cfRule type="iconSet" priority="5" id="{518C586B-09A1-4D46-9F26-8EFE023839C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F5</xm:sqref>
        </x14:conditionalFormatting>
        <x14:conditionalFormatting xmlns:xm="http://schemas.microsoft.com/office/excel/2006/main">
          <x14:cfRule type="iconSet" priority="15" id="{4725141C-64C8-44B7-8B35-3ED340F4AE4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F6:F7</xm:sqref>
        </x14:conditionalFormatting>
        <x14:conditionalFormatting xmlns:xm="http://schemas.microsoft.com/office/excel/2006/main">
          <x14:cfRule type="iconSet" priority="6" id="{105B170A-13FA-4C99-94EF-A3829B3FD46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F24</xm:sqref>
        </x14:conditionalFormatting>
        <x14:conditionalFormatting xmlns:xm="http://schemas.microsoft.com/office/excel/2006/main">
          <x14:cfRule type="iconSet" priority="11" id="{3571D4FF-26BF-4389-8320-05AB6E22852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F30</xm:sqref>
        </x14:conditionalFormatting>
        <x14:conditionalFormatting xmlns:xm="http://schemas.microsoft.com/office/excel/2006/main">
          <x14:cfRule type="iconSet" priority="2" id="{BBAF6DC7-AA3E-4CAA-BBD1-380F8241E3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I30</xm:sqref>
        </x14:conditionalFormatting>
        <x14:conditionalFormatting xmlns:xm="http://schemas.microsoft.com/office/excel/2006/main">
          <x14:cfRule type="iconSet" priority="1" id="{7BD2499E-3752-4F0E-800A-F3DBF8ADC5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I40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Props1.xml><?xml version="1.0" encoding="utf-8"?>
<ds:datastoreItem xmlns:ds="http://schemas.openxmlformats.org/officeDocument/2006/customXml" ds:itemID="{D0A5A6F2-8693-428A-A7CC-F7ECEB338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dd876c-ba06-4341-9d47-b53ee198fe78"/>
    <ds:schemaRef ds:uri="cce62ca5-22ea-47d8-bfd0-cf180537c9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F54DD0-98A6-4CB9-9C1A-982D5B450273}">
  <ds:schemaRefs>
    <ds:schemaRef ds:uri="http://schemas.microsoft.com/sharepoint/v3/contenttype/forms"/>
  </ds:schemaRefs>
</ds:datastoreItem>
</file>

<file path=customXml/itemProps3.xml><?xml version="1.0" encoding="utf-8"?>
<ds:datastoreItem xmlns:ds="http://schemas.openxmlformats.org/officeDocument/2006/customXml" ds:itemID="{44624D90-9021-49AD-95C0-9C117AEF82ED}">
  <ds:schemaRefs>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cce62ca5-22ea-47d8-bfd0-cf180537c997"/>
    <ds:schemaRef ds:uri="58dd876c-ba06-4341-9d47-b53ee198fe78"/>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44</vt:i4>
      </vt:variant>
      <vt:variant>
        <vt:lpstr>Named Ranges</vt:lpstr>
      </vt:variant>
      <vt:variant>
        <vt:i4>11</vt:i4>
      </vt:variant>
    </vt:vector>
  </HeadingPairs>
  <TitlesOfParts>
    <vt:vector size="55" baseType="lpstr">
      <vt:lpstr>AER Final Decision - Labour</vt:lpstr>
      <vt:lpstr>AER Final Decision - Services</vt:lpstr>
      <vt:lpstr>Changelog</vt:lpstr>
      <vt:lpstr>Index</vt:lpstr>
      <vt:lpstr>Output|Fee Based</vt:lpstr>
      <vt:lpstr>Output|Quoted</vt:lpstr>
      <vt:lpstr>Output|RIN Expense</vt:lpstr>
      <vt:lpstr>Output|RIN Revenue</vt:lpstr>
      <vt:lpstr>Input|Setup</vt:lpstr>
      <vt:lpstr>Input|Escalations</vt:lpstr>
      <vt:lpstr>Input|Indirect Cost Rates</vt:lpstr>
      <vt:lpstr>Input|Labour Rates</vt:lpstr>
      <vt:lpstr>Input|Fee Based</vt:lpstr>
      <vt:lpstr>Input|Fee Based Mapping</vt:lpstr>
      <vt:lpstr>Input|Volume, Revenue, Cost</vt:lpstr>
      <vt:lpstr>Input|Tax Recovery</vt:lpstr>
      <vt:lpstr>Input|Materials</vt:lpstr>
      <vt:lpstr>Calc|Labour Rates</vt:lpstr>
      <vt:lpstr>Calc|Fee Based</vt:lpstr>
      <vt:lpstr>Model Validation</vt:lpstr>
      <vt:lpstr>ND1P</vt:lpstr>
      <vt:lpstr>ND3P</vt:lpstr>
      <vt:lpstr>BTSO</vt:lpstr>
      <vt:lpstr>BTSP</vt:lpstr>
      <vt:lpstr>SUTK</vt:lpstr>
      <vt:lpstr>RTK1</vt:lpstr>
      <vt:lpstr>REEN</vt:lpstr>
      <vt:lpstr>DEEN</vt:lpstr>
      <vt:lpstr>DCTK</vt:lpstr>
      <vt:lpstr>RCTK</vt:lpstr>
      <vt:lpstr>SLOM</vt:lpstr>
      <vt:lpstr>RFOM</vt:lpstr>
      <vt:lpstr>REENRM</vt:lpstr>
      <vt:lpstr>DEENRM</vt:lpstr>
      <vt:lpstr>MCTK</vt:lpstr>
      <vt:lpstr>SPRDRM</vt:lpstr>
      <vt:lpstr>MECFRM</vt:lpstr>
      <vt:lpstr>SPRD</vt:lpstr>
      <vt:lpstr>MTAL</vt:lpstr>
      <vt:lpstr>MDCH</vt:lpstr>
      <vt:lpstr>NCUM</vt:lpstr>
      <vt:lpstr>WSVR</vt:lpstr>
      <vt:lpstr>RTK3</vt:lpstr>
      <vt:lpstr>Template</vt:lpstr>
      <vt:lpstr>CPI_Escalator_to_Y1</vt:lpstr>
      <vt:lpstr>'Input|Materials'!currentyear</vt:lpstr>
      <vt:lpstr>'Input|Volume, Revenue, Cost'!currentyear</vt:lpstr>
      <vt:lpstr>currentyear</vt:lpstr>
      <vt:lpstr>'Input|Volume, Revenue, Cost'!DNSP</vt:lpstr>
      <vt:lpstr>DNSP</vt:lpstr>
      <vt:lpstr>RealContracts_Escalator_to_Y1</vt:lpstr>
      <vt:lpstr>RealLabour_Escalator_to_Y1</vt:lpstr>
      <vt:lpstr>RealMaterials_Escalator_to_Y1</vt:lpstr>
      <vt:lpstr>RealOther_Escalator_to_Y1</vt:lpstr>
      <vt:lpstr>RealVehicles_Escalator_to_Y1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2025-09-17T04:40:40Z</dcterms:created>
  <dcterms:modified xsi:type="dcterms:W3CDTF">2026-03-18T05:19:42Z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y fmtid="{D5CDD505-2E9C-101B-9397-08002B2CF9AE}" pid="3" name="MediaServiceImageTags">
    <vt:lpwstr/>
  </property>
  <property fmtid="{D5CDD505-2E9C-101B-9397-08002B2CF9AE}" pid="4" name="MSIP_Label_d9d5a995-dfdf-4407-9a97-edbbc68c9f53_Enabled">
    <vt:lpwstr>true</vt:lpwstr>
  </property>
  <property fmtid="{D5CDD505-2E9C-101B-9397-08002B2CF9AE}" pid="5" name="MSIP_Label_d9d5a995-dfdf-4407-9a97-edbbc68c9f53_SetDate">
    <vt:lpwstr>2025-12-01T21:37:51Z</vt:lpwstr>
  </property>
  <property fmtid="{D5CDD505-2E9C-101B-9397-08002B2CF9AE}" pid="6" name="MSIP_Label_d9d5a995-dfdf-4407-9a97-edbbc68c9f53_Method">
    <vt:lpwstr>Privileged</vt:lpwstr>
  </property>
  <property fmtid="{D5CDD505-2E9C-101B-9397-08002B2CF9AE}" pid="7" name="MSIP_Label_d9d5a995-dfdf-4407-9a97-edbbc68c9f53_Name">
    <vt:lpwstr>OFFICIAL</vt:lpwstr>
  </property>
  <property fmtid="{D5CDD505-2E9C-101B-9397-08002B2CF9AE}" pid="8" name="MSIP_Label_d9d5a995-dfdf-4407-9a97-edbbc68c9f53_SiteId">
    <vt:lpwstr>b33e9e1a-e443-4edd-9789-24bed26d38d6</vt:lpwstr>
  </property>
  <property fmtid="{D5CDD505-2E9C-101B-9397-08002B2CF9AE}" pid="9" name="MSIP_Label_d9d5a995-dfdf-4407-9a97-edbbc68c9f53_ActionId">
    <vt:lpwstr>dd048b35-ee55-4183-8853-5ba694fd7370</vt:lpwstr>
  </property>
  <property fmtid="{D5CDD505-2E9C-101B-9397-08002B2CF9AE}" pid="10" name="MSIP_Label_d9d5a995-dfdf-4407-9a97-edbbc68c9f53_ContentBits">
    <vt:lpwstr>0</vt:lpwstr>
  </property>
  <property fmtid="{D5CDD505-2E9C-101B-9397-08002B2CF9AE}" pid="11" name="MSIP_Label_d9d5a995-dfdf-4407-9a97-edbbc68c9f53_Tag">
    <vt:lpwstr>10, 0, 1, 1</vt:lpwstr>
  </property>
</Properties>
</file>