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AER\Opex modelling\AER opex models\31. VICTORIA 2026-31\United Energy\5. EBSS\Final decision\publish\"/>
    </mc:Choice>
  </mc:AlternateContent>
  <xr:revisionPtr revIDLastSave="0" documentId="13_ncr:1_{177CDF65-8CB8-45FE-9F03-C419DABEF648}" xr6:coauthVersionLast="47" xr6:coauthVersionMax="47" xr10:uidLastSave="{00000000-0000-0000-0000-000000000000}"/>
  <bookViews>
    <workbookView xWindow="-120" yWindow="-120" windowWidth="29040" windowHeight="15720" xr2:uid="{4546E5E0-B8D3-4F93-AB40-021BC56C6278}"/>
  </bookViews>
  <sheets>
    <sheet name="Final decision" sheetId="6" r:id="rId1"/>
  </sheets>
  <definedNames>
    <definedName name="dms_PRCP_BaseYear" localSheetId="0">'Final decision'!$C$14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M6" i="6"/>
  <c r="N6" i="6" s="1"/>
  <c r="L6" i="6"/>
  <c r="K6" i="6"/>
  <c r="J6" i="6"/>
  <c r="I6" i="6"/>
  <c r="H6" i="6"/>
  <c r="G6" i="6"/>
  <c r="F6" i="6"/>
  <c r="E6" i="6"/>
  <c r="D6" i="6"/>
  <c r="C41" i="6" l="1"/>
  <c r="B37" i="6"/>
  <c r="B36" i="6"/>
  <c r="G41" i="6"/>
  <c r="B35" i="6"/>
  <c r="N32" i="6"/>
  <c r="M32" i="6"/>
  <c r="L32" i="6"/>
  <c r="C32" i="6"/>
  <c r="N19" i="6"/>
  <c r="M19" i="6"/>
  <c r="L19" i="6"/>
  <c r="C19" i="6"/>
  <c r="N7" i="6"/>
  <c r="M7" i="6"/>
  <c r="L7" i="6"/>
  <c r="K7" i="6"/>
  <c r="J7" i="6"/>
  <c r="I7" i="6"/>
  <c r="H7" i="6"/>
  <c r="G7" i="6"/>
  <c r="F7" i="6"/>
  <c r="E7" i="6"/>
  <c r="D7" i="6"/>
  <c r="M8" i="6" l="1"/>
  <c r="E41" i="6"/>
  <c r="D27" i="6"/>
  <c r="D41" i="6"/>
  <c r="E27" i="6"/>
  <c r="C27" i="6"/>
  <c r="I27" i="6"/>
  <c r="H27" i="6"/>
  <c r="R37" i="6"/>
  <c r="R39" i="6"/>
  <c r="R36" i="6"/>
  <c r="R38" i="6"/>
  <c r="R40" i="6"/>
  <c r="L8" i="6"/>
  <c r="R35" i="6"/>
  <c r="H41" i="6"/>
  <c r="G27" i="6"/>
  <c r="I41" i="6"/>
  <c r="J27" i="6"/>
  <c r="F27" i="6"/>
  <c r="Q36" i="6" l="1"/>
  <c r="R33" i="6"/>
  <c r="Q40" i="6"/>
  <c r="Q35" i="6"/>
  <c r="K8" i="6"/>
  <c r="Q38" i="6"/>
  <c r="Q37" i="6"/>
  <c r="Q33" i="6"/>
  <c r="Q39" i="6"/>
  <c r="R41" i="6" l="1"/>
  <c r="Q41" i="6"/>
  <c r="P38" i="6"/>
  <c r="P40" i="6"/>
  <c r="P35" i="6"/>
  <c r="J8" i="6"/>
  <c r="P37" i="6"/>
  <c r="P39" i="6"/>
  <c r="P33" i="6"/>
  <c r="P36" i="6"/>
  <c r="P41" i="6" l="1"/>
  <c r="O38" i="6"/>
  <c r="I8" i="6"/>
  <c r="O40" i="6"/>
  <c r="O35" i="6"/>
  <c r="O37" i="6"/>
  <c r="O33" i="6"/>
  <c r="O36" i="6"/>
  <c r="P26" i="6" l="1"/>
  <c r="R23" i="6"/>
  <c r="O26" i="6"/>
  <c r="Q25" i="6"/>
  <c r="S24" i="6"/>
  <c r="Q24" i="6"/>
  <c r="Q22" i="6"/>
  <c r="P22" i="6"/>
  <c r="S23" i="6"/>
  <c r="N38" i="6"/>
  <c r="S25" i="6"/>
  <c r="P24" i="6"/>
  <c r="N40" i="6"/>
  <c r="R25" i="6"/>
  <c r="H8" i="6"/>
  <c r="R22" i="6"/>
  <c r="S26" i="6"/>
  <c r="Q26" i="6"/>
  <c r="O24" i="6"/>
  <c r="N35" i="6"/>
  <c r="R26" i="6"/>
  <c r="P25" i="6"/>
  <c r="O25" i="6"/>
  <c r="R24" i="6"/>
  <c r="S22" i="6"/>
  <c r="O22" i="6"/>
  <c r="P23" i="6"/>
  <c r="S20" i="6"/>
  <c r="N37" i="6"/>
  <c r="N39" i="6"/>
  <c r="P20" i="6"/>
  <c r="Q23" i="6"/>
  <c r="O23" i="6"/>
  <c r="N36" i="6"/>
  <c r="O20" i="6"/>
  <c r="R20" i="6"/>
  <c r="N33" i="6"/>
  <c r="Q20" i="6"/>
  <c r="O27" i="6" l="1"/>
  <c r="N24" i="6"/>
  <c r="N26" i="6"/>
  <c r="M40" i="6"/>
  <c r="M38" i="6"/>
  <c r="G8" i="6"/>
  <c r="N20" i="6"/>
  <c r="M35" i="6"/>
  <c r="N22" i="6"/>
  <c r="N25" i="6"/>
  <c r="M33" i="6"/>
  <c r="N23" i="6"/>
  <c r="M39" i="6"/>
  <c r="M36" i="6"/>
  <c r="M37" i="6"/>
  <c r="Q27" i="6"/>
  <c r="R27" i="6"/>
  <c r="P27" i="6"/>
  <c r="N41" i="6"/>
  <c r="S27" i="6"/>
  <c r="R44" i="6" l="1"/>
  <c r="M41" i="6"/>
  <c r="S41" i="6"/>
  <c r="Q44" i="6"/>
  <c r="N27" i="6"/>
  <c r="L38" i="6"/>
  <c r="F8" i="6"/>
  <c r="L40" i="6"/>
  <c r="L35" i="6"/>
  <c r="L37" i="6"/>
  <c r="L39" i="6"/>
  <c r="L36" i="6"/>
  <c r="L33" i="6"/>
  <c r="V55" i="6" l="1"/>
  <c r="S44" i="6"/>
  <c r="S55" i="6"/>
  <c r="W55" i="6"/>
  <c r="T55" i="6"/>
  <c r="U55" i="6"/>
  <c r="E8" i="6"/>
  <c r="L41" i="6"/>
  <c r="S54" i="6"/>
  <c r="V54" i="6"/>
  <c r="U54" i="6"/>
  <c r="R54" i="6"/>
  <c r="T54" i="6"/>
  <c r="W56" i="6" l="1"/>
  <c r="U56" i="6"/>
  <c r="T56" i="6"/>
  <c r="V56" i="6"/>
  <c r="X56" i="6"/>
  <c r="X57" i="6"/>
  <c r="W57" i="6"/>
  <c r="D8" i="6"/>
  <c r="V57" i="6"/>
  <c r="V61" i="6" l="1"/>
  <c r="W61" i="6"/>
  <c r="X61" i="6"/>
  <c r="C8" i="6"/>
  <c r="L24" i="6" l="1"/>
  <c r="L20" i="6"/>
  <c r="L23" i="6"/>
  <c r="M22" i="6"/>
  <c r="L22" i="6"/>
  <c r="M26" i="6"/>
  <c r="L26" i="6"/>
  <c r="M25" i="6"/>
  <c r="L25" i="6"/>
  <c r="M20" i="6"/>
  <c r="M23" i="6"/>
  <c r="M24" i="6"/>
  <c r="M27" i="6" l="1"/>
  <c r="L27" i="6"/>
  <c r="N44" i="6" l="1"/>
  <c r="M44" i="6"/>
  <c r="T51" i="6" l="1"/>
  <c r="S50" i="6"/>
  <c r="S57" i="6" l="1"/>
  <c r="F41" i="6" l="1"/>
  <c r="O39" i="6"/>
  <c r="O41" i="6" l="1"/>
  <c r="P44" i="6" l="1"/>
  <c r="O44" i="6"/>
  <c r="S53" i="6" l="1"/>
  <c r="T53" i="6"/>
  <c r="U53" i="6"/>
  <c r="Q53" i="6"/>
  <c r="R53" i="6"/>
  <c r="R52" i="6"/>
  <c r="P52" i="6"/>
  <c r="Q52" i="6"/>
  <c r="S52" i="6"/>
  <c r="T52" i="6"/>
  <c r="T57" i="6" l="1"/>
  <c r="U57" i="6"/>
  <c r="T61" i="6"/>
  <c r="Y57" i="6"/>
  <c r="U61" i="6" l="1"/>
  <c r="Y61" i="6"/>
</calcChain>
</file>

<file path=xl/sharedStrings.xml><?xml version="1.0" encoding="utf-8"?>
<sst xmlns="http://schemas.openxmlformats.org/spreadsheetml/2006/main" count="96" uniqueCount="54">
  <si>
    <t>Actual and estimated inflation</t>
  </si>
  <si>
    <t>Actual</t>
  </si>
  <si>
    <t>Estimated</t>
  </si>
  <si>
    <t>HY2021</t>
  </si>
  <si>
    <t>2021-22</t>
  </si>
  <si>
    <t>2022-23</t>
  </si>
  <si>
    <t>2023-24</t>
  </si>
  <si>
    <t>2024-25</t>
  </si>
  <si>
    <t>2025-26</t>
  </si>
  <si>
    <t>ABS CPI index - December/June</t>
  </si>
  <si>
    <t xml:space="preserve">Inflation rate (per cent) </t>
  </si>
  <si>
    <t>Reconstructed cumulative index (2025-26=1)</t>
  </si>
  <si>
    <t>7.5.1 -  The carryover amounts that arise from applying the EBSS during the current regulatory control period</t>
  </si>
  <si>
    <t>Base year used to forecast opex for the current period (drop down menu)</t>
  </si>
  <si>
    <t>Non-recurrent efficiency adjustment made to 2019 opex, $m, real June 2021</t>
  </si>
  <si>
    <t>7.5.1.1 - Opex allowance applicable to EBSS (EBSS target)</t>
  </si>
  <si>
    <t>$m, real December 2015</t>
  </si>
  <si>
    <t>$m, real December 2020</t>
  </si>
  <si>
    <t>$m, real June 2021</t>
  </si>
  <si>
    <t>$m, real June 2026</t>
  </si>
  <si>
    <t>Previous period</t>
  </si>
  <si>
    <t>Current regulatory control period</t>
  </si>
  <si>
    <t>Total opex allowance</t>
  </si>
  <si>
    <t xml:space="preserve">Approved excludable costs - allowance </t>
  </si>
  <si>
    <t>Approved opex, pass throughs and contingent projects</t>
  </si>
  <si>
    <t>Forecast opex for EBSS purposes</t>
  </si>
  <si>
    <t>7.5.1.2 - Actual and estimated opex applicable to EBSS</t>
  </si>
  <si>
    <t xml:space="preserve">$m, Actual </t>
  </si>
  <si>
    <t xml:space="preserve">Total opex </t>
  </si>
  <si>
    <t>Approved excludable costs</t>
  </si>
  <si>
    <t>Base year used to forecast opex 
(drop down menu)</t>
  </si>
  <si>
    <t>Capitalised opex that has been excluded from the regulatory asset base</t>
  </si>
  <si>
    <t>Movements in provisions related to opex</t>
  </si>
  <si>
    <t>Actual opex for EBSS purposes</t>
  </si>
  <si>
    <t>Base year non-recurrent efficiency gain $m, real June 2026</t>
  </si>
  <si>
    <t>Incremental gain $m, real June 2026</t>
  </si>
  <si>
    <t>Carryover</t>
  </si>
  <si>
    <t>Forthcoming regulatory control period</t>
  </si>
  <si>
    <t>2026-27</t>
  </si>
  <si>
    <t>2027-28</t>
  </si>
  <si>
    <t>2028-29</t>
  </si>
  <si>
    <t>2029-30</t>
  </si>
  <si>
    <t>2030-31</t>
  </si>
  <si>
    <t>Total</t>
  </si>
  <si>
    <t>2020 true-up</t>
  </si>
  <si>
    <t>HY2021 true-up</t>
  </si>
  <si>
    <t>Total Carryover Amount ($m, June 2026)</t>
  </si>
  <si>
    <t>WACC</t>
  </si>
  <si>
    <t>PTRM inputs ($m, June 2026)</t>
  </si>
  <si>
    <t>Debt raising costs</t>
  </si>
  <si>
    <t>GSL payments</t>
  </si>
  <si>
    <t>DMIA</t>
  </si>
  <si>
    <t>Other adjustments or exclusions required by the EBSS</t>
  </si>
  <si>
    <t>Other adjustments or exclusions required by the EBSS (remove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</si>
</sst>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  <numFmt numFmtId="167" formatCode="0.0;\–0.0;&quot;–&quot;"/>
    <numFmt numFmtId="168" formatCode="#,##0;\(#,##0\)"/>
    <numFmt numFmtId="169" formatCode="#,##0.0_ ;\-#,##0.0\ "/>
    <numFmt numFmtId="170" formatCode="0.0%"/>
    <numFmt numFmtId="171" formatCode="0.00;\–0.00;&quot;–&quot;"/>
    <numFmt numFmtId="172" formatCode="_-* #,##0.0_-;\-* #,##0.0_-;_-* &quot;-&quot;??_-;_-@_-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theme="1"/>
      <name val="Aptos Narrow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ptos Narrow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vertAlign val="superscript"/>
      <sz val="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</fills>
  <borders count="1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4" borderId="0">
      <alignment horizontal="left" vertical="center"/>
      <protection locked="0"/>
    </xf>
    <xf numFmtId="0" fontId="11" fillId="3" borderId="0">
      <alignment vertical="center"/>
      <protection locked="0"/>
    </xf>
    <xf numFmtId="49" fontId="4" fillId="7" borderId="51" applyAlignment="0">
      <alignment horizontal="left" vertical="center" wrapText="1"/>
      <protection locked="0"/>
    </xf>
    <xf numFmtId="0" fontId="1" fillId="0" borderId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5" fillId="2" borderId="0" xfId="2" applyFont="1" applyFill="1"/>
    <xf numFmtId="0" fontId="0" fillId="2" borderId="0" xfId="0" applyFill="1"/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164" fontId="7" fillId="6" borderId="7" xfId="0" applyNumberFormat="1" applyFont="1" applyFill="1" applyBorder="1" applyAlignment="1">
      <alignment horizontal="centerContinuous" vertical="center"/>
    </xf>
    <xf numFmtId="164" fontId="7" fillId="6" borderId="8" xfId="0" applyNumberFormat="1" applyFont="1" applyFill="1" applyBorder="1" applyAlignment="1">
      <alignment horizontal="centerContinuous" vertical="center"/>
    </xf>
    <xf numFmtId="164" fontId="7" fillId="6" borderId="9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9" fillId="6" borderId="10" xfId="0" quotePrefix="1" applyFont="1" applyFill="1" applyBorder="1" applyAlignment="1">
      <alignment horizontal="right" vertical="center"/>
    </xf>
    <xf numFmtId="0" fontId="9" fillId="6" borderId="11" xfId="0" quotePrefix="1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right" vertical="center"/>
    </xf>
    <xf numFmtId="0" fontId="9" fillId="6" borderId="12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 indent="1"/>
    </xf>
    <xf numFmtId="164" fontId="4" fillId="7" borderId="16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13" xfId="0" applyFont="1" applyFill="1" applyBorder="1" applyAlignment="1">
      <alignment horizontal="left" vertical="center" wrapText="1" indent="1"/>
    </xf>
    <xf numFmtId="164" fontId="7" fillId="5" borderId="17" xfId="0" applyNumberFormat="1" applyFont="1" applyFill="1" applyBorder="1" applyAlignment="1">
      <alignment vertical="center"/>
    </xf>
    <xf numFmtId="10" fontId="4" fillId="2" borderId="18" xfId="1" applyNumberFormat="1" applyFont="1" applyFill="1" applyBorder="1" applyAlignment="1" applyProtection="1">
      <alignment horizontal="right" vertical="center" wrapText="1"/>
    </xf>
    <xf numFmtId="10" fontId="4" fillId="2" borderId="19" xfId="1" applyNumberFormat="1" applyFont="1" applyFill="1" applyBorder="1" applyAlignment="1" applyProtection="1">
      <alignment horizontal="right" vertical="center" wrapText="1"/>
    </xf>
    <xf numFmtId="0" fontId="10" fillId="2" borderId="20" xfId="0" applyFont="1" applyFill="1" applyBorder="1" applyAlignment="1">
      <alignment horizontal="left" vertical="center" wrapText="1" indent="1"/>
    </xf>
    <xf numFmtId="2" fontId="4" fillId="2" borderId="21" xfId="1" applyNumberFormat="1" applyFont="1" applyFill="1" applyBorder="1" applyAlignment="1" applyProtection="1">
      <alignment horizontal="right" vertical="center" wrapText="1"/>
    </xf>
    <xf numFmtId="2" fontId="4" fillId="2" borderId="22" xfId="1" applyNumberFormat="1" applyFont="1" applyFill="1" applyBorder="1" applyAlignment="1" applyProtection="1">
      <alignment horizontal="right" vertical="center" wrapText="1"/>
    </xf>
    <xf numFmtId="2" fontId="4" fillId="2" borderId="23" xfId="1" applyNumberFormat="1" applyFont="1" applyFill="1" applyBorder="1" applyAlignment="1" applyProtection="1">
      <alignment horizontal="right" vertical="center" wrapText="1"/>
    </xf>
    <xf numFmtId="2" fontId="4" fillId="2" borderId="24" xfId="1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Alignment="1">
      <alignment horizontal="left" vertical="center" wrapText="1" indent="1"/>
    </xf>
    <xf numFmtId="0" fontId="5" fillId="0" borderId="0" xfId="0" applyFont="1"/>
    <xf numFmtId="165" fontId="5" fillId="0" borderId="0" xfId="0" applyNumberFormat="1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2" fontId="7" fillId="0" borderId="0" xfId="0" applyNumberFormat="1" applyFont="1" applyAlignment="1">
      <alignment horizontal="center"/>
    </xf>
    <xf numFmtId="0" fontId="5" fillId="2" borderId="0" xfId="0" applyFont="1" applyFill="1"/>
    <xf numFmtId="0" fontId="12" fillId="3" borderId="0" xfId="4" applyFont="1" applyProtection="1">
      <alignment vertical="center"/>
    </xf>
    <xf numFmtId="0" fontId="13" fillId="3" borderId="0" xfId="4" applyFont="1" applyProtection="1">
      <alignment vertical="center"/>
    </xf>
    <xf numFmtId="0" fontId="14" fillId="2" borderId="0" xfId="0" applyFont="1" applyFill="1"/>
    <xf numFmtId="0" fontId="15" fillId="0" borderId="25" xfId="0" applyFont="1" applyBorder="1"/>
    <xf numFmtId="0" fontId="3" fillId="7" borderId="25" xfId="0" applyFont="1" applyFill="1" applyBorder="1" applyAlignment="1" applyProtection="1">
      <alignment horizontal="right"/>
      <protection locked="0"/>
    </xf>
    <xf numFmtId="0" fontId="3" fillId="7" borderId="25" xfId="0" applyFont="1" applyFill="1" applyBorder="1" applyProtection="1">
      <protection locked="0"/>
    </xf>
    <xf numFmtId="0" fontId="16" fillId="5" borderId="3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17" fillId="2" borderId="0" xfId="0" applyFont="1" applyFill="1"/>
    <xf numFmtId="0" fontId="7" fillId="8" borderId="28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right" vertical="center"/>
    </xf>
    <xf numFmtId="0" fontId="7" fillId="5" borderId="36" xfId="0" applyFont="1" applyFill="1" applyBorder="1" applyAlignment="1">
      <alignment horizontal="right" vertical="center"/>
    </xf>
    <xf numFmtId="0" fontId="7" fillId="5" borderId="37" xfId="0" applyFont="1" applyFill="1" applyBorder="1" applyAlignment="1">
      <alignment horizontal="right" vertical="center"/>
    </xf>
    <xf numFmtId="0" fontId="7" fillId="9" borderId="38" xfId="0" applyFont="1" applyFill="1" applyBorder="1" applyAlignment="1">
      <alignment horizontal="right" vertical="center"/>
    </xf>
    <xf numFmtId="0" fontId="7" fillId="9" borderId="39" xfId="0" applyFont="1" applyFill="1" applyBorder="1" applyAlignment="1">
      <alignment horizontal="right" vertical="center"/>
    </xf>
    <xf numFmtId="0" fontId="7" fillId="9" borderId="40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left" vertical="center" wrapText="1" indent="1"/>
    </xf>
    <xf numFmtId="0" fontId="18" fillId="10" borderId="47" xfId="0" applyFont="1" applyFill="1" applyBorder="1" applyAlignment="1">
      <alignment horizontal="left" vertical="center" wrapText="1" indent="1"/>
    </xf>
    <xf numFmtId="0" fontId="4" fillId="0" borderId="47" xfId="6" applyFont="1" applyBorder="1" applyAlignment="1">
      <alignment horizontal="left" vertical="center" indent="1"/>
    </xf>
    <xf numFmtId="166" fontId="7" fillId="0" borderId="0" xfId="0" applyNumberFormat="1" applyFont="1"/>
    <xf numFmtId="0" fontId="4" fillId="0" borderId="62" xfId="0" applyFont="1" applyBorder="1" applyAlignment="1">
      <alignment horizontal="left" vertical="center" wrapText="1" indent="1"/>
    </xf>
    <xf numFmtId="167" fontId="7" fillId="11" borderId="69" xfId="1" applyNumberFormat="1" applyFont="1" applyFill="1" applyBorder="1" applyAlignment="1" applyProtection="1">
      <alignment horizontal="right" wrapText="1"/>
      <protection locked="0"/>
    </xf>
    <xf numFmtId="167" fontId="7" fillId="11" borderId="70" xfId="1" applyNumberFormat="1" applyFont="1" applyFill="1" applyBorder="1" applyAlignment="1" applyProtection="1">
      <alignment horizontal="right" wrapText="1"/>
      <protection locked="0"/>
    </xf>
    <xf numFmtId="167" fontId="7" fillId="11" borderId="71" xfId="1" applyNumberFormat="1" applyFont="1" applyFill="1" applyBorder="1" applyAlignment="1" applyProtection="1">
      <alignment horizontal="right" wrapText="1"/>
    </xf>
    <xf numFmtId="167" fontId="7" fillId="11" borderId="69" xfId="1" applyNumberFormat="1" applyFont="1" applyFill="1" applyBorder="1" applyAlignment="1" applyProtection="1">
      <alignment horizontal="right" wrapText="1"/>
    </xf>
    <xf numFmtId="167" fontId="7" fillId="11" borderId="70" xfId="1" applyNumberFormat="1" applyFont="1" applyFill="1" applyBorder="1" applyAlignment="1" applyProtection="1">
      <alignment horizontal="right" wrapText="1"/>
    </xf>
    <xf numFmtId="0" fontId="18" fillId="0" borderId="72" xfId="0" applyFont="1" applyBorder="1" applyAlignment="1">
      <alignment vertical="center"/>
    </xf>
    <xf numFmtId="0" fontId="18" fillId="0" borderId="0" xfId="0" applyFont="1" applyAlignment="1">
      <alignment vertical="center"/>
    </xf>
    <xf numFmtId="164" fontId="19" fillId="0" borderId="0" xfId="0" applyNumberFormat="1" applyFont="1"/>
    <xf numFmtId="0" fontId="5" fillId="0" borderId="72" xfId="0" applyFont="1" applyBorder="1"/>
    <xf numFmtId="0" fontId="20" fillId="2" borderId="7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74" xfId="0" applyFont="1" applyBorder="1" applyAlignment="1">
      <alignment horizontal="left" vertical="center" wrapText="1" indent="1"/>
    </xf>
    <xf numFmtId="2" fontId="7" fillId="5" borderId="76" xfId="0" applyNumberFormat="1" applyFont="1" applyFill="1" applyBorder="1" applyProtection="1">
      <protection locked="0"/>
    </xf>
    <xf numFmtId="2" fontId="7" fillId="5" borderId="79" xfId="0" applyNumberFormat="1" applyFont="1" applyFill="1" applyBorder="1" applyProtection="1">
      <protection locked="0"/>
    </xf>
    <xf numFmtId="0" fontId="4" fillId="0" borderId="47" xfId="0" applyFont="1" applyBorder="1" applyAlignment="1">
      <alignment horizontal="left" vertical="center" wrapText="1" indent="3"/>
    </xf>
    <xf numFmtId="0" fontId="4" fillId="0" borderId="47" xfId="0" applyFont="1" applyBorder="1" applyAlignment="1">
      <alignment horizontal="left" vertical="center" wrapText="1" indent="1"/>
    </xf>
    <xf numFmtId="166" fontId="5" fillId="0" borderId="0" xfId="0" applyNumberFormat="1" applyFont="1"/>
    <xf numFmtId="2" fontId="7" fillId="5" borderId="82" xfId="0" applyNumberFormat="1" applyFont="1" applyFill="1" applyBorder="1" applyProtection="1">
      <protection locked="0"/>
    </xf>
    <xf numFmtId="167" fontId="7" fillId="11" borderId="39" xfId="1" applyNumberFormat="1" applyFont="1" applyFill="1" applyBorder="1" applyAlignment="1" applyProtection="1">
      <alignment horizontal="right" wrapText="1"/>
      <protection locked="0"/>
    </xf>
    <xf numFmtId="164" fontId="7" fillId="11" borderId="40" xfId="1" applyNumberFormat="1" applyFont="1" applyFill="1" applyBorder="1" applyAlignment="1" applyProtection="1">
      <alignment horizontal="right" wrapText="1"/>
      <protection locked="0"/>
    </xf>
    <xf numFmtId="167" fontId="22" fillId="13" borderId="85" xfId="0" applyNumberFormat="1" applyFont="1" applyFill="1" applyBorder="1" applyProtection="1">
      <protection locked="0"/>
    </xf>
    <xf numFmtId="0" fontId="9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3" fillId="5" borderId="86" xfId="0" applyFont="1" applyFill="1" applyBorder="1" applyAlignment="1">
      <alignment horizontal="left" vertical="center"/>
    </xf>
    <xf numFmtId="0" fontId="20" fillId="14" borderId="26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7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5" borderId="87" xfId="0" applyFill="1" applyBorder="1"/>
    <xf numFmtId="167" fontId="24" fillId="10" borderId="71" xfId="0" applyNumberFormat="1" applyFont="1" applyFill="1" applyBorder="1" applyAlignment="1">
      <alignment horizontal="right" vertical="center"/>
    </xf>
    <xf numFmtId="167" fontId="4" fillId="10" borderId="69" xfId="0" applyNumberFormat="1" applyFont="1" applyFill="1" applyBorder="1" applyAlignment="1">
      <alignment horizontal="right" vertical="center"/>
    </xf>
    <xf numFmtId="167" fontId="4" fillId="10" borderId="71" xfId="0" applyNumberFormat="1" applyFont="1" applyFill="1" applyBorder="1" applyAlignment="1">
      <alignment horizontal="right" vertical="center"/>
    </xf>
    <xf numFmtId="167" fontId="4" fillId="10" borderId="7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23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3" fillId="5" borderId="26" xfId="0" applyFont="1" applyFill="1" applyBorder="1" applyAlignment="1">
      <alignment horizontal="left" vertical="center"/>
    </xf>
    <xf numFmtId="0" fontId="23" fillId="5" borderId="77" xfId="0" applyFont="1" applyFill="1" applyBorder="1" applyAlignment="1">
      <alignment horizontal="left" vertical="center"/>
    </xf>
    <xf numFmtId="0" fontId="7" fillId="2" borderId="86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9" fillId="10" borderId="91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9" borderId="95" xfId="0" applyFont="1" applyFill="1" applyBorder="1" applyAlignment="1">
      <alignment horizontal="right" vertical="center"/>
    </xf>
    <xf numFmtId="0" fontId="7" fillId="9" borderId="96" xfId="0" applyFont="1" applyFill="1" applyBorder="1" applyAlignment="1">
      <alignment horizontal="right" vertical="center"/>
    </xf>
    <xf numFmtId="0" fontId="7" fillId="15" borderId="96" xfId="0" applyFont="1" applyFill="1" applyBorder="1" applyAlignment="1">
      <alignment horizontal="right" vertical="center"/>
    </xf>
    <xf numFmtId="0" fontId="3" fillId="10" borderId="97" xfId="0" applyFont="1" applyFill="1" applyBorder="1"/>
    <xf numFmtId="169" fontId="4" fillId="17" borderId="98" xfId="0" applyNumberFormat="1" applyFont="1" applyFill="1" applyBorder="1" applyAlignment="1">
      <alignment horizontal="right" vertical="center"/>
    </xf>
    <xf numFmtId="169" fontId="4" fillId="17" borderId="0" xfId="0" applyNumberFormat="1" applyFont="1" applyFill="1" applyAlignment="1">
      <alignment horizontal="right" vertical="center"/>
    </xf>
    <xf numFmtId="169" fontId="4" fillId="2" borderId="25" xfId="0" applyNumberFormat="1" applyFont="1" applyFill="1" applyBorder="1" applyAlignment="1">
      <alignment horizontal="right" vertical="center"/>
    </xf>
    <xf numFmtId="0" fontId="3" fillId="10" borderId="73" xfId="0" applyFont="1" applyFill="1" applyBorder="1"/>
    <xf numFmtId="169" fontId="4" fillId="17" borderId="80" xfId="0" applyNumberFormat="1" applyFont="1" applyFill="1" applyBorder="1" applyAlignment="1">
      <alignment horizontal="left" vertical="center"/>
    </xf>
    <xf numFmtId="169" fontId="4" fillId="17" borderId="0" xfId="0" applyNumberFormat="1" applyFont="1" applyFill="1" applyAlignment="1">
      <alignment horizontal="left" vertical="center"/>
    </xf>
    <xf numFmtId="169" fontId="4" fillId="17" borderId="72" xfId="0" applyNumberFormat="1" applyFont="1" applyFill="1" applyBorder="1" applyAlignment="1">
      <alignment horizontal="left" vertical="center"/>
    </xf>
    <xf numFmtId="169" fontId="4" fillId="2" borderId="99" xfId="0" applyNumberFormat="1" applyFont="1" applyFill="1" applyBorder="1" applyAlignment="1">
      <alignment horizontal="right" vertical="center"/>
    </xf>
    <xf numFmtId="169" fontId="4" fillId="2" borderId="71" xfId="0" applyNumberFormat="1" applyFont="1" applyFill="1" applyBorder="1" applyAlignment="1">
      <alignment horizontal="right" vertical="center"/>
    </xf>
    <xf numFmtId="169" fontId="4" fillId="2" borderId="18" xfId="0" applyNumberFormat="1" applyFont="1" applyFill="1" applyBorder="1" applyAlignment="1">
      <alignment horizontal="right" vertical="center"/>
    </xf>
    <xf numFmtId="169" fontId="4" fillId="2" borderId="100" xfId="0" applyNumberFormat="1" applyFont="1" applyFill="1" applyBorder="1" applyAlignment="1">
      <alignment horizontal="right" vertical="center"/>
    </xf>
    <xf numFmtId="169" fontId="4" fillId="2" borderId="101" xfId="0" applyNumberFormat="1" applyFont="1" applyFill="1" applyBorder="1" applyAlignment="1">
      <alignment horizontal="right" vertical="center"/>
    </xf>
    <xf numFmtId="169" fontId="4" fillId="17" borderId="87" xfId="0" applyNumberFormat="1" applyFont="1" applyFill="1" applyBorder="1" applyAlignment="1">
      <alignment horizontal="right" vertical="center"/>
    </xf>
    <xf numFmtId="0" fontId="0" fillId="10" borderId="73" xfId="0" applyFill="1" applyBorder="1"/>
    <xf numFmtId="169" fontId="4" fillId="2" borderId="21" xfId="0" applyNumberFormat="1" applyFont="1" applyFill="1" applyBorder="1" applyAlignment="1">
      <alignment horizontal="right" vertical="center"/>
    </xf>
    <xf numFmtId="169" fontId="4" fillId="2" borderId="102" xfId="0" applyNumberFormat="1" applyFont="1" applyFill="1" applyBorder="1" applyAlignment="1">
      <alignment horizontal="right" vertical="center"/>
    </xf>
    <xf numFmtId="169" fontId="4" fillId="2" borderId="56" xfId="0" applyNumberFormat="1" applyFont="1" applyFill="1" applyBorder="1" applyAlignment="1">
      <alignment horizontal="right" vertical="center"/>
    </xf>
    <xf numFmtId="169" fontId="4" fillId="2" borderId="16" xfId="0" applyNumberFormat="1" applyFont="1" applyFill="1" applyBorder="1" applyAlignment="1">
      <alignment horizontal="right" vertical="center"/>
    </xf>
    <xf numFmtId="169" fontId="4" fillId="2" borderId="20" xfId="0" applyNumberFormat="1" applyFont="1" applyFill="1" applyBorder="1" applyAlignment="1">
      <alignment horizontal="right" vertical="center"/>
    </xf>
    <xf numFmtId="169" fontId="4" fillId="2" borderId="103" xfId="0" applyNumberFormat="1" applyFont="1" applyFill="1" applyBorder="1" applyAlignment="1">
      <alignment horizontal="right" vertical="center"/>
    </xf>
    <xf numFmtId="169" fontId="4" fillId="2" borderId="104" xfId="0" applyNumberFormat="1" applyFont="1" applyFill="1" applyBorder="1" applyAlignment="1">
      <alignment horizontal="right" vertical="center"/>
    </xf>
    <xf numFmtId="169" fontId="4" fillId="2" borderId="105" xfId="0" applyNumberFormat="1" applyFont="1" applyFill="1" applyBorder="1" applyAlignment="1">
      <alignment horizontal="right" vertical="center"/>
    </xf>
    <xf numFmtId="169" fontId="4" fillId="2" borderId="106" xfId="0" applyNumberFormat="1" applyFont="1" applyFill="1" applyBorder="1" applyAlignment="1">
      <alignment horizontal="right" vertical="center"/>
    </xf>
    <xf numFmtId="169" fontId="4" fillId="2" borderId="107" xfId="0" applyNumberFormat="1" applyFont="1" applyFill="1" applyBorder="1" applyAlignment="1">
      <alignment horizontal="right" vertical="center"/>
    </xf>
    <xf numFmtId="169" fontId="4" fillId="2" borderId="108" xfId="0" applyNumberFormat="1" applyFont="1" applyFill="1" applyBorder="1" applyAlignment="1">
      <alignment horizontal="right" vertical="center"/>
    </xf>
    <xf numFmtId="169" fontId="4" fillId="2" borderId="109" xfId="0" applyNumberFormat="1" applyFont="1" applyFill="1" applyBorder="1" applyAlignment="1">
      <alignment horizontal="right" vertical="center"/>
    </xf>
    <xf numFmtId="0" fontId="25" fillId="18" borderId="3" xfId="0" applyFont="1" applyFill="1" applyBorder="1"/>
    <xf numFmtId="0" fontId="25" fillId="18" borderId="4" xfId="0" applyFont="1" applyFill="1" applyBorder="1" applyAlignment="1">
      <alignment wrapText="1"/>
    </xf>
    <xf numFmtId="169" fontId="25" fillId="18" borderId="4" xfId="0" applyNumberFormat="1" applyFont="1" applyFill="1" applyBorder="1" applyAlignment="1">
      <alignment horizontal="right"/>
    </xf>
    <xf numFmtId="167" fontId="25" fillId="18" borderId="110" xfId="0" applyNumberFormat="1" applyFont="1" applyFill="1" applyBorder="1" applyAlignment="1">
      <alignment horizontal="right"/>
    </xf>
    <xf numFmtId="167" fontId="25" fillId="18" borderId="111" xfId="0" applyNumberFormat="1" applyFont="1" applyFill="1" applyBorder="1" applyAlignment="1">
      <alignment horizontal="right"/>
    </xf>
    <xf numFmtId="0" fontId="26" fillId="0" borderId="0" xfId="0" applyFont="1" applyAlignment="1">
      <alignment horizontal="left" vertical="center"/>
    </xf>
    <xf numFmtId="169" fontId="7" fillId="2" borderId="0" xfId="0" applyNumberFormat="1" applyFont="1" applyFill="1" applyAlignment="1">
      <alignment horizontal="right" vertical="center"/>
    </xf>
    <xf numFmtId="0" fontId="25" fillId="18" borderId="3" xfId="0" applyFont="1" applyFill="1" applyBorder="1" applyAlignment="1">
      <alignment vertical="center"/>
    </xf>
    <xf numFmtId="0" fontId="25" fillId="18" borderId="4" xfId="0" applyFont="1" applyFill="1" applyBorder="1" applyAlignment="1">
      <alignment vertical="center"/>
    </xf>
    <xf numFmtId="2" fontId="7" fillId="18" borderId="4" xfId="0" applyNumberFormat="1" applyFont="1" applyFill="1" applyBorder="1" applyAlignment="1">
      <alignment horizontal="right"/>
    </xf>
    <xf numFmtId="164" fontId="7" fillId="5" borderId="112" xfId="0" applyNumberFormat="1" applyFont="1" applyFill="1" applyBorder="1" applyProtection="1">
      <protection locked="0"/>
    </xf>
    <xf numFmtId="164" fontId="7" fillId="5" borderId="4" xfId="0" applyNumberFormat="1" applyFont="1" applyFill="1" applyBorder="1" applyProtection="1">
      <protection locked="0"/>
    </xf>
    <xf numFmtId="164" fontId="7" fillId="5" borderId="113" xfId="0" applyNumberFormat="1" applyFont="1" applyFill="1" applyBorder="1" applyProtection="1">
      <protection locked="0"/>
    </xf>
    <xf numFmtId="170" fontId="4" fillId="7" borderId="69" xfId="1" applyNumberFormat="1" applyFont="1" applyFill="1" applyBorder="1" applyAlignment="1" applyProtection="1">
      <alignment vertical="center" wrapText="1"/>
      <protection locked="0"/>
    </xf>
    <xf numFmtId="164" fontId="7" fillId="5" borderId="5" xfId="0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2" fillId="0" borderId="0" xfId="0" applyFont="1"/>
    <xf numFmtId="168" fontId="9" fillId="7" borderId="3" xfId="0" applyNumberFormat="1" applyFont="1" applyFill="1" applyBorder="1" applyAlignment="1" applyProtection="1">
      <alignment horizontal="center"/>
      <protection locked="0"/>
    </xf>
    <xf numFmtId="164" fontId="4" fillId="5" borderId="15" xfId="1" applyNumberFormat="1" applyFont="1" applyFill="1" applyBorder="1" applyAlignment="1" applyProtection="1">
      <alignment horizontal="right" vertical="center" wrapText="1"/>
      <protection locked="0"/>
    </xf>
    <xf numFmtId="164" fontId="4" fillId="5" borderId="14" xfId="1" applyNumberFormat="1" applyFont="1" applyFill="1" applyBorder="1" applyAlignment="1" applyProtection="1">
      <alignment horizontal="right" vertical="center" wrapText="1"/>
      <protection locked="0"/>
    </xf>
    <xf numFmtId="49" fontId="4" fillId="7" borderId="58" xfId="5" applyBorder="1" applyAlignment="1">
      <alignment horizontal="left" indent="3"/>
      <protection locked="0"/>
    </xf>
    <xf numFmtId="49" fontId="4" fillId="7" borderId="60" xfId="5" applyBorder="1" applyAlignment="1">
      <alignment horizontal="left" indent="3"/>
      <protection locked="0"/>
    </xf>
    <xf numFmtId="49" fontId="4" fillId="7" borderId="61" xfId="5" applyBorder="1" applyAlignment="1">
      <alignment horizontal="left" indent="3"/>
      <protection locked="0"/>
    </xf>
    <xf numFmtId="167" fontId="4" fillId="7" borderId="42" xfId="0" applyNumberFormat="1" applyFont="1" applyFill="1" applyBorder="1" applyAlignment="1" applyProtection="1">
      <alignment vertical="center" wrapText="1"/>
      <protection locked="0"/>
    </xf>
    <xf numFmtId="167" fontId="4" fillId="7" borderId="43" xfId="0" applyNumberFormat="1" applyFont="1" applyFill="1" applyBorder="1" applyAlignment="1" applyProtection="1">
      <alignment vertical="center" wrapText="1"/>
      <protection locked="0"/>
    </xf>
    <xf numFmtId="167" fontId="4" fillId="7" borderId="44" xfId="0" applyNumberFormat="1" applyFont="1" applyFill="1" applyBorder="1" applyAlignment="1" applyProtection="1">
      <alignment vertical="center" wrapText="1"/>
      <protection locked="0"/>
    </xf>
    <xf numFmtId="167" fontId="7" fillId="5" borderId="48" xfId="0" applyNumberFormat="1" applyFont="1" applyFill="1" applyBorder="1" applyAlignment="1" applyProtection="1">
      <alignment vertical="center"/>
      <protection locked="0"/>
    </xf>
    <xf numFmtId="167" fontId="7" fillId="5" borderId="49" xfId="0" applyNumberFormat="1" applyFont="1" applyFill="1" applyBorder="1" applyAlignment="1" applyProtection="1">
      <alignment vertical="center"/>
      <protection locked="0"/>
    </xf>
    <xf numFmtId="167" fontId="7" fillId="5" borderId="50" xfId="0" applyNumberFormat="1" applyFont="1" applyFill="1" applyBorder="1" applyAlignment="1" applyProtection="1">
      <alignment vertical="center"/>
      <protection locked="0"/>
    </xf>
    <xf numFmtId="167" fontId="7" fillId="5" borderId="51" xfId="0" applyNumberFormat="1" applyFont="1" applyFill="1" applyBorder="1" applyAlignment="1" applyProtection="1">
      <alignment vertical="center"/>
      <protection locked="0"/>
    </xf>
    <xf numFmtId="167" fontId="7" fillId="5" borderId="52" xfId="0" applyNumberFormat="1" applyFont="1" applyFill="1" applyBorder="1" applyAlignment="1" applyProtection="1">
      <alignment vertical="center"/>
      <protection locked="0"/>
    </xf>
    <xf numFmtId="167" fontId="4" fillId="7" borderId="48" xfId="0" applyNumberFormat="1" applyFont="1" applyFill="1" applyBorder="1" applyAlignment="1" applyProtection="1">
      <alignment vertical="center" wrapText="1"/>
      <protection locked="0"/>
    </xf>
    <xf numFmtId="167" fontId="4" fillId="7" borderId="49" xfId="0" applyNumberFormat="1" applyFont="1" applyFill="1" applyBorder="1" applyAlignment="1" applyProtection="1">
      <alignment vertical="center" wrapText="1"/>
      <protection locked="0"/>
    </xf>
    <xf numFmtId="167" fontId="4" fillId="7" borderId="50" xfId="0" applyNumberFormat="1" applyFont="1" applyFill="1" applyBorder="1" applyAlignment="1" applyProtection="1">
      <alignment vertical="center" wrapText="1"/>
      <protection locked="0"/>
    </xf>
    <xf numFmtId="167" fontId="4" fillId="7" borderId="51" xfId="0" applyNumberFormat="1" applyFont="1" applyFill="1" applyBorder="1" applyAlignment="1" applyProtection="1">
      <alignment vertical="center" wrapText="1"/>
      <protection locked="0"/>
    </xf>
    <xf numFmtId="167" fontId="4" fillId="7" borderId="52" xfId="0" applyNumberFormat="1" applyFont="1" applyFill="1" applyBorder="1" applyAlignment="1" applyProtection="1">
      <alignment vertical="center" wrapText="1"/>
      <protection locked="0"/>
    </xf>
    <xf numFmtId="167" fontId="4" fillId="7" borderId="48" xfId="7" applyNumberFormat="1" applyFont="1" applyFill="1" applyBorder="1" applyAlignment="1" applyProtection="1">
      <alignment vertical="center" wrapText="1"/>
      <protection locked="0"/>
    </xf>
    <xf numFmtId="167" fontId="4" fillId="7" borderId="49" xfId="7" applyNumberFormat="1" applyFont="1" applyFill="1" applyBorder="1" applyAlignment="1" applyProtection="1">
      <alignment vertical="center" wrapText="1"/>
      <protection locked="0"/>
    </xf>
    <xf numFmtId="167" fontId="4" fillId="7" borderId="63" xfId="0" applyNumberFormat="1" applyFont="1" applyFill="1" applyBorder="1" applyAlignment="1" applyProtection="1">
      <alignment vertical="center" wrapText="1"/>
      <protection locked="0"/>
    </xf>
    <xf numFmtId="167" fontId="4" fillId="7" borderId="64" xfId="0" applyNumberFormat="1" applyFont="1" applyFill="1" applyBorder="1" applyAlignment="1" applyProtection="1">
      <alignment vertical="center" wrapText="1"/>
      <protection locked="0"/>
    </xf>
    <xf numFmtId="167" fontId="4" fillId="7" borderId="65" xfId="0" applyNumberFormat="1" applyFont="1" applyFill="1" applyBorder="1" applyAlignment="1" applyProtection="1">
      <alignment vertical="center" wrapText="1"/>
      <protection locked="0"/>
    </xf>
    <xf numFmtId="167" fontId="4" fillId="7" borderId="66" xfId="0" applyNumberFormat="1" applyFont="1" applyFill="1" applyBorder="1" applyAlignment="1" applyProtection="1">
      <alignment vertical="center" wrapText="1"/>
      <protection locked="0"/>
    </xf>
    <xf numFmtId="167" fontId="4" fillId="7" borderId="67" xfId="0" applyNumberFormat="1" applyFont="1" applyFill="1" applyBorder="1" applyAlignment="1" applyProtection="1">
      <alignment vertical="center" wrapText="1"/>
      <protection locked="0"/>
    </xf>
    <xf numFmtId="167" fontId="4" fillId="7" borderId="46" xfId="0" applyNumberFormat="1" applyFont="1" applyFill="1" applyBorder="1" applyAlignment="1" applyProtection="1">
      <alignment vertical="center" wrapText="1"/>
      <protection locked="0"/>
    </xf>
    <xf numFmtId="167" fontId="4" fillId="7" borderId="75" xfId="0" applyNumberFormat="1" applyFont="1" applyFill="1" applyBorder="1" applyAlignment="1" applyProtection="1">
      <alignment vertical="center" wrapText="1"/>
      <protection locked="0"/>
    </xf>
    <xf numFmtId="167" fontId="7" fillId="5" borderId="55" xfId="0" applyNumberFormat="1" applyFont="1" applyFill="1" applyBorder="1" applyProtection="1">
      <protection locked="0"/>
    </xf>
    <xf numFmtId="167" fontId="7" fillId="5" borderId="78" xfId="0" applyNumberFormat="1" applyFont="1" applyFill="1" applyBorder="1" applyProtection="1">
      <protection locked="0"/>
    </xf>
    <xf numFmtId="167" fontId="7" fillId="5" borderId="56" xfId="0" applyNumberFormat="1" applyFont="1" applyFill="1" applyBorder="1" applyProtection="1">
      <protection locked="0"/>
    </xf>
    <xf numFmtId="167" fontId="7" fillId="5" borderId="54" xfId="0" applyNumberFormat="1" applyFont="1" applyFill="1" applyBorder="1" applyProtection="1">
      <protection locked="0"/>
    </xf>
    <xf numFmtId="167" fontId="4" fillId="7" borderId="56" xfId="0" applyNumberFormat="1" applyFont="1" applyFill="1" applyBorder="1" applyAlignment="1" applyProtection="1">
      <alignment vertical="center" wrapText="1"/>
      <protection locked="0"/>
    </xf>
    <xf numFmtId="167" fontId="4" fillId="7" borderId="54" xfId="0" applyNumberFormat="1" applyFont="1" applyFill="1" applyBorder="1" applyAlignment="1" applyProtection="1">
      <alignment vertical="center" wrapText="1"/>
      <protection locked="0"/>
    </xf>
    <xf numFmtId="167" fontId="4" fillId="7" borderId="55" xfId="0" applyNumberFormat="1" applyFont="1" applyFill="1" applyBorder="1" applyAlignment="1" applyProtection="1">
      <alignment vertical="center" wrapText="1"/>
      <protection locked="0"/>
    </xf>
    <xf numFmtId="167" fontId="4" fillId="7" borderId="56" xfId="7" applyNumberFormat="1" applyFont="1" applyFill="1" applyBorder="1" applyAlignment="1" applyProtection="1">
      <alignment vertical="center" wrapText="1"/>
      <protection locked="0"/>
    </xf>
    <xf numFmtId="167" fontId="4" fillId="7" borderId="23" xfId="0" applyNumberFormat="1" applyFont="1" applyFill="1" applyBorder="1" applyAlignment="1" applyProtection="1">
      <alignment vertical="center" wrapText="1"/>
      <protection locked="0"/>
    </xf>
    <xf numFmtId="167" fontId="4" fillId="7" borderId="36" xfId="0" applyNumberFormat="1" applyFont="1" applyFill="1" applyBorder="1" applyAlignment="1" applyProtection="1">
      <alignment vertical="center" wrapText="1"/>
      <protection locked="0"/>
    </xf>
    <xf numFmtId="167" fontId="4" fillId="7" borderId="22" xfId="0" applyNumberFormat="1" applyFont="1" applyFill="1" applyBorder="1" applyAlignment="1" applyProtection="1">
      <alignment vertical="center" wrapText="1"/>
      <protection locked="0"/>
    </xf>
    <xf numFmtId="167" fontId="4" fillId="8" borderId="14" xfId="1" applyNumberFormat="1" applyFont="1" applyFill="1" applyBorder="1" applyAlignment="1" applyProtection="1">
      <alignment horizontal="right" vertical="center" wrapText="1"/>
    </xf>
    <xf numFmtId="167" fontId="4" fillId="8" borderId="45" xfId="1" applyNumberFormat="1" applyFont="1" applyFill="1" applyBorder="1" applyAlignment="1" applyProtection="1">
      <alignment horizontal="right" vertical="center" wrapText="1"/>
    </xf>
    <xf numFmtId="167" fontId="4" fillId="2" borderId="46" xfId="1" applyNumberFormat="1" applyFont="1" applyFill="1" applyBorder="1" applyAlignment="1" applyProtection="1">
      <alignment horizontal="right" vertical="center" wrapText="1"/>
    </xf>
    <xf numFmtId="167" fontId="4" fillId="2" borderId="15" xfId="1" applyNumberFormat="1" applyFont="1" applyFill="1" applyBorder="1" applyAlignment="1" applyProtection="1">
      <alignment horizontal="right" vertical="center" wrapText="1"/>
    </xf>
    <xf numFmtId="167" fontId="4" fillId="2" borderId="16" xfId="1" applyNumberFormat="1" applyFont="1" applyFill="1" applyBorder="1" applyAlignment="1" applyProtection="1">
      <alignment horizontal="right" vertical="center" wrapText="1"/>
    </xf>
    <xf numFmtId="167" fontId="7" fillId="5" borderId="53" xfId="0" applyNumberFormat="1" applyFont="1" applyFill="1" applyBorder="1" applyAlignment="1">
      <alignment horizontal="left"/>
    </xf>
    <xf numFmtId="167" fontId="7" fillId="5" borderId="54" xfId="0" applyNumberFormat="1" applyFont="1" applyFill="1" applyBorder="1" applyAlignment="1">
      <alignment horizontal="left"/>
    </xf>
    <xf numFmtId="167" fontId="7" fillId="5" borderId="55" xfId="0" applyNumberFormat="1" applyFont="1" applyFill="1" applyBorder="1" applyAlignment="1">
      <alignment horizontal="left"/>
    </xf>
    <xf numFmtId="167" fontId="7" fillId="5" borderId="56" xfId="0" applyNumberFormat="1" applyFont="1" applyFill="1" applyBorder="1" applyAlignment="1">
      <alignment horizontal="left"/>
    </xf>
    <xf numFmtId="167" fontId="7" fillId="5" borderId="57" xfId="0" applyNumberFormat="1" applyFont="1" applyFill="1" applyBorder="1" applyAlignment="1">
      <alignment horizontal="left"/>
    </xf>
    <xf numFmtId="167" fontId="4" fillId="8" borderId="53" xfId="1" applyNumberFormat="1" applyFont="1" applyFill="1" applyBorder="1" applyAlignment="1" applyProtection="1">
      <alignment horizontal="right" wrapText="1"/>
    </xf>
    <xf numFmtId="167" fontId="4" fillId="8" borderId="54" xfId="1" applyNumberFormat="1" applyFont="1" applyFill="1" applyBorder="1" applyAlignment="1" applyProtection="1">
      <alignment horizontal="right" wrapText="1"/>
    </xf>
    <xf numFmtId="167" fontId="4" fillId="2" borderId="55" xfId="1" applyNumberFormat="1" applyFont="1" applyFill="1" applyBorder="1" applyAlignment="1" applyProtection="1">
      <alignment horizontal="right" wrapText="1"/>
    </xf>
    <xf numFmtId="167" fontId="4" fillId="2" borderId="59" xfId="1" applyNumberFormat="1" applyFont="1" applyFill="1" applyBorder="1" applyAlignment="1" applyProtection="1">
      <alignment horizontal="right" wrapText="1"/>
    </xf>
    <xf numFmtId="167" fontId="4" fillId="8" borderId="21" xfId="1" applyNumberFormat="1" applyFont="1" applyFill="1" applyBorder="1" applyAlignment="1" applyProtection="1">
      <alignment horizontal="right" wrapText="1"/>
    </xf>
    <xf numFmtId="167" fontId="4" fillId="8" borderId="36" xfId="1" applyNumberFormat="1" applyFont="1" applyFill="1" applyBorder="1" applyAlignment="1" applyProtection="1">
      <alignment horizontal="right" wrapText="1"/>
    </xf>
    <xf numFmtId="167" fontId="4" fillId="2" borderId="22" xfId="1" applyNumberFormat="1" applyFont="1" applyFill="1" applyBorder="1" applyAlignment="1" applyProtection="1">
      <alignment horizontal="right" wrapText="1"/>
    </xf>
    <xf numFmtId="167" fontId="4" fillId="2" borderId="68" xfId="1" applyNumberFormat="1" applyFont="1" applyFill="1" applyBorder="1" applyAlignment="1" applyProtection="1">
      <alignment horizontal="right" wrapText="1"/>
    </xf>
    <xf numFmtId="167" fontId="4" fillId="2" borderId="14" xfId="0" applyNumberFormat="1" applyFont="1" applyFill="1" applyBorder="1" applyAlignment="1">
      <alignment horizontal="right" vertical="center"/>
    </xf>
    <xf numFmtId="167" fontId="4" fillId="2" borderId="45" xfId="0" applyNumberFormat="1" applyFont="1" applyFill="1" applyBorder="1" applyAlignment="1">
      <alignment horizontal="right" vertical="center"/>
    </xf>
    <xf numFmtId="167" fontId="4" fillId="2" borderId="75" xfId="0" applyNumberFormat="1" applyFont="1" applyFill="1" applyBorder="1" applyAlignment="1">
      <alignment horizontal="right" vertical="center"/>
    </xf>
    <xf numFmtId="167" fontId="4" fillId="2" borderId="46" xfId="0" applyNumberFormat="1" applyFont="1" applyFill="1" applyBorder="1" applyAlignment="1">
      <alignment horizontal="right" vertical="center"/>
    </xf>
    <xf numFmtId="167" fontId="4" fillId="2" borderId="15" xfId="0" applyNumberFormat="1" applyFont="1" applyFill="1" applyBorder="1" applyAlignment="1">
      <alignment horizontal="right" vertical="center"/>
    </xf>
    <xf numFmtId="167" fontId="7" fillId="5" borderId="77" xfId="0" applyNumberFormat="1" applyFont="1" applyFill="1" applyBorder="1" applyAlignment="1">
      <alignment horizontal="left"/>
    </xf>
    <xf numFmtId="167" fontId="7" fillId="5" borderId="78" xfId="0" applyNumberFormat="1" applyFont="1" applyFill="1" applyBorder="1" applyAlignment="1">
      <alignment horizontal="left"/>
    </xf>
    <xf numFmtId="167" fontId="7" fillId="5" borderId="73" xfId="0" applyNumberFormat="1" applyFont="1" applyFill="1" applyBorder="1" applyAlignment="1">
      <alignment horizontal="right"/>
    </xf>
    <xf numFmtId="167" fontId="4" fillId="2" borderId="53" xfId="0" applyNumberFormat="1" applyFont="1" applyFill="1" applyBorder="1" applyAlignment="1">
      <alignment horizontal="right" vertical="center"/>
    </xf>
    <xf numFmtId="167" fontId="4" fillId="2" borderId="54" xfId="0" applyNumberFormat="1" applyFont="1" applyFill="1" applyBorder="1" applyAlignment="1">
      <alignment horizontal="right" vertical="center"/>
    </xf>
    <xf numFmtId="167" fontId="4" fillId="2" borderId="78" xfId="0" applyNumberFormat="1" applyFont="1" applyFill="1" applyBorder="1" applyAlignment="1">
      <alignment horizontal="right" vertical="center"/>
    </xf>
    <xf numFmtId="167" fontId="4" fillId="2" borderId="55" xfId="0" applyNumberFormat="1" applyFont="1" applyFill="1" applyBorder="1" applyAlignment="1">
      <alignment horizontal="right" vertical="center"/>
    </xf>
    <xf numFmtId="167" fontId="5" fillId="5" borderId="73" xfId="0" applyNumberFormat="1" applyFont="1" applyFill="1" applyBorder="1"/>
    <xf numFmtId="167" fontId="4" fillId="2" borderId="21" xfId="0" applyNumberFormat="1" applyFont="1" applyFill="1" applyBorder="1" applyAlignment="1">
      <alignment horizontal="right" vertical="center"/>
    </xf>
    <xf numFmtId="167" fontId="4" fillId="2" borderId="83" xfId="0" applyNumberFormat="1" applyFont="1" applyFill="1" applyBorder="1" applyAlignment="1">
      <alignment horizontal="right" vertical="center"/>
    </xf>
    <xf numFmtId="167" fontId="4" fillId="2" borderId="22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7" fontId="5" fillId="5" borderId="74" xfId="0" applyNumberFormat="1" applyFont="1" applyFill="1" applyBorder="1"/>
    <xf numFmtId="0" fontId="7" fillId="11" borderId="3" xfId="0" applyFont="1" applyFill="1" applyBorder="1" applyAlignment="1">
      <alignment horizontal="left" vertical="center" wrapText="1" indent="1"/>
    </xf>
    <xf numFmtId="0" fontId="7" fillId="11" borderId="84" xfId="0" applyFont="1" applyFill="1" applyBorder="1" applyAlignment="1">
      <alignment horizontal="left" wrapText="1" indent="1"/>
    </xf>
    <xf numFmtId="171" fontId="4" fillId="7" borderId="56" xfId="0" applyNumberFormat="1" applyFont="1" applyFill="1" applyBorder="1" applyAlignment="1" applyProtection="1">
      <alignment vertical="center" wrapText="1"/>
      <protection locked="0"/>
    </xf>
    <xf numFmtId="167" fontId="4" fillId="7" borderId="120" xfId="0" applyNumberFormat="1" applyFont="1" applyFill="1" applyBorder="1" applyAlignment="1" applyProtection="1">
      <alignment vertical="center" wrapText="1"/>
      <protection locked="0"/>
    </xf>
    <xf numFmtId="167" fontId="4" fillId="7" borderId="50" xfId="7" applyNumberFormat="1" applyFont="1" applyFill="1" applyBorder="1" applyAlignment="1" applyProtection="1">
      <alignment vertical="center" wrapText="1"/>
      <protection locked="0"/>
    </xf>
    <xf numFmtId="167" fontId="4" fillId="7" borderId="78" xfId="0" applyNumberFormat="1" applyFont="1" applyFill="1" applyBorder="1" applyAlignment="1" applyProtection="1">
      <alignment vertical="center" wrapText="1"/>
      <protection locked="0"/>
    </xf>
    <xf numFmtId="167" fontId="4" fillId="7" borderId="83" xfId="0" applyNumberFormat="1" applyFont="1" applyFill="1" applyBorder="1" applyAlignment="1" applyProtection="1">
      <alignment vertical="center" wrapText="1"/>
      <protection locked="0"/>
    </xf>
    <xf numFmtId="167" fontId="4" fillId="7" borderId="91" xfId="0" applyNumberFormat="1" applyFont="1" applyFill="1" applyBorder="1" applyAlignment="1" applyProtection="1">
      <alignment vertical="center" wrapText="1"/>
      <protection locked="0"/>
    </xf>
    <xf numFmtId="167" fontId="4" fillId="7" borderId="120" xfId="7" applyNumberFormat="1" applyFont="1" applyFill="1" applyBorder="1" applyAlignment="1" applyProtection="1">
      <alignment vertical="center" wrapText="1"/>
      <protection locked="0"/>
    </xf>
    <xf numFmtId="167" fontId="5" fillId="0" borderId="0" xfId="0" applyNumberFormat="1" applyFont="1" applyAlignment="1">
      <alignment horizontal="left"/>
    </xf>
    <xf numFmtId="172" fontId="5" fillId="0" borderId="0" xfId="7" applyNumberFormat="1" applyFont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1" xfId="0" applyFont="1" applyFill="1" applyBorder="1" applyAlignment="1">
      <alignment horizontal="center"/>
    </xf>
    <xf numFmtId="0" fontId="21" fillId="12" borderId="114" xfId="0" applyFont="1" applyFill="1" applyBorder="1" applyAlignment="1">
      <alignment horizontal="center" vertical="center" wrapText="1"/>
    </xf>
    <xf numFmtId="0" fontId="21" fillId="12" borderId="115" xfId="0" applyFont="1" applyFill="1" applyBorder="1" applyAlignment="1">
      <alignment horizontal="center" vertical="center" wrapText="1"/>
    </xf>
    <xf numFmtId="0" fontId="21" fillId="12" borderId="116" xfId="0" applyFont="1" applyFill="1" applyBorder="1" applyAlignment="1">
      <alignment horizontal="center" vertical="center" wrapText="1"/>
    </xf>
    <xf numFmtId="0" fontId="21" fillId="12" borderId="117" xfId="0" applyFont="1" applyFill="1" applyBorder="1" applyAlignment="1">
      <alignment horizontal="center" vertical="center" wrapText="1"/>
    </xf>
    <xf numFmtId="0" fontId="21" fillId="12" borderId="118" xfId="0" applyFont="1" applyFill="1" applyBorder="1" applyAlignment="1">
      <alignment horizontal="center" vertical="center" wrapText="1"/>
    </xf>
    <xf numFmtId="0" fontId="21" fillId="12" borderId="119" xfId="0" applyFont="1" applyFill="1" applyBorder="1" applyAlignment="1">
      <alignment horizontal="center" vertical="center" wrapText="1"/>
    </xf>
    <xf numFmtId="0" fontId="9" fillId="9" borderId="88" xfId="0" applyFont="1" applyFill="1" applyBorder="1" applyAlignment="1">
      <alignment horizontal="center" vertical="center"/>
    </xf>
    <xf numFmtId="0" fontId="9" fillId="9" borderId="89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15" borderId="90" xfId="0" applyFont="1" applyFill="1" applyBorder="1" applyAlignment="1">
      <alignment horizontal="center" vertical="center" wrapText="1"/>
    </xf>
    <xf numFmtId="0" fontId="9" fillId="15" borderId="89" xfId="0" applyFont="1" applyFill="1" applyBorder="1" applyAlignment="1">
      <alignment horizontal="center" vertical="center" wrapText="1"/>
    </xf>
    <xf numFmtId="0" fontId="7" fillId="16" borderId="92" xfId="0" applyFont="1" applyFill="1" applyBorder="1" applyAlignment="1">
      <alignment horizontal="center" vertical="center"/>
    </xf>
    <xf numFmtId="0" fontId="7" fillId="16" borderId="93" xfId="0" applyFont="1" applyFill="1" applyBorder="1" applyAlignment="1">
      <alignment horizontal="center" vertical="center"/>
    </xf>
    <xf numFmtId="0" fontId="7" fillId="16" borderId="9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9" borderId="32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34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8">
    <cellStyle name="Comma" xfId="7" builtinId="3"/>
    <cellStyle name="dms_Row1" xfId="5" xr:uid="{61B7172A-540E-48D0-A818-B3C1EC0A5391}"/>
    <cellStyle name="Normal" xfId="0" builtinId="0"/>
    <cellStyle name="Normal 10" xfId="2" xr:uid="{359AAC14-2D94-42B0-8726-B4C23955D978}"/>
    <cellStyle name="Normal 3 5" xfId="6" xr:uid="{1D5909F0-93D3-42DE-A98B-392BF909B688}"/>
    <cellStyle name="Percent" xfId="1" builtinId="5"/>
    <cellStyle name="TableLvl2" xfId="3" xr:uid="{7ACC03AC-9C09-4DA1-9FD4-110C6A8C22F4}"/>
    <cellStyle name="TableLvl3" xfId="4" xr:uid="{BFB7688E-8905-42E2-8A8F-CC87BF1434DC}"/>
  </cellStyles>
  <dxfs count="6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3DF8-59E5-4DB0-828A-48035A36D817}">
  <dimension ref="A1:KA77"/>
  <sheetViews>
    <sheetView showGridLines="0" tabSelected="1" topLeftCell="A17" zoomScale="85" zoomScaleNormal="85" workbookViewId="0">
      <selection activeCell="I39" sqref="I39"/>
    </sheetView>
  </sheetViews>
  <sheetFormatPr defaultColWidth="0" defaultRowHeight="0" customHeight="1" zeroHeight="1" x14ac:dyDescent="0.25"/>
  <cols>
    <col min="1" max="1" width="4.5703125" style="1" customWidth="1"/>
    <col min="2" max="2" width="76.5703125" style="2" customWidth="1"/>
    <col min="3" max="25" width="12.28515625" style="2" customWidth="1"/>
    <col min="26" max="27" width="12.28515625" customWidth="1"/>
    <col min="28" max="30" width="12.28515625" hidden="1" customWidth="1"/>
    <col min="31" max="31" width="0" hidden="1" customWidth="1"/>
    <col min="32" max="287" width="0" style="2" hidden="1" customWidth="1"/>
    <col min="288" max="16384" width="9.140625" style="2" hidden="1"/>
  </cols>
  <sheetData>
    <row r="1" spans="1:287" ht="15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87" customFormat="1" ht="15.75" thickBot="1" x14ac:dyDescent="0.3">
      <c r="A2" s="1"/>
    </row>
    <row r="3" spans="1:287" customFormat="1" ht="16.5" thickBot="1" x14ac:dyDescent="0.3">
      <c r="A3" s="1"/>
      <c r="B3" s="4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</row>
    <row r="4" spans="1:287" s="11" customFormat="1" ht="15.75" x14ac:dyDescent="0.25">
      <c r="A4" s="1"/>
      <c r="B4" s="7"/>
      <c r="C4" s="8" t="s">
        <v>1</v>
      </c>
      <c r="D4" s="9"/>
      <c r="E4" s="9"/>
      <c r="F4" s="9"/>
      <c r="G4" s="9"/>
      <c r="H4" s="9"/>
      <c r="I4" s="9"/>
      <c r="J4" s="9"/>
      <c r="K4" s="9"/>
      <c r="L4" s="9"/>
      <c r="M4" s="9" t="s">
        <v>2</v>
      </c>
      <c r="N4" s="10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287" ht="16.5" thickBot="1" x14ac:dyDescent="0.3">
      <c r="B5" s="7"/>
      <c r="C5" s="12">
        <v>2015</v>
      </c>
      <c r="D5" s="13">
        <v>2016</v>
      </c>
      <c r="E5" s="14">
        <v>2017</v>
      </c>
      <c r="F5" s="14">
        <v>2018</v>
      </c>
      <c r="G5" s="14">
        <v>2019</v>
      </c>
      <c r="H5" s="14">
        <v>2020</v>
      </c>
      <c r="I5" s="14" t="s">
        <v>3</v>
      </c>
      <c r="J5" s="14" t="s">
        <v>4</v>
      </c>
      <c r="K5" s="14" t="s">
        <v>5</v>
      </c>
      <c r="L5" s="14" t="s">
        <v>6</v>
      </c>
      <c r="M5" s="14" t="s">
        <v>7</v>
      </c>
      <c r="N5" s="15" t="s">
        <v>8</v>
      </c>
      <c r="P5"/>
      <c r="Q5"/>
      <c r="R5"/>
      <c r="S5"/>
      <c r="T5"/>
      <c r="U5"/>
      <c r="V5"/>
      <c r="W5"/>
      <c r="X5"/>
      <c r="Y5"/>
      <c r="AH5"/>
    </row>
    <row r="6" spans="1:287" ht="15" x14ac:dyDescent="0.25">
      <c r="B6" s="16" t="s">
        <v>9</v>
      </c>
      <c r="C6" s="151">
        <f>0.6945*108.4</f>
        <v>75.283799999999999</v>
      </c>
      <c r="D6" s="150">
        <f>0.6945*110</f>
        <v>76.394999999999996</v>
      </c>
      <c r="E6" s="150">
        <f>0.6945*112.1</f>
        <v>77.853449999999995</v>
      </c>
      <c r="F6" s="150">
        <f>0.6945*114.1</f>
        <v>79.242449999999991</v>
      </c>
      <c r="G6" s="150">
        <f>0.6945*116.2</f>
        <v>80.700900000000004</v>
      </c>
      <c r="H6" s="150">
        <f>0.6945*117.2</f>
        <v>81.395400000000009</v>
      </c>
      <c r="I6" s="150">
        <f>0.6945*118.8</f>
        <v>82.506599999999992</v>
      </c>
      <c r="J6" s="150">
        <f>0.6945*126.1</f>
        <v>87.576449999999994</v>
      </c>
      <c r="K6" s="150">
        <f>0.6945*133.7</f>
        <v>92.854649999999992</v>
      </c>
      <c r="L6" s="150">
        <f>0.6945*138.8</f>
        <v>96.396600000000007</v>
      </c>
      <c r="M6" s="150">
        <f>0.6945*141.7</f>
        <v>98.41064999999999</v>
      </c>
      <c r="N6" s="17">
        <f>M6*(1+4.2%)</f>
        <v>102.5438973</v>
      </c>
      <c r="P6"/>
      <c r="Q6"/>
      <c r="R6"/>
      <c r="S6"/>
      <c r="T6"/>
      <c r="U6"/>
      <c r="V6"/>
      <c r="W6"/>
      <c r="X6"/>
      <c r="Y6"/>
      <c r="AH6"/>
      <c r="AI6"/>
    </row>
    <row r="7" spans="1:287" ht="15" x14ac:dyDescent="0.25">
      <c r="B7" s="18" t="s">
        <v>10</v>
      </c>
      <c r="C7" s="19"/>
      <c r="D7" s="20">
        <f>+D6/C6-1</f>
        <v>1.4760147601476037E-2</v>
      </c>
      <c r="E7" s="20">
        <f>+E6/D6-1</f>
        <v>1.9090909090909047E-2</v>
      </c>
      <c r="F7" s="20">
        <f t="shared" ref="F7:I7" si="0">+F6/E6-1</f>
        <v>1.7841213202497652E-2</v>
      </c>
      <c r="G7" s="20">
        <f t="shared" si="0"/>
        <v>1.8404907975460238E-2</v>
      </c>
      <c r="H7" s="20">
        <f t="shared" si="0"/>
        <v>8.6058519793459354E-3</v>
      </c>
      <c r="I7" s="20">
        <f t="shared" si="0"/>
        <v>1.3651877133105561E-2</v>
      </c>
      <c r="J7" s="20">
        <f>+J6/I6-1</f>
        <v>6.1447811447811418E-2</v>
      </c>
      <c r="K7" s="20">
        <f>+K6/J6-1</f>
        <v>6.0269627279936566E-2</v>
      </c>
      <c r="L7" s="20">
        <f>+L6/K6-1</f>
        <v>3.8145100972326151E-2</v>
      </c>
      <c r="M7" s="20">
        <f>+M6/L6-1</f>
        <v>2.0893371757924939E-2</v>
      </c>
      <c r="N7" s="21">
        <f>+N6/M6-1</f>
        <v>4.2000000000000037E-2</v>
      </c>
      <c r="P7"/>
      <c r="Q7"/>
      <c r="R7"/>
      <c r="S7"/>
      <c r="T7"/>
      <c r="U7"/>
      <c r="V7"/>
      <c r="W7"/>
      <c r="X7"/>
      <c r="Y7"/>
    </row>
    <row r="8" spans="1:287" ht="15.75" thickBot="1" x14ac:dyDescent="0.3">
      <c r="B8" s="22" t="s">
        <v>11</v>
      </c>
      <c r="C8" s="23">
        <f>D8/(1+D7)</f>
        <v>0.73416168082388689</v>
      </c>
      <c r="D8" s="24">
        <f>E8/(1+E7)</f>
        <v>0.74499801559619516</v>
      </c>
      <c r="E8" s="25">
        <f t="shared" ref="E8:H8" si="1">F8/(1+F7)</f>
        <v>0.75922070498484973</v>
      </c>
      <c r="F8" s="25">
        <f t="shared" si="1"/>
        <v>0.77276612345023499</v>
      </c>
      <c r="G8" s="25">
        <f t="shared" si="1"/>
        <v>0.78698881283888966</v>
      </c>
      <c r="H8" s="25">
        <f t="shared" si="1"/>
        <v>0.79376152207158235</v>
      </c>
      <c r="I8" s="25">
        <f>J8/(1+J7)</f>
        <v>0.8045978568438904</v>
      </c>
      <c r="J8" s="25">
        <f>K8/(1+K7)</f>
        <v>0.854038634242547</v>
      </c>
      <c r="K8" s="25">
        <f>L8/(1+L7)</f>
        <v>0.9055112244110114</v>
      </c>
      <c r="L8" s="25">
        <f>M8/(1+M7)</f>
        <v>0.94005204149774413</v>
      </c>
      <c r="M8" s="25">
        <f>N8/(1+N7)</f>
        <v>0.95969289827255277</v>
      </c>
      <c r="N8" s="26">
        <v>1</v>
      </c>
      <c r="P8"/>
      <c r="Q8"/>
      <c r="R8"/>
      <c r="S8"/>
      <c r="T8"/>
      <c r="U8"/>
      <c r="V8"/>
      <c r="W8"/>
      <c r="X8"/>
      <c r="Y8"/>
    </row>
    <row r="9" spans="1:287" ht="15" x14ac:dyDescent="0.25">
      <c r="B9" s="27"/>
      <c r="C9" s="28"/>
      <c r="D9" s="28"/>
      <c r="E9" s="28"/>
      <c r="F9" s="29"/>
      <c r="G9" s="29"/>
      <c r="H9" s="29"/>
      <c r="I9" s="29"/>
      <c r="J9" s="29"/>
      <c r="K9" s="30"/>
      <c r="L9" s="31"/>
      <c r="M9" s="30"/>
      <c r="N9" s="32"/>
      <c r="O9" s="31"/>
      <c r="P9" s="30"/>
      <c r="Q9" s="30"/>
      <c r="R9" s="30"/>
      <c r="S9" s="30"/>
      <c r="T9" s="31"/>
      <c r="U9" s="31"/>
      <c r="V9" s="31"/>
      <c r="W9" s="31"/>
      <c r="X9" s="31"/>
    </row>
    <row r="10" spans="1:287" ht="15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30"/>
      <c r="L10"/>
      <c r="M10"/>
      <c r="N10"/>
      <c r="O10"/>
      <c r="P10"/>
      <c r="Q10"/>
      <c r="R10"/>
      <c r="S10" s="30"/>
      <c r="T10" s="31"/>
      <c r="U10" s="31"/>
      <c r="V10" s="31"/>
      <c r="W10" s="31"/>
      <c r="X10" s="31"/>
    </row>
    <row r="11" spans="1:287" ht="15" x14ac:dyDescent="0.25">
      <c r="B11" s="27"/>
      <c r="C11" s="28"/>
      <c r="D11" s="28"/>
      <c r="E11" s="28"/>
      <c r="F11" s="28"/>
      <c r="G11" s="28"/>
      <c r="H11" s="28"/>
      <c r="I11" s="28"/>
      <c r="J11" s="28"/>
      <c r="K11" s="30"/>
      <c r="L11" s="31"/>
      <c r="M11" s="30"/>
      <c r="N11" s="32"/>
      <c r="O11" s="31"/>
      <c r="P11" s="30"/>
      <c r="Q11" s="30"/>
      <c r="R11" s="30"/>
      <c r="S11" s="30"/>
      <c r="T11" s="31"/>
      <c r="U11" s="31"/>
      <c r="V11" s="31"/>
      <c r="W11" s="31"/>
      <c r="X11" s="31"/>
    </row>
    <row r="12" spans="1:287" s="35" customFormat="1" ht="18.75" x14ac:dyDescent="0.3">
      <c r="A12" s="1"/>
      <c r="B12" s="33" t="s">
        <v>12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/>
      <c r="AA12"/>
      <c r="AB12"/>
      <c r="AC12"/>
      <c r="AD12"/>
      <c r="AE12"/>
    </row>
    <row r="13" spans="1:287" customFormat="1" ht="15.75" thickBot="1" x14ac:dyDescent="0.3">
      <c r="A13" s="1"/>
    </row>
    <row r="14" spans="1:287" customFormat="1" ht="15.75" thickBot="1" x14ac:dyDescent="0.3">
      <c r="A14" s="1"/>
      <c r="B14" s="36" t="s">
        <v>13</v>
      </c>
      <c r="C14" s="37">
        <v>2019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</row>
    <row r="15" spans="1:287" customFormat="1" ht="15.75" thickBot="1" x14ac:dyDescent="0.3">
      <c r="A15" s="1"/>
      <c r="B15" s="36" t="s">
        <v>14</v>
      </c>
      <c r="C15" s="38">
        <v>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</row>
    <row r="16" spans="1:287" s="43" customFormat="1" ht="21" customHeight="1" thickBot="1" x14ac:dyDescent="0.3">
      <c r="A16" s="1"/>
      <c r="B16" s="39" t="s">
        <v>15</v>
      </c>
      <c r="C16" s="40"/>
      <c r="D16" s="40"/>
      <c r="E16" s="40"/>
      <c r="F16" s="40"/>
      <c r="G16" s="40"/>
      <c r="H16" s="40"/>
      <c r="I16" s="40"/>
      <c r="J16" s="40"/>
      <c r="K16" s="41"/>
      <c r="L16" s="41"/>
      <c r="M16" s="41"/>
      <c r="N16" s="41"/>
      <c r="O16" s="41"/>
      <c r="P16" s="41"/>
      <c r="Q16" s="41"/>
      <c r="R16" s="41"/>
      <c r="S16" s="42"/>
      <c r="T16"/>
      <c r="U16"/>
      <c r="V16"/>
      <c r="W16"/>
      <c r="X16"/>
      <c r="Z16"/>
      <c r="AA16"/>
      <c r="AB16"/>
      <c r="AC16"/>
      <c r="AD16"/>
      <c r="AE16"/>
    </row>
    <row r="17" spans="1:31" ht="15" x14ac:dyDescent="0.25">
      <c r="B17"/>
      <c r="C17" s="267" t="s">
        <v>16</v>
      </c>
      <c r="D17" s="268"/>
      <c r="E17" s="44" t="s">
        <v>17</v>
      </c>
      <c r="F17" s="269" t="s">
        <v>18</v>
      </c>
      <c r="G17" s="269"/>
      <c r="H17" s="269"/>
      <c r="I17" s="269"/>
      <c r="J17" s="270"/>
      <c r="K17" s="32"/>
      <c r="L17" s="255" t="s">
        <v>19</v>
      </c>
      <c r="M17" s="256"/>
      <c r="N17" s="256"/>
      <c r="O17" s="256"/>
      <c r="P17" s="256"/>
      <c r="Q17" s="256"/>
      <c r="R17" s="256"/>
      <c r="S17" s="257"/>
      <c r="T17"/>
      <c r="U17"/>
      <c r="V17"/>
      <c r="W17"/>
      <c r="X17"/>
      <c r="Y17"/>
    </row>
    <row r="18" spans="1:31" ht="21.75" customHeight="1" x14ac:dyDescent="0.25">
      <c r="B18"/>
      <c r="C18" s="258" t="s">
        <v>20</v>
      </c>
      <c r="D18" s="259"/>
      <c r="E18" s="260"/>
      <c r="F18" s="261" t="s">
        <v>21</v>
      </c>
      <c r="G18" s="262"/>
      <c r="H18" s="262"/>
      <c r="I18" s="262"/>
      <c r="J18" s="263"/>
      <c r="K18" s="32"/>
      <c r="L18" s="271" t="s">
        <v>20</v>
      </c>
      <c r="M18" s="272"/>
      <c r="N18" s="273"/>
      <c r="O18" s="264" t="s">
        <v>21</v>
      </c>
      <c r="P18" s="265"/>
      <c r="Q18" s="265"/>
      <c r="R18" s="265"/>
      <c r="S18" s="266"/>
      <c r="T18"/>
      <c r="U18"/>
      <c r="V18"/>
      <c r="W18"/>
      <c r="X18"/>
      <c r="Y18"/>
    </row>
    <row r="19" spans="1:31" ht="21.75" customHeight="1" thickBot="1" x14ac:dyDescent="0.3">
      <c r="B19"/>
      <c r="C19" s="45">
        <f>dms_PRCP_BaseYear</f>
        <v>2019</v>
      </c>
      <c r="D19" s="46">
        <v>2020</v>
      </c>
      <c r="E19" s="47" t="s">
        <v>3</v>
      </c>
      <c r="F19" s="48" t="s">
        <v>4</v>
      </c>
      <c r="G19" s="49" t="s">
        <v>5</v>
      </c>
      <c r="H19" s="49" t="s">
        <v>6</v>
      </c>
      <c r="I19" s="49" t="s">
        <v>7</v>
      </c>
      <c r="J19" s="50" t="s">
        <v>8</v>
      </c>
      <c r="K19" s="32"/>
      <c r="L19" s="45">
        <f>dms_PRCP_BaseYear</f>
        <v>2019</v>
      </c>
      <c r="M19" s="46">
        <f>D19</f>
        <v>2020</v>
      </c>
      <c r="N19" s="46" t="str">
        <f>E19</f>
        <v>HY2021</v>
      </c>
      <c r="O19" s="48" t="s">
        <v>4</v>
      </c>
      <c r="P19" s="49" t="s">
        <v>5</v>
      </c>
      <c r="Q19" s="49" t="s">
        <v>6</v>
      </c>
      <c r="R19" s="49" t="s">
        <v>7</v>
      </c>
      <c r="S19" s="50" t="s">
        <v>8</v>
      </c>
      <c r="T19"/>
      <c r="U19"/>
      <c r="V19"/>
      <c r="W19"/>
      <c r="X19"/>
      <c r="Y19"/>
    </row>
    <row r="20" spans="1:31" ht="15" x14ac:dyDescent="0.25">
      <c r="B20" s="51" t="s">
        <v>22</v>
      </c>
      <c r="C20" s="155">
        <v>147.27756687031658</v>
      </c>
      <c r="D20" s="156">
        <v>149.19873019776344</v>
      </c>
      <c r="E20" s="157">
        <v>81.715146350353251</v>
      </c>
      <c r="F20" s="155">
        <v>143.202270923502</v>
      </c>
      <c r="G20" s="155">
        <v>142.79224346653382</v>
      </c>
      <c r="H20" s="155">
        <v>145.67432606877566</v>
      </c>
      <c r="I20" s="155">
        <v>148.7562991060812</v>
      </c>
      <c r="J20" s="231">
        <v>152.85805671826674</v>
      </c>
      <c r="K20" s="32"/>
      <c r="L20" s="188">
        <f>+C20/$C$8</f>
        <v>200.6064477582643</v>
      </c>
      <c r="M20" s="189">
        <f>+D20/$C$8</f>
        <v>203.22326007308152</v>
      </c>
      <c r="N20" s="189">
        <f>+E20/$H$8</f>
        <v>102.94672150029474</v>
      </c>
      <c r="O20" s="190">
        <f>+F20/$I$8</f>
        <v>177.97993085045761</v>
      </c>
      <c r="P20" s="191">
        <f>+G20/$I$8</f>
        <v>177.47032539540885</v>
      </c>
      <c r="Q20" s="191">
        <f>+H20/$I$8</f>
        <v>181.05234165076786</v>
      </c>
      <c r="R20" s="191">
        <f>+I20/$I$8</f>
        <v>184.88279311306093</v>
      </c>
      <c r="S20" s="192">
        <f>+J20/$I$8</f>
        <v>189.98069087316068</v>
      </c>
      <c r="T20"/>
      <c r="U20"/>
      <c r="V20"/>
      <c r="W20"/>
      <c r="X20"/>
      <c r="Y20"/>
    </row>
    <row r="21" spans="1:31" ht="15" x14ac:dyDescent="0.25">
      <c r="B21" s="52" t="s">
        <v>23</v>
      </c>
      <c r="C21" s="158"/>
      <c r="D21" s="159"/>
      <c r="E21" s="160"/>
      <c r="F21" s="158"/>
      <c r="G21" s="161"/>
      <c r="H21" s="161"/>
      <c r="I21" s="161"/>
      <c r="J21" s="162"/>
      <c r="K21" s="28"/>
      <c r="L21" s="193"/>
      <c r="M21" s="194"/>
      <c r="N21" s="194"/>
      <c r="O21" s="195"/>
      <c r="P21" s="196"/>
      <c r="Q21" s="196"/>
      <c r="R21" s="196"/>
      <c r="S21" s="197"/>
      <c r="T21"/>
      <c r="U21"/>
      <c r="V21"/>
      <c r="W21"/>
      <c r="X21"/>
      <c r="Y21"/>
    </row>
    <row r="22" spans="1:31" ht="15" x14ac:dyDescent="0.25">
      <c r="B22" s="152" t="s">
        <v>49</v>
      </c>
      <c r="C22" s="163">
        <v>-1.1831147888265698</v>
      </c>
      <c r="D22" s="164">
        <v>-1.2024526319004198</v>
      </c>
      <c r="E22" s="165">
        <v>-0.60714455901382403</v>
      </c>
      <c r="F22" s="163">
        <v>-1.16415518183836</v>
      </c>
      <c r="G22" s="163">
        <v>-1.2101134294221598</v>
      </c>
      <c r="H22" s="163">
        <v>-1.2278434917550101</v>
      </c>
      <c r="I22" s="163">
        <v>-1.2336562852214701</v>
      </c>
      <c r="J22" s="227">
        <v>-1.2373546668026401</v>
      </c>
      <c r="K22" s="28"/>
      <c r="L22" s="198">
        <f t="shared" ref="L22:M26" si="2">+C22/$C$8</f>
        <v>-1.6115180344183331</v>
      </c>
      <c r="M22" s="199">
        <f t="shared" si="2"/>
        <v>-1.6378580676548116</v>
      </c>
      <c r="N22" s="199">
        <f t="shared" ref="N22:N26" si="3">+E22/$H$8</f>
        <v>-0.76489542782230124</v>
      </c>
      <c r="O22" s="200">
        <f t="shared" ref="O22:S26" si="4">F22/$I$8</f>
        <v>-1.4468783031623604</v>
      </c>
      <c r="P22" s="200">
        <f t="shared" si="4"/>
        <v>-1.5039978283921136</v>
      </c>
      <c r="Q22" s="200">
        <f t="shared" si="4"/>
        <v>-1.5260337587417145</v>
      </c>
      <c r="R22" s="200">
        <f t="shared" si="4"/>
        <v>-1.5332582292234795</v>
      </c>
      <c r="S22" s="201">
        <f t="shared" si="4"/>
        <v>-1.5378547882991862</v>
      </c>
      <c r="T22"/>
      <c r="U22"/>
      <c r="V22"/>
      <c r="W22"/>
      <c r="X22"/>
      <c r="Y22"/>
    </row>
    <row r="23" spans="1:31" ht="15" x14ac:dyDescent="0.25">
      <c r="B23" s="153" t="s">
        <v>50</v>
      </c>
      <c r="C23" s="168">
        <v>-0.60413753969717277</v>
      </c>
      <c r="D23" s="169">
        <v>-0.60413753969717277</v>
      </c>
      <c r="E23" s="228">
        <v>-0.32785189985803298</v>
      </c>
      <c r="F23" s="168">
        <v>-0.81501189500464499</v>
      </c>
      <c r="G23" s="168">
        <v>-0.81501189500464499</v>
      </c>
      <c r="H23" s="168">
        <v>-0.81501189500464499</v>
      </c>
      <c r="I23" s="168">
        <v>-0.81501189500464499</v>
      </c>
      <c r="J23" s="232">
        <v>-0.81501189500464499</v>
      </c>
      <c r="K23" s="28"/>
      <c r="L23" s="198">
        <f t="shared" si="2"/>
        <v>-0.82289440524763002</v>
      </c>
      <c r="M23" s="199">
        <f t="shared" si="2"/>
        <v>-0.82289440524763002</v>
      </c>
      <c r="N23" s="199">
        <f t="shared" si="3"/>
        <v>-0.41303576797524194</v>
      </c>
      <c r="O23" s="200">
        <f t="shared" si="4"/>
        <v>-1.012943159209502</v>
      </c>
      <c r="P23" s="200">
        <f t="shared" si="4"/>
        <v>-1.012943159209502</v>
      </c>
      <c r="Q23" s="200">
        <f t="shared" si="4"/>
        <v>-1.012943159209502</v>
      </c>
      <c r="R23" s="200">
        <f t="shared" si="4"/>
        <v>-1.012943159209502</v>
      </c>
      <c r="S23" s="201">
        <f t="shared" si="4"/>
        <v>-1.012943159209502</v>
      </c>
      <c r="T23"/>
      <c r="U23"/>
      <c r="V23"/>
      <c r="W23"/>
      <c r="X23"/>
      <c r="Y23"/>
    </row>
    <row r="24" spans="1:31" ht="15" x14ac:dyDescent="0.25">
      <c r="B24" s="154" t="s">
        <v>51</v>
      </c>
      <c r="C24" s="163">
        <v>0</v>
      </c>
      <c r="D24" s="164">
        <v>0</v>
      </c>
      <c r="E24" s="165">
        <v>0</v>
      </c>
      <c r="F24" s="163">
        <v>0</v>
      </c>
      <c r="G24" s="166">
        <v>0</v>
      </c>
      <c r="H24" s="166">
        <v>0</v>
      </c>
      <c r="I24" s="166">
        <v>0</v>
      </c>
      <c r="J24" s="167">
        <v>0</v>
      </c>
      <c r="K24" s="28"/>
      <c r="L24" s="198">
        <f t="shared" si="2"/>
        <v>0</v>
      </c>
      <c r="M24" s="199">
        <f t="shared" si="2"/>
        <v>0</v>
      </c>
      <c r="N24" s="199">
        <f t="shared" si="3"/>
        <v>0</v>
      </c>
      <c r="O24" s="200">
        <f t="shared" si="4"/>
        <v>0</v>
      </c>
      <c r="P24" s="200">
        <f t="shared" si="4"/>
        <v>0</v>
      </c>
      <c r="Q24" s="200">
        <f t="shared" si="4"/>
        <v>0</v>
      </c>
      <c r="R24" s="200">
        <f t="shared" si="4"/>
        <v>0</v>
      </c>
      <c r="S24" s="201">
        <f t="shared" si="4"/>
        <v>0</v>
      </c>
      <c r="T24"/>
      <c r="U24"/>
      <c r="V24"/>
      <c r="W24"/>
      <c r="X24"/>
      <c r="Y24"/>
    </row>
    <row r="25" spans="1:31" ht="15" x14ac:dyDescent="0.25">
      <c r="B25" s="53" t="s">
        <v>24</v>
      </c>
      <c r="C25" s="163"/>
      <c r="D25" s="164"/>
      <c r="E25" s="165"/>
      <c r="F25" s="163"/>
      <c r="G25" s="166"/>
      <c r="H25" s="166"/>
      <c r="I25" s="166"/>
      <c r="J25" s="167"/>
      <c r="K25" s="54"/>
      <c r="L25" s="198">
        <f t="shared" si="2"/>
        <v>0</v>
      </c>
      <c r="M25" s="199">
        <f t="shared" si="2"/>
        <v>0</v>
      </c>
      <c r="N25" s="199">
        <f t="shared" si="3"/>
        <v>0</v>
      </c>
      <c r="O25" s="200">
        <f t="shared" si="4"/>
        <v>0</v>
      </c>
      <c r="P25" s="200">
        <f t="shared" si="4"/>
        <v>0</v>
      </c>
      <c r="Q25" s="200">
        <f t="shared" si="4"/>
        <v>0</v>
      </c>
      <c r="R25" s="200">
        <f t="shared" si="4"/>
        <v>0</v>
      </c>
      <c r="S25" s="201">
        <f t="shared" si="4"/>
        <v>0</v>
      </c>
      <c r="T25"/>
      <c r="U25"/>
      <c r="V25"/>
      <c r="W25"/>
      <c r="X25"/>
      <c r="Y25"/>
    </row>
    <row r="26" spans="1:31" ht="15.75" thickBot="1" x14ac:dyDescent="0.3">
      <c r="B26" s="55" t="s">
        <v>52</v>
      </c>
      <c r="C26" s="170"/>
      <c r="D26" s="171"/>
      <c r="E26" s="172"/>
      <c r="F26" s="170"/>
      <c r="G26" s="173"/>
      <c r="H26" s="173"/>
      <c r="I26" s="173"/>
      <c r="J26" s="174"/>
      <c r="K26" s="28"/>
      <c r="L26" s="202">
        <f t="shared" si="2"/>
        <v>0</v>
      </c>
      <c r="M26" s="203">
        <f t="shared" si="2"/>
        <v>0</v>
      </c>
      <c r="N26" s="203">
        <f t="shared" si="3"/>
        <v>0</v>
      </c>
      <c r="O26" s="204">
        <f t="shared" si="4"/>
        <v>0</v>
      </c>
      <c r="P26" s="204">
        <f t="shared" si="4"/>
        <v>0</v>
      </c>
      <c r="Q26" s="204">
        <f t="shared" si="4"/>
        <v>0</v>
      </c>
      <c r="R26" s="204">
        <f t="shared" si="4"/>
        <v>0</v>
      </c>
      <c r="S26" s="205">
        <f t="shared" si="4"/>
        <v>0</v>
      </c>
      <c r="T26"/>
      <c r="U26"/>
      <c r="V26"/>
      <c r="W26"/>
      <c r="X26"/>
      <c r="Y26"/>
    </row>
    <row r="27" spans="1:31" ht="15.75" thickBot="1" x14ac:dyDescent="0.3">
      <c r="B27" s="224" t="s">
        <v>25</v>
      </c>
      <c r="C27" s="56">
        <f t="shared" ref="C27:J27" si="5">SUM(C20:C26)</f>
        <v>145.49031454179283</v>
      </c>
      <c r="D27" s="56">
        <f t="shared" si="5"/>
        <v>147.39214002616583</v>
      </c>
      <c r="E27" s="56">
        <f t="shared" si="5"/>
        <v>80.7801498914814</v>
      </c>
      <c r="F27" s="56">
        <f t="shared" si="5"/>
        <v>141.22310384665897</v>
      </c>
      <c r="G27" s="56">
        <f t="shared" si="5"/>
        <v>140.76711814210699</v>
      </c>
      <c r="H27" s="56">
        <f t="shared" si="5"/>
        <v>143.63147068201599</v>
      </c>
      <c r="I27" s="56">
        <f t="shared" si="5"/>
        <v>146.70763092585509</v>
      </c>
      <c r="J27" s="57">
        <f t="shared" si="5"/>
        <v>150.80569015645943</v>
      </c>
      <c r="K27" s="28"/>
      <c r="L27" s="58">
        <f t="shared" ref="L27:M27" si="6">+SUM(L20:L26)</f>
        <v>198.17203531859832</v>
      </c>
      <c r="M27" s="59">
        <f t="shared" si="6"/>
        <v>200.76250760017908</v>
      </c>
      <c r="N27" s="59">
        <f t="shared" ref="N27:S27" si="7">+SUM(N20:N26)</f>
        <v>101.7687903044972</v>
      </c>
      <c r="O27" s="59">
        <f t="shared" si="7"/>
        <v>175.52010938808576</v>
      </c>
      <c r="P27" s="59">
        <f t="shared" si="7"/>
        <v>174.95338440780725</v>
      </c>
      <c r="Q27" s="59">
        <f t="shared" si="7"/>
        <v>178.51336473281665</v>
      </c>
      <c r="R27" s="59">
        <f t="shared" si="7"/>
        <v>182.33659172462794</v>
      </c>
      <c r="S27" s="60">
        <f t="shared" si="7"/>
        <v>187.42989292565198</v>
      </c>
      <c r="T27"/>
      <c r="U27"/>
      <c r="V27"/>
      <c r="W27"/>
      <c r="X27"/>
      <c r="Y27"/>
    </row>
    <row r="28" spans="1:31" ht="15.75" thickBot="1" x14ac:dyDescent="0.3">
      <c r="B28" s="61"/>
      <c r="C28" s="62"/>
      <c r="D28" s="63"/>
      <c r="E28" s="63"/>
      <c r="F28" s="63"/>
      <c r="G28" s="63"/>
      <c r="H28" s="63"/>
      <c r="I28" s="63"/>
      <c r="J28" s="63"/>
      <c r="K28" s="64"/>
      <c r="L28" s="62"/>
      <c r="N28" s="62"/>
      <c r="O28" s="62"/>
      <c r="P28" s="62"/>
      <c r="Q28" s="62"/>
      <c r="R28" s="62"/>
      <c r="S28" s="62"/>
      <c r="T28"/>
      <c r="U28"/>
      <c r="V28"/>
      <c r="W28"/>
      <c r="X28"/>
      <c r="Y28"/>
    </row>
    <row r="29" spans="1:31" s="43" customFormat="1" ht="16.5" thickBot="1" x14ac:dyDescent="0.3">
      <c r="A29" s="1"/>
      <c r="B29" s="39" t="s">
        <v>26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5" x14ac:dyDescent="0.25">
      <c r="B30" s="65"/>
      <c r="C30" s="252" t="s">
        <v>27</v>
      </c>
      <c r="D30" s="253"/>
      <c r="E30" s="253"/>
      <c r="F30" s="253"/>
      <c r="G30" s="253"/>
      <c r="H30" s="253"/>
      <c r="I30" s="253"/>
      <c r="J30" s="254"/>
      <c r="K30" s="66"/>
      <c r="L30" s="255" t="s">
        <v>19</v>
      </c>
      <c r="M30" s="256"/>
      <c r="N30" s="256"/>
      <c r="O30" s="256"/>
      <c r="P30" s="256"/>
      <c r="Q30" s="256"/>
      <c r="R30" s="256"/>
      <c r="S30" s="257"/>
      <c r="T30"/>
      <c r="U30"/>
      <c r="V30"/>
      <c r="W30"/>
      <c r="X30"/>
      <c r="Y30"/>
    </row>
    <row r="31" spans="1:31" ht="15" x14ac:dyDescent="0.25">
      <c r="B31" s="65"/>
      <c r="C31" s="258" t="s">
        <v>20</v>
      </c>
      <c r="D31" s="259"/>
      <c r="E31" s="260"/>
      <c r="F31" s="261" t="s">
        <v>21</v>
      </c>
      <c r="G31" s="262"/>
      <c r="H31" s="262"/>
      <c r="I31" s="262"/>
      <c r="J31" s="263"/>
      <c r="K31" s="66"/>
      <c r="L31" s="258" t="s">
        <v>20</v>
      </c>
      <c r="M31" s="259"/>
      <c r="N31" s="260"/>
      <c r="O31" s="264" t="s">
        <v>21</v>
      </c>
      <c r="P31" s="265"/>
      <c r="Q31" s="265"/>
      <c r="R31" s="265"/>
      <c r="S31" s="266"/>
      <c r="T31"/>
      <c r="U31"/>
      <c r="V31"/>
      <c r="W31"/>
      <c r="X31"/>
      <c r="Y31"/>
    </row>
    <row r="32" spans="1:31" ht="15.75" thickBot="1" x14ac:dyDescent="0.3">
      <c r="B32" s="67"/>
      <c r="C32" s="45">
        <f>dms_PRCP_BaseYear</f>
        <v>2019</v>
      </c>
      <c r="D32" s="46">
        <v>2020</v>
      </c>
      <c r="E32" s="47" t="s">
        <v>3</v>
      </c>
      <c r="F32" s="48" t="s">
        <v>4</v>
      </c>
      <c r="G32" s="49" t="s">
        <v>5</v>
      </c>
      <c r="H32" s="49" t="s">
        <v>6</v>
      </c>
      <c r="I32" s="49" t="s">
        <v>7</v>
      </c>
      <c r="J32" s="50" t="s">
        <v>8</v>
      </c>
      <c r="K32" s="54"/>
      <c r="L32" s="45">
        <f>dms_PRCP_BaseYear</f>
        <v>2019</v>
      </c>
      <c r="M32" s="46">
        <f>D32</f>
        <v>2020</v>
      </c>
      <c r="N32" s="46" t="str">
        <f>E32</f>
        <v>HY2021</v>
      </c>
      <c r="O32" s="48" t="s">
        <v>4</v>
      </c>
      <c r="P32" s="49" t="s">
        <v>5</v>
      </c>
      <c r="Q32" s="49" t="s">
        <v>6</v>
      </c>
      <c r="R32" s="49" t="s">
        <v>7</v>
      </c>
      <c r="S32" s="50" t="s">
        <v>8</v>
      </c>
      <c r="T32"/>
      <c r="U32"/>
      <c r="V32"/>
      <c r="W32"/>
      <c r="X32"/>
      <c r="Y32"/>
    </row>
    <row r="33" spans="1:31" ht="15" x14ac:dyDescent="0.25">
      <c r="B33" s="51" t="s">
        <v>28</v>
      </c>
      <c r="C33" s="175">
        <v>112.279599</v>
      </c>
      <c r="D33" s="176">
        <v>120.377107</v>
      </c>
      <c r="E33" s="176">
        <v>61.559704508168785</v>
      </c>
      <c r="F33" s="175">
        <v>128.98467199999999</v>
      </c>
      <c r="G33" s="175">
        <v>134.95891499999999</v>
      </c>
      <c r="H33" s="175">
        <v>150.88790670999998</v>
      </c>
      <c r="I33" s="175">
        <v>152.20196999999999</v>
      </c>
      <c r="J33" s="68"/>
      <c r="K33" s="54"/>
      <c r="L33" s="206">
        <f>+C33/LOOKUP(dms_PRCP_BaseYear,$D$5:$N$5,$D$8:$N$8)*(1+LOOKUP(dms_PRCP_BaseYear,$D$5:$N$5,$D$7:$N$7))^0.5</f>
        <v>143.97680632900747</v>
      </c>
      <c r="M33" s="207">
        <f t="shared" ref="M33:R33" si="8">+D33/H$8*(1+H$7)^0.5</f>
        <v>152.30515436788113</v>
      </c>
      <c r="N33" s="208">
        <f t="shared" si="8"/>
        <v>77.030385191336777</v>
      </c>
      <c r="O33" s="209">
        <f t="shared" si="8"/>
        <v>155.60011342158001</v>
      </c>
      <c r="P33" s="210">
        <f t="shared" si="8"/>
        <v>153.46731692090802</v>
      </c>
      <c r="Q33" s="210">
        <f t="shared" si="8"/>
        <v>163.54285161937764</v>
      </c>
      <c r="R33" s="207">
        <f t="shared" si="8"/>
        <v>160.24267444791593</v>
      </c>
      <c r="S33" s="211"/>
      <c r="T33"/>
      <c r="U33"/>
      <c r="V33"/>
      <c r="W33"/>
      <c r="X33"/>
      <c r="Y33"/>
    </row>
    <row r="34" spans="1:31" ht="15" x14ac:dyDescent="0.25">
      <c r="B34" s="52" t="s">
        <v>29</v>
      </c>
      <c r="C34" s="177"/>
      <c r="D34" s="178"/>
      <c r="E34" s="178"/>
      <c r="F34" s="177"/>
      <c r="G34" s="179"/>
      <c r="H34" s="179"/>
      <c r="I34" s="180"/>
      <c r="J34" s="69"/>
      <c r="K34" s="28"/>
      <c r="L34" s="193"/>
      <c r="M34" s="194"/>
      <c r="N34" s="212"/>
      <c r="O34" s="195"/>
      <c r="P34" s="196"/>
      <c r="Q34" s="196"/>
      <c r="R34" s="194"/>
      <c r="S34" s="213"/>
      <c r="T34"/>
      <c r="U34"/>
      <c r="V34"/>
      <c r="W34"/>
      <c r="X34"/>
      <c r="Y34"/>
    </row>
    <row r="35" spans="1:31" ht="15" x14ac:dyDescent="0.25">
      <c r="B35" s="70" t="str">
        <f>IF(ISBLANK(B22),"",B22)</f>
        <v>Debt raising costs</v>
      </c>
      <c r="C35" s="181">
        <v>0</v>
      </c>
      <c r="D35" s="182">
        <v>0</v>
      </c>
      <c r="E35" s="229">
        <v>0</v>
      </c>
      <c r="F35" s="183">
        <v>0</v>
      </c>
      <c r="G35" s="181">
        <v>0</v>
      </c>
      <c r="H35" s="181">
        <v>0</v>
      </c>
      <c r="I35" s="181">
        <v>0</v>
      </c>
      <c r="J35" s="69"/>
      <c r="K35" s="54"/>
      <c r="L35" s="214">
        <f t="shared" ref="L35:L40" si="9">+C35/LOOKUP(dms_PRCP_BaseYear,$D$5:$N$5,$D$8:$N$8)*(1+LOOKUP(dms_PRCP_BaseYear,$D$5:$N$5,$D$7:$N$7))^0.5</f>
        <v>0</v>
      </c>
      <c r="M35" s="215">
        <f t="shared" ref="M35:N40" si="10">+D35/H$8*(1+H$7)^0.5</f>
        <v>0</v>
      </c>
      <c r="N35" s="216">
        <f t="shared" si="10"/>
        <v>0</v>
      </c>
      <c r="O35" s="217">
        <f t="shared" ref="O35:R40" si="11">F35/J$8*(1+J$7)^0.5</f>
        <v>0</v>
      </c>
      <c r="P35" s="217">
        <f t="shared" si="11"/>
        <v>0</v>
      </c>
      <c r="Q35" s="217">
        <f t="shared" si="11"/>
        <v>0</v>
      </c>
      <c r="R35" s="215">
        <f t="shared" si="11"/>
        <v>0</v>
      </c>
      <c r="S35" s="213"/>
      <c r="T35"/>
      <c r="U35"/>
      <c r="V35"/>
      <c r="W35"/>
      <c r="X35"/>
      <c r="Y35"/>
    </row>
    <row r="36" spans="1:31" ht="15" x14ac:dyDescent="0.25">
      <c r="B36" s="70" t="str">
        <f t="shared" ref="B36:B37" si="12">IF(ISBLANK(B23),"",B23)</f>
        <v>GSL payments</v>
      </c>
      <c r="C36" s="181">
        <v>0</v>
      </c>
      <c r="D36" s="182">
        <v>-0.38665300000000002</v>
      </c>
      <c r="E36" s="229">
        <v>-1.89334</v>
      </c>
      <c r="F36" s="183">
        <v>-2.3464100000000001</v>
      </c>
      <c r="G36" s="181">
        <v>-0.43728850000000002</v>
      </c>
      <c r="H36" s="181">
        <v>-3.6531907799999996</v>
      </c>
      <c r="I36" s="181">
        <v>-0.4203751</v>
      </c>
      <c r="J36" s="69"/>
      <c r="K36" s="28"/>
      <c r="L36" s="214">
        <f t="shared" si="9"/>
        <v>0</v>
      </c>
      <c r="M36" s="215">
        <f t="shared" si="10"/>
        <v>-0.48920634761395576</v>
      </c>
      <c r="N36" s="216">
        <f t="shared" si="10"/>
        <v>-2.3691586998896725</v>
      </c>
      <c r="O36" s="217">
        <f t="shared" si="11"/>
        <v>-2.8305817774497237</v>
      </c>
      <c r="P36" s="217">
        <f t="shared" si="11"/>
        <v>-0.49725868658153105</v>
      </c>
      <c r="Q36" s="217">
        <f t="shared" si="11"/>
        <v>-3.9595833138509753</v>
      </c>
      <c r="R36" s="215">
        <f t="shared" si="11"/>
        <v>-0.44258316955628174</v>
      </c>
      <c r="S36" s="213"/>
      <c r="T36"/>
      <c r="U36"/>
      <c r="V36"/>
      <c r="W36"/>
      <c r="X36"/>
      <c r="Y36"/>
    </row>
    <row r="37" spans="1:31" ht="15" customHeight="1" x14ac:dyDescent="0.25">
      <c r="B37" s="70" t="str">
        <f t="shared" si="12"/>
        <v>DMIA</v>
      </c>
      <c r="C37" s="181">
        <v>-0.452822</v>
      </c>
      <c r="D37" s="182">
        <v>-5.4540000000000003E-4</v>
      </c>
      <c r="E37" s="229">
        <v>0</v>
      </c>
      <c r="F37" s="183">
        <v>-7.4630000000000002E-2</v>
      </c>
      <c r="G37" s="181">
        <v>0</v>
      </c>
      <c r="H37" s="181">
        <v>0</v>
      </c>
      <c r="I37" s="181">
        <v>0</v>
      </c>
      <c r="J37" s="69"/>
      <c r="K37" s="28"/>
      <c r="L37" s="214">
        <f t="shared" si="9"/>
        <v>-0.5806563790409851</v>
      </c>
      <c r="M37" s="215">
        <f t="shared" si="10"/>
        <v>-6.9005837789607599E-4</v>
      </c>
      <c r="N37" s="216">
        <f t="shared" si="10"/>
        <v>0</v>
      </c>
      <c r="O37" s="217">
        <f t="shared" si="11"/>
        <v>-9.00295847916915E-2</v>
      </c>
      <c r="P37" s="217">
        <f t="shared" si="11"/>
        <v>0</v>
      </c>
      <c r="Q37" s="217">
        <f t="shared" si="11"/>
        <v>0</v>
      </c>
      <c r="R37" s="215">
        <f t="shared" si="11"/>
        <v>0</v>
      </c>
      <c r="S37" s="213"/>
      <c r="T37"/>
      <c r="U37" s="238" t="s">
        <v>30</v>
      </c>
      <c r="V37" s="239"/>
      <c r="W37"/>
      <c r="X37"/>
      <c r="Y37"/>
    </row>
    <row r="38" spans="1:31" ht="15" customHeight="1" x14ac:dyDescent="0.25">
      <c r="B38" s="71" t="s">
        <v>31</v>
      </c>
      <c r="C38" s="181"/>
      <c r="D38" s="182"/>
      <c r="E38" s="229"/>
      <c r="F38" s="183"/>
      <c r="G38" s="181"/>
      <c r="H38" s="181"/>
      <c r="I38" s="184"/>
      <c r="J38" s="69"/>
      <c r="K38" s="72"/>
      <c r="L38" s="214">
        <f t="shared" si="9"/>
        <v>0</v>
      </c>
      <c r="M38" s="215">
        <f t="shared" si="10"/>
        <v>0</v>
      </c>
      <c r="N38" s="216">
        <f t="shared" si="10"/>
        <v>0</v>
      </c>
      <c r="O38" s="217">
        <f t="shared" si="11"/>
        <v>0</v>
      </c>
      <c r="P38" s="217">
        <f t="shared" si="11"/>
        <v>0</v>
      </c>
      <c r="Q38" s="217">
        <f t="shared" si="11"/>
        <v>0</v>
      </c>
      <c r="R38" s="215">
        <f t="shared" si="11"/>
        <v>0</v>
      </c>
      <c r="S38" s="218"/>
      <c r="T38"/>
      <c r="U38" s="240"/>
      <c r="V38" s="241"/>
      <c r="W38"/>
      <c r="X38"/>
      <c r="Y38"/>
    </row>
    <row r="39" spans="1:31" ht="15" customHeight="1" x14ac:dyDescent="0.25">
      <c r="B39" s="71" t="s">
        <v>32</v>
      </c>
      <c r="C39" s="181">
        <v>5.2018579999999996</v>
      </c>
      <c r="D39" s="182">
        <v>0.557199</v>
      </c>
      <c r="E39" s="229">
        <v>-0.19255074</v>
      </c>
      <c r="F39" s="183">
        <v>-0.42033803999999991</v>
      </c>
      <c r="G39" s="181">
        <v>-3.0109300000000001</v>
      </c>
      <c r="H39" s="181">
        <v>0.57122061000000013</v>
      </c>
      <c r="I39" s="226">
        <v>3.705E-2</v>
      </c>
      <c r="J39" s="69"/>
      <c r="K39" s="72"/>
      <c r="L39" s="214">
        <f t="shared" si="9"/>
        <v>6.6703738567591246</v>
      </c>
      <c r="M39" s="215">
        <f t="shared" si="10"/>
        <v>0.70498686854659998</v>
      </c>
      <c r="N39" s="216">
        <f t="shared" si="10"/>
        <v>-0.24094101473649443</v>
      </c>
      <c r="O39" s="217">
        <f t="shared" si="11"/>
        <v>-0.50707301639224711</v>
      </c>
      <c r="P39" s="217">
        <f t="shared" si="11"/>
        <v>-3.4238519814468691</v>
      </c>
      <c r="Q39" s="217">
        <f t="shared" si="11"/>
        <v>0.61912879236046259</v>
      </c>
      <c r="R39" s="215">
        <f t="shared" si="11"/>
        <v>3.9007320919008374E-2</v>
      </c>
      <c r="S39" s="218"/>
      <c r="T39"/>
      <c r="U39" s="240"/>
      <c r="V39" s="241"/>
      <c r="W39"/>
      <c r="X39"/>
      <c r="Y39"/>
    </row>
    <row r="40" spans="1:31" ht="15.75" customHeight="1" thickBot="1" x14ac:dyDescent="0.3">
      <c r="B40" s="55" t="s">
        <v>53</v>
      </c>
      <c r="C40" s="185"/>
      <c r="D40" s="186"/>
      <c r="E40" s="230"/>
      <c r="F40" s="187"/>
      <c r="G40" s="185"/>
      <c r="H40" s="185"/>
      <c r="I40" s="185"/>
      <c r="J40" s="73"/>
      <c r="K40" s="72"/>
      <c r="L40" s="219">
        <f t="shared" si="9"/>
        <v>0</v>
      </c>
      <c r="M40" s="220">
        <f t="shared" si="10"/>
        <v>0</v>
      </c>
      <c r="N40" s="220">
        <f t="shared" si="10"/>
        <v>0</v>
      </c>
      <c r="O40" s="221">
        <f t="shared" si="11"/>
        <v>0</v>
      </c>
      <c r="P40" s="221">
        <f t="shared" si="11"/>
        <v>0</v>
      </c>
      <c r="Q40" s="221">
        <f t="shared" si="11"/>
        <v>0</v>
      </c>
      <c r="R40" s="222">
        <f t="shared" si="11"/>
        <v>0</v>
      </c>
      <c r="S40" s="223"/>
      <c r="T40"/>
      <c r="U40" s="240"/>
      <c r="V40" s="241"/>
      <c r="W40"/>
      <c r="X40"/>
      <c r="Y40"/>
    </row>
    <row r="41" spans="1:31" ht="15.75" customHeight="1" thickBot="1" x14ac:dyDescent="0.3">
      <c r="B41" s="225" t="s">
        <v>33</v>
      </c>
      <c r="C41" s="74">
        <f t="shared" ref="C41:E41" si="13">SUM(C33:C40)</f>
        <v>117.02863500000001</v>
      </c>
      <c r="D41" s="74">
        <f t="shared" si="13"/>
        <v>120.5471076</v>
      </c>
      <c r="E41" s="74">
        <f t="shared" si="13"/>
        <v>59.473813768168782</v>
      </c>
      <c r="F41" s="74">
        <f>SUM(F33:F40)</f>
        <v>126.14329395999998</v>
      </c>
      <c r="G41" s="74">
        <f>SUM(G33:G40)</f>
        <v>131.51069649999999</v>
      </c>
      <c r="H41" s="74">
        <f>SUM(H33:H40)</f>
        <v>147.80593654</v>
      </c>
      <c r="I41" s="74">
        <f>SUM(I33:I40)</f>
        <v>151.81864489999998</v>
      </c>
      <c r="J41" s="75"/>
      <c r="K41" s="28"/>
      <c r="L41" s="58">
        <f t="shared" ref="L41" si="14">L33+SUM(L35:L40)</f>
        <v>150.06652380672563</v>
      </c>
      <c r="M41" s="59">
        <f t="shared" ref="M41" si="15">M33+SUM(M35:M40)</f>
        <v>152.52024483043587</v>
      </c>
      <c r="N41" s="59">
        <f t="shared" ref="N41:R41" si="16">N33+SUM(N35:N40)</f>
        <v>74.420285476710603</v>
      </c>
      <c r="O41" s="59">
        <f t="shared" si="16"/>
        <v>152.17242904294633</v>
      </c>
      <c r="P41" s="59">
        <f t="shared" si="16"/>
        <v>149.54620625287961</v>
      </c>
      <c r="Q41" s="59">
        <f t="shared" si="16"/>
        <v>160.20239709788714</v>
      </c>
      <c r="R41" s="59">
        <f t="shared" si="16"/>
        <v>159.83909859927866</v>
      </c>
      <c r="S41" s="60">
        <f>S27-(LOOKUP($T$41,O19:R19,O27:R27)-LOOKUP($T$41,O32:R32,O41:R41))+T42</f>
        <v>164.9323998003027</v>
      </c>
      <c r="T41" s="149" t="s">
        <v>7</v>
      </c>
      <c r="U41" s="242"/>
      <c r="V41" s="243"/>
      <c r="W41"/>
      <c r="X41"/>
      <c r="Y41"/>
    </row>
    <row r="42" spans="1:31" customFormat="1" ht="15.6" customHeight="1" thickBot="1" x14ac:dyDescent="0.3">
      <c r="A42" s="1"/>
      <c r="M42" s="2"/>
      <c r="T42" s="76">
        <v>0</v>
      </c>
      <c r="U42" s="77" t="s">
        <v>34</v>
      </c>
    </row>
    <row r="43" spans="1:31" s="85" customFormat="1" ht="18.75" thickBot="1" x14ac:dyDescent="0.3">
      <c r="A43" s="1"/>
      <c r="B43" s="78"/>
      <c r="C43" s="78"/>
      <c r="D43" s="78"/>
      <c r="E43" s="78"/>
      <c r="F43" s="78"/>
      <c r="G43" s="78"/>
      <c r="H43" s="79"/>
      <c r="I43" s="79"/>
      <c r="J43" s="79"/>
      <c r="K43" s="79"/>
      <c r="L43" s="80" t="s">
        <v>35</v>
      </c>
      <c r="M43" s="81"/>
      <c r="N43" s="82"/>
      <c r="O43" s="83"/>
      <c r="P43" s="82"/>
      <c r="Q43" s="82"/>
      <c r="R43" s="82"/>
      <c r="S43" s="84"/>
      <c r="U43"/>
      <c r="V43"/>
      <c r="W43"/>
      <c r="X43"/>
      <c r="Y43"/>
      <c r="Z43"/>
      <c r="AA43"/>
      <c r="AB43"/>
      <c r="AC43"/>
      <c r="AD43"/>
      <c r="AE43"/>
    </row>
    <row r="44" spans="1:31" ht="15.75" thickBot="1" x14ac:dyDescent="0.3">
      <c r="B44" s="78"/>
      <c r="C44" s="78"/>
      <c r="D44" s="78"/>
      <c r="E44" s="78"/>
      <c r="F44" s="78"/>
      <c r="G44" s="78"/>
      <c r="H44" s="79"/>
      <c r="I44" s="79"/>
      <c r="J44" s="79"/>
      <c r="K44" s="79"/>
      <c r="L44" s="86"/>
      <c r="M44" s="87">
        <f>(M27-M41)-(L27-L41)+C15/$I$8</f>
        <v>0.13675125787051456</v>
      </c>
      <c r="N44" s="88">
        <f>(N27-N41)-(M27-M41)/2</f>
        <v>3.2273734429149954</v>
      </c>
      <c r="O44" s="89">
        <f>(O27-O41)-(2*(N27-N41)-(L27-L41))-C15/$I$8</f>
        <v>16.756182201438918</v>
      </c>
      <c r="P44" s="88">
        <f>(P27-P41)-(O27-O41)</f>
        <v>2.059497809788212</v>
      </c>
      <c r="Q44" s="88">
        <f>(Q27-Q41)-(P27-P41)</f>
        <v>-7.0962105199981238</v>
      </c>
      <c r="R44" s="88">
        <f>(R27-R41)-(Q27-Q41)</f>
        <v>4.1865254904197684</v>
      </c>
      <c r="S44" s="90">
        <f>(S27-S41)-(R27-R41)</f>
        <v>0</v>
      </c>
      <c r="T44"/>
      <c r="U44"/>
      <c r="V44"/>
      <c r="W44"/>
      <c r="X44"/>
      <c r="Y44"/>
    </row>
    <row r="45" spans="1:31" ht="23.25" customHeight="1" thickBot="1" x14ac:dyDescent="0.3">
      <c r="B45" s="78"/>
      <c r="C45" s="78"/>
      <c r="D45" s="78"/>
      <c r="E45" s="78"/>
      <c r="F45" s="78"/>
      <c r="G45" s="78"/>
      <c r="H45" s="79"/>
      <c r="I45" s="79"/>
      <c r="J45" s="79"/>
      <c r="K45" s="79"/>
      <c r="L45" s="91"/>
      <c r="N45" s="91"/>
      <c r="O45" s="91"/>
      <c r="P45" s="91"/>
      <c r="Q45" s="91"/>
      <c r="R45" s="91"/>
      <c r="S45" s="91"/>
      <c r="T45"/>
      <c r="U45"/>
      <c r="V45"/>
      <c r="W45"/>
      <c r="X45"/>
      <c r="Y45"/>
    </row>
    <row r="46" spans="1:31" s="85" customFormat="1" ht="18.75" thickBot="1" x14ac:dyDescent="0.3">
      <c r="A46" s="1"/>
      <c r="B46" s="78"/>
      <c r="C46" s="78"/>
      <c r="D46" s="78"/>
      <c r="E46" s="78"/>
      <c r="F46" s="78"/>
      <c r="G46" s="78"/>
      <c r="H46" s="79"/>
      <c r="I46" s="79"/>
      <c r="J46" s="79"/>
      <c r="K46" s="79"/>
      <c r="L46" s="92" t="s">
        <v>36</v>
      </c>
      <c r="M46" s="93"/>
      <c r="N46" s="93"/>
      <c r="O46" s="82"/>
      <c r="P46" s="82"/>
      <c r="Q46" s="82"/>
      <c r="R46" s="82"/>
      <c r="S46" s="82"/>
      <c r="T46" s="82"/>
      <c r="U46" s="82"/>
      <c r="V46" s="82"/>
      <c r="W46" s="82"/>
      <c r="X46" s="94"/>
      <c r="Y46" s="95"/>
      <c r="Z46"/>
      <c r="AA46"/>
      <c r="AB46"/>
      <c r="AC46"/>
    </row>
    <row r="47" spans="1:31" ht="30.2" customHeight="1" x14ac:dyDescent="0.25">
      <c r="B47" s="78"/>
      <c r="C47" s="78"/>
      <c r="D47" s="78"/>
      <c r="E47" s="78"/>
      <c r="F47" s="234"/>
      <c r="G47" s="78"/>
      <c r="H47" s="79"/>
      <c r="I47" s="79"/>
      <c r="J47" s="79"/>
      <c r="K47" s="79"/>
      <c r="L47" s="96"/>
      <c r="N47" s="97"/>
      <c r="O47" s="244" t="s">
        <v>21</v>
      </c>
      <c r="P47" s="245"/>
      <c r="Q47" s="245"/>
      <c r="R47" s="245"/>
      <c r="S47" s="246"/>
      <c r="T47" s="247" t="s">
        <v>37</v>
      </c>
      <c r="U47" s="248"/>
      <c r="V47" s="248"/>
      <c r="W47" s="248"/>
      <c r="X47" s="248"/>
      <c r="Y47" s="98"/>
    </row>
    <row r="48" spans="1:31" ht="15" x14ac:dyDescent="0.25">
      <c r="B48" s="78"/>
      <c r="C48" s="78"/>
      <c r="D48" s="78"/>
      <c r="E48" s="78"/>
      <c r="F48" s="234"/>
      <c r="G48" s="78"/>
      <c r="H48" s="79"/>
      <c r="I48" s="79"/>
      <c r="J48" s="79"/>
      <c r="K48" s="79"/>
      <c r="L48" s="99"/>
      <c r="N48" s="100"/>
      <c r="O48" s="249" t="s">
        <v>19</v>
      </c>
      <c r="P48" s="250"/>
      <c r="Q48" s="250"/>
      <c r="R48" s="250"/>
      <c r="S48" s="250"/>
      <c r="T48" s="250"/>
      <c r="U48" s="250"/>
      <c r="V48" s="250"/>
      <c r="W48" s="250"/>
      <c r="X48" s="250"/>
      <c r="Y48" s="251"/>
    </row>
    <row r="49" spans="2:31" ht="15.75" thickBot="1" x14ac:dyDescent="0.3">
      <c r="B49" s="78"/>
      <c r="C49" s="78"/>
      <c r="D49" s="78"/>
      <c r="E49" s="78"/>
      <c r="F49" s="234"/>
      <c r="G49" s="78"/>
      <c r="H49" s="79"/>
      <c r="I49" s="79"/>
      <c r="J49" s="79"/>
      <c r="K49" s="79"/>
      <c r="L49" s="99"/>
      <c r="N49" s="100"/>
      <c r="O49" s="101" t="s">
        <v>4</v>
      </c>
      <c r="P49" s="102" t="s">
        <v>5</v>
      </c>
      <c r="Q49" s="102" t="s">
        <v>6</v>
      </c>
      <c r="R49" s="102" t="s">
        <v>7</v>
      </c>
      <c r="S49" s="102" t="s">
        <v>8</v>
      </c>
      <c r="T49" s="103" t="s">
        <v>38</v>
      </c>
      <c r="U49" s="103" t="s">
        <v>39</v>
      </c>
      <c r="V49" s="103" t="s">
        <v>40</v>
      </c>
      <c r="W49" s="103" t="s">
        <v>41</v>
      </c>
      <c r="X49" s="103" t="s">
        <v>42</v>
      </c>
      <c r="Y49" s="104" t="s">
        <v>43</v>
      </c>
    </row>
    <row r="50" spans="2:31" ht="15.75" thickBot="1" x14ac:dyDescent="0.3">
      <c r="B50" s="78"/>
      <c r="C50" s="78"/>
      <c r="D50" s="78"/>
      <c r="E50" s="78"/>
      <c r="F50" s="234"/>
      <c r="G50" s="78"/>
      <c r="H50" s="79"/>
      <c r="I50" s="79"/>
      <c r="J50" s="79"/>
      <c r="K50" s="79"/>
      <c r="L50" s="235" t="s">
        <v>44</v>
      </c>
      <c r="M50" s="236"/>
      <c r="N50" s="237"/>
      <c r="O50" s="105"/>
      <c r="P50" s="106"/>
      <c r="Q50" s="106"/>
      <c r="R50" s="106"/>
      <c r="S50" s="107">
        <f>-M44/2</f>
        <v>-6.8375628935257282E-2</v>
      </c>
      <c r="T50" s="106"/>
      <c r="U50" s="106"/>
      <c r="V50" s="106"/>
      <c r="W50" s="106"/>
      <c r="X50" s="106"/>
      <c r="Y50" s="108"/>
    </row>
    <row r="51" spans="2:31" ht="15.75" thickBot="1" x14ac:dyDescent="0.3">
      <c r="B51" s="78"/>
      <c r="C51" s="78"/>
      <c r="D51" s="78"/>
      <c r="E51" s="78"/>
      <c r="F51" s="234"/>
      <c r="G51" s="78"/>
      <c r="H51" s="79"/>
      <c r="I51" s="79"/>
      <c r="J51" s="79"/>
      <c r="K51" s="79"/>
      <c r="L51" s="235" t="s">
        <v>45</v>
      </c>
      <c r="M51" s="236"/>
      <c r="N51" s="237"/>
      <c r="O51" s="109"/>
      <c r="P51" s="110"/>
      <c r="Q51" s="111"/>
      <c r="R51" s="111"/>
      <c r="S51" s="111"/>
      <c r="T51" s="112">
        <f>N44</f>
        <v>3.2273734429149954</v>
      </c>
      <c r="U51" s="106"/>
      <c r="V51" s="106"/>
      <c r="W51" s="106"/>
      <c r="X51" s="106"/>
      <c r="Y51" s="108"/>
    </row>
    <row r="52" spans="2:31" ht="15.75" thickBot="1" x14ac:dyDescent="0.3">
      <c r="B52" s="78"/>
      <c r="C52" s="78"/>
      <c r="D52" s="78"/>
      <c r="E52" s="233"/>
      <c r="F52" s="234"/>
      <c r="G52" s="78"/>
      <c r="H52" s="79"/>
      <c r="I52" s="79"/>
      <c r="J52" s="79"/>
      <c r="K52" s="79"/>
      <c r="L52" s="235" t="s">
        <v>4</v>
      </c>
      <c r="M52" s="236"/>
      <c r="N52" s="237"/>
      <c r="O52" s="110"/>
      <c r="P52" s="113">
        <f>$O$44</f>
        <v>16.756182201438918</v>
      </c>
      <c r="Q52" s="114">
        <f>$O$44</f>
        <v>16.756182201438918</v>
      </c>
      <c r="R52" s="115">
        <f>$O$44</f>
        <v>16.756182201438918</v>
      </c>
      <c r="S52" s="114">
        <f>$O$44</f>
        <v>16.756182201438918</v>
      </c>
      <c r="T52" s="116">
        <f>$O$44</f>
        <v>16.756182201438918</v>
      </c>
      <c r="U52" s="117"/>
      <c r="V52" s="106"/>
      <c r="W52" s="106"/>
      <c r="X52" s="106"/>
      <c r="Y52" s="118"/>
      <c r="AD52" s="2"/>
      <c r="AE52" s="2"/>
    </row>
    <row r="53" spans="2:31" ht="15.75" thickBot="1" x14ac:dyDescent="0.3">
      <c r="B53" s="78"/>
      <c r="C53" s="78"/>
      <c r="D53" s="78"/>
      <c r="E53" s="78"/>
      <c r="F53" s="78"/>
      <c r="G53" s="78"/>
      <c r="H53" s="79"/>
      <c r="I53" s="79"/>
      <c r="J53" s="79"/>
      <c r="K53" s="79"/>
      <c r="L53" s="235" t="s">
        <v>5</v>
      </c>
      <c r="M53" s="236"/>
      <c r="N53" s="237"/>
      <c r="O53" s="110"/>
      <c r="P53" s="110"/>
      <c r="Q53" s="119">
        <f>$P$44</f>
        <v>2.059497809788212</v>
      </c>
      <c r="R53" s="120">
        <f>$P$44</f>
        <v>2.059497809788212</v>
      </c>
      <c r="S53" s="121">
        <f>$P$44</f>
        <v>2.059497809788212</v>
      </c>
      <c r="T53" s="120">
        <f>$P$44</f>
        <v>2.059497809788212</v>
      </c>
      <c r="U53" s="122">
        <f>$P$44</f>
        <v>2.059497809788212</v>
      </c>
      <c r="V53" s="106"/>
      <c r="W53" s="106"/>
      <c r="X53" s="106"/>
      <c r="Y53" s="118"/>
      <c r="AD53" s="2"/>
      <c r="AE53" s="2"/>
    </row>
    <row r="54" spans="2:31" ht="15.75" thickBot="1" x14ac:dyDescent="0.3">
      <c r="B54" s="78"/>
      <c r="C54" s="78"/>
      <c r="D54" s="78"/>
      <c r="E54" s="78"/>
      <c r="F54" s="78"/>
      <c r="G54" s="78"/>
      <c r="H54" s="79"/>
      <c r="I54" s="79"/>
      <c r="J54" s="79"/>
      <c r="K54" s="79"/>
      <c r="L54" s="235" t="s">
        <v>6</v>
      </c>
      <c r="M54" s="236"/>
      <c r="N54" s="237"/>
      <c r="O54" s="106"/>
      <c r="P54" s="106"/>
      <c r="Q54" s="110"/>
      <c r="R54" s="123">
        <f>$Q$44</f>
        <v>-7.0962105199981238</v>
      </c>
      <c r="S54" s="121">
        <f>$Q$44</f>
        <v>-7.0962105199981238</v>
      </c>
      <c r="T54" s="120">
        <f>$Q$44</f>
        <v>-7.0962105199981238</v>
      </c>
      <c r="U54" s="121">
        <f>$Q$44</f>
        <v>-7.0962105199981238</v>
      </c>
      <c r="V54" s="124">
        <f>$Q$44</f>
        <v>-7.0962105199981238</v>
      </c>
      <c r="W54" s="117"/>
      <c r="X54" s="106"/>
      <c r="Y54" s="118"/>
      <c r="AD54" s="2"/>
      <c r="AE54" s="2"/>
    </row>
    <row r="55" spans="2:31" ht="15.75" thickBot="1" x14ac:dyDescent="0.3">
      <c r="B55" s="78"/>
      <c r="C55" s="78"/>
      <c r="D55" s="78"/>
      <c r="E55" s="78"/>
      <c r="F55" s="78"/>
      <c r="G55" s="78"/>
      <c r="H55" s="79"/>
      <c r="I55" s="79"/>
      <c r="J55" s="79"/>
      <c r="K55" s="79"/>
      <c r="L55" s="235" t="s">
        <v>7</v>
      </c>
      <c r="M55" s="236"/>
      <c r="N55" s="237"/>
      <c r="O55" s="106"/>
      <c r="P55" s="106"/>
      <c r="Q55" s="106"/>
      <c r="R55" s="110"/>
      <c r="S55" s="119">
        <f>$R$44</f>
        <v>4.1865254904197684</v>
      </c>
      <c r="T55" s="121">
        <f>$R$44</f>
        <v>4.1865254904197684</v>
      </c>
      <c r="U55" s="125">
        <f>$R$44</f>
        <v>4.1865254904197684</v>
      </c>
      <c r="V55" s="120">
        <f>$R$44</f>
        <v>4.1865254904197684</v>
      </c>
      <c r="W55" s="126">
        <f>$R$44</f>
        <v>4.1865254904197684</v>
      </c>
      <c r="X55" s="117"/>
      <c r="Y55" s="118"/>
      <c r="AD55" s="2"/>
      <c r="AE55" s="2"/>
    </row>
    <row r="56" spans="2:31" ht="15.75" thickBot="1" x14ac:dyDescent="0.3">
      <c r="B56" s="78"/>
      <c r="C56" s="78"/>
      <c r="D56" s="78"/>
      <c r="E56" s="78"/>
      <c r="F56" s="78"/>
      <c r="G56" s="78"/>
      <c r="H56" s="79"/>
      <c r="I56" s="79"/>
      <c r="J56" s="79"/>
      <c r="K56" s="79"/>
      <c r="L56" s="235" t="s">
        <v>8</v>
      </c>
      <c r="M56" s="236"/>
      <c r="N56" s="237"/>
      <c r="O56" s="106"/>
      <c r="P56" s="106"/>
      <c r="Q56" s="106"/>
      <c r="R56" s="106"/>
      <c r="S56" s="110"/>
      <c r="T56" s="127">
        <f>+$S$44</f>
        <v>0</v>
      </c>
      <c r="U56" s="125">
        <f>+$S$44</f>
        <v>0</v>
      </c>
      <c r="V56" s="128">
        <f>+$S$44</f>
        <v>0</v>
      </c>
      <c r="W56" s="129">
        <f>+$S$44</f>
        <v>0</v>
      </c>
      <c r="X56" s="130">
        <f>+$S$44</f>
        <v>0</v>
      </c>
      <c r="Y56" s="118"/>
      <c r="AD56" s="2"/>
      <c r="AE56" s="2"/>
    </row>
    <row r="57" spans="2:31" ht="15.75" thickBot="1" x14ac:dyDescent="0.3">
      <c r="B57" s="78"/>
      <c r="C57" s="78"/>
      <c r="D57" s="78"/>
      <c r="E57" s="78"/>
      <c r="F57" s="78"/>
      <c r="G57" s="78"/>
      <c r="H57" s="79"/>
      <c r="I57" s="79"/>
      <c r="J57" s="79"/>
      <c r="K57" s="79"/>
      <c r="L57" s="131" t="s">
        <v>46</v>
      </c>
      <c r="M57" s="132"/>
      <c r="N57" s="132"/>
      <c r="O57" s="133"/>
      <c r="P57" s="133"/>
      <c r="Q57" s="133"/>
      <c r="R57" s="133"/>
      <c r="S57" s="134">
        <f>S50</f>
        <v>-6.8375628935257282E-2</v>
      </c>
      <c r="T57" s="134">
        <f>+SUM(T51:T56)</f>
        <v>19.13336842456377</v>
      </c>
      <c r="U57" s="134">
        <f>+SUM(U53:U56)</f>
        <v>-0.85018721979014344</v>
      </c>
      <c r="V57" s="134">
        <f>+SUM(V54:V56)</f>
        <v>-2.9096850295783554</v>
      </c>
      <c r="W57" s="134">
        <f>+SUM(W55:W56)</f>
        <v>4.1865254904197684</v>
      </c>
      <c r="X57" s="134">
        <f>+SUM(X56)</f>
        <v>0</v>
      </c>
      <c r="Y57" s="135">
        <f>+SUM(T57:X57)</f>
        <v>19.560021665615039</v>
      </c>
      <c r="AE57" s="2"/>
    </row>
    <row r="58" spans="2:31" ht="18.75" thickBot="1" x14ac:dyDescent="0.3">
      <c r="B58" s="78"/>
      <c r="C58" s="78"/>
      <c r="D58" s="78"/>
      <c r="E58" s="78"/>
      <c r="F58" s="78"/>
      <c r="G58" s="78"/>
      <c r="H58" s="79"/>
      <c r="I58" s="79"/>
      <c r="J58" s="79"/>
      <c r="K58" s="136"/>
      <c r="L58" s="136"/>
      <c r="M58" s="136"/>
      <c r="N58" s="136"/>
      <c r="O58" s="136"/>
      <c r="P58" s="136"/>
      <c r="Q58" s="136"/>
      <c r="R58" s="136"/>
      <c r="S58" s="136"/>
      <c r="T58" s="137"/>
      <c r="U58" s="137"/>
      <c r="V58" s="137"/>
      <c r="W58" s="137"/>
      <c r="X58" s="137"/>
      <c r="Y58"/>
      <c r="AE58" s="2"/>
    </row>
    <row r="59" spans="2:31" ht="18.75" thickBot="1" x14ac:dyDescent="0.3">
      <c r="B59" s="78"/>
      <c r="C59" s="78"/>
      <c r="D59" s="78"/>
      <c r="E59" s="78"/>
      <c r="F59" s="78"/>
      <c r="G59" s="78"/>
      <c r="H59" s="79"/>
      <c r="I59" s="79"/>
      <c r="J59" s="79"/>
      <c r="K59" s="136"/>
      <c r="L59" s="138" t="s">
        <v>47</v>
      </c>
      <c r="M59" s="139"/>
      <c r="N59" s="140"/>
      <c r="O59" s="141"/>
      <c r="P59" s="142"/>
      <c r="Q59" s="142"/>
      <c r="R59" s="143"/>
      <c r="S59" s="144">
        <v>2.6776805162318239E-2</v>
      </c>
      <c r="T59" s="144">
        <v>3.427350318130884E-2</v>
      </c>
      <c r="U59" s="142"/>
      <c r="V59" s="142"/>
      <c r="W59" s="142"/>
      <c r="X59" s="142"/>
      <c r="Y59" s="145"/>
      <c r="AE59" s="2"/>
    </row>
    <row r="60" spans="2:31" ht="18.75" thickBot="1" x14ac:dyDescent="0.3">
      <c r="B60" s="78"/>
      <c r="C60" s="78"/>
      <c r="D60" s="78"/>
      <c r="E60" s="78"/>
      <c r="F60" s="78"/>
      <c r="G60" s="78"/>
      <c r="H60" s="79"/>
      <c r="I60" s="79"/>
      <c r="J60" s="79"/>
      <c r="K60" s="136"/>
      <c r="L60" s="136"/>
      <c r="M60" s="136"/>
      <c r="N60" s="136"/>
      <c r="O60" s="136"/>
      <c r="P60" s="136"/>
      <c r="Q60" s="136"/>
      <c r="R60" s="136"/>
      <c r="S60" s="136"/>
      <c r="T60" s="137"/>
      <c r="U60" s="137"/>
      <c r="V60" s="137"/>
      <c r="W60" s="137"/>
      <c r="X60" s="137"/>
      <c r="Y60"/>
      <c r="AE60" s="2"/>
    </row>
    <row r="61" spans="2:31" ht="15.75" thickBot="1" x14ac:dyDescent="0.3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138" t="s">
        <v>48</v>
      </c>
      <c r="M61" s="139"/>
      <c r="N61" s="139"/>
      <c r="O61" s="140"/>
      <c r="P61" s="140"/>
      <c r="Q61" s="140"/>
      <c r="R61" s="140"/>
      <c r="S61" s="140"/>
      <c r="T61" s="134">
        <f>T57+S57*(1+S59)^(6/12)*(1+T59)^(6/12)</f>
        <v>19.062906085129896</v>
      </c>
      <c r="U61" s="134">
        <f>U57</f>
        <v>-0.85018721979014344</v>
      </c>
      <c r="V61" s="134">
        <f>V57</f>
        <v>-2.9096850295783554</v>
      </c>
      <c r="W61" s="134">
        <f>W57</f>
        <v>4.1865254904197684</v>
      </c>
      <c r="X61" s="134">
        <f>X57</f>
        <v>0</v>
      </c>
      <c r="Y61" s="135">
        <f>+SUM(T61:X61)</f>
        <v>19.489559326181165</v>
      </c>
      <c r="AE61" s="2"/>
    </row>
    <row r="62" spans="2:31" ht="15" x14ac:dyDescent="0.25">
      <c r="B62"/>
      <c r="C62"/>
      <c r="D62"/>
      <c r="E62"/>
      <c r="F62"/>
      <c r="G62"/>
      <c r="H62"/>
      <c r="I62"/>
      <c r="J62" s="146"/>
      <c r="K62" s="146"/>
      <c r="L62" s="146"/>
      <c r="M62" s="146"/>
      <c r="N62" s="147"/>
      <c r="O62" s="146"/>
      <c r="P62" s="146"/>
      <c r="Q62" s="146"/>
      <c r="R62" s="147"/>
      <c r="S62" s="147"/>
      <c r="T62" s="147"/>
      <c r="U62" s="148"/>
      <c r="V62" s="148"/>
      <c r="W62"/>
      <c r="X62"/>
      <c r="Y62"/>
    </row>
    <row r="63" spans="2:31" customFormat="1" ht="15" hidden="1" x14ac:dyDescent="0.25"/>
    <row r="64" spans="2:31" customFormat="1" ht="15" hidden="1" x14ac:dyDescent="0.25"/>
    <row r="65" spans="1:287" customFormat="1" ht="15" hidden="1" x14ac:dyDescent="0.25"/>
    <row r="66" spans="1:287" customFormat="1" ht="15" hidden="1" x14ac:dyDescent="0.25"/>
    <row r="67" spans="1:287" customFormat="1" ht="15" hidden="1" x14ac:dyDescent="0.25"/>
    <row r="68" spans="1:287" customFormat="1" ht="15" hidden="1" x14ac:dyDescent="0.25"/>
    <row r="69" spans="1:287" customFormat="1" ht="15" hidden="1" x14ac:dyDescent="0.25"/>
    <row r="70" spans="1:287" customFormat="1" ht="15" hidden="1" x14ac:dyDescent="0.25"/>
    <row r="71" spans="1:287" customFormat="1" ht="15" hidden="1" x14ac:dyDescent="0.25"/>
    <row r="72" spans="1:287" customFormat="1" ht="15" hidden="1" x14ac:dyDescent="0.25"/>
    <row r="73" spans="1:287" customFormat="1" ht="15" hidden="1" x14ac:dyDescent="0.25"/>
    <row r="74" spans="1:287" customFormat="1" ht="15" hidden="1" x14ac:dyDescent="0.25"/>
    <row r="75" spans="1:287" customFormat="1" ht="15" hidden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</row>
    <row r="76" spans="1:287" customFormat="1" ht="15" hidden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</row>
    <row r="77" spans="1:287" customFormat="1" ht="15" hidden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</row>
  </sheetData>
  <mergeCells count="24">
    <mergeCell ref="C17:D17"/>
    <mergeCell ref="F17:J17"/>
    <mergeCell ref="L17:S17"/>
    <mergeCell ref="C18:E18"/>
    <mergeCell ref="F18:J18"/>
    <mergeCell ref="L18:N18"/>
    <mergeCell ref="O18:S18"/>
    <mergeCell ref="L51:N51"/>
    <mergeCell ref="C30:J30"/>
    <mergeCell ref="L30:S30"/>
    <mergeCell ref="C31:E31"/>
    <mergeCell ref="F31:J31"/>
    <mergeCell ref="L31:N31"/>
    <mergeCell ref="O31:S31"/>
    <mergeCell ref="U37:V41"/>
    <mergeCell ref="O47:S47"/>
    <mergeCell ref="T47:X47"/>
    <mergeCell ref="O48:Y48"/>
    <mergeCell ref="L50:N50"/>
    <mergeCell ref="L52:N52"/>
    <mergeCell ref="L53:N53"/>
    <mergeCell ref="L54:N54"/>
    <mergeCell ref="L55:N55"/>
    <mergeCell ref="L56:N56"/>
  </mergeCells>
  <conditionalFormatting sqref="C20:J20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C22:J26 C33:I33 C35:I40">
    <cfRule type="expression" dxfId="3" priority="5">
      <formula>dms_TradingName = "Endeavour Energy"</formula>
    </cfRule>
    <cfRule type="expression" dxfId="2" priority="6">
      <formula>dms_TradingName = "TasNetworks (T)"</formula>
    </cfRule>
  </conditionalFormatting>
  <conditionalFormatting sqref="S59:T59">
    <cfRule type="expression" dxfId="1" priority="1">
      <formula>dms_TradingName = "Endeavour Energy"</formula>
    </cfRule>
    <cfRule type="expression" dxfId="0" priority="2">
      <formula>dms_TradingName = "TasNetworks (T)"</formula>
    </cfRule>
  </conditionalFormatting>
  <dataValidations count="3">
    <dataValidation type="list" allowBlank="1" showInputMessage="1" showErrorMessage="1" sqref="T41" xr:uid="{6AD216CB-B0FE-42A7-A0A9-C5DD1F6DFFA0}">
      <formula1>$O$32:$R$32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0:J20" xr:uid="{7B065899-B12A-4FCE-AE7C-5268B9CAAC7A}">
      <formula1>ISNUMBER(C20)</formula1>
    </dataValidation>
    <dataValidation type="list" allowBlank="1" showInputMessage="1" showErrorMessage="1" sqref="C14" xr:uid="{7A5DE302-DA0B-4826-909D-EE0DC5CFBC29}">
      <formula1>$D$5:$H$5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decision</vt:lpstr>
      <vt:lpstr>'Final decision'!dms_PRCP_BaseYear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2026-04-17T06:10:35Z</dcterms:created>
  <dcterms:modified xsi:type="dcterms:W3CDTF">2026-04-17T06:10:40Z</dcterms:modified>
  <cp:category/>
  <cp:contentStatus/>
</cp:coreProperties>
</file>