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AER\Opex modelling\AER opex models\31. VICTORIA 2026-31\United Energy\4. Final decision\Publish\"/>
    </mc:Choice>
  </mc:AlternateContent>
  <xr:revisionPtr revIDLastSave="0" documentId="8_{BA28079E-ED27-4382-9F98-27B1B1573D29}" xr6:coauthVersionLast="47" xr6:coauthVersionMax="47" xr10:uidLastSave="{00000000-0000-0000-0000-000000000000}"/>
  <bookViews>
    <workbookView xWindow="-120" yWindow="-120" windowWidth="29040" windowHeight="15720" tabRatio="768" xr2:uid="{E6CD642D-BC2D-47D3-B6AF-E23152C43DE5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Lookup|Tables" sheetId="4" r:id="rId9"/>
    <sheet name="Check|List" sheetId="16" r:id="rId10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3" i="55" l="1"/>
  <c r="F82" i="55"/>
  <c r="F81" i="55"/>
  <c r="F80" i="55"/>
  <c r="F79" i="55"/>
  <c r="F31" i="53" l="1"/>
  <c r="P77" i="2" l="1"/>
  <c r="H79" i="55" l="1"/>
  <c r="H80" i="55"/>
  <c r="H81" i="55"/>
  <c r="H82" i="55"/>
  <c r="H86" i="55" s="1"/>
  <c r="H83" i="55"/>
  <c r="H84" i="55"/>
  <c r="H88" i="55" s="1"/>
  <c r="H85" i="55" l="1"/>
  <c r="H87" i="55"/>
  <c r="C78" i="42" l="1"/>
  <c r="C79" i="42"/>
  <c r="C80" i="42"/>
  <c r="C81" i="42"/>
  <c r="C82" i="42"/>
  <c r="C83" i="42"/>
  <c r="C84" i="42"/>
  <c r="C85" i="42"/>
  <c r="C86" i="42"/>
  <c r="C87" i="42"/>
  <c r="E14" i="53" l="1"/>
  <c r="E79" i="42"/>
  <c r="E78" i="42"/>
  <c r="E13" i="53"/>
  <c r="K93" i="2" l="1"/>
  <c r="L93" i="2"/>
  <c r="M93" i="2"/>
  <c r="J93" i="2"/>
  <c r="F73" i="55"/>
  <c r="H73" i="55" s="1"/>
  <c r="F74" i="55"/>
  <c r="H74" i="55" s="1"/>
  <c r="F21" i="55"/>
  <c r="H21" i="55" s="1"/>
  <c r="F22" i="55"/>
  <c r="H22" i="55" s="1"/>
  <c r="F23" i="55"/>
  <c r="H23" i="55" s="1"/>
  <c r="F24" i="55"/>
  <c r="H24" i="55" s="1"/>
  <c r="F25" i="55"/>
  <c r="H25" i="55" s="1"/>
  <c r="F26" i="55"/>
  <c r="H26" i="55" s="1"/>
  <c r="F27" i="55"/>
  <c r="H27" i="55" s="1"/>
  <c r="F28" i="55"/>
  <c r="H28" i="55" s="1"/>
  <c r="F29" i="55"/>
  <c r="H29" i="55" s="1"/>
  <c r="F30" i="55"/>
  <c r="H30" i="55" s="1"/>
  <c r="F31" i="55"/>
  <c r="H31" i="55" s="1"/>
  <c r="F32" i="55"/>
  <c r="H32" i="55" s="1"/>
  <c r="F33" i="55"/>
  <c r="H33" i="55" s="1"/>
  <c r="F34" i="55"/>
  <c r="H34" i="55" s="1"/>
  <c r="F35" i="55"/>
  <c r="H35" i="55" s="1"/>
  <c r="F36" i="55"/>
  <c r="H36" i="55" s="1"/>
  <c r="F37" i="55"/>
  <c r="H37" i="55" s="1"/>
  <c r="F38" i="55"/>
  <c r="H38" i="55" s="1"/>
  <c r="F39" i="55"/>
  <c r="H39" i="55" s="1"/>
  <c r="F40" i="55"/>
  <c r="H40" i="55" s="1"/>
  <c r="F41" i="55"/>
  <c r="H41" i="55" s="1"/>
  <c r="F42" i="55"/>
  <c r="H42" i="55" s="1"/>
  <c r="F43" i="55"/>
  <c r="H43" i="55" s="1"/>
  <c r="F44" i="55"/>
  <c r="H44" i="55" s="1"/>
  <c r="F45" i="55"/>
  <c r="H45" i="55" s="1"/>
  <c r="F46" i="55"/>
  <c r="H46" i="55" s="1"/>
  <c r="F47" i="55"/>
  <c r="H47" i="55" s="1"/>
  <c r="F48" i="55"/>
  <c r="H48" i="55" s="1"/>
  <c r="F49" i="55"/>
  <c r="H49" i="55" s="1"/>
  <c r="F50" i="55"/>
  <c r="H50" i="55" s="1"/>
  <c r="F51" i="55"/>
  <c r="H51" i="55" s="1"/>
  <c r="F52" i="55"/>
  <c r="H52" i="55" s="1"/>
  <c r="F53" i="55"/>
  <c r="H53" i="55" s="1"/>
  <c r="F54" i="55"/>
  <c r="H54" i="55" s="1"/>
  <c r="F55" i="55"/>
  <c r="H55" i="55" s="1"/>
  <c r="F56" i="55"/>
  <c r="H56" i="55" s="1"/>
  <c r="F57" i="55"/>
  <c r="H57" i="55" s="1"/>
  <c r="F58" i="55"/>
  <c r="H58" i="55" s="1"/>
  <c r="F59" i="55"/>
  <c r="H59" i="55" s="1"/>
  <c r="F60" i="55"/>
  <c r="H60" i="55" s="1"/>
  <c r="F61" i="55"/>
  <c r="H61" i="55" s="1"/>
  <c r="F62" i="55"/>
  <c r="H62" i="55" s="1"/>
  <c r="F63" i="55"/>
  <c r="H63" i="55" s="1"/>
  <c r="F64" i="55"/>
  <c r="H64" i="55" s="1"/>
  <c r="F65" i="55"/>
  <c r="H65" i="55" s="1"/>
  <c r="F66" i="55"/>
  <c r="H66" i="55" s="1"/>
  <c r="F67" i="55"/>
  <c r="H67" i="55" s="1"/>
  <c r="F68" i="55"/>
  <c r="H68" i="55" s="1"/>
  <c r="F69" i="55"/>
  <c r="H69" i="55" s="1"/>
  <c r="F70" i="55"/>
  <c r="H70" i="55" s="1"/>
  <c r="F71" i="55"/>
  <c r="H71" i="55" s="1"/>
  <c r="F72" i="55"/>
  <c r="H72" i="55" s="1"/>
  <c r="F76" i="55"/>
  <c r="H76" i="55" s="1"/>
  <c r="F77" i="55"/>
  <c r="H77" i="55" s="1"/>
  <c r="F78" i="55"/>
  <c r="H78" i="55" s="1"/>
  <c r="F75" i="55"/>
  <c r="H75" i="55" s="1"/>
  <c r="X93" i="2" l="1"/>
  <c r="V87" i="55" l="1"/>
  <c r="V88" i="55"/>
  <c r="W34" i="53" l="1"/>
  <c r="W33" i="53"/>
  <c r="V66" i="58"/>
  <c r="V67" i="58"/>
  <c r="I86" i="55" l="1"/>
  <c r="V45" i="58"/>
  <c r="V44" i="58"/>
  <c r="V26" i="58"/>
  <c r="V27" i="58"/>
  <c r="B2" i="55"/>
  <c r="V86" i="55" l="1"/>
  <c r="T40" i="2" l="1"/>
  <c r="S40" i="2"/>
  <c r="R40" i="2"/>
  <c r="Q40" i="2"/>
  <c r="P40" i="2"/>
  <c r="V9" i="55" l="1"/>
  <c r="V10" i="55"/>
  <c r="V11" i="55"/>
  <c r="V12" i="55"/>
  <c r="V13" i="55"/>
  <c r="V14" i="55"/>
  <c r="V15" i="55"/>
  <c r="V16" i="55"/>
  <c r="V17" i="55"/>
  <c r="V18" i="55"/>
  <c r="V19" i="55"/>
  <c r="V20" i="55"/>
  <c r="V21" i="55"/>
  <c r="V22" i="55"/>
  <c r="V23" i="55"/>
  <c r="V25" i="55"/>
  <c r="V26" i="55"/>
  <c r="V27" i="55"/>
  <c r="V28" i="55"/>
  <c r="V29" i="55"/>
  <c r="V24" i="55"/>
  <c r="I26" i="55"/>
  <c r="I34" i="55"/>
  <c r="V34" i="55" s="1"/>
  <c r="I42" i="55"/>
  <c r="V42" i="55" s="1"/>
  <c r="I50" i="55"/>
  <c r="V50" i="55" s="1"/>
  <c r="I58" i="55"/>
  <c r="V58" i="55" s="1"/>
  <c r="I66" i="55"/>
  <c r="V66" i="55" s="1"/>
  <c r="K97" i="2"/>
  <c r="L97" i="2"/>
  <c r="M97" i="2"/>
  <c r="K98" i="2"/>
  <c r="L98" i="2"/>
  <c r="M98" i="2"/>
  <c r="K99" i="2"/>
  <c r="L99" i="2"/>
  <c r="M99" i="2"/>
  <c r="K100" i="2"/>
  <c r="L100" i="2"/>
  <c r="M100" i="2"/>
  <c r="K101" i="2"/>
  <c r="L101" i="2"/>
  <c r="M101" i="2"/>
  <c r="K102" i="2"/>
  <c r="L102" i="2"/>
  <c r="M102" i="2"/>
  <c r="J98" i="2"/>
  <c r="J99" i="2"/>
  <c r="J100" i="2"/>
  <c r="J101" i="2"/>
  <c r="J102" i="2"/>
  <c r="J97" i="2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I60" i="55" l="1"/>
  <c r="V60" i="55" s="1"/>
  <c r="I52" i="55"/>
  <c r="V52" i="55" s="1"/>
  <c r="I36" i="55"/>
  <c r="V36" i="55" s="1"/>
  <c r="I44" i="55"/>
  <c r="V44" i="55" s="1"/>
  <c r="I57" i="55"/>
  <c r="V57" i="55" s="1"/>
  <c r="I25" i="55"/>
  <c r="I33" i="55"/>
  <c r="V33" i="55" s="1"/>
  <c r="I65" i="55"/>
  <c r="V65" i="55" s="1"/>
  <c r="I49" i="55"/>
  <c r="V49" i="55" s="1"/>
  <c r="I41" i="55"/>
  <c r="V41" i="55" s="1"/>
  <c r="I47" i="55"/>
  <c r="V47" i="55" s="1"/>
  <c r="I63" i="55"/>
  <c r="V63" i="55" s="1"/>
  <c r="I39" i="55"/>
  <c r="V39" i="55" s="1"/>
  <c r="I55" i="55"/>
  <c r="V55" i="55" s="1"/>
  <c r="I31" i="55"/>
  <c r="V31" i="55" s="1"/>
  <c r="I28" i="55"/>
  <c r="I64" i="55"/>
  <c r="V64" i="55" s="1"/>
  <c r="I56" i="55"/>
  <c r="V56" i="55" s="1"/>
  <c r="I48" i="55"/>
  <c r="V48" i="55" s="1"/>
  <c r="I40" i="55"/>
  <c r="V40" i="55" s="1"/>
  <c r="I32" i="55"/>
  <c r="V32" i="55" s="1"/>
  <c r="I70" i="55"/>
  <c r="V70" i="55" s="1"/>
  <c r="I62" i="55"/>
  <c r="V62" i="55" s="1"/>
  <c r="I54" i="55"/>
  <c r="V54" i="55" s="1"/>
  <c r="I46" i="55"/>
  <c r="V46" i="55" s="1"/>
  <c r="I38" i="55"/>
  <c r="V38" i="55" s="1"/>
  <c r="I30" i="55"/>
  <c r="V30" i="55" s="1"/>
  <c r="I69" i="55"/>
  <c r="V69" i="55" s="1"/>
  <c r="I61" i="55"/>
  <c r="V61" i="55" s="1"/>
  <c r="I53" i="55"/>
  <c r="V53" i="55" s="1"/>
  <c r="I45" i="55"/>
  <c r="V45" i="55" s="1"/>
  <c r="I37" i="55"/>
  <c r="V37" i="55" s="1"/>
  <c r="I29" i="55"/>
  <c r="I67" i="55"/>
  <c r="V67" i="55" s="1"/>
  <c r="I59" i="55"/>
  <c r="V59" i="55" s="1"/>
  <c r="I51" i="55"/>
  <c r="V51" i="55" s="1"/>
  <c r="I43" i="55"/>
  <c r="V43" i="55" s="1"/>
  <c r="I35" i="55"/>
  <c r="V35" i="55" s="1"/>
  <c r="I27" i="55"/>
  <c r="I68" i="55"/>
  <c r="V68" i="55" s="1"/>
  <c r="S67" i="42" l="1"/>
  <c r="R67" i="42"/>
  <c r="P67" i="42"/>
  <c r="C7" i="4"/>
  <c r="S15" i="54"/>
  <c r="F42" i="53"/>
  <c r="E34" i="53"/>
  <c r="E33" i="53"/>
  <c r="E32" i="53"/>
  <c r="E31" i="53"/>
  <c r="E30" i="53"/>
  <c r="F34" i="53"/>
  <c r="F33" i="53"/>
  <c r="F32" i="53"/>
  <c r="F30" i="53"/>
  <c r="E22" i="53"/>
  <c r="E21" i="53"/>
  <c r="E20" i="53"/>
  <c r="E19" i="53"/>
  <c r="E18" i="53"/>
  <c r="E17" i="53"/>
  <c r="E16" i="53"/>
  <c r="E15" i="53"/>
  <c r="E12" i="53"/>
  <c r="F13" i="58"/>
  <c r="F24" i="58" s="1"/>
  <c r="F69" i="58"/>
  <c r="F28" i="42" s="1"/>
  <c r="F67" i="58"/>
  <c r="F49" i="42" s="1"/>
  <c r="F66" i="58"/>
  <c r="F46" i="42" s="1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1" i="42" s="1"/>
  <c r="E21" i="58"/>
  <c r="E20" i="58"/>
  <c r="E19" i="58"/>
  <c r="E13" i="58"/>
  <c r="E15" i="58" s="1"/>
  <c r="J4" i="42"/>
  <c r="J49" i="42" s="1"/>
  <c r="K4" i="42"/>
  <c r="K105" i="42" s="1"/>
  <c r="L4" i="42"/>
  <c r="L105" i="42" s="1"/>
  <c r="M4" i="42"/>
  <c r="M93" i="42" s="1"/>
  <c r="N4" i="42"/>
  <c r="N105" i="42" s="1"/>
  <c r="O4" i="42"/>
  <c r="O105" i="42" s="1"/>
  <c r="P4" i="42"/>
  <c r="P58" i="42" s="1"/>
  <c r="Q4" i="42"/>
  <c r="Q105" i="42" s="1"/>
  <c r="R4" i="42"/>
  <c r="R105" i="42" s="1"/>
  <c r="S4" i="42"/>
  <c r="S105" i="42" s="1"/>
  <c r="T4" i="42"/>
  <c r="J4" i="58"/>
  <c r="J10" i="58" s="1"/>
  <c r="F8" i="42"/>
  <c r="E18" i="44"/>
  <c r="C18" i="44"/>
  <c r="C98" i="42"/>
  <c r="E98" i="42"/>
  <c r="C99" i="42"/>
  <c r="E99" i="42"/>
  <c r="E16" i="44"/>
  <c r="C15" i="44"/>
  <c r="C16" i="44"/>
  <c r="C17" i="44"/>
  <c r="C97" i="42"/>
  <c r="C96" i="42"/>
  <c r="T4" i="44"/>
  <c r="T11" i="44" s="1"/>
  <c r="T64" i="42"/>
  <c r="T67" i="42"/>
  <c r="U79" i="2"/>
  <c r="U80" i="2"/>
  <c r="U4" i="2"/>
  <c r="U104" i="2" s="1"/>
  <c r="H78" i="4"/>
  <c r="G78" i="4" s="1"/>
  <c r="T4" i="53"/>
  <c r="T40" i="53" s="1"/>
  <c r="T44" i="53" s="1"/>
  <c r="T4" i="58"/>
  <c r="U78" i="2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U77" i="2"/>
  <c r="O47" i="58"/>
  <c r="P47" i="58"/>
  <c r="Q47" i="58"/>
  <c r="R47" i="58"/>
  <c r="S47" i="58"/>
  <c r="C106" i="2" a="1"/>
  <c r="C109" i="2" s="1"/>
  <c r="C102" i="2"/>
  <c r="C101" i="2"/>
  <c r="C100" i="2"/>
  <c r="C99" i="2"/>
  <c r="C98" i="2"/>
  <c r="C97" i="2"/>
  <c r="F19" i="42"/>
  <c r="F8" i="44"/>
  <c r="F18" i="44" s="1"/>
  <c r="E24" i="42"/>
  <c r="E22" i="42"/>
  <c r="E20" i="42"/>
  <c r="K29" i="58"/>
  <c r="L29" i="58"/>
  <c r="M29" i="58"/>
  <c r="N29" i="58"/>
  <c r="O29" i="58"/>
  <c r="P29" i="58"/>
  <c r="Q29" i="58"/>
  <c r="R29" i="58"/>
  <c r="S29" i="58"/>
  <c r="J29" i="58"/>
  <c r="D15" i="58"/>
  <c r="K15" i="58"/>
  <c r="L15" i="58"/>
  <c r="M15" i="58"/>
  <c r="N15" i="58"/>
  <c r="O15" i="58"/>
  <c r="P15" i="58"/>
  <c r="Q15" i="58"/>
  <c r="R15" i="58"/>
  <c r="S15" i="58"/>
  <c r="J15" i="58"/>
  <c r="E29" i="42"/>
  <c r="C29" i="42"/>
  <c r="E35" i="42"/>
  <c r="N57" i="58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M4" i="44"/>
  <c r="M11" i="44" s="1"/>
  <c r="L4" i="44"/>
  <c r="L11" i="44" s="1"/>
  <c r="K4" i="44"/>
  <c r="K11" i="44" s="1"/>
  <c r="J4" i="44"/>
  <c r="J11" i="44" s="1"/>
  <c r="S4" i="53"/>
  <c r="S10" i="53" s="1"/>
  <c r="R4" i="53"/>
  <c r="R40" i="53" s="1"/>
  <c r="R44" i="53" s="1"/>
  <c r="Q4" i="53"/>
  <c r="Q40" i="53" s="1"/>
  <c r="Q44" i="53" s="1"/>
  <c r="P4" i="53"/>
  <c r="O4" i="53"/>
  <c r="O40" i="53" s="1"/>
  <c r="O44" i="53" s="1"/>
  <c r="N4" i="53"/>
  <c r="N10" i="53" s="1"/>
  <c r="N24" i="53" s="1"/>
  <c r="M4" i="53"/>
  <c r="M40" i="53" s="1"/>
  <c r="M44" i="53" s="1"/>
  <c r="L4" i="53"/>
  <c r="L40" i="53" s="1"/>
  <c r="L44" i="53" s="1"/>
  <c r="K4" i="53"/>
  <c r="J4" i="53"/>
  <c r="J40" i="53" s="1"/>
  <c r="J44" i="53" s="1"/>
  <c r="J4" i="2"/>
  <c r="J104" i="2" s="1"/>
  <c r="J106" i="2" s="1"/>
  <c r="T4" i="2"/>
  <c r="T75" i="2" s="1"/>
  <c r="S4" i="2"/>
  <c r="S64" i="2" s="1"/>
  <c r="S73" i="2" s="1"/>
  <c r="R4" i="2"/>
  <c r="R49" i="2" s="1"/>
  <c r="R60" i="2" s="1"/>
  <c r="Q4" i="2"/>
  <c r="Q104" i="2" s="1"/>
  <c r="P4" i="2"/>
  <c r="P10" i="2" s="1"/>
  <c r="P12" i="2" s="1"/>
  <c r="O4" i="2"/>
  <c r="N4" i="2"/>
  <c r="M4" i="2"/>
  <c r="M104" i="2" s="1"/>
  <c r="M106" i="2" s="1"/>
  <c r="L4" i="2"/>
  <c r="L113" i="2" s="1"/>
  <c r="L117" i="2" s="1"/>
  <c r="K4" i="2"/>
  <c r="S4" i="58"/>
  <c r="S34" i="58" s="1"/>
  <c r="R4" i="58"/>
  <c r="R61" i="58" s="1"/>
  <c r="Q4" i="58"/>
  <c r="Q10" i="58" s="1"/>
  <c r="P4" i="58"/>
  <c r="O4" i="58"/>
  <c r="N4" i="58"/>
  <c r="N61" i="58" s="1"/>
  <c r="M4" i="58"/>
  <c r="M61" i="58" s="1"/>
  <c r="L4" i="58"/>
  <c r="K4" i="58"/>
  <c r="K34" i="58" s="1"/>
  <c r="J78" i="2"/>
  <c r="K78" i="2"/>
  <c r="L78" i="2"/>
  <c r="M78" i="2"/>
  <c r="N78" i="2"/>
  <c r="O78" i="2"/>
  <c r="P78" i="2"/>
  <c r="Q78" i="2"/>
  <c r="R78" i="2"/>
  <c r="S78" i="2"/>
  <c r="T78" i="2"/>
  <c r="J79" i="2"/>
  <c r="K79" i="2"/>
  <c r="L79" i="2"/>
  <c r="M79" i="2"/>
  <c r="N79" i="2"/>
  <c r="O79" i="2"/>
  <c r="P79" i="2"/>
  <c r="Q79" i="2"/>
  <c r="R79" i="2"/>
  <c r="S79" i="2"/>
  <c r="T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Q77" i="2"/>
  <c r="R77" i="2"/>
  <c r="S77" i="2"/>
  <c r="T77" i="2"/>
  <c r="N77" i="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7" i="42"/>
  <c r="C31" i="4"/>
  <c r="S9" i="54"/>
  <c r="E50" i="42"/>
  <c r="E47" i="42"/>
  <c r="E44" i="42"/>
  <c r="E41" i="42"/>
  <c r="E38" i="42"/>
  <c r="E89" i="42"/>
  <c r="E109" i="42"/>
  <c r="C95" i="42"/>
  <c r="E54" i="42"/>
  <c r="E52" i="42"/>
  <c r="E13" i="42"/>
  <c r="E15" i="42"/>
  <c r="E13" i="44"/>
  <c r="E108" i="42"/>
  <c r="E17" i="42"/>
  <c r="E77" i="42"/>
  <c r="E80" i="42"/>
  <c r="E81" i="42"/>
  <c r="E82" i="42"/>
  <c r="E83" i="42"/>
  <c r="E84" i="42"/>
  <c r="E85" i="42"/>
  <c r="E86" i="42"/>
  <c r="E87" i="42"/>
  <c r="E95" i="42"/>
  <c r="E96" i="42"/>
  <c r="E97" i="42"/>
  <c r="E101" i="42"/>
  <c r="E33" i="42"/>
  <c r="S11" i="54"/>
  <c r="S14" i="54"/>
  <c r="G15" i="16"/>
  <c r="B1" i="55"/>
  <c r="E12" i="2"/>
  <c r="O64" i="42"/>
  <c r="O67" i="42"/>
  <c r="J64" i="42"/>
  <c r="J67" i="42"/>
  <c r="K64" i="42"/>
  <c r="K67" i="42"/>
  <c r="L64" i="42"/>
  <c r="L67" i="42"/>
  <c r="M64" i="42"/>
  <c r="M67" i="42"/>
  <c r="N64" i="42"/>
  <c r="N67" i="42"/>
  <c r="P64" i="42"/>
  <c r="Q64" i="42"/>
  <c r="R64" i="42"/>
  <c r="S64" i="42"/>
  <c r="C77" i="42"/>
  <c r="Q6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K47" i="58"/>
  <c r="J47" i="58"/>
  <c r="L57" i="58"/>
  <c r="K57" i="58"/>
  <c r="J57" i="58"/>
  <c r="M57" i="58"/>
  <c r="T93" i="42" l="1"/>
  <c r="T109" i="42"/>
  <c r="L16" i="42"/>
  <c r="T75" i="42"/>
  <c r="L75" i="42"/>
  <c r="L12" i="42"/>
  <c r="K12" i="42"/>
  <c r="K49" i="42"/>
  <c r="S31" i="42"/>
  <c r="S40" i="42"/>
  <c r="S37" i="42"/>
  <c r="K40" i="42"/>
  <c r="K19" i="42"/>
  <c r="S14" i="42"/>
  <c r="S49" i="42"/>
  <c r="K16" i="42"/>
  <c r="S12" i="42"/>
  <c r="S93" i="42"/>
  <c r="S16" i="42"/>
  <c r="S33" i="42"/>
  <c r="K93" i="42"/>
  <c r="S10" i="42"/>
  <c r="S19" i="42"/>
  <c r="S75" i="42"/>
  <c r="S46" i="42"/>
  <c r="S21" i="42"/>
  <c r="S43" i="42"/>
  <c r="K31" i="42"/>
  <c r="S23" i="42"/>
  <c r="R93" i="42"/>
  <c r="F24" i="42"/>
  <c r="F79" i="42"/>
  <c r="F78" i="42"/>
  <c r="R23" i="42"/>
  <c r="O64" i="2"/>
  <c r="O73" i="2" s="1"/>
  <c r="O24" i="2"/>
  <c r="O14" i="2"/>
  <c r="O10" i="2"/>
  <c r="O12" i="2" s="1"/>
  <c r="L10" i="42"/>
  <c r="L49" i="42"/>
  <c r="L40" i="42"/>
  <c r="S35" i="42"/>
  <c r="R10" i="53"/>
  <c r="M14" i="42"/>
  <c r="M43" i="42"/>
  <c r="U107" i="2"/>
  <c r="P21" i="42"/>
  <c r="E23" i="42"/>
  <c r="P16" i="42"/>
  <c r="J34" i="58"/>
  <c r="P23" i="42"/>
  <c r="L93" i="42"/>
  <c r="L46" i="42"/>
  <c r="L23" i="42"/>
  <c r="R46" i="42"/>
  <c r="P14" i="42"/>
  <c r="P43" i="42"/>
  <c r="L19" i="42"/>
  <c r="L43" i="42"/>
  <c r="R31" i="42"/>
  <c r="L37" i="42"/>
  <c r="F17" i="44"/>
  <c r="R43" i="42"/>
  <c r="R33" i="42"/>
  <c r="J93" i="42"/>
  <c r="R16" i="42"/>
  <c r="R14" i="42"/>
  <c r="R40" i="42"/>
  <c r="R10" i="42"/>
  <c r="R12" i="42"/>
  <c r="R19" i="42"/>
  <c r="R75" i="42"/>
  <c r="R37" i="42"/>
  <c r="R49" i="42"/>
  <c r="R21" i="42"/>
  <c r="O21" i="42"/>
  <c r="O43" i="42"/>
  <c r="O12" i="42"/>
  <c r="P75" i="42"/>
  <c r="M49" i="2"/>
  <c r="M60" i="2" s="1"/>
  <c r="R28" i="53"/>
  <c r="R36" i="53" s="1"/>
  <c r="P12" i="42"/>
  <c r="P93" i="42"/>
  <c r="P40" i="42"/>
  <c r="M24" i="2"/>
  <c r="J10" i="53"/>
  <c r="P49" i="42"/>
  <c r="Q93" i="42"/>
  <c r="E19" i="42"/>
  <c r="P10" i="42"/>
  <c r="J28" i="53"/>
  <c r="J36" i="53" s="1"/>
  <c r="Q40" i="42"/>
  <c r="P46" i="42"/>
  <c r="M75" i="2"/>
  <c r="J75" i="2"/>
  <c r="P33" i="42"/>
  <c r="P35" i="42"/>
  <c r="P37" i="42"/>
  <c r="J49" i="2"/>
  <c r="J60" i="2" s="1"/>
  <c r="Q16" i="42"/>
  <c r="P31" i="42"/>
  <c r="P19" i="42"/>
  <c r="O93" i="42"/>
  <c r="O46" i="42"/>
  <c r="O37" i="42"/>
  <c r="O19" i="42"/>
  <c r="O49" i="42"/>
  <c r="O23" i="42"/>
  <c r="O16" i="42"/>
  <c r="T24" i="2"/>
  <c r="O75" i="42"/>
  <c r="O14" i="42"/>
  <c r="O40" i="42"/>
  <c r="O10" i="42"/>
  <c r="F80" i="42"/>
  <c r="F54" i="42"/>
  <c r="F89" i="42"/>
  <c r="N75" i="42"/>
  <c r="F107" i="42"/>
  <c r="F19" i="58"/>
  <c r="F41" i="42"/>
  <c r="F20" i="58"/>
  <c r="F13" i="42"/>
  <c r="F15" i="42"/>
  <c r="N93" i="42"/>
  <c r="F81" i="42"/>
  <c r="F95" i="42"/>
  <c r="P49" i="2"/>
  <c r="P60" i="2" s="1"/>
  <c r="P75" i="2"/>
  <c r="N12" i="42"/>
  <c r="F35" i="42"/>
  <c r="L21" i="42"/>
  <c r="F98" i="42"/>
  <c r="F96" i="42"/>
  <c r="N40" i="42"/>
  <c r="F99" i="42"/>
  <c r="F17" i="42"/>
  <c r="F82" i="42"/>
  <c r="N46" i="42"/>
  <c r="Q34" i="58"/>
  <c r="F33" i="42"/>
  <c r="F83" i="42"/>
  <c r="F97" i="42"/>
  <c r="F44" i="42"/>
  <c r="F47" i="42"/>
  <c r="F84" i="42"/>
  <c r="F101" i="42"/>
  <c r="N10" i="42"/>
  <c r="N19" i="42"/>
  <c r="F26" i="42"/>
  <c r="F29" i="42"/>
  <c r="N16" i="42"/>
  <c r="F20" i="42"/>
  <c r="F13" i="44"/>
  <c r="F85" i="42"/>
  <c r="F108" i="42"/>
  <c r="N21" i="42"/>
  <c r="F21" i="58"/>
  <c r="N49" i="42"/>
  <c r="F38" i="42"/>
  <c r="F50" i="42"/>
  <c r="F86" i="42"/>
  <c r="F109" i="42"/>
  <c r="F14" i="44"/>
  <c r="N43" i="42"/>
  <c r="N23" i="42"/>
  <c r="F31" i="42"/>
  <c r="L14" i="42"/>
  <c r="F52" i="42"/>
  <c r="N14" i="42"/>
  <c r="F77" i="42"/>
  <c r="F87" i="42"/>
  <c r="F15" i="44"/>
  <c r="M10" i="53"/>
  <c r="M24" i="53" s="1"/>
  <c r="M28" i="53"/>
  <c r="M36" i="53" s="1"/>
  <c r="N28" i="53"/>
  <c r="N36" i="53" s="1"/>
  <c r="S24" i="2"/>
  <c r="S10" i="2"/>
  <c r="S12" i="2" s="1"/>
  <c r="O10" i="53"/>
  <c r="T10" i="53"/>
  <c r="T24" i="53" s="1"/>
  <c r="O28" i="53"/>
  <c r="O36" i="53" s="1"/>
  <c r="F16" i="44"/>
  <c r="T12" i="42"/>
  <c r="L58" i="42"/>
  <c r="L68" i="42" s="1" a="1"/>
  <c r="L68" i="42" s="1"/>
  <c r="F23" i="58"/>
  <c r="S58" i="42"/>
  <c r="S65" i="42" s="1" a="1"/>
  <c r="S65" i="42" s="1"/>
  <c r="S36" i="2"/>
  <c r="S47" i="2" s="1"/>
  <c r="J14" i="42"/>
  <c r="J43" i="42"/>
  <c r="J31" i="42"/>
  <c r="J33" i="42"/>
  <c r="G79" i="4"/>
  <c r="J58" i="42"/>
  <c r="J75" i="42"/>
  <c r="M113" i="2"/>
  <c r="M117" i="2" s="1"/>
  <c r="J14" i="2"/>
  <c r="L14" i="2"/>
  <c r="N10" i="58"/>
  <c r="N28" i="42" s="1"/>
  <c r="Q12" i="42"/>
  <c r="J105" i="42"/>
  <c r="Q46" i="42"/>
  <c r="J46" i="42"/>
  <c r="J10" i="42"/>
  <c r="J19" i="42"/>
  <c r="F22" i="42"/>
  <c r="M36" i="2"/>
  <c r="M47" i="2" s="1"/>
  <c r="J10" i="2"/>
  <c r="J12" i="2" s="1"/>
  <c r="J12" i="42"/>
  <c r="Q19" i="42"/>
  <c r="J21" i="42"/>
  <c r="J61" i="58"/>
  <c r="Q10" i="42"/>
  <c r="J40" i="42"/>
  <c r="Q31" i="42"/>
  <c r="L49" i="2"/>
  <c r="L60" i="2" s="1"/>
  <c r="Q21" i="42"/>
  <c r="J23" i="42"/>
  <c r="F25" i="58"/>
  <c r="Q43" i="42"/>
  <c r="Q37" i="42"/>
  <c r="J16" i="42"/>
  <c r="J36" i="2"/>
  <c r="J47" i="2" s="1"/>
  <c r="T36" i="2"/>
  <c r="T47" i="2" s="1"/>
  <c r="J64" i="2"/>
  <c r="J73" i="2" s="1"/>
  <c r="Q33" i="42"/>
  <c r="J35" i="42"/>
  <c r="J37" i="42"/>
  <c r="Q75" i="42"/>
  <c r="Q14" i="42"/>
  <c r="J24" i="2"/>
  <c r="E16" i="42"/>
  <c r="E14" i="42"/>
  <c r="P105" i="42"/>
  <c r="M34" i="58"/>
  <c r="M14" i="2"/>
  <c r="Q23" i="42"/>
  <c r="N34" i="58"/>
  <c r="N58" i="42"/>
  <c r="F29" i="58"/>
  <c r="O58" i="42"/>
  <c r="O65" i="42" s="1" a="1"/>
  <c r="O65" i="42" s="1"/>
  <c r="M10" i="2"/>
  <c r="Q49" i="42"/>
  <c r="Q35" i="42"/>
  <c r="C106" i="2"/>
  <c r="P64" i="2"/>
  <c r="P73" i="2" s="1"/>
  <c r="Q49" i="2"/>
  <c r="Q60" i="2" s="1"/>
  <c r="R10" i="2"/>
  <c r="R12" i="2" s="1"/>
  <c r="M108" i="2"/>
  <c r="P14" i="2"/>
  <c r="C107" i="2"/>
  <c r="F26" i="58"/>
  <c r="L36" i="2"/>
  <c r="L47" i="2" s="1"/>
  <c r="L10" i="53"/>
  <c r="L24" i="53" s="1"/>
  <c r="T64" i="2"/>
  <c r="T73" i="2" s="1"/>
  <c r="J113" i="2"/>
  <c r="J117" i="2" s="1"/>
  <c r="K21" i="42"/>
  <c r="U113" i="2"/>
  <c r="U117" i="2" s="1"/>
  <c r="Q58" i="42"/>
  <c r="Q65" i="42" s="1" a="1"/>
  <c r="Q65" i="42" s="1"/>
  <c r="F27" i="58"/>
  <c r="K75" i="42"/>
  <c r="K43" i="42"/>
  <c r="K37" i="42"/>
  <c r="P36" i="2"/>
  <c r="P47" i="2" s="1"/>
  <c r="Q75" i="2"/>
  <c r="M64" i="2"/>
  <c r="M73" i="2" s="1"/>
  <c r="K23" i="42"/>
  <c r="J107" i="2"/>
  <c r="N40" i="53"/>
  <c r="N44" i="53" s="1"/>
  <c r="K35" i="42"/>
  <c r="U75" i="2"/>
  <c r="K58" i="42"/>
  <c r="R58" i="42"/>
  <c r="R65" i="42" s="1" a="1"/>
  <c r="R65" i="42" s="1"/>
  <c r="T105" i="42"/>
  <c r="Q36" i="2"/>
  <c r="Q47" i="2" s="1"/>
  <c r="Q64" i="2"/>
  <c r="Q73" i="2" s="1"/>
  <c r="R10" i="58"/>
  <c r="R28" i="42" s="1"/>
  <c r="F15" i="58"/>
  <c r="S28" i="53"/>
  <c r="S36" i="53" s="1"/>
  <c r="R35" i="42"/>
  <c r="T58" i="42"/>
  <c r="F22" i="58"/>
  <c r="K46" i="42"/>
  <c r="Q113" i="2"/>
  <c r="Q117" i="2" s="1"/>
  <c r="S40" i="53"/>
  <c r="S44" i="53" s="1"/>
  <c r="O75" i="2"/>
  <c r="K33" i="42"/>
  <c r="R34" i="58"/>
  <c r="L28" i="53"/>
  <c r="L36" i="53" s="1"/>
  <c r="K14" i="42"/>
  <c r="K10" i="42"/>
  <c r="Q24" i="2"/>
  <c r="Q10" i="2"/>
  <c r="Q12" i="2" s="1"/>
  <c r="Q14" i="2"/>
  <c r="O61" i="58"/>
  <c r="O10" i="58"/>
  <c r="O34" i="58"/>
  <c r="P40" i="53"/>
  <c r="P44" i="53" s="1"/>
  <c r="P10" i="53"/>
  <c r="P28" i="53"/>
  <c r="P36" i="53" s="1"/>
  <c r="N104" i="2"/>
  <c r="N64" i="2"/>
  <c r="N73" i="2" s="1"/>
  <c r="N24" i="2"/>
  <c r="N113" i="2"/>
  <c r="N117" i="2" s="1"/>
  <c r="N75" i="2"/>
  <c r="N14" i="2"/>
  <c r="N10" i="2"/>
  <c r="N49" i="2"/>
  <c r="N60" i="2" s="1"/>
  <c r="N36" i="2"/>
  <c r="N47" i="2" s="1"/>
  <c r="P10" i="58"/>
  <c r="P34" i="58"/>
  <c r="P61" i="58"/>
  <c r="K28" i="53"/>
  <c r="K36" i="53" s="1"/>
  <c r="K10" i="53"/>
  <c r="K24" i="53" s="1"/>
  <c r="K40" i="53"/>
  <c r="K44" i="53" s="1"/>
  <c r="U109" i="2"/>
  <c r="U106" i="2"/>
  <c r="U108" i="2"/>
  <c r="Q106" i="2"/>
  <c r="Q109" i="2"/>
  <c r="Q108" i="2"/>
  <c r="Q107" i="2"/>
  <c r="P68" i="42" a="1"/>
  <c r="P68" i="42" s="1"/>
  <c r="S1" i="54"/>
  <c r="G10" i="16" s="1"/>
  <c r="K61" i="58"/>
  <c r="K10" i="58"/>
  <c r="S61" i="58"/>
  <c r="S10" i="58"/>
  <c r="R104" i="2"/>
  <c r="R64" i="2"/>
  <c r="R73" i="2" s="1"/>
  <c r="R24" i="2"/>
  <c r="R113" i="2"/>
  <c r="R117" i="2" s="1"/>
  <c r="R75" i="2"/>
  <c r="R14" i="2"/>
  <c r="R36" i="2"/>
  <c r="R47" i="2" s="1"/>
  <c r="L10" i="58"/>
  <c r="L34" i="58"/>
  <c r="L61" i="58"/>
  <c r="K10" i="2"/>
  <c r="K12" i="2" s="1"/>
  <c r="K14" i="2"/>
  <c r="K24" i="2"/>
  <c r="K64" i="2"/>
  <c r="K73" i="2" s="1"/>
  <c r="K113" i="2"/>
  <c r="K117" i="2" s="1"/>
  <c r="K36" i="2"/>
  <c r="K47" i="2" s="1"/>
  <c r="K75" i="2"/>
  <c r="K49" i="2"/>
  <c r="K60" i="2" s="1"/>
  <c r="K104" i="2"/>
  <c r="M105" i="42"/>
  <c r="M40" i="42"/>
  <c r="M75" i="42"/>
  <c r="M16" i="42"/>
  <c r="M23" i="42"/>
  <c r="M46" i="42"/>
  <c r="M21" i="42"/>
  <c r="M37" i="42"/>
  <c r="M58" i="42"/>
  <c r="M19" i="42"/>
  <c r="M10" i="42"/>
  <c r="M49" i="42"/>
  <c r="P65" i="42" a="1"/>
  <c r="P65" i="42" s="1"/>
  <c r="M107" i="2"/>
  <c r="M109" i="2"/>
  <c r="J109" i="2"/>
  <c r="J108" i="2"/>
  <c r="S113" i="2"/>
  <c r="S117" i="2" s="1"/>
  <c r="O49" i="2"/>
  <c r="O60" i="2" s="1"/>
  <c r="S75" i="2"/>
  <c r="O104" i="2"/>
  <c r="S104" i="2"/>
  <c r="C108" i="2"/>
  <c r="U36" i="2"/>
  <c r="U47" i="2" s="1"/>
  <c r="T28" i="53"/>
  <c r="T36" i="53" s="1"/>
  <c r="O113" i="2"/>
  <c r="O117" i="2" s="1"/>
  <c r="L10" i="2"/>
  <c r="M10" i="58"/>
  <c r="M28" i="42" s="1"/>
  <c r="Q61" i="58"/>
  <c r="Q28" i="42" s="1"/>
  <c r="L104" i="2"/>
  <c r="P104" i="2"/>
  <c r="P106" i="2" s="1"/>
  <c r="T104" i="2"/>
  <c r="S14" i="2"/>
  <c r="U64" i="2"/>
  <c r="U73" i="2" s="1"/>
  <c r="Q10" i="53"/>
  <c r="T113" i="2"/>
  <c r="T117" i="2" s="1"/>
  <c r="P24" i="2"/>
  <c r="T10" i="2"/>
  <c r="T12" i="2" s="1"/>
  <c r="L75" i="2"/>
  <c r="O36" i="2"/>
  <c r="O47" i="2" s="1"/>
  <c r="Q28" i="53"/>
  <c r="Q36" i="53" s="1"/>
  <c r="P113" i="2"/>
  <c r="P117" i="2" s="1"/>
  <c r="L24" i="2"/>
  <c r="T14" i="2"/>
  <c r="L64" i="2"/>
  <c r="L73" i="2" s="1"/>
  <c r="U49" i="2"/>
  <c r="U60" i="2" s="1"/>
  <c r="S49" i="2"/>
  <c r="S60" i="2" s="1"/>
  <c r="T49" i="2"/>
  <c r="T60" i="2" s="1"/>
  <c r="W32" i="53" l="1"/>
  <c r="V65" i="58"/>
  <c r="W14" i="53"/>
  <c r="W13" i="53"/>
  <c r="W16" i="53"/>
  <c r="W17" i="53"/>
  <c r="W30" i="53"/>
  <c r="W15" i="53"/>
  <c r="W18" i="53"/>
  <c r="W31" i="53"/>
  <c r="W22" i="53"/>
  <c r="J24" i="53"/>
  <c r="W12" i="53"/>
  <c r="J28" i="42"/>
  <c r="V64" i="58"/>
  <c r="V55" i="58"/>
  <c r="V54" i="58"/>
  <c r="V53" i="58"/>
  <c r="V20" i="58"/>
  <c r="V25" i="58"/>
  <c r="V23" i="58"/>
  <c r="V22" i="58"/>
  <c r="V24" i="58"/>
  <c r="V21" i="58"/>
  <c r="V52" i="58"/>
  <c r="P61" i="42"/>
  <c r="J68" i="42" a="1"/>
  <c r="J68" i="42" s="1"/>
  <c r="L61" i="42"/>
  <c r="L70" i="42" s="1"/>
  <c r="N68" i="42" a="1"/>
  <c r="N68" i="42" s="1"/>
  <c r="T20" i="42"/>
  <c r="S68" i="42" a="1"/>
  <c r="S68" i="42" s="1"/>
  <c r="T13" i="42"/>
  <c r="J65" i="42" a="1"/>
  <c r="J65" i="42" s="1"/>
  <c r="L65" i="42" a="1"/>
  <c r="L65" i="42" s="1"/>
  <c r="V13" i="58"/>
  <c r="T68" i="42" a="1"/>
  <c r="T68" i="42" s="1"/>
  <c r="V42" i="58"/>
  <c r="V51" i="58"/>
  <c r="O68" i="42" a="1"/>
  <c r="O68" i="42" s="1"/>
  <c r="V19" i="58"/>
  <c r="V71" i="58"/>
  <c r="V69" i="58"/>
  <c r="W36" i="53"/>
  <c r="Q68" i="42" a="1"/>
  <c r="Q68" i="42" s="1"/>
  <c r="N65" i="42" a="1"/>
  <c r="N65" i="42" s="1"/>
  <c r="T61" i="42"/>
  <c r="T70" i="42" s="1"/>
  <c r="L28" i="42"/>
  <c r="T65" i="42" a="1"/>
  <c r="T65" i="42" s="1"/>
  <c r="F23" i="42"/>
  <c r="F21" i="42"/>
  <c r="R68" i="42" a="1"/>
  <c r="R68" i="42" s="1"/>
  <c r="P28" i="42"/>
  <c r="S28" i="42"/>
  <c r="K28" i="42"/>
  <c r="K65" i="42" a="1"/>
  <c r="K65" i="42" s="1"/>
  <c r="K68" i="42" a="1"/>
  <c r="K68" i="42" s="1"/>
  <c r="F16" i="42"/>
  <c r="F14" i="42"/>
  <c r="W44" i="53"/>
  <c r="X60" i="2"/>
  <c r="L106" i="2"/>
  <c r="K61" i="42" s="1"/>
  <c r="K70" i="42" s="1"/>
  <c r="L108" i="2"/>
  <c r="L109" i="2"/>
  <c r="L107" i="2"/>
  <c r="O28" i="42"/>
  <c r="K108" i="2"/>
  <c r="K107" i="2"/>
  <c r="K106" i="2"/>
  <c r="K109" i="2"/>
  <c r="C16" i="2" a="1"/>
  <c r="C26" i="2" a="1"/>
  <c r="P109" i="2"/>
  <c r="P108" i="2"/>
  <c r="P107" i="2"/>
  <c r="S108" i="2"/>
  <c r="S107" i="2"/>
  <c r="S106" i="2"/>
  <c r="S109" i="2"/>
  <c r="X47" i="2"/>
  <c r="N107" i="2"/>
  <c r="N108" i="2"/>
  <c r="N109" i="2"/>
  <c r="N106" i="2"/>
  <c r="O109" i="2"/>
  <c r="O107" i="2"/>
  <c r="O108" i="2"/>
  <c r="O106" i="2"/>
  <c r="M65" i="42" a="1"/>
  <c r="M65" i="42" s="1"/>
  <c r="M68" i="42" a="1"/>
  <c r="M68" i="42" s="1"/>
  <c r="X117" i="2"/>
  <c r="R108" i="2"/>
  <c r="R106" i="2"/>
  <c r="R107" i="2"/>
  <c r="R109" i="2"/>
  <c r="T107" i="2"/>
  <c r="T108" i="2"/>
  <c r="T109" i="2"/>
  <c r="T106" i="2"/>
  <c r="X73" i="2"/>
  <c r="J61" i="42" l="1"/>
  <c r="J70" i="42" s="1"/>
  <c r="N61" i="42"/>
  <c r="N70" i="42" s="1"/>
  <c r="M61" i="42"/>
  <c r="M62" i="42" s="1" a="1"/>
  <c r="M62" i="42" s="1"/>
  <c r="K62" i="42" a="1"/>
  <c r="K62" i="42" s="1"/>
  <c r="J62" i="42" a="1"/>
  <c r="J62" i="42" s="1"/>
  <c r="L62" i="42" a="1"/>
  <c r="L62" i="42" s="1"/>
  <c r="O61" i="42"/>
  <c r="Q61" i="42"/>
  <c r="R61" i="42"/>
  <c r="S61" i="42"/>
  <c r="P70" i="42"/>
  <c r="N62" i="42" a="1"/>
  <c r="N62" i="42" s="1"/>
  <c r="T1" i="2"/>
  <c r="G13" i="16" s="1"/>
  <c r="C31" i="2"/>
  <c r="C27" i="2"/>
  <c r="C26" i="2"/>
  <c r="C29" i="2"/>
  <c r="C32" i="2"/>
  <c r="C30" i="2"/>
  <c r="C28" i="2"/>
  <c r="C16" i="2"/>
  <c r="C17" i="2"/>
  <c r="C18" i="2"/>
  <c r="C21" i="2"/>
  <c r="O21" i="2" s="1"/>
  <c r="C19" i="2"/>
  <c r="C20" i="2"/>
  <c r="C22" i="2"/>
  <c r="M70" i="42" l="1"/>
  <c r="N71" i="42" s="1" a="1"/>
  <c r="N71" i="42" s="1"/>
  <c r="T62" i="42" a="1"/>
  <c r="T62" i="42" s="1"/>
  <c r="M71" i="42" a="1"/>
  <c r="M71" i="42" s="1"/>
  <c r="J71" i="42" a="1"/>
  <c r="J71" i="42" s="1"/>
  <c r="L71" i="42" a="1"/>
  <c r="L71" i="42" s="1"/>
  <c r="K71" i="42" a="1"/>
  <c r="K71" i="42" s="1"/>
  <c r="Q70" i="42"/>
  <c r="R70" i="42"/>
  <c r="S70" i="42"/>
  <c r="O70" i="42"/>
  <c r="Q62" i="42" a="1"/>
  <c r="Q62" i="42" s="1"/>
  <c r="S62" i="42" a="1"/>
  <c r="S62" i="42" s="1"/>
  <c r="R62" i="42" a="1"/>
  <c r="R62" i="42" s="1"/>
  <c r="P62" i="42" a="1"/>
  <c r="P62" i="42" s="1"/>
  <c r="O62" i="42" a="1"/>
  <c r="O62" i="42" s="1"/>
  <c r="Q27" i="2"/>
  <c r="T27" i="2"/>
  <c r="E27" i="2"/>
  <c r="D27" i="2"/>
  <c r="S27" i="2"/>
  <c r="R27" i="2"/>
  <c r="P21" i="2"/>
  <c r="P31" i="2" s="1"/>
  <c r="E21" i="2"/>
  <c r="D21" i="2"/>
  <c r="E31" i="2"/>
  <c r="T31" i="2"/>
  <c r="D31" i="2"/>
  <c r="Q31" i="2"/>
  <c r="S31" i="2"/>
  <c r="R31" i="2"/>
  <c r="D18" i="2"/>
  <c r="L18" i="2"/>
  <c r="E18" i="2"/>
  <c r="K17" i="2"/>
  <c r="K27" i="2" s="1"/>
  <c r="E17" i="2"/>
  <c r="D17" i="2"/>
  <c r="Q28" i="2"/>
  <c r="T28" i="2"/>
  <c r="S28" i="2"/>
  <c r="E28" i="2"/>
  <c r="D28" i="2"/>
  <c r="R28" i="2"/>
  <c r="J16" i="2"/>
  <c r="K16" i="2" s="1"/>
  <c r="E16" i="2"/>
  <c r="D16" i="2"/>
  <c r="Q30" i="2"/>
  <c r="T30" i="2"/>
  <c r="E30" i="2"/>
  <c r="D30" i="2"/>
  <c r="S30" i="2"/>
  <c r="R30" i="2"/>
  <c r="E19" i="2"/>
  <c r="M19" i="2"/>
  <c r="D19" i="2"/>
  <c r="Q32" i="2"/>
  <c r="D32" i="2"/>
  <c r="E32" i="2"/>
  <c r="S32" i="2"/>
  <c r="T32" i="2"/>
  <c r="R32" i="2"/>
  <c r="D22" i="2"/>
  <c r="E22" i="2"/>
  <c r="P22" i="2"/>
  <c r="O22" i="2" s="1"/>
  <c r="E29" i="2"/>
  <c r="D29" i="2"/>
  <c r="Q29" i="2"/>
  <c r="T29" i="2"/>
  <c r="S29" i="2"/>
  <c r="R29" i="2"/>
  <c r="N20" i="2"/>
  <c r="D20" i="2"/>
  <c r="E20" i="2"/>
  <c r="D26" i="2"/>
  <c r="E26" i="2"/>
  <c r="Q26" i="2"/>
  <c r="T26" i="2"/>
  <c r="S26" i="2"/>
  <c r="R26" i="2"/>
  <c r="P32" i="2" l="1"/>
  <c r="T71" i="42" a="1"/>
  <c r="T71" i="42" s="1"/>
  <c r="K29" i="42"/>
  <c r="S71" i="42" a="1"/>
  <c r="S71" i="42" s="1"/>
  <c r="O71" i="42" a="1"/>
  <c r="O71" i="42" s="1"/>
  <c r="R71" i="42" a="1"/>
  <c r="R71" i="42" s="1"/>
  <c r="P71" i="42" a="1"/>
  <c r="P71" i="42" s="1"/>
  <c r="Q71" i="42" a="1"/>
  <c r="Q71" i="42" s="1"/>
  <c r="T85" i="42"/>
  <c r="Q87" i="42"/>
  <c r="J29" i="42"/>
  <c r="T29" i="42"/>
  <c r="Q47" i="42"/>
  <c r="J47" i="42"/>
  <c r="N99" i="42"/>
  <c r="N18" i="44" s="1"/>
  <c r="K98" i="42"/>
  <c r="K17" i="44" s="1"/>
  <c r="T47" i="42"/>
  <c r="S82" i="42"/>
  <c r="O97" i="42"/>
  <c r="O16" i="44" s="1"/>
  <c r="P29" i="42"/>
  <c r="L99" i="42"/>
  <c r="L18" i="44" s="1"/>
  <c r="M84" i="42"/>
  <c r="R47" i="42"/>
  <c r="J87" i="42"/>
  <c r="K95" i="42"/>
  <c r="K14" i="44" s="1"/>
  <c r="L29" i="42"/>
  <c r="N47" i="42"/>
  <c r="Q29" i="42"/>
  <c r="P47" i="42"/>
  <c r="P99" i="42"/>
  <c r="P18" i="44" s="1"/>
  <c r="Q99" i="42"/>
  <c r="Q18" i="44" s="1"/>
  <c r="M98" i="42"/>
  <c r="M17" i="44" s="1"/>
  <c r="L95" i="42"/>
  <c r="L14" i="44" s="1"/>
  <c r="J83" i="42"/>
  <c r="N50" i="42"/>
  <c r="L50" i="42"/>
  <c r="N85" i="42"/>
  <c r="M85" i="42"/>
  <c r="N84" i="42"/>
  <c r="R99" i="42"/>
  <c r="R18" i="44" s="1"/>
  <c r="S50" i="42"/>
  <c r="S99" i="42"/>
  <c r="S18" i="44" s="1"/>
  <c r="L84" i="42"/>
  <c r="L98" i="42"/>
  <c r="L17" i="44" s="1"/>
  <c r="T87" i="42"/>
  <c r="P95" i="42"/>
  <c r="P14" i="44" s="1"/>
  <c r="M29" i="42"/>
  <c r="R50" i="42"/>
  <c r="J84" i="42"/>
  <c r="K47" i="42"/>
  <c r="S29" i="42"/>
  <c r="T99" i="42"/>
  <c r="T18" i="44" s="1"/>
  <c r="N29" i="42"/>
  <c r="T98" i="42"/>
  <c r="T17" i="44" s="1"/>
  <c r="O98" i="42"/>
  <c r="O17" i="44" s="1"/>
  <c r="P87" i="42"/>
  <c r="O29" i="42"/>
  <c r="J99" i="42"/>
  <c r="J18" i="44" s="1"/>
  <c r="P98" i="42"/>
  <c r="P17" i="44" s="1"/>
  <c r="J85" i="42"/>
  <c r="M47" i="42"/>
  <c r="M99" i="42"/>
  <c r="M18" i="44" s="1"/>
  <c r="R29" i="42"/>
  <c r="K99" i="42"/>
  <c r="K18" i="44" s="1"/>
  <c r="K85" i="42"/>
  <c r="N83" i="42"/>
  <c r="J95" i="42"/>
  <c r="J14" i="44" s="1"/>
  <c r="O87" i="42"/>
  <c r="M50" i="42"/>
  <c r="L85" i="42"/>
  <c r="O99" i="42"/>
  <c r="O18" i="44" s="1"/>
  <c r="K83" i="42"/>
  <c r="N97" i="42"/>
  <c r="N16" i="44" s="1"/>
  <c r="R98" i="42"/>
  <c r="R17" i="44" s="1"/>
  <c r="J17" i="2"/>
  <c r="J27" i="2" s="1"/>
  <c r="K82" i="42"/>
  <c r="S98" i="42"/>
  <c r="S17" i="44" s="1"/>
  <c r="N95" i="42"/>
  <c r="N14" i="44" s="1"/>
  <c r="L82" i="42"/>
  <c r="N98" i="42"/>
  <c r="N17" i="44" s="1"/>
  <c r="S95" i="42"/>
  <c r="S14" i="44" s="1"/>
  <c r="T50" i="42"/>
  <c r="L47" i="42"/>
  <c r="R95" i="42"/>
  <c r="R14" i="44" s="1"/>
  <c r="P82" i="42"/>
  <c r="R83" i="42"/>
  <c r="S87" i="42"/>
  <c r="K50" i="42"/>
  <c r="Q97" i="42"/>
  <c r="Q16" i="44" s="1"/>
  <c r="O50" i="42"/>
  <c r="Q82" i="42"/>
  <c r="K97" i="42"/>
  <c r="K16" i="44" s="1"/>
  <c r="T84" i="42"/>
  <c r="N87" i="42"/>
  <c r="S47" i="42"/>
  <c r="M95" i="42"/>
  <c r="M14" i="44" s="1"/>
  <c r="M97" i="42"/>
  <c r="L87" i="42"/>
  <c r="Q50" i="42"/>
  <c r="R82" i="42"/>
  <c r="O95" i="42"/>
  <c r="S83" i="42"/>
  <c r="N82" i="42"/>
  <c r="Q98" i="42"/>
  <c r="Q17" i="44" s="1"/>
  <c r="J98" i="42"/>
  <c r="J17" i="44" s="1"/>
  <c r="S97" i="42"/>
  <c r="S16" i="44" s="1"/>
  <c r="O47" i="42"/>
  <c r="J82" i="42"/>
  <c r="L83" i="42"/>
  <c r="P83" i="42"/>
  <c r="O82" i="42"/>
  <c r="J26" i="2"/>
  <c r="T83" i="42"/>
  <c r="K84" i="42"/>
  <c r="R87" i="42"/>
  <c r="Q95" i="42"/>
  <c r="Q14" i="44" s="1"/>
  <c r="M87" i="42"/>
  <c r="T97" i="42"/>
  <c r="T16" i="44" s="1"/>
  <c r="T95" i="42"/>
  <c r="T14" i="44" s="1"/>
  <c r="P50" i="42"/>
  <c r="T82" i="42"/>
  <c r="O83" i="42"/>
  <c r="Q83" i="42"/>
  <c r="M82" i="42"/>
  <c r="M83" i="42"/>
  <c r="L97" i="42"/>
  <c r="L16" i="44" s="1"/>
  <c r="J97" i="42"/>
  <c r="K87" i="42"/>
  <c r="P97" i="42"/>
  <c r="P16" i="44" s="1"/>
  <c r="R97" i="42"/>
  <c r="R16" i="44" s="1"/>
  <c r="J50" i="42"/>
  <c r="K26" i="2"/>
  <c r="R13" i="42"/>
  <c r="R26" i="42" s="1"/>
  <c r="R20" i="42"/>
  <c r="P20" i="42"/>
  <c r="P13" i="42"/>
  <c r="P26" i="42" s="1"/>
  <c r="S13" i="42"/>
  <c r="S26" i="42" s="1"/>
  <c r="S20" i="42"/>
  <c r="Q20" i="42"/>
  <c r="Q13" i="42"/>
  <c r="Q26" i="42" s="1"/>
  <c r="P85" i="42" l="1"/>
  <c r="S85" i="42"/>
  <c r="Q85" i="42"/>
  <c r="R85" i="42"/>
  <c r="J16" i="44"/>
  <c r="M16" i="44"/>
  <c r="O14" i="44"/>
  <c r="W20" i="53" l="1"/>
  <c r="O85" i="42"/>
  <c r="I71" i="55" l="1"/>
  <c r="V71" i="55" s="1"/>
  <c r="I72" i="55" l="1"/>
  <c r="V72" i="55" s="1"/>
  <c r="I76" i="55" l="1"/>
  <c r="V76" i="55" s="1"/>
  <c r="I80" i="55" l="1"/>
  <c r="V80" i="55" s="1"/>
  <c r="I75" i="55" l="1"/>
  <c r="V75" i="55" s="1"/>
  <c r="I73" i="55"/>
  <c r="V73" i="55" s="1"/>
  <c r="I74" i="55"/>
  <c r="L12" i="2" s="1"/>
  <c r="I79" i="55"/>
  <c r="V79" i="55" s="1"/>
  <c r="K18" i="2" l="1"/>
  <c r="L28" i="2"/>
  <c r="L16" i="2"/>
  <c r="L17" i="2"/>
  <c r="L27" i="2" s="1"/>
  <c r="V74" i="55"/>
  <c r="I81" i="55"/>
  <c r="V81" i="55" s="1"/>
  <c r="I83" i="55"/>
  <c r="V83" i="55" s="1"/>
  <c r="I78" i="55"/>
  <c r="M12" i="2" s="1"/>
  <c r="L26" i="2" l="1"/>
  <c r="J18" i="2"/>
  <c r="J28" i="2" s="1"/>
  <c r="K28" i="2"/>
  <c r="M18" i="2"/>
  <c r="M28" i="2" s="1"/>
  <c r="M29" i="2"/>
  <c r="L19" i="2"/>
  <c r="M16" i="2"/>
  <c r="M17" i="2"/>
  <c r="M27" i="2" s="1"/>
  <c r="I82" i="55"/>
  <c r="I77" i="55"/>
  <c r="V77" i="55" s="1"/>
  <c r="V78" i="55"/>
  <c r="O20" i="2" l="1"/>
  <c r="O30" i="2" s="1"/>
  <c r="N12" i="2"/>
  <c r="N18" i="2" s="1"/>
  <c r="O18" i="2" s="1"/>
  <c r="M26" i="2"/>
  <c r="V82" i="55"/>
  <c r="N22" i="2"/>
  <c r="O32" i="2"/>
  <c r="K19" i="2"/>
  <c r="L29" i="2"/>
  <c r="N21" i="2"/>
  <c r="O31" i="2"/>
  <c r="N47" i="58" s="1"/>
  <c r="R44" i="42" l="1"/>
  <c r="M44" i="42"/>
  <c r="J44" i="42"/>
  <c r="S44" i="42"/>
  <c r="T44" i="42"/>
  <c r="P44" i="42"/>
  <c r="Q44" i="42"/>
  <c r="K44" i="42"/>
  <c r="O44" i="42"/>
  <c r="L44" i="42"/>
  <c r="N44" i="42"/>
  <c r="O79" i="42"/>
  <c r="S79" i="42"/>
  <c r="P79" i="42"/>
  <c r="R79" i="42"/>
  <c r="Q79" i="42"/>
  <c r="O28" i="2"/>
  <c r="N17" i="2"/>
  <c r="O17" i="2" s="1"/>
  <c r="O27" i="2" s="1"/>
  <c r="M20" i="2"/>
  <c r="N30" i="2"/>
  <c r="N19" i="2"/>
  <c r="N16" i="2"/>
  <c r="P17" i="2"/>
  <c r="P27" i="2" s="1"/>
  <c r="P18" i="2"/>
  <c r="P28" i="2" s="1"/>
  <c r="N20" i="42"/>
  <c r="P20" i="2"/>
  <c r="P30" i="2" s="1"/>
  <c r="M22" i="2"/>
  <c r="N32" i="2"/>
  <c r="N28" i="2"/>
  <c r="K29" i="2"/>
  <c r="J19" i="2"/>
  <c r="J29" i="2" s="1"/>
  <c r="N31" i="2"/>
  <c r="M21" i="2"/>
  <c r="N37" i="42" l="1"/>
  <c r="V63" i="58"/>
  <c r="V43" i="58"/>
  <c r="N26" i="2"/>
  <c r="O16" i="2"/>
  <c r="L15" i="42" s="1"/>
  <c r="N27" i="2"/>
  <c r="O19" i="2"/>
  <c r="N29" i="2"/>
  <c r="M30" i="2"/>
  <c r="L20" i="2"/>
  <c r="N13" i="42"/>
  <c r="N26" i="42" s="1"/>
  <c r="O20" i="42"/>
  <c r="O13" i="42"/>
  <c r="O26" i="42" s="1"/>
  <c r="P16" i="2"/>
  <c r="L22" i="2"/>
  <c r="M32" i="2"/>
  <c r="L31" i="42"/>
  <c r="M31" i="2"/>
  <c r="L21" i="2"/>
  <c r="M20" i="42"/>
  <c r="K17" i="42" l="1"/>
  <c r="S78" i="42"/>
  <c r="Q78" i="42"/>
  <c r="O78" i="42"/>
  <c r="R78" i="42"/>
  <c r="P78" i="42"/>
  <c r="T15" i="42"/>
  <c r="S24" i="42"/>
  <c r="M86" i="42"/>
  <c r="J86" i="42"/>
  <c r="N86" i="42"/>
  <c r="K86" i="42"/>
  <c r="T86" i="42"/>
  <c r="L86" i="42"/>
  <c r="P19" i="2"/>
  <c r="R81" i="42"/>
  <c r="T81" i="42"/>
  <c r="O81" i="42"/>
  <c r="P96" i="42"/>
  <c r="N96" i="42"/>
  <c r="J81" i="42"/>
  <c r="S96" i="42"/>
  <c r="Q96" i="42"/>
  <c r="L81" i="42"/>
  <c r="T96" i="42"/>
  <c r="R96" i="42"/>
  <c r="P81" i="42"/>
  <c r="S81" i="42"/>
  <c r="M81" i="42"/>
  <c r="J96" i="42"/>
  <c r="L96" i="42"/>
  <c r="K96" i="42"/>
  <c r="M96" i="42"/>
  <c r="O96" i="42"/>
  <c r="K81" i="42"/>
  <c r="N81" i="42"/>
  <c r="Q81" i="42"/>
  <c r="J24" i="42"/>
  <c r="T17" i="42"/>
  <c r="M17" i="42"/>
  <c r="K24" i="42"/>
  <c r="P17" i="42"/>
  <c r="O17" i="42"/>
  <c r="P29" i="2"/>
  <c r="L79" i="42"/>
  <c r="K38" i="42"/>
  <c r="P41" i="42"/>
  <c r="L38" i="42"/>
  <c r="R41" i="42"/>
  <c r="L41" i="42"/>
  <c r="K79" i="42"/>
  <c r="N79" i="42"/>
  <c r="T79" i="42"/>
  <c r="S41" i="42"/>
  <c r="J41" i="42"/>
  <c r="T41" i="42"/>
  <c r="R38" i="42"/>
  <c r="Q38" i="42"/>
  <c r="N41" i="42"/>
  <c r="J38" i="42"/>
  <c r="P38" i="42"/>
  <c r="M79" i="42"/>
  <c r="T38" i="42"/>
  <c r="O41" i="42"/>
  <c r="O38" i="42"/>
  <c r="J79" i="42"/>
  <c r="K41" i="42"/>
  <c r="Q41" i="42"/>
  <c r="M38" i="42"/>
  <c r="N38" i="42"/>
  <c r="S38" i="42"/>
  <c r="M41" i="42"/>
  <c r="O26" i="2"/>
  <c r="K22" i="42"/>
  <c r="R15" i="42"/>
  <c r="M24" i="42"/>
  <c r="P15" i="42"/>
  <c r="S15" i="42"/>
  <c r="T24" i="42"/>
  <c r="O29" i="2"/>
  <c r="N78" i="42"/>
  <c r="K78" i="42"/>
  <c r="M78" i="42"/>
  <c r="J78" i="42"/>
  <c r="T78" i="42"/>
  <c r="L78" i="42"/>
  <c r="N80" i="42"/>
  <c r="K80" i="42"/>
  <c r="O77" i="42"/>
  <c r="K77" i="42"/>
  <c r="M80" i="42"/>
  <c r="Q77" i="42"/>
  <c r="Q80" i="42"/>
  <c r="S77" i="42"/>
  <c r="L80" i="42"/>
  <c r="J80" i="42"/>
  <c r="T77" i="42"/>
  <c r="L77" i="42"/>
  <c r="S80" i="42"/>
  <c r="T80" i="42"/>
  <c r="P77" i="42"/>
  <c r="P80" i="42"/>
  <c r="J77" i="42"/>
  <c r="R77" i="42"/>
  <c r="M77" i="42"/>
  <c r="N77" i="42"/>
  <c r="O80" i="42"/>
  <c r="R80" i="42"/>
  <c r="L24" i="42"/>
  <c r="R24" i="42"/>
  <c r="L30" i="2"/>
  <c r="K20" i="2"/>
  <c r="L32" i="2"/>
  <c r="K22" i="2"/>
  <c r="P26" i="2"/>
  <c r="R22" i="42"/>
  <c r="M15" i="42"/>
  <c r="J22" i="42"/>
  <c r="Q22" i="42"/>
  <c r="L17" i="42"/>
  <c r="T22" i="42"/>
  <c r="O24" i="42"/>
  <c r="J17" i="42"/>
  <c r="O22" i="42"/>
  <c r="S17" i="42"/>
  <c r="Q15" i="42"/>
  <c r="K15" i="42"/>
  <c r="M31" i="42" s="1"/>
  <c r="R17" i="42"/>
  <c r="N17" i="42"/>
  <c r="O15" i="42"/>
  <c r="P22" i="42"/>
  <c r="J15" i="42"/>
  <c r="P24" i="42"/>
  <c r="N15" i="42"/>
  <c r="N22" i="42"/>
  <c r="S22" i="42"/>
  <c r="Q24" i="42"/>
  <c r="M22" i="42"/>
  <c r="Q17" i="42"/>
  <c r="N24" i="42"/>
  <c r="L22" i="42"/>
  <c r="L31" i="2"/>
  <c r="K21" i="2"/>
  <c r="L13" i="42"/>
  <c r="L26" i="42" s="1"/>
  <c r="L20" i="42"/>
  <c r="R52" i="42" l="1"/>
  <c r="R54" i="42" s="1"/>
  <c r="P52" i="42"/>
  <c r="P54" i="42" s="1"/>
  <c r="L15" i="44"/>
  <c r="L101" i="42"/>
  <c r="J15" i="44"/>
  <c r="J101" i="42"/>
  <c r="S15" i="44"/>
  <c r="S101" i="42"/>
  <c r="N15" i="44"/>
  <c r="N101" i="42"/>
  <c r="P15" i="44"/>
  <c r="P101" i="42"/>
  <c r="O15" i="44"/>
  <c r="O101" i="42"/>
  <c r="R15" i="44"/>
  <c r="R101" i="42"/>
  <c r="M15" i="44"/>
  <c r="M101" i="42"/>
  <c r="T15" i="44"/>
  <c r="T101" i="42"/>
  <c r="K15" i="44"/>
  <c r="K101" i="42"/>
  <c r="Q15" i="44"/>
  <c r="Q101" i="42"/>
  <c r="O31" i="42"/>
  <c r="J52" i="42"/>
  <c r="J54" i="42" s="1"/>
  <c r="K52" i="42"/>
  <c r="K54" i="42" s="1"/>
  <c r="Q52" i="42"/>
  <c r="Q54" i="42" s="1"/>
  <c r="S52" i="42"/>
  <c r="S54" i="42" s="1"/>
  <c r="M89" i="42"/>
  <c r="J89" i="42"/>
  <c r="N89" i="42"/>
  <c r="L89" i="42"/>
  <c r="K89" i="42"/>
  <c r="T89" i="42"/>
  <c r="J20" i="2"/>
  <c r="J30" i="2" s="1"/>
  <c r="K30" i="2"/>
  <c r="N31" i="42"/>
  <c r="K32" i="2"/>
  <c r="J22" i="2"/>
  <c r="J32" i="2" s="1"/>
  <c r="K13" i="42"/>
  <c r="K26" i="42" s="1"/>
  <c r="K20" i="42"/>
  <c r="K31" i="2"/>
  <c r="J21" i="2"/>
  <c r="J31" i="2" s="1"/>
  <c r="J13" i="42" l="1"/>
  <c r="J26" i="42" s="1"/>
  <c r="O33" i="42" s="1"/>
  <c r="O52" i="42" s="1"/>
  <c r="J20" i="42"/>
  <c r="P86" i="42" l="1"/>
  <c r="L35" i="42"/>
  <c r="O35" i="42"/>
  <c r="O54" i="42" s="1"/>
  <c r="L33" i="42"/>
  <c r="L52" i="42" s="1"/>
  <c r="N35" i="42"/>
  <c r="M35" i="42"/>
  <c r="M33" i="42"/>
  <c r="M52" i="42" s="1"/>
  <c r="Q86" i="42" l="1"/>
  <c r="O86" i="42"/>
  <c r="L54" i="42"/>
  <c r="M54" i="42"/>
  <c r="S86" i="42" l="1"/>
  <c r="J107" i="42"/>
  <c r="J13" i="44" s="1"/>
  <c r="L108" i="42"/>
  <c r="L109" i="42" s="1"/>
  <c r="K108" i="42"/>
  <c r="K109" i="42" s="1"/>
  <c r="R86" i="42" l="1"/>
  <c r="W21" i="53"/>
  <c r="T108" i="42"/>
  <c r="T107" i="42"/>
  <c r="T13" i="44" s="1"/>
  <c r="M108" i="42"/>
  <c r="M109" i="42" s="1"/>
  <c r="N108" i="42"/>
  <c r="N109" i="42" s="1"/>
  <c r="K107" i="42"/>
  <c r="K13" i="44" s="1"/>
  <c r="M107" i="42"/>
  <c r="M13" i="44" s="1"/>
  <c r="L107" i="42"/>
  <c r="L13" i="44" s="1"/>
  <c r="J108" i="42"/>
  <c r="J109" i="42" s="1"/>
  <c r="N107" i="42"/>
  <c r="N13" i="44" s="1"/>
  <c r="I87" i="55" l="1"/>
  <c r="I84" i="55"/>
  <c r="V84" i="55" s="1"/>
  <c r="I85" i="55"/>
  <c r="V85" i="55" s="1"/>
  <c r="I88" i="55"/>
  <c r="V1" i="55" l="1"/>
  <c r="G11" i="16" s="1"/>
  <c r="L47" i="58" l="1"/>
  <c r="V41" i="58"/>
  <c r="V37" i="58" l="1"/>
  <c r="S1" i="58" s="1"/>
  <c r="G12" i="16" s="1"/>
  <c r="M47" i="58"/>
  <c r="M12" i="42" s="1"/>
  <c r="M13" i="42" s="1"/>
  <c r="M26" i="42" s="1"/>
  <c r="N33" i="42" l="1"/>
  <c r="N52" i="42" l="1"/>
  <c r="N54" i="42" l="1"/>
  <c r="S84" i="42" l="1"/>
  <c r="S89" i="42" s="1"/>
  <c r="S24" i="53"/>
  <c r="P84" i="42"/>
  <c r="P89" i="42" s="1"/>
  <c r="P24" i="53"/>
  <c r="R84" i="42"/>
  <c r="R89" i="42" s="1"/>
  <c r="R24" i="53"/>
  <c r="Q84" i="42"/>
  <c r="Q89" i="42" s="1"/>
  <c r="Q24" i="53"/>
  <c r="W19" i="53"/>
  <c r="O84" i="42"/>
  <c r="O24" i="53"/>
  <c r="W24" i="53" s="1"/>
  <c r="Q108" i="42" l="1"/>
  <c r="Q109" i="42" s="1"/>
  <c r="Q107" i="42"/>
  <c r="Q13" i="44" s="1"/>
  <c r="R108" i="42"/>
  <c r="R109" i="42" s="1"/>
  <c r="R107" i="42"/>
  <c r="R13" i="44" s="1"/>
  <c r="P107" i="42"/>
  <c r="P13" i="44" s="1"/>
  <c r="P108" i="42"/>
  <c r="P109" i="42" s="1"/>
  <c r="S107" i="42"/>
  <c r="S13" i="44" s="1"/>
  <c r="S108" i="42"/>
  <c r="S109" i="42" s="1"/>
  <c r="O89" i="42"/>
  <c r="S1" i="53"/>
  <c r="G14" i="16" s="1"/>
  <c r="S1" i="16" s="1"/>
  <c r="V1" i="58" l="1"/>
  <c r="Y1" i="55"/>
  <c r="V1" i="4"/>
  <c r="V1" i="53"/>
  <c r="W1" i="44"/>
  <c r="V1" i="54"/>
  <c r="W1" i="42"/>
  <c r="X1" i="2"/>
  <c r="O108" i="42"/>
  <c r="O109" i="42" s="1"/>
  <c r="O107" i="42"/>
  <c r="O13" i="44" s="1"/>
</calcChain>
</file>

<file path=xl/sharedStrings.xml><?xml version="1.0" encoding="utf-8"?>
<sst xmlns="http://schemas.openxmlformats.org/spreadsheetml/2006/main" count="763" uniqueCount="232">
  <si>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</si>
  <si>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</si>
  <si>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</si>
  <si>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</si>
  <si>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</si>
  <si>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</si>
  <si>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</si>
  <si>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</si>
  <si>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</si>
  <si>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</si>
  <si>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</si>
  <si>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</si>
  <si>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</si>
  <si>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</si>
  <si>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</si>
  <si>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</si>
  <si>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</si>
  <si>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</si>
  <si>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</si>
  <si>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</si>
  <si>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</si>
  <si>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</si>
  <si>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</si>
  <si>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</si>
  <si>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</si>
  <si>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</si>
  <si>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</si>
  <si>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</si>
  <si>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</si>
  <si>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</si>
  <si>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</si>
  <si>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</si>
  <si>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</si>
  <si>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</si>
  <si>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</si>
  <si>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</si>
  <si>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</si>
  <si>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</si>
  <si>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</si>
  <si>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</si>
  <si>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</si>
  <si>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</si>
  <si>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</si>
  <si>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</si>
  <si>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</si>
  <si>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</si>
  <si>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</si>
  <si>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</si>
  <si>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</si>
  <si>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</si>
  <si>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</si>
  <si>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</si>
  <si>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</si>
  <si>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</si>
  <si>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</si>
  <si>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</si>
  <si>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</si>
  <si>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</si>
  <si>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</si>
  <si>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</si>
  <si>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</si>
  <si>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</si>
  <si>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</si>
  <si>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</si>
  <si>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</si>
  <si>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</si>
  <si>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</si>
  <si>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</si>
  <si>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</si>
  <si>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</si>
  <si>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</si>
  <si>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</si>
  <si>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</si>
  <si>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</si>
  <si>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</si>
  <si>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</si>
  <si>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</si>
  <si>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</si>
  <si>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</si>
  <si>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</si>
  <si>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</si>
  <si>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</si>
  <si>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</si>
  <si>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</si>
  <si>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</si>
  <si>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</si>
  <si>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</si>
  <si>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</si>
  <si>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</si>
  <si>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</si>
  <si>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</si>
  <si>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</si>
  <si>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</si>
  <si>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</si>
  <si>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</si>
  <si>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</si>
  <si>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</si>
  <si>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</si>
  <si>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</si>
  <si>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</si>
  <si>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</si>
  <si>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</si>
  <si>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</si>
  <si>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</si>
  <si>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</si>
  <si>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</si>
  <si>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</si>
  <si>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</si>
  <si>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</si>
  <si>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</si>
  <si>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</si>
  <si>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</si>
  <si>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</si>
  <si>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</si>
  <si>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</si>
  <si>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</si>
  <si>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</si>
  <si>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</si>
  <si>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</si>
  <si>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</si>
  <si>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</si>
  <si>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</si>
  <si>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</si>
  <si>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</si>
  <si>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</si>
  <si>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</si>
  <si>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</si>
  <si>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</si>
  <si>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</si>
  <si>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</si>
  <si>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</si>
  <si>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</si>
  <si>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</si>
  <si>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</si>
  <si>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</si>
  <si>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</si>
  <si>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</si>
  <si>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</si>
  <si>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</si>
  <si>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</si>
  <si>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</si>
  <si>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</si>
  <si>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</si>
  <si>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</si>
  <si>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</si>
  <si>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</si>
  <si>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</si>
  <si>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</si>
  <si>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</si>
  <si>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</si>
  <si>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</si>
  <si>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</si>
  <si>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</si>
  <si>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</si>
  <si>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</si>
  <si>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</si>
  <si>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</si>
  <si>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</si>
  <si>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</si>
  <si>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</si>
  <si>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</si>
  <si>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</si>
  <si>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</si>
  <si>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</si>
  <si>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</si>
  <si>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</si>
  <si>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</si>
  <si>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</si>
  <si>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</si>
  <si>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</si>
  <si>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</si>
  <si>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</si>
  <si>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</si>
  <si>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</si>
  <si>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</si>
  <si>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</si>
  <si>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</si>
  <si>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</si>
  <si>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</si>
  <si>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</si>
  <si>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</si>
  <si>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</si>
  <si>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</si>
  <si>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</si>
  <si>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</si>
  <si>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</si>
  <si>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</si>
  <si>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</si>
  <si>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</si>
  <si>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</si>
  <si>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</si>
  <si>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</si>
  <si>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</si>
  <si>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</si>
  <si>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</si>
  <si>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</si>
  <si>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</si>
  <si>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</si>
  <si>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</si>
  <si>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</si>
  <si>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</si>
  <si>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</si>
  <si>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</si>
  <si>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</si>
  <si>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</si>
  <si>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</si>
  <si>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</si>
  <si>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</si>
  <si>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</si>
  <si>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</si>
  <si>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</si>
  <si>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</si>
  <si>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</si>
  <si>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GSL payments</t>
  </si>
  <si>
    <t>United Energy</t>
  </si>
  <si>
    <t>GSL  payments</t>
  </si>
  <si>
    <t>Licence fee</t>
  </si>
  <si>
    <t>Customer assistance package</t>
  </si>
  <si>
    <t>Vegetation management</t>
  </si>
  <si>
    <t>CER integration</t>
  </si>
  <si>
    <t>Cloud services</t>
  </si>
  <si>
    <t>ICT modernisation and new capability</t>
  </si>
  <si>
    <t>Network and community resilience</t>
  </si>
  <si>
    <t>Fleet electrification</t>
  </si>
  <si>
    <t>Network innovation fund</t>
  </si>
  <si>
    <t>WPI - Deloitte</t>
  </si>
  <si>
    <t xml:space="preserve">WPI - BIS Oxford </t>
  </si>
  <si>
    <t>Index value, Sep quarter 2025 = 100</t>
  </si>
  <si>
    <t>Index value, 2011-12 = 100</t>
  </si>
  <si>
    <t>Estimate: RBA, Statement on monetary policy (SoMP), February 2026.</t>
  </si>
  <si>
    <t>Insurance</t>
  </si>
  <si>
    <t>Flexible trading arrangements cost pass through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</si>
</sst>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7"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1" formatCode="#,##0.0_ ;\-#,##0.0\ "/>
  </numFmts>
  <fonts count="95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</fonts>
  <fills count="52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6">
    <xf numFmtId="0" fontId="0" fillId="0" borderId="0"/>
    <xf numFmtId="170" fontId="6" fillId="7" borderId="0" applyProtection="0"/>
    <xf numFmtId="9" fontId="1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9" fontId="16" fillId="0" borderId="0" applyFont="0" applyFill="0" applyBorder="0" applyAlignment="0" applyProtection="0"/>
    <xf numFmtId="171" fontId="15" fillId="0" borderId="5">
      <alignment horizontal="right" vertical="center"/>
      <protection locked="0"/>
    </xf>
    <xf numFmtId="166" fontId="13" fillId="0" borderId="0" applyFont="0" applyFill="0" applyBorder="0" applyAlignment="0" applyProtection="0"/>
    <xf numFmtId="0" fontId="22" fillId="0" borderId="0"/>
    <xf numFmtId="166" fontId="22" fillId="0" borderId="0" applyFon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178" fontId="15" fillId="0" borderId="0"/>
    <xf numFmtId="178" fontId="15" fillId="0" borderId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6" fillId="0" borderId="0"/>
    <xf numFmtId="167" fontId="27" fillId="0" borderId="0" applyFont="0" applyFill="0" applyBorder="0" applyAlignment="0" applyProtection="0"/>
    <xf numFmtId="0" fontId="28" fillId="30" borderId="0" applyNumberFormat="0" applyBorder="0" applyAlignment="0" applyProtection="0"/>
    <xf numFmtId="0" fontId="29" fillId="0" borderId="0" applyNumberFormat="0" applyFill="0" applyBorder="0" applyAlignment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0" fontId="30" fillId="0" borderId="0" applyNumberFormat="0" applyFill="0" applyBorder="0" applyAlignment="0">
      <protection locked="0"/>
    </xf>
    <xf numFmtId="0" fontId="31" fillId="14" borderId="11" applyNumberFormat="0" applyAlignment="0" applyProtection="0"/>
    <xf numFmtId="0" fontId="32" fillId="31" borderId="12" applyNumberFormat="0" applyAlignment="0" applyProtection="0"/>
    <xf numFmtId="164" fontId="22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3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179" fontId="22" fillId="0" borderId="0" applyFont="0" applyFill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180" fontId="21" fillId="0" borderId="0" applyFont="0" applyFill="0" applyBorder="0" applyAlignment="0" applyProtection="0"/>
    <xf numFmtId="0" fontId="37" fillId="0" borderId="0" applyNumberFormat="0" applyFill="0" applyBorder="0" applyAlignment="0" applyProtection="0"/>
    <xf numFmtId="181" fontId="22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38" fillId="0" borderId="0"/>
    <xf numFmtId="0" fontId="39" fillId="0" borderId="0"/>
    <xf numFmtId="0" fontId="40" fillId="35" borderId="0" applyNumberFormat="0" applyBorder="0" applyAlignment="0" applyProtection="0"/>
    <xf numFmtId="0" fontId="24" fillId="0" borderId="0" applyFill="0" applyBorder="0">
      <alignment vertical="center"/>
    </xf>
    <xf numFmtId="0" fontId="41" fillId="0" borderId="13" applyNumberFormat="0" applyFill="0" applyAlignment="0" applyProtection="0"/>
    <xf numFmtId="0" fontId="24" fillId="0" borderId="0" applyFill="0" applyBorder="0">
      <alignment vertical="center"/>
    </xf>
    <xf numFmtId="0" fontId="42" fillId="0" borderId="0" applyFill="0" applyBorder="0">
      <alignment vertical="center"/>
    </xf>
    <xf numFmtId="0" fontId="43" fillId="0" borderId="14" applyNumberFormat="0" applyFill="0" applyAlignment="0" applyProtection="0"/>
    <xf numFmtId="0" fontId="42" fillId="0" borderId="0" applyFill="0" applyBorder="0">
      <alignment vertical="center"/>
    </xf>
    <xf numFmtId="0" fontId="12" fillId="0" borderId="0" applyFill="0" applyBorder="0">
      <alignment vertical="center"/>
    </xf>
    <xf numFmtId="0" fontId="44" fillId="0" borderId="15" applyNumberFormat="0" applyFill="0" applyAlignment="0" applyProtection="0"/>
    <xf numFmtId="0" fontId="12" fillId="0" borderId="0" applyFill="0" applyBorder="0">
      <alignment vertical="center"/>
    </xf>
    <xf numFmtId="0" fontId="15" fillId="0" borderId="0" applyFill="0" applyBorder="0">
      <alignment vertical="center"/>
    </xf>
    <xf numFmtId="0" fontId="44" fillId="0" borderId="0" applyNumberFormat="0" applyFill="0" applyBorder="0" applyAlignment="0" applyProtection="0"/>
    <xf numFmtId="0" fontId="15" fillId="0" borderId="0" applyFill="0" applyBorder="0">
      <alignment vertical="center"/>
    </xf>
    <xf numFmtId="182" fontId="45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47" fillId="0" borderId="0" applyFill="0" applyBorder="0">
      <alignment horizontal="center" vertical="center"/>
      <protection locked="0"/>
    </xf>
    <xf numFmtId="0" fontId="48" fillId="0" borderId="0" applyFill="0" applyBorder="0">
      <alignment horizontal="left" vertical="center"/>
      <protection locked="0"/>
    </xf>
    <xf numFmtId="0" fontId="49" fillId="12" borderId="11" applyNumberFormat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83" fontId="22" fillId="6" borderId="0" applyFont="0" applyBorder="0">
      <alignment horizontal="right"/>
      <protection locked="0"/>
    </xf>
    <xf numFmtId="183" fontId="22" fillId="6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15" fillId="4" borderId="0"/>
    <xf numFmtId="0" fontId="50" fillId="0" borderId="16" applyNumberFormat="0" applyFill="0" applyAlignment="0" applyProtection="0"/>
    <xf numFmtId="184" fontId="51" fillId="0" borderId="0"/>
    <xf numFmtId="0" fontId="52" fillId="0" borderId="0" applyFill="0" applyBorder="0">
      <alignment horizontal="left" vertical="center"/>
    </xf>
    <xf numFmtId="0" fontId="53" fillId="15" borderId="0" applyNumberFormat="0" applyBorder="0" applyAlignment="0" applyProtection="0"/>
    <xf numFmtId="185" fontId="5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2" fillId="0" borderId="0"/>
    <xf numFmtId="0" fontId="27" fillId="0" borderId="0"/>
    <xf numFmtId="0" fontId="22" fillId="3" borderId="0"/>
    <xf numFmtId="0" fontId="55" fillId="0" borderId="0"/>
    <xf numFmtId="0" fontId="22" fillId="0" borderId="0"/>
    <xf numFmtId="0" fontId="22" fillId="0" borderId="0"/>
    <xf numFmtId="0" fontId="22" fillId="13" borderId="17" applyNumberFormat="0" applyFont="0" applyAlignment="0" applyProtection="0"/>
    <xf numFmtId="0" fontId="56" fillId="14" borderId="18" applyNumberFormat="0" applyAlignment="0" applyProtection="0"/>
    <xf numFmtId="186" fontId="22" fillId="0" borderId="0" applyFill="0" applyBorder="0"/>
    <xf numFmtId="186" fontId="22" fillId="0" borderId="0" applyFill="0" applyBorder="0"/>
    <xf numFmtId="186" fontId="22" fillId="0" borderId="0" applyFill="0" applyBorder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82" fontId="57" fillId="0" borderId="0"/>
    <xf numFmtId="0" fontId="12" fillId="0" borderId="0" applyFill="0" applyBorder="0">
      <alignment vertical="center"/>
    </xf>
    <xf numFmtId="0" fontId="33" fillId="0" borderId="0" applyNumberFormat="0" applyFont="0" applyFill="0" applyBorder="0" applyAlignment="0" applyProtection="0">
      <alignment horizontal="left"/>
    </xf>
    <xf numFmtId="15" fontId="33" fillId="0" borderId="0" applyFont="0" applyFill="0" applyBorder="0" applyAlignment="0" applyProtection="0"/>
    <xf numFmtId="4" fontId="33" fillId="0" borderId="0" applyFont="0" applyFill="0" applyBorder="0" applyAlignment="0" applyProtection="0"/>
    <xf numFmtId="187" fontId="58" fillId="0" borderId="19"/>
    <xf numFmtId="0" fontId="59" fillId="0" borderId="20">
      <alignment horizontal="center"/>
    </xf>
    <xf numFmtId="3" fontId="33" fillId="0" borderId="0" applyFont="0" applyFill="0" applyBorder="0" applyAlignment="0" applyProtection="0"/>
    <xf numFmtId="0" fontId="33" fillId="37" borderId="0" applyNumberFormat="0" applyFont="0" applyBorder="0" applyAlignment="0" applyProtection="0"/>
    <xf numFmtId="188" fontId="22" fillId="0" borderId="0"/>
    <xf numFmtId="188" fontId="22" fillId="0" borderId="0"/>
    <xf numFmtId="188" fontId="22" fillId="0" borderId="0"/>
    <xf numFmtId="189" fontId="15" fillId="0" borderId="0" applyFill="0" applyBorder="0">
      <alignment horizontal="right" vertical="center"/>
    </xf>
    <xf numFmtId="190" fontId="15" fillId="0" borderId="0" applyFill="0" applyBorder="0">
      <alignment horizontal="right" vertical="center"/>
    </xf>
    <xf numFmtId="191" fontId="15" fillId="0" borderId="0" applyFill="0" applyBorder="0">
      <alignment horizontal="right" vertical="center"/>
    </xf>
    <xf numFmtId="0" fontId="22" fillId="13" borderId="0" applyNumberFormat="0" applyFont="0" applyBorder="0" applyAlignment="0" applyProtection="0"/>
    <xf numFmtId="0" fontId="22" fillId="13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4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16" borderId="0" applyNumberFormat="0" applyFont="0" applyBorder="0" applyAlignment="0" applyProtection="0"/>
    <xf numFmtId="0" fontId="22" fillId="16" borderId="0" applyNumberFormat="0" applyFon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 applyNumberFormat="0" applyFont="0" applyBorder="0" applyAlignment="0" applyProtection="0"/>
    <xf numFmtId="0" fontId="22" fillId="0" borderId="0" applyNumberFormat="0" applyFont="0" applyBorder="0" applyAlignment="0" applyProtection="0"/>
    <xf numFmtId="0" fontId="60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/>
    <xf numFmtId="0" fontId="52" fillId="0" borderId="0"/>
    <xf numFmtId="0" fontId="61" fillId="0" borderId="0"/>
    <xf numFmtId="15" fontId="22" fillId="0" borderId="0"/>
    <xf numFmtId="15" fontId="22" fillId="0" borderId="0"/>
    <xf numFmtId="15" fontId="22" fillId="0" borderId="0"/>
    <xf numFmtId="10" fontId="22" fillId="0" borderId="0"/>
    <xf numFmtId="10" fontId="22" fillId="0" borderId="0"/>
    <xf numFmtId="10" fontId="22" fillId="0" borderId="0"/>
    <xf numFmtId="0" fontId="62" fillId="9" borderId="7" applyBorder="0" applyProtection="0">
      <alignment horizontal="centerContinuous" vertical="center"/>
    </xf>
    <xf numFmtId="0" fontId="63" fillId="0" borderId="0" applyBorder="0" applyProtection="0">
      <alignment vertical="center"/>
    </xf>
    <xf numFmtId="0" fontId="64" fillId="0" borderId="0">
      <alignment horizontal="left"/>
    </xf>
    <xf numFmtId="0" fontId="64" fillId="0" borderId="10" applyFill="0" applyBorder="0" applyProtection="0">
      <alignment horizontal="left" vertical="top"/>
    </xf>
    <xf numFmtId="49" fontId="22" fillId="0" borderId="0" applyFont="0" applyFill="0" applyBorder="0" applyAlignment="0" applyProtection="0"/>
    <xf numFmtId="0" fontId="65" fillId="0" borderId="0"/>
    <xf numFmtId="49" fontId="22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184" fontId="67" fillId="0" borderId="0"/>
    <xf numFmtId="0" fontId="60" fillId="0" borderId="0" applyNumberFormat="0" applyFill="0" applyBorder="0" applyAlignment="0" applyProtection="0"/>
    <xf numFmtId="0" fontId="68" fillId="0" borderId="0" applyFill="0" applyBorder="0">
      <alignment horizontal="left" vertical="center"/>
      <protection locked="0"/>
    </xf>
    <xf numFmtId="0" fontId="65" fillId="0" borderId="0"/>
    <xf numFmtId="0" fontId="69" fillId="0" borderId="0" applyFill="0" applyBorder="0">
      <alignment horizontal="left" vertical="center"/>
      <protection locked="0"/>
    </xf>
    <xf numFmtId="0" fontId="36" fillId="0" borderId="21" applyNumberFormat="0" applyFill="0" applyAlignment="0" applyProtection="0"/>
    <xf numFmtId="0" fontId="70" fillId="0" borderId="0" applyNumberFormat="0" applyFill="0" applyBorder="0" applyAlignment="0" applyProtection="0"/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192" fontId="22" fillId="0" borderId="7" applyBorder="0" applyProtection="0">
      <alignment horizontal="right"/>
    </xf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76" fillId="42" borderId="0"/>
    <xf numFmtId="202" fontId="77" fillId="0" borderId="22">
      <alignment horizontal="center"/>
    </xf>
    <xf numFmtId="0" fontId="78" fillId="43" borderId="6">
      <alignment horizontal="center" vertical="center"/>
    </xf>
    <xf numFmtId="0" fontId="22" fillId="44" borderId="11"/>
    <xf numFmtId="0" fontId="79" fillId="0" borderId="0" applyFill="0" applyBorder="0"/>
    <xf numFmtId="0" fontId="80" fillId="0" borderId="0" applyNumberFormat="0" applyFill="0"/>
    <xf numFmtId="0" fontId="81" fillId="0" borderId="0" applyFill="0"/>
    <xf numFmtId="0" fontId="82" fillId="0" borderId="0" applyFill="0"/>
    <xf numFmtId="0" fontId="83" fillId="0" borderId="0" applyFill="0"/>
    <xf numFmtId="0" fontId="76" fillId="45" borderId="0"/>
    <xf numFmtId="0" fontId="22" fillId="38" borderId="23" applyNumberFormat="0" applyFont="0" applyAlignment="0"/>
    <xf numFmtId="0" fontId="84" fillId="7" borderId="24" applyNumberFormat="0"/>
    <xf numFmtId="0" fontId="85" fillId="46" borderId="0"/>
    <xf numFmtId="0" fontId="86" fillId="46" borderId="0" applyNumberFormat="0"/>
    <xf numFmtId="0" fontId="87" fillId="46" borderId="0"/>
    <xf numFmtId="0" fontId="88" fillId="47" borderId="6" applyNumberFormat="0">
      <alignment horizontal="center" vertical="center"/>
    </xf>
    <xf numFmtId="0" fontId="89" fillId="48" borderId="11" applyNumberFormat="0" applyAlignment="0">
      <alignment horizontal="right"/>
    </xf>
    <xf numFmtId="0" fontId="24" fillId="38" borderId="23" applyNumberFormat="0" applyAlignment="0"/>
    <xf numFmtId="0" fontId="77" fillId="0" borderId="0" applyNumberFormat="0" applyFill="0" applyBorder="0"/>
    <xf numFmtId="0" fontId="90" fillId="49" borderId="23" applyNumberFormat="0">
      <protection locked="0"/>
    </xf>
    <xf numFmtId="0" fontId="3" fillId="0" borderId="0"/>
    <xf numFmtId="0" fontId="92" fillId="50" borderId="27">
      <alignment vertical="center"/>
    </xf>
    <xf numFmtId="166" fontId="13" fillId="0" borderId="0" applyFont="0" applyFill="0" applyBorder="0" applyAlignment="0" applyProtection="0"/>
    <xf numFmtId="166" fontId="22" fillId="0" borderId="0" applyFont="0" applyFill="0" applyBorder="0" applyAlignment="0" applyProtection="0"/>
    <xf numFmtId="164" fontId="22" fillId="4" borderId="0" applyNumberFormat="0" applyFont="0" applyBorder="0" applyAlignment="0">
      <alignment horizontal="right"/>
    </xf>
    <xf numFmtId="164" fontId="22" fillId="4" borderId="0" applyNumberFormat="0" applyFont="0" applyBorder="0" applyAlignment="0">
      <alignment horizontal="right"/>
    </xf>
    <xf numFmtId="166" fontId="2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34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4" fontId="22" fillId="36" borderId="0" applyFont="0" applyBorder="0" applyAlignment="0">
      <alignment horizontal="right"/>
      <protection locked="0"/>
    </xf>
    <xf numFmtId="164" fontId="22" fillId="36" borderId="0" applyFont="0" applyBorder="0" applyAlignment="0">
      <alignment horizontal="right"/>
      <protection locked="0"/>
    </xf>
    <xf numFmtId="164" fontId="22" fillId="10" borderId="0" applyFont="0" applyBorder="0">
      <alignment horizontal="right"/>
      <protection locked="0"/>
    </xf>
    <xf numFmtId="164" fontId="22" fillId="10" borderId="0" applyFont="0" applyBorder="0">
      <alignment horizontal="right"/>
      <protection locked="0"/>
    </xf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3" fillId="0" borderId="0"/>
    <xf numFmtId="9" fontId="93" fillId="0" borderId="0" applyFont="0" applyFill="0" applyBorder="0" applyAlignment="0" applyProtection="0"/>
    <xf numFmtId="165" fontId="93" fillId="0" borderId="0" applyFont="0" applyFill="0" applyBorder="0" applyAlignment="0" applyProtection="0"/>
    <xf numFmtId="0" fontId="2" fillId="0" borderId="0"/>
    <xf numFmtId="166" fontId="93" fillId="0" borderId="0" applyFont="0" applyFill="0" applyBorder="0" applyAlignment="0" applyProtection="0"/>
    <xf numFmtId="0" fontId="93" fillId="0" borderId="0"/>
    <xf numFmtId="207" fontId="22" fillId="0" borderId="0" applyFill="0" applyBorder="0">
      <alignment vertical="center"/>
    </xf>
    <xf numFmtId="0" fontId="1" fillId="0" borderId="0"/>
  </cellStyleXfs>
  <cellXfs count="197">
    <xf numFmtId="0" fontId="0" fillId="0" borderId="0" xfId="0"/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0" xfId="0" applyFont="1" applyFill="1"/>
    <xf numFmtId="0" fontId="5" fillId="2" borderId="1" xfId="0" applyFont="1" applyFill="1" applyBorder="1"/>
    <xf numFmtId="168" fontId="6" fillId="3" borderId="0" xfId="0" applyNumberFormat="1" applyFont="1" applyFill="1"/>
    <xf numFmtId="168" fontId="7" fillId="0" borderId="0" xfId="0" applyNumberFormat="1" applyFont="1"/>
    <xf numFmtId="168" fontId="6" fillId="0" borderId="0" xfId="0" applyNumberFormat="1" applyFont="1"/>
    <xf numFmtId="168" fontId="8" fillId="0" borderId="0" xfId="0" applyNumberFormat="1" applyFont="1"/>
    <xf numFmtId="168" fontId="9" fillId="0" borderId="0" xfId="0" applyNumberFormat="1" applyFont="1"/>
    <xf numFmtId="0" fontId="6" fillId="5" borderId="0" xfId="0" applyFont="1" applyFill="1"/>
    <xf numFmtId="0" fontId="6" fillId="6" borderId="0" xfId="0" applyFont="1" applyFill="1"/>
    <xf numFmtId="168" fontId="12" fillId="0" borderId="0" xfId="0" applyNumberFormat="1" applyFont="1"/>
    <xf numFmtId="168" fontId="8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1"/>
    </xf>
    <xf numFmtId="168" fontId="7" fillId="0" borderId="0" xfId="0" applyNumberFormat="1" applyFont="1" applyAlignment="1">
      <alignment horizontal="center"/>
    </xf>
    <xf numFmtId="168" fontId="0" fillId="0" borderId="0" xfId="0" applyNumberFormat="1"/>
    <xf numFmtId="166" fontId="12" fillId="0" borderId="6" xfId="0" applyNumberFormat="1" applyFont="1" applyBorder="1" applyAlignment="1">
      <alignment horizontal="center"/>
    </xf>
    <xf numFmtId="168" fontId="7" fillId="3" borderId="0" xfId="0" applyNumberFormat="1" applyFont="1" applyFill="1"/>
    <xf numFmtId="168" fontId="18" fillId="0" borderId="0" xfId="0" applyNumberFormat="1" applyFont="1" applyAlignment="1">
      <alignment horizontal="center"/>
    </xf>
    <xf numFmtId="168" fontId="7" fillId="3" borderId="0" xfId="0" applyNumberFormat="1" applyFont="1" applyFill="1" applyAlignment="1">
      <alignment horizontal="center"/>
    </xf>
    <xf numFmtId="174" fontId="12" fillId="0" borderId="0" xfId="5" applyNumberFormat="1" applyFont="1" applyBorder="1" applyAlignment="1" applyProtection="1">
      <alignment horizontal="center" vertical="center"/>
    </xf>
    <xf numFmtId="175" fontId="6" fillId="0" borderId="0" xfId="0" applyNumberFormat="1" applyFont="1"/>
    <xf numFmtId="168" fontId="17" fillId="0" borderId="0" xfId="3" applyNumberFormat="1" applyFont="1" applyAlignment="1" applyProtection="1">
      <alignment horizontal="center"/>
    </xf>
    <xf numFmtId="0" fontId="71" fillId="38" borderId="0" xfId="0" applyFont="1" applyFill="1" applyAlignment="1">
      <alignment horizontal="left" vertical="center"/>
    </xf>
    <xf numFmtId="0" fontId="71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3" fillId="38" borderId="0" xfId="0" applyNumberFormat="1" applyFont="1" applyFill="1" applyAlignment="1">
      <alignment horizontal="center"/>
    </xf>
    <xf numFmtId="0" fontId="73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4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4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3" fillId="39" borderId="4" xfId="0" applyFont="1" applyFill="1" applyBorder="1"/>
    <xf numFmtId="169" fontId="6" fillId="41" borderId="3" xfId="0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/>
    <xf numFmtId="0" fontId="73" fillId="38" borderId="0" xfId="0" applyFont="1" applyFill="1" applyAlignment="1">
      <alignment horizontal="left"/>
    </xf>
    <xf numFmtId="0" fontId="73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6" fillId="40" borderId="0" xfId="0" applyFont="1" applyFill="1" applyAlignment="1">
      <alignment horizontal="center"/>
    </xf>
    <xf numFmtId="168" fontId="18" fillId="0" borderId="0" xfId="0" applyNumberFormat="1" applyFont="1" applyAlignment="1">
      <alignment horizontal="center" wrapText="1"/>
    </xf>
    <xf numFmtId="193" fontId="6" fillId="41" borderId="3" xfId="0" applyNumberFormat="1" applyFont="1" applyFill="1" applyBorder="1" applyAlignment="1" applyProtection="1">
      <alignment horizontal="center"/>
      <protection locked="0"/>
    </xf>
    <xf numFmtId="197" fontId="6" fillId="0" borderId="0" xfId="0" applyNumberFormat="1" applyFont="1" applyAlignment="1">
      <alignment horizontal="left"/>
    </xf>
    <xf numFmtId="168" fontId="7" fillId="0" borderId="0" xfId="0" applyNumberFormat="1" applyFont="1" applyAlignment="1">
      <alignment horizontal="center" wrapText="1"/>
    </xf>
    <xf numFmtId="168" fontId="19" fillId="40" borderId="9" xfId="0" applyNumberFormat="1" applyFont="1" applyFill="1" applyBorder="1" applyAlignment="1" applyProtection="1">
      <alignment horizontal="center"/>
      <protection locked="0"/>
    </xf>
    <xf numFmtId="0" fontId="73" fillId="38" borderId="1" xfId="0" applyFont="1" applyFill="1" applyBorder="1" applyAlignment="1">
      <alignment horizontal="left" indent="9"/>
    </xf>
    <xf numFmtId="0" fontId="23" fillId="38" borderId="2" xfId="0" applyFont="1" applyFill="1" applyBorder="1"/>
    <xf numFmtId="0" fontId="74" fillId="38" borderId="2" xfId="0" applyFont="1" applyFill="1" applyBorder="1"/>
    <xf numFmtId="0" fontId="74" fillId="39" borderId="4" xfId="0" applyFont="1" applyFill="1" applyBorder="1"/>
    <xf numFmtId="0" fontId="74" fillId="39" borderId="4" xfId="0" applyFont="1" applyFill="1" applyBorder="1" applyAlignment="1">
      <alignment horizontal="center"/>
    </xf>
    <xf numFmtId="0" fontId="19" fillId="39" borderId="4" xfId="0" applyFont="1" applyFill="1" applyBorder="1" applyAlignment="1">
      <alignment horizontal="center" vertical="center"/>
    </xf>
    <xf numFmtId="0" fontId="19" fillId="39" borderId="4" xfId="0" applyFont="1" applyFill="1" applyBorder="1" applyAlignment="1">
      <alignment vertical="center"/>
    </xf>
    <xf numFmtId="0" fontId="74" fillId="39" borderId="4" xfId="0" applyFont="1" applyFill="1" applyBorder="1" applyAlignment="1">
      <alignment wrapText="1"/>
    </xf>
    <xf numFmtId="165" fontId="19" fillId="39" borderId="4" xfId="0" applyNumberFormat="1" applyFont="1" applyFill="1" applyBorder="1" applyAlignment="1">
      <alignment horizontal="center" wrapText="1"/>
    </xf>
    <xf numFmtId="0" fontId="74" fillId="3" borderId="0" xfId="0" applyFont="1" applyFill="1" applyAlignment="1">
      <alignment wrapText="1"/>
    </xf>
    <xf numFmtId="0" fontId="74" fillId="3" borderId="0" xfId="0" applyFont="1" applyFill="1"/>
    <xf numFmtId="0" fontId="74" fillId="0" borderId="0" xfId="0" applyFont="1"/>
    <xf numFmtId="168" fontId="6" fillId="0" borderId="0" xfId="0" applyNumberFormat="1" applyFont="1" applyAlignment="1">
      <alignment horizontal="center"/>
    </xf>
    <xf numFmtId="168" fontId="17" fillId="0" borderId="0" xfId="3" applyNumberFormat="1" applyFont="1" applyFill="1" applyAlignment="1" applyProtection="1">
      <alignment horizontal="center"/>
    </xf>
    <xf numFmtId="198" fontId="6" fillId="0" borderId="0" xfId="0" applyNumberFormat="1" applyFont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8" fontId="8" fillId="0" borderId="8" xfId="0" applyNumberFormat="1" applyFont="1" applyBorder="1" applyAlignment="1">
      <alignment horizontal="left" indent="1"/>
    </xf>
    <xf numFmtId="168" fontId="7" fillId="0" borderId="8" xfId="0" applyNumberFormat="1" applyFont="1" applyBorder="1" applyAlignment="1">
      <alignment horizontal="center"/>
    </xf>
    <xf numFmtId="198" fontId="8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/>
    </xf>
    <xf numFmtId="10" fontId="6" fillId="0" borderId="0" xfId="2" applyNumberFormat="1" applyFont="1" applyAlignment="1" applyProtection="1">
      <alignment horizontal="center"/>
    </xf>
    <xf numFmtId="168" fontId="8" fillId="0" borderId="8" xfId="0" applyNumberFormat="1" applyFont="1" applyBorder="1"/>
    <xf numFmtId="176" fontId="6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left" indent="2"/>
    </xf>
    <xf numFmtId="168" fontId="18" fillId="0" borderId="8" xfId="0" applyNumberFormat="1" applyFont="1" applyBorder="1" applyAlignment="1">
      <alignment horizontal="center"/>
    </xf>
    <xf numFmtId="168" fontId="8" fillId="0" borderId="0" xfId="0" applyNumberFormat="1" applyFont="1" applyAlignment="1">
      <alignment horizontal="left" indent="1"/>
    </xf>
    <xf numFmtId="195" fontId="8" fillId="0" borderId="0" xfId="0" applyNumberFormat="1" applyFont="1" applyAlignment="1">
      <alignment horizontal="center"/>
    </xf>
    <xf numFmtId="201" fontId="6" fillId="0" borderId="0" xfId="0" applyNumberFormat="1" applyFont="1" applyAlignment="1">
      <alignment horizontal="center"/>
    </xf>
    <xf numFmtId="201" fontId="8" fillId="0" borderId="0" xfId="0" applyNumberFormat="1" applyFont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66" fontId="12" fillId="0" borderId="0" xfId="0" applyNumberFormat="1" applyFont="1" applyAlignment="1">
      <alignment horizontal="center"/>
    </xf>
    <xf numFmtId="0" fontId="10" fillId="38" borderId="2" xfId="0" applyFont="1" applyFill="1" applyBorder="1"/>
    <xf numFmtId="0" fontId="11" fillId="38" borderId="2" xfId="0" applyFont="1" applyFill="1" applyBorder="1" applyAlignment="1">
      <alignment horizontal="center"/>
    </xf>
    <xf numFmtId="0" fontId="11" fillId="38" borderId="2" xfId="0" applyFont="1" applyFill="1" applyBorder="1"/>
    <xf numFmtId="168" fontId="8" fillId="0" borderId="7" xfId="0" applyNumberFormat="1" applyFont="1" applyBorder="1"/>
    <xf numFmtId="168" fontId="6" fillId="0" borderId="7" xfId="0" applyNumberFormat="1" applyFont="1" applyBorder="1"/>
    <xf numFmtId="10" fontId="6" fillId="0" borderId="0" xfId="2" applyNumberFormat="1" applyFont="1" applyBorder="1" applyAlignment="1" applyProtection="1">
      <alignment horizontal="center"/>
    </xf>
    <xf numFmtId="176" fontId="6" fillId="0" borderId="0" xfId="0" applyNumberFormat="1" applyFont="1"/>
    <xf numFmtId="200" fontId="8" fillId="0" borderId="0" xfId="0" applyNumberFormat="1" applyFont="1" applyAlignment="1">
      <alignment horizontal="center"/>
    </xf>
    <xf numFmtId="168" fontId="6" fillId="0" borderId="0" xfId="0" applyNumberFormat="1" applyFont="1" applyProtection="1">
      <protection locked="0"/>
    </xf>
    <xf numFmtId="203" fontId="6" fillId="41" borderId="3" xfId="0" applyNumberFormat="1" applyFont="1" applyFill="1" applyBorder="1" applyAlignment="1" applyProtection="1">
      <alignment horizontal="center"/>
      <protection locked="0"/>
    </xf>
    <xf numFmtId="1" fontId="6" fillId="41" borderId="3" xfId="0" applyNumberFormat="1" applyFont="1" applyFill="1" applyBorder="1" applyAlignment="1" applyProtection="1">
      <alignment horizontal="center"/>
      <protection locked="0"/>
    </xf>
    <xf numFmtId="204" fontId="74" fillId="39" borderId="4" xfId="0" applyNumberFormat="1" applyFont="1" applyFill="1" applyBorder="1" applyAlignment="1">
      <alignment horizontal="center" wrapText="1"/>
    </xf>
    <xf numFmtId="204" fontId="91" fillId="38" borderId="2" xfId="0" applyNumberFormat="1" applyFont="1" applyFill="1" applyBorder="1" applyAlignment="1">
      <alignment horizontal="center"/>
    </xf>
    <xf numFmtId="204" fontId="74" fillId="38" borderId="2" xfId="0" applyNumberFormat="1" applyFont="1" applyFill="1" applyBorder="1" applyAlignment="1">
      <alignment horizontal="left"/>
    </xf>
    <xf numFmtId="204" fontId="6" fillId="0" borderId="0" xfId="0" applyNumberFormat="1" applyFont="1" applyAlignment="1">
      <alignment horizontal="left" indent="1"/>
    </xf>
    <xf numFmtId="204" fontId="7" fillId="0" borderId="0" xfId="0" applyNumberFormat="1" applyFont="1" applyAlignment="1">
      <alignment horizontal="center"/>
    </xf>
    <xf numFmtId="204" fontId="8" fillId="0" borderId="0" xfId="0" applyNumberFormat="1" applyFont="1" applyAlignment="1">
      <alignment horizontal="center"/>
    </xf>
    <xf numFmtId="0" fontId="74" fillId="38" borderId="25" xfId="0" applyFont="1" applyFill="1" applyBorder="1"/>
    <xf numFmtId="204" fontId="18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left" indent="1"/>
    </xf>
    <xf numFmtId="204" fontId="7" fillId="0" borderId="7" xfId="0" applyNumberFormat="1" applyFont="1" applyBorder="1" applyAlignment="1">
      <alignment horizontal="center"/>
    </xf>
    <xf numFmtId="205" fontId="6" fillId="0" borderId="0" xfId="2" applyNumberFormat="1" applyFont="1" applyFill="1" applyBorder="1" applyAlignment="1" applyProtection="1">
      <alignment horizontal="center"/>
    </xf>
    <xf numFmtId="0" fontId="74" fillId="38" borderId="2" xfId="0" applyFont="1" applyFill="1" applyBorder="1" applyAlignment="1">
      <alignment horizontal="center"/>
    </xf>
    <xf numFmtId="0" fontId="6" fillId="0" borderId="3" xfId="0" applyFont="1" applyBorder="1" applyAlignment="1" applyProtection="1">
      <alignment horizontal="center"/>
      <protection locked="0"/>
    </xf>
    <xf numFmtId="204" fontId="6" fillId="0" borderId="3" xfId="0" applyNumberFormat="1" applyFont="1" applyBorder="1" applyAlignment="1" applyProtection="1">
      <alignment horizontal="center"/>
      <protection locked="0"/>
    </xf>
    <xf numFmtId="195" fontId="6" fillId="0" borderId="0" xfId="0" applyNumberFormat="1" applyFont="1" applyProtection="1">
      <protection locked="0"/>
    </xf>
    <xf numFmtId="195" fontId="8" fillId="0" borderId="0" xfId="0" applyNumberFormat="1" applyFont="1" applyProtection="1">
      <protection locked="0"/>
    </xf>
    <xf numFmtId="182" fontId="6" fillId="0" borderId="0" xfId="2" applyNumberFormat="1" applyFont="1" applyFill="1" applyBorder="1" applyAlignment="1" applyProtection="1">
      <alignment horizontal="center"/>
      <protection locked="0"/>
    </xf>
    <xf numFmtId="204" fontId="19" fillId="8" borderId="9" xfId="0" applyNumberFormat="1" applyFont="1" applyFill="1" applyBorder="1" applyAlignment="1" applyProtection="1">
      <alignment horizontal="center"/>
      <protection locked="0"/>
    </xf>
    <xf numFmtId="206" fontId="6" fillId="0" borderId="0" xfId="0" applyNumberFormat="1" applyFont="1" applyProtection="1">
      <protection locked="0"/>
    </xf>
    <xf numFmtId="1" fontId="6" fillId="0" borderId="0" xfId="0" applyNumberFormat="1" applyFont="1" applyAlignment="1" applyProtection="1">
      <alignment horizontal="center"/>
      <protection locked="0"/>
    </xf>
    <xf numFmtId="204" fontId="6" fillId="0" borderId="0" xfId="0" applyNumberFormat="1" applyFont="1" applyAlignment="1" applyProtection="1">
      <alignment horizontal="center"/>
      <protection locked="0"/>
    </xf>
    <xf numFmtId="195" fontId="20" fillId="0" borderId="0" xfId="0" applyNumberFormat="1" applyFont="1" applyProtection="1">
      <protection locked="0"/>
    </xf>
    <xf numFmtId="195" fontId="14" fillId="0" borderId="0" xfId="3" applyNumberFormat="1" applyProtection="1">
      <protection locked="0"/>
    </xf>
    <xf numFmtId="193" fontId="6" fillId="0" borderId="0" xfId="0" applyNumberFormat="1" applyFont="1" applyAlignment="1" applyProtection="1">
      <alignment horizontal="center"/>
      <protection locked="0"/>
    </xf>
    <xf numFmtId="0" fontId="78" fillId="39" borderId="4" xfId="0" applyFont="1" applyFill="1" applyBorder="1" applyAlignment="1">
      <alignment vertical="center"/>
    </xf>
    <xf numFmtId="165" fontId="78" fillId="39" borderId="4" xfId="0" applyNumberFormat="1" applyFont="1" applyFill="1" applyBorder="1" applyAlignment="1">
      <alignment horizontal="center" wrapText="1"/>
    </xf>
    <xf numFmtId="168" fontId="75" fillId="0" borderId="0" xfId="0" applyNumberFormat="1" applyFont="1" applyAlignment="1">
      <alignment horizontal="center"/>
    </xf>
    <xf numFmtId="168" fontId="74" fillId="0" borderId="0" xfId="0" applyNumberFormat="1" applyFont="1" applyAlignment="1">
      <alignment horizontal="center"/>
    </xf>
    <xf numFmtId="168" fontId="23" fillId="0" borderId="0" xfId="0" applyNumberFormat="1" applyFont="1"/>
    <xf numFmtId="204" fontId="23" fillId="0" borderId="7" xfId="0" applyNumberFormat="1" applyFont="1" applyBorder="1" applyAlignment="1">
      <alignment horizontal="center"/>
    </xf>
    <xf numFmtId="168" fontId="23" fillId="0" borderId="7" xfId="0" applyNumberFormat="1" applyFont="1" applyBorder="1"/>
    <xf numFmtId="168" fontId="0" fillId="0" borderId="0" xfId="0" applyNumberFormat="1" applyAlignment="1">
      <alignment horizontal="left" indent="1"/>
    </xf>
    <xf numFmtId="174" fontId="23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Alignment="1" applyProtection="1">
      <alignment horizontal="center"/>
      <protection locked="0"/>
    </xf>
    <xf numFmtId="168" fontId="23" fillId="0" borderId="4" xfId="0" applyNumberFormat="1" applyFont="1" applyBorder="1" applyAlignment="1">
      <alignment horizontal="left"/>
    </xf>
    <xf numFmtId="168" fontId="75" fillId="0" borderId="4" xfId="0" applyNumberFormat="1" applyFont="1" applyBorder="1" applyAlignment="1">
      <alignment horizontal="center"/>
    </xf>
    <xf numFmtId="204" fontId="75" fillId="0" borderId="4" xfId="0" applyNumberFormat="1" applyFont="1" applyBorder="1" applyAlignment="1">
      <alignment horizontal="center"/>
    </xf>
    <xf numFmtId="199" fontId="23" fillId="0" borderId="4" xfId="5" applyNumberFormat="1" applyFont="1" applyBorder="1" applyAlignment="1" applyProtection="1">
      <alignment horizontal="center" vertical="center"/>
    </xf>
    <xf numFmtId="204" fontId="75" fillId="0" borderId="0" xfId="0" applyNumberFormat="1" applyFont="1" applyAlignment="1">
      <alignment horizontal="center"/>
    </xf>
    <xf numFmtId="49" fontId="75" fillId="0" borderId="4" xfId="0" applyNumberFormat="1" applyFont="1" applyBorder="1" applyAlignment="1">
      <alignment horizontal="center"/>
    </xf>
    <xf numFmtId="166" fontId="0" fillId="0" borderId="0" xfId="0" applyNumberFormat="1"/>
    <xf numFmtId="2" fontId="23" fillId="0" borderId="4" xfId="5" applyNumberFormat="1" applyFont="1" applyBorder="1" applyAlignment="1" applyProtection="1">
      <alignment horizontal="center" vertical="center"/>
    </xf>
    <xf numFmtId="204" fontId="23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Border="1" applyAlignment="1">
      <alignment horizontal="left" indent="1"/>
    </xf>
    <xf numFmtId="168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4" fillId="39" borderId="4" xfId="0" applyFont="1" applyFill="1" applyBorder="1" applyAlignment="1">
      <alignment horizontal="center" vertical="center"/>
    </xf>
    <xf numFmtId="0" fontId="74" fillId="39" borderId="4" xfId="0" applyFont="1" applyFill="1" applyBorder="1" applyAlignment="1">
      <alignment vertical="center"/>
    </xf>
    <xf numFmtId="168" fontId="0" fillId="3" borderId="0" xfId="0" applyNumberFormat="1" applyFill="1"/>
    <xf numFmtId="168" fontId="75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3" fillId="0" borderId="0" xfId="0" applyNumberFormat="1" applyFont="1" applyAlignment="1">
      <alignment horizontal="center"/>
    </xf>
    <xf numFmtId="168" fontId="75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/>
    <xf numFmtId="168" fontId="75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3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3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ill="1" applyBorder="1" applyAlignment="1" applyProtection="1">
      <alignment horizontal="left" indent="1"/>
      <protection locked="0"/>
    </xf>
    <xf numFmtId="168" fontId="0" fillId="0" borderId="0" xfId="0" applyNumberForma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4" fillId="0" borderId="0" xfId="0" applyNumberFormat="1" applyFont="1" applyAlignment="1">
      <alignment horizontal="center"/>
    </xf>
    <xf numFmtId="174" fontId="23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4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ill="1" applyBorder="1" applyAlignment="1" applyProtection="1">
      <alignment horizontal="left" indent="1"/>
      <protection locked="0"/>
    </xf>
    <xf numFmtId="168" fontId="0" fillId="41" borderId="3" xfId="0" applyNumberFormat="1" applyFill="1" applyBorder="1" applyAlignment="1" applyProtection="1">
      <alignment horizontal="left" indent="1"/>
      <protection locked="0"/>
    </xf>
    <xf numFmtId="0" fontId="14" fillId="0" borderId="0" xfId="3" applyFill="1"/>
    <xf numFmtId="168" fontId="14" fillId="0" borderId="0" xfId="3" applyNumberFormat="1" applyAlignment="1" applyProtection="1">
      <protection locked="0"/>
    </xf>
    <xf numFmtId="0" fontId="72" fillId="38" borderId="0" xfId="0" applyFont="1" applyFill="1" applyProtection="1">
      <protection locked="0"/>
    </xf>
    <xf numFmtId="0" fontId="14" fillId="38" borderId="0" xfId="3" applyFill="1" applyBorder="1" applyAlignment="1" applyProtection="1">
      <alignment horizontal="right"/>
      <protection locked="0"/>
    </xf>
    <xf numFmtId="168" fontId="14" fillId="0" borderId="0" xfId="3" applyNumberFormat="1" applyAlignment="1" applyProtection="1">
      <alignment horizontal="center"/>
      <protection locked="0"/>
    </xf>
    <xf numFmtId="0" fontId="14" fillId="0" borderId="0" xfId="3" applyFill="1" applyProtection="1">
      <protection locked="0"/>
    </xf>
    <xf numFmtId="194" fontId="23" fillId="8" borderId="26" xfId="0" applyNumberFormat="1" applyFont="1" applyFill="1" applyBorder="1" applyAlignment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1" fontId="6" fillId="0" borderId="0" xfId="0" applyNumberFormat="1" applyFont="1" applyAlignment="1">
      <alignment horizontal="center"/>
    </xf>
    <xf numFmtId="174" fontId="23" fillId="0" borderId="0" xfId="5" applyNumberFormat="1" applyFont="1" applyBorder="1" applyAlignment="1" applyProtection="1">
      <alignment horizontal="left" vertical="center"/>
    </xf>
    <xf numFmtId="0" fontId="0" fillId="0" borderId="0" xfId="0" applyProtection="1">
      <protection locked="0"/>
    </xf>
    <xf numFmtId="204" fontId="6" fillId="41" borderId="3" xfId="2" applyNumberFormat="1" applyFont="1" applyFill="1" applyBorder="1" applyAlignment="1" applyProtection="1">
      <alignment horizontal="center"/>
      <protection locked="0"/>
    </xf>
    <xf numFmtId="49" fontId="6" fillId="41" borderId="3" xfId="0" applyNumberFormat="1" applyFont="1" applyFill="1" applyBorder="1" applyAlignment="1" applyProtection="1">
      <alignment horizontal="left" indent="1"/>
      <protection locked="0"/>
    </xf>
    <xf numFmtId="0" fontId="74" fillId="38" borderId="2" xfId="0" applyFont="1" applyFill="1" applyBorder="1" applyAlignment="1">
      <alignment horizontal="center"/>
    </xf>
  </cellXfs>
  <cellStyles count="306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23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border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theme="0"/>
      </font>
    </dxf>
    <dxf>
      <font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rba.gov.au/publications/smp/2026/feb/outlook.html" TargetMode="External"/><Relationship Id="rId1" Type="http://schemas.openxmlformats.org/officeDocument/2006/relationships/hyperlink" Target="https://www.rba.gov.au/publications/smp/2026/feb/outlook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1"/>
  <sheetViews>
    <sheetView tabSelected="1" workbookViewId="0"/>
  </sheetViews>
  <sheetFormatPr defaultColWidth="0" defaultRowHeight="11.25" zeroHeight="1"/>
  <cols>
    <col min="1" max="2" width="1.5" style="8" customWidth="1"/>
    <col min="3" max="3" width="30.6640625" style="8" customWidth="1"/>
    <col min="4" max="4" width="163.6640625" style="8" customWidth="1"/>
    <col min="5" max="5" width="6.5" style="8" customWidth="1"/>
    <col min="6" max="6" width="9.33203125" style="8" hidden="1" customWidth="1"/>
    <col min="7" max="14" width="9.6640625" style="8" hidden="1" customWidth="1"/>
    <col min="15" max="15" width="1.5" style="8" hidden="1" customWidth="1"/>
    <col min="16" max="16" width="10.5" style="8" hidden="1" customWidth="1"/>
    <col min="17" max="17" width="1.5" style="8" hidden="1" customWidth="1"/>
    <col min="18" max="16384" width="10.5" style="8" hidden="1"/>
  </cols>
  <sheetData>
    <row r="1" spans="1:30" s="1" customFormat="1" ht="15.75" customHeight="1">
      <c r="A1" s="27"/>
      <c r="B1" s="25" t="s">
        <v>211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2.75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9" t="s">
        <v>0</v>
      </c>
      <c r="D6" s="9" t="s">
        <v>1</v>
      </c>
    </row>
    <row r="7" spans="1:30">
      <c r="C7" s="184" t="s">
        <v>57</v>
      </c>
      <c r="D7" s="8" t="s">
        <v>195</v>
      </c>
    </row>
    <row r="8" spans="1:30">
      <c r="C8" s="184" t="s">
        <v>35</v>
      </c>
      <c r="D8" s="8" t="s">
        <v>91</v>
      </c>
    </row>
    <row r="9" spans="1:30">
      <c r="C9" s="184" t="s">
        <v>54</v>
      </c>
      <c r="D9" s="8" t="s">
        <v>203</v>
      </c>
    </row>
    <row r="10" spans="1:30">
      <c r="C10" s="184" t="s">
        <v>169</v>
      </c>
      <c r="D10" s="8" t="s">
        <v>196</v>
      </c>
    </row>
    <row r="11" spans="1:30">
      <c r="C11" s="184" t="s">
        <v>56</v>
      </c>
      <c r="D11" s="8" t="s">
        <v>197</v>
      </c>
    </row>
    <row r="12" spans="1:30">
      <c r="C12" s="184" t="s">
        <v>170</v>
      </c>
      <c r="D12" s="8" t="s">
        <v>198</v>
      </c>
    </row>
    <row r="13" spans="1:30">
      <c r="C13" s="184" t="s">
        <v>171</v>
      </c>
      <c r="D13" s="8" t="s">
        <v>199</v>
      </c>
    </row>
    <row r="14" spans="1:30">
      <c r="C14" s="184" t="s">
        <v>50</v>
      </c>
      <c r="D14" s="8" t="s">
        <v>55</v>
      </c>
    </row>
    <row r="15" spans="1:30">
      <c r="C15" s="184" t="s">
        <v>25</v>
      </c>
      <c r="D15" s="8" t="s">
        <v>200</v>
      </c>
    </row>
    <row r="16" spans="1:30" ht="12.75">
      <c r="C16" s="10"/>
      <c r="D16" s="7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D18" s="7"/>
      <c r="F18" s="23"/>
    </row>
    <row r="19" spans="1:30" hidden="1">
      <c r="D19" s="7"/>
      <c r="F19" s="23"/>
    </row>
    <row r="20" spans="1:30" hidden="1">
      <c r="D20" s="7"/>
      <c r="F20" s="23"/>
    </row>
    <row r="21" spans="1:30" hidden="1">
      <c r="D21" s="7"/>
      <c r="F21" s="23"/>
    </row>
    <row r="22" spans="1:30" hidden="1">
      <c r="D22" s="7"/>
      <c r="F22" s="23"/>
    </row>
    <row r="23" spans="1:30" hidden="1">
      <c r="C23" s="7"/>
      <c r="D23" s="7"/>
      <c r="F23" s="23"/>
    </row>
    <row r="24" spans="1:30" hidden="1">
      <c r="C24" s="7"/>
      <c r="D24" s="7"/>
      <c r="F24" s="23"/>
    </row>
    <row r="25" spans="1:30" hidden="1">
      <c r="C25" s="7"/>
      <c r="D25" s="7"/>
    </row>
    <row r="26" spans="1:30" hidden="1">
      <c r="D26" s="7"/>
    </row>
    <row r="27" spans="1:30" hidden="1">
      <c r="D27" s="7"/>
    </row>
    <row r="28" spans="1:30" hidden="1">
      <c r="D28" s="7"/>
    </row>
    <row r="29" spans="1:30" hidden="1">
      <c r="D29" s="7"/>
    </row>
    <row r="30" spans="1:30" hidden="1">
      <c r="D30" s="7"/>
    </row>
    <row r="31" spans="1:30" ht="12.75" hidden="1">
      <c r="C31" s="10"/>
      <c r="D31" s="7"/>
    </row>
  </sheetData>
  <dataValidations count="1">
    <dataValidation type="custom" allowBlank="1" showInputMessage="1" showErrorMessage="1" sqref="C7:C15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4" location="'Lookup|Tables'!A1" display="Lookup | Tables" xr:uid="{00000000-0004-0000-0100-000003000000}"/>
    <hyperlink ref="C15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1"/>
  <sheetViews>
    <sheetView workbookViewId="0">
      <selection activeCell="J1" sqref="J1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26.33203125" style="7" bestFit="1" customWidth="1"/>
    <col min="5" max="5" width="15.6640625" style="7" customWidth="1"/>
    <col min="6" max="6" width="10.6640625" style="7" customWidth="1"/>
    <col min="7" max="7" width="15" style="16" customWidth="1"/>
    <col min="8" max="9" width="5.33203125" style="8" customWidth="1"/>
    <col min="10" max="20" width="10.6640625" style="8" customWidth="1"/>
    <col min="21" max="23" width="10.6640625" style="8" hidden="1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86" t="s">
        <v>24</v>
      </c>
      <c r="S1" s="29" t="str">
        <f>IF(COUNTIF(G10:G15,"Check")=0,"Ok","Check")</f>
        <v>Ok</v>
      </c>
      <c r="U1" s="28"/>
      <c r="V1" s="29"/>
    </row>
    <row r="2" spans="1:30" s="27" customFormat="1" ht="12.75">
      <c r="B2" s="41" t="str">
        <f>Index!$C$15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2.75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>
      <c r="C10" s="15" t="str">
        <f>Index!C7</f>
        <v>Input | General</v>
      </c>
      <c r="D10" s="187" t="str">
        <f t="shared" ref="D10:D15" si="0"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>
      <c r="C11" s="15" t="str">
        <f>Index!C8</f>
        <v>Input | Inflation</v>
      </c>
      <c r="D11" s="187" t="str">
        <f t="shared" si="0"/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>
      <c r="C12" s="15" t="str">
        <f>Index!C9</f>
        <v>Input | Reported opex</v>
      </c>
      <c r="D12" s="187" t="str">
        <f t="shared" si="0"/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>
      <c r="C13" s="15" t="str">
        <f>Index!C10</f>
        <v>Input | Rate of change</v>
      </c>
      <c r="D13" s="187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>
      <c r="C14" s="15" t="str">
        <f>Index!C11</f>
        <v>Input | Step changes</v>
      </c>
      <c r="D14" s="187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>
      <c r="C15" s="15" t="str">
        <f>Index!C12</f>
        <v>Calc | Opex Forecast</v>
      </c>
      <c r="D15" s="187" t="str">
        <f t="shared" si="0"/>
        <v>Calc | Opex Forecast</v>
      </c>
      <c r="E15" s="16" t="s">
        <v>28</v>
      </c>
      <c r="F15" s="16"/>
      <c r="G15" s="18" t="str">
        <f>'Calc|Opex forecast'!S1</f>
        <v>n/a</v>
      </c>
      <c r="H15" s="16"/>
      <c r="T15" s="17"/>
    </row>
    <row r="16" spans="1:30">
      <c r="C16" s="15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C18" s="15"/>
    </row>
    <row r="19" spans="1:30" hidden="1">
      <c r="C19" s="15"/>
    </row>
    <row r="20" spans="1:30" hidden="1">
      <c r="C20" s="15"/>
    </row>
    <row r="21" spans="1:30" hidden="1">
      <c r="C21" s="15"/>
    </row>
  </sheetData>
  <sheetProtection selectLockedCells="1"/>
  <conditionalFormatting sqref="G10:G15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V1">
    <cfRule type="cellIs" dxfId="3" priority="3" operator="equal">
      <formula>"Check"</formula>
    </cfRule>
    <cfRule type="cellIs" dxfId="2" priority="4" operator="equal">
      <formula>"Ok"</formula>
    </cfRule>
  </conditionalFormatting>
  <conditionalFormatting sqref="S1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1">
    <dataValidation type="custom" allowBlank="1" showInputMessage="1" showErrorMessage="1" sqref="R1 J1 D10:D15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workbookViewId="0">
      <selection activeCell="G8" sqref="G8"/>
    </sheetView>
  </sheetViews>
  <sheetFormatPr defaultColWidth="0" defaultRowHeight="11.25" zeroHeight="1"/>
  <cols>
    <col min="1" max="2" width="1.5" style="8" customWidth="1"/>
    <col min="3" max="3" width="42" style="8" customWidth="1"/>
    <col min="4" max="4" width="11.1640625" style="16" customWidth="1"/>
    <col min="5" max="6" width="3.33203125" style="16" customWidth="1"/>
    <col min="7" max="7" width="16.1640625" style="16" bestFit="1" customWidth="1"/>
    <col min="8" max="9" width="3.33203125" style="16" customWidth="1"/>
    <col min="10" max="23" width="10.6640625" style="8" customWidth="1"/>
    <col min="24" max="38" width="10.5" style="8" hidden="1" customWidth="1"/>
    <col min="39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86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2.75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>
      <c r="C7" s="8" t="s">
        <v>59</v>
      </c>
      <c r="D7" s="16" t="s">
        <v>63</v>
      </c>
      <c r="E7" s="8"/>
      <c r="F7" s="8"/>
      <c r="G7" s="39" t="s">
        <v>214</v>
      </c>
      <c r="H7" s="8"/>
      <c r="I7" s="8"/>
      <c r="S7" s="81" t="str">
        <f>IF(COUNTBLANK($G7),"Check","Ok")</f>
        <v>Ok</v>
      </c>
    </row>
    <row r="8" spans="1:30">
      <c r="C8" s="8" t="s">
        <v>125</v>
      </c>
      <c r="D8" s="16" t="s">
        <v>64</v>
      </c>
      <c r="E8" s="8"/>
      <c r="F8" s="8"/>
      <c r="G8" s="39" t="s">
        <v>184</v>
      </c>
      <c r="H8" s="8"/>
      <c r="I8" s="8"/>
      <c r="S8" s="81" t="str">
        <f>IF(COUNTBLANK($G8),"Check","Ok")</f>
        <v>Ok</v>
      </c>
    </row>
    <row r="9" spans="1:30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>
      <c r="C10" s="8" t="s">
        <v>193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>
      <c r="C11" s="8" t="s">
        <v>66</v>
      </c>
      <c r="D11" s="16" t="s">
        <v>63</v>
      </c>
      <c r="E11" s="8"/>
      <c r="F11" s="8"/>
      <c r="G11" s="93">
        <v>2025</v>
      </c>
      <c r="H11" s="8"/>
      <c r="I11" s="8"/>
      <c r="S11" s="81" t="str">
        <f t="shared" si="0"/>
        <v>Ok</v>
      </c>
    </row>
    <row r="12" spans="1:30">
      <c r="C12" s="8" t="s">
        <v>194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>
      <c r="D16" s="8"/>
      <c r="E16" s="8"/>
      <c r="F16" s="8"/>
      <c r="G16" s="8"/>
      <c r="H16" s="8"/>
      <c r="I16" s="8"/>
    </row>
    <row r="17" spans="1:30" customFormat="1" ht="12.75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 link="1"/>
  <conditionalFormatting sqref="W14:W16">
    <cfRule type="cellIs" dxfId="237" priority="13" operator="equal">
      <formula>"Check"</formula>
    </cfRule>
    <cfRule type="cellIs" dxfId="236" priority="14" operator="equal">
      <formula>"Ok"</formula>
    </cfRule>
  </conditionalFormatting>
  <conditionalFormatting sqref="V1">
    <cfRule type="cellIs" dxfId="235" priority="3" operator="equal">
      <formula>"Check"</formula>
    </cfRule>
    <cfRule type="cellIs" dxfId="234" priority="4" operator="equal">
      <formula>"Ok"</formula>
    </cfRule>
  </conditionalFormatting>
  <conditionalFormatting sqref="S7:S15">
    <cfRule type="cellIs" dxfId="233" priority="5" operator="equal">
      <formula>"Check"</formula>
    </cfRule>
    <cfRule type="cellIs" dxfId="232" priority="6" operator="equal">
      <formula>"Ok"</formula>
    </cfRule>
  </conditionalFormatting>
  <conditionalFormatting sqref="S1">
    <cfRule type="cellIs" dxfId="231" priority="1" operator="equal">
      <formula>"Check"</formula>
    </cfRule>
    <cfRule type="cellIs" dxfId="230" priority="2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topLeftCell="A48" workbookViewId="0">
      <selection activeCell="N34" sqref="N34"/>
    </sheetView>
  </sheetViews>
  <sheetFormatPr defaultColWidth="0" defaultRowHeight="0" customHeight="1" zeroHeight="1"/>
  <cols>
    <col min="1" max="2" width="1.5" style="8" customWidth="1"/>
    <col min="3" max="3" width="11.6640625" style="8" bestFit="1" customWidth="1"/>
    <col min="4" max="4" width="21.5" style="16" bestFit="1" customWidth="1"/>
    <col min="5" max="9" width="15" style="16" customWidth="1"/>
    <col min="10" max="12" width="3.33203125" style="16" customWidth="1"/>
    <col min="13" max="26" width="10.6640625" style="8" customWidth="1"/>
    <col min="27" max="41" width="10.5" style="8" hidden="1" customWidth="1"/>
    <col min="42" max="16384" width="10.5" style="8" hidden="1"/>
  </cols>
  <sheetData>
    <row r="1" spans="1:33" s="27" customFormat="1" ht="15.7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5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86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2.75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3.25">
      <c r="D6" s="47" t="s">
        <v>92</v>
      </c>
      <c r="E6" s="47" t="s">
        <v>228</v>
      </c>
      <c r="F6" s="47" t="s">
        <v>227</v>
      </c>
      <c r="G6" s="47" t="s">
        <v>189</v>
      </c>
      <c r="H6" s="47" t="s">
        <v>190</v>
      </c>
      <c r="I6" s="47" t="s">
        <v>123</v>
      </c>
      <c r="J6" s="47"/>
      <c r="K6" s="8"/>
      <c r="L6" s="8"/>
    </row>
    <row r="7" spans="1:33" ht="11.25">
      <c r="C7" s="9" t="s">
        <v>7</v>
      </c>
      <c r="D7" s="50" t="s">
        <v>90</v>
      </c>
      <c r="E7" s="50" t="s">
        <v>90</v>
      </c>
      <c r="F7" s="50" t="s">
        <v>90</v>
      </c>
      <c r="G7" s="50" t="s">
        <v>188</v>
      </c>
      <c r="H7" s="50" t="s">
        <v>30</v>
      </c>
      <c r="I7" s="50" t="s">
        <v>30</v>
      </c>
      <c r="J7" s="50"/>
      <c r="K7" s="8"/>
      <c r="L7" s="8"/>
    </row>
    <row r="8" spans="1:33" ht="11.25">
      <c r="C8" s="9" t="s">
        <v>8</v>
      </c>
      <c r="D8" s="50" t="s">
        <v>78</v>
      </c>
      <c r="E8" s="50" t="s">
        <v>78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1.25">
      <c r="C9" s="49">
        <v>39172</v>
      </c>
      <c r="D9" s="48">
        <v>155.6</v>
      </c>
      <c r="E9" s="191"/>
      <c r="F9" s="191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1.25">
      <c r="C10" s="49">
        <v>39263</v>
      </c>
      <c r="D10" s="48">
        <v>157.5</v>
      </c>
      <c r="E10" s="191"/>
      <c r="F10" s="191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1.25">
      <c r="C11" s="49">
        <v>39355</v>
      </c>
      <c r="D11" s="48">
        <v>158.6</v>
      </c>
      <c r="E11" s="191"/>
      <c r="F11" s="191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1.25">
      <c r="C12" s="49">
        <v>39447</v>
      </c>
      <c r="D12" s="48">
        <v>160.1</v>
      </c>
      <c r="E12" s="191"/>
      <c r="F12" s="191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1.25">
      <c r="C13" s="49">
        <v>39538</v>
      </c>
      <c r="D13" s="48">
        <v>162.19999999999999</v>
      </c>
      <c r="E13" s="191"/>
      <c r="F13" s="191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1.25">
      <c r="C14" s="49">
        <v>39629</v>
      </c>
      <c r="D14" s="48">
        <v>164.6</v>
      </c>
      <c r="E14" s="191"/>
      <c r="F14" s="191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1.25">
      <c r="C15" s="49">
        <v>39721</v>
      </c>
      <c r="D15" s="48">
        <v>166.5</v>
      </c>
      <c r="E15" s="191"/>
      <c r="F15" s="191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1.25">
      <c r="C16" s="49">
        <v>39813</v>
      </c>
      <c r="D16" s="48">
        <v>166</v>
      </c>
      <c r="E16" s="191"/>
      <c r="F16" s="191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1.25">
      <c r="C17" s="49">
        <v>39903</v>
      </c>
      <c r="D17" s="48">
        <v>166.2</v>
      </c>
      <c r="E17" s="191"/>
      <c r="F17" s="191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1.25">
      <c r="C18" s="49">
        <v>39994</v>
      </c>
      <c r="D18" s="48">
        <v>167</v>
      </c>
      <c r="E18" s="191"/>
      <c r="F18" s="191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1.25">
      <c r="C19" s="49">
        <v>40086</v>
      </c>
      <c r="D19" s="48">
        <v>168.6</v>
      </c>
      <c r="E19" s="191"/>
      <c r="F19" s="191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1.25">
      <c r="C20" s="49">
        <v>40178</v>
      </c>
      <c r="D20" s="48">
        <v>169.5</v>
      </c>
      <c r="E20" s="191"/>
      <c r="F20" s="191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1.25">
      <c r="C21" s="49">
        <v>40268</v>
      </c>
      <c r="D21" s="48">
        <v>171</v>
      </c>
      <c r="E21" s="48">
        <v>95.2</v>
      </c>
      <c r="F21" s="48">
        <f t="shared" ref="F21:F82" si="0">E21*0.6945</f>
        <v>66.116399999999999</v>
      </c>
      <c r="G21" s="117"/>
      <c r="H21" s="117">
        <f>IF(F21="",IF(COUNT(G21:G$88)=0,"",IF(ISBLANK(G21),AVERAGE(H20,H22),(1+G21)*H17)),F21)</f>
        <v>66.116399999999999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1.25">
      <c r="C22" s="49">
        <v>40359</v>
      </c>
      <c r="D22" s="48">
        <v>172.1</v>
      </c>
      <c r="E22" s="48">
        <v>95.8</v>
      </c>
      <c r="F22" s="48">
        <f t="shared" si="0"/>
        <v>66.533100000000005</v>
      </c>
      <c r="G22" s="117"/>
      <c r="H22" s="117">
        <f>IF(F22="",IF(COUNT(G22:G$88)=0,"",IF(ISBLANK(G22),AVERAGE(H21,H23),(1+G22)*H18)),F22)</f>
        <v>66.533100000000005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1.25">
      <c r="C23" s="49">
        <v>40451</v>
      </c>
      <c r="D23" s="48">
        <v>173.3</v>
      </c>
      <c r="E23" s="48">
        <v>96.5</v>
      </c>
      <c r="F23" s="48">
        <f t="shared" si="0"/>
        <v>67.01925</v>
      </c>
      <c r="G23" s="117"/>
      <c r="H23" s="117">
        <f>IF(F23="",IF(COUNT(G23:G$88)=0,"",IF(ISBLANK(G23),AVERAGE(H22,H24),(1+G23)*H19)),F23)</f>
        <v>67.01925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1.25">
      <c r="C24" s="49">
        <v>40543</v>
      </c>
      <c r="D24" s="48">
        <v>174</v>
      </c>
      <c r="E24" s="48">
        <v>96.9</v>
      </c>
      <c r="F24" s="48">
        <f t="shared" si="0"/>
        <v>67.297049999999999</v>
      </c>
      <c r="G24" s="117"/>
      <c r="H24" s="117">
        <f>IF(F24="",IF(COUNT(G24:G$88)=0,"",IF(ISBLANK(G24),AVERAGE(H23,H25),(1+G24)*H20)),F24)</f>
        <v>67.297049999999999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1.25">
      <c r="C25" s="49">
        <v>40633</v>
      </c>
      <c r="D25" s="48">
        <v>176.7</v>
      </c>
      <c r="E25" s="48">
        <v>98.3</v>
      </c>
      <c r="F25" s="48">
        <f t="shared" si="0"/>
        <v>68.269350000000003</v>
      </c>
      <c r="G25" s="117"/>
      <c r="H25" s="117">
        <f>IF(F25="",IF(COUNT(G25:G$88)=0,"",IF(ISBLANK(G25),AVERAGE(H24,H26),(1+G25)*H21)),F25)</f>
        <v>68.269350000000003</v>
      </c>
      <c r="I25" s="72">
        <f t="shared" ref="I25:I74" si="1">IF(H25="","",H25/H21-1)</f>
        <v>3.256302521008414E-2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1.25">
      <c r="C26" s="49">
        <v>40724</v>
      </c>
      <c r="D26" s="48">
        <v>178.3</v>
      </c>
      <c r="E26" s="48">
        <v>99.2</v>
      </c>
      <c r="F26" s="48">
        <f t="shared" si="0"/>
        <v>68.894400000000005</v>
      </c>
      <c r="G26" s="117"/>
      <c r="H26" s="117">
        <f>IF(F26="",IF(COUNT(G26:G$88)=0,"",IF(ISBLANK(G26),AVERAGE(H25,H27),(1+G26)*H22)),F26)</f>
        <v>68.894400000000005</v>
      </c>
      <c r="I26" s="72">
        <f t="shared" si="1"/>
        <v>3.5490605427974886E-2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1.25">
      <c r="C27" s="49">
        <v>40816</v>
      </c>
      <c r="D27" s="48">
        <v>179.4</v>
      </c>
      <c r="E27" s="48">
        <v>99.8</v>
      </c>
      <c r="F27" s="48">
        <f t="shared" si="0"/>
        <v>69.311099999999996</v>
      </c>
      <c r="G27" s="117"/>
      <c r="H27" s="117">
        <f>IF(F27="",IF(COUNT(G27:G$88)=0,"",IF(ISBLANK(G27),AVERAGE(H26,H28),(1+G27)*H23)),F27)</f>
        <v>69.311099999999996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1.25">
      <c r="C28" s="49">
        <v>40908</v>
      </c>
      <c r="D28" s="48">
        <v>179.4</v>
      </c>
      <c r="E28" s="48">
        <v>99.8</v>
      </c>
      <c r="F28" s="48">
        <f t="shared" si="0"/>
        <v>69.311099999999996</v>
      </c>
      <c r="G28" s="117"/>
      <c r="H28" s="117">
        <f>IF(F28="",IF(COUNT(G28:G$88)=0,"",IF(ISBLANK(G28),AVERAGE(H27,H29),(1+G28)*H24)),F28)</f>
        <v>69.311099999999996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1.25">
      <c r="C29" s="49">
        <v>40999</v>
      </c>
      <c r="D29" s="48">
        <v>179.5</v>
      </c>
      <c r="E29" s="48">
        <v>99.9</v>
      </c>
      <c r="F29" s="48">
        <f t="shared" si="0"/>
        <v>69.380549999999999</v>
      </c>
      <c r="G29" s="117"/>
      <c r="H29" s="117">
        <f>IF(F29="",IF(COUNT(G29:G$88)=0,"",IF(ISBLANK(G29),AVERAGE(H28,H30),(1+G29)*H25)),F29)</f>
        <v>69.380549999999999</v>
      </c>
      <c r="I29" s="72">
        <f t="shared" si="1"/>
        <v>1.6276703967446515E-2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1.25">
      <c r="C30" s="49">
        <v>41090</v>
      </c>
      <c r="D30" s="8"/>
      <c r="E30" s="48">
        <v>100.4</v>
      </c>
      <c r="F30" s="48">
        <f t="shared" si="0"/>
        <v>69.727800000000002</v>
      </c>
      <c r="G30" s="117"/>
      <c r="H30" s="117">
        <f>IF(F30="",IF(COUNT(G30:G$88)=0,"",IF(ISBLANK(G30),AVERAGE(H29,H31),(1+G30)*H26)),F30)</f>
        <v>69.727800000000002</v>
      </c>
      <c r="I30" s="72">
        <f t="shared" si="1"/>
        <v>1.2096774193548265E-2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1.25">
      <c r="C31" s="49">
        <v>41182</v>
      </c>
      <c r="D31" s="8"/>
      <c r="E31" s="48">
        <v>101.8</v>
      </c>
      <c r="F31" s="48">
        <f t="shared" si="0"/>
        <v>70.700099999999992</v>
      </c>
      <c r="G31" s="117"/>
      <c r="H31" s="117">
        <f>IF(F31="",IF(COUNT(G31:G$88)=0,"",IF(ISBLANK(G31),AVERAGE(H30,H32),(1+G31)*H27)),F31)</f>
        <v>70.700099999999992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1.25">
      <c r="C32" s="49">
        <v>41274</v>
      </c>
      <c r="D32" s="8"/>
      <c r="E32" s="48">
        <v>102</v>
      </c>
      <c r="F32" s="48">
        <f t="shared" si="0"/>
        <v>70.838999999999999</v>
      </c>
      <c r="G32" s="117"/>
      <c r="H32" s="117">
        <f>IF(F32="",IF(COUNT(G32:G$88)=0,"",IF(ISBLANK(G32),AVERAGE(H31,H33),(1+G32)*H28)),F32)</f>
        <v>70.838999999999999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1.25">
      <c r="C33" s="49">
        <v>41364</v>
      </c>
      <c r="D33" s="8"/>
      <c r="E33" s="48">
        <v>102.4</v>
      </c>
      <c r="F33" s="48">
        <f t="shared" si="0"/>
        <v>71.116799999999998</v>
      </c>
      <c r="G33" s="117"/>
      <c r="H33" s="117">
        <f>IF(F33="",IF(COUNT(G33:G$88)=0,"",IF(ISBLANK(G33),AVERAGE(H32,H34),(1+G33)*H29)),F33)</f>
        <v>71.116799999999998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1.25">
      <c r="C34" s="49">
        <v>41455</v>
      </c>
      <c r="D34" s="8"/>
      <c r="E34" s="48">
        <v>102.8</v>
      </c>
      <c r="F34" s="48">
        <f t="shared" si="0"/>
        <v>71.394599999999997</v>
      </c>
      <c r="G34" s="117"/>
      <c r="H34" s="117">
        <f>IF(F34="",IF(COUNT(G34:G$88)=0,"",IF(ISBLANK(G34),AVERAGE(H33,H35),(1+G34)*H30)),F34)</f>
        <v>71.394599999999997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1.25">
      <c r="C35" s="49">
        <v>41547</v>
      </c>
      <c r="D35" s="8"/>
      <c r="E35" s="48">
        <v>104</v>
      </c>
      <c r="F35" s="48">
        <f t="shared" si="0"/>
        <v>72.227999999999994</v>
      </c>
      <c r="G35" s="117"/>
      <c r="H35" s="117">
        <f>IF(F35="",IF(COUNT(G35:G$88)=0,"",IF(ISBLANK(G35),AVERAGE(H34,H36),(1+G35)*H31)),F35)</f>
        <v>72.227999999999994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1.25">
      <c r="C36" s="49">
        <v>41639</v>
      </c>
      <c r="D36" s="8"/>
      <c r="E36" s="48">
        <v>104.8</v>
      </c>
      <c r="F36" s="48">
        <f t="shared" si="0"/>
        <v>72.783599999999993</v>
      </c>
      <c r="G36" s="117"/>
      <c r="H36" s="117">
        <f>IF(F36="",IF(COUNT(G36:G$88)=0,"",IF(ISBLANK(G36),AVERAGE(H35,H37),(1+G36)*H32)),F36)</f>
        <v>72.783599999999993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1.25">
      <c r="C37" s="49">
        <v>41729</v>
      </c>
      <c r="D37" s="8"/>
      <c r="E37" s="48">
        <v>105.4</v>
      </c>
      <c r="F37" s="48">
        <f t="shared" si="0"/>
        <v>73.200299999999999</v>
      </c>
      <c r="G37" s="117"/>
      <c r="H37" s="117">
        <f>IF(F37="",IF(COUNT(G37:G$88)=0,"",IF(ISBLANK(G37),AVERAGE(H36,H38),(1+G37)*H33)),F37)</f>
        <v>73.200299999999999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1.25">
      <c r="C38" s="49">
        <v>41820</v>
      </c>
      <c r="D38" s="8"/>
      <c r="E38" s="48">
        <v>105.9</v>
      </c>
      <c r="F38" s="48">
        <f t="shared" si="0"/>
        <v>73.547550000000001</v>
      </c>
      <c r="G38" s="117"/>
      <c r="H38" s="117">
        <f>IF(F38="",IF(COUNT(G38:G$88)=0,"",IF(ISBLANK(G38),AVERAGE(H37,H39),(1+G38)*H34)),F38)</f>
        <v>73.547550000000001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1.25">
      <c r="C39" s="49">
        <v>41912</v>
      </c>
      <c r="D39" s="8"/>
      <c r="E39" s="48">
        <v>106.4</v>
      </c>
      <c r="F39" s="48">
        <f t="shared" si="0"/>
        <v>73.894800000000004</v>
      </c>
      <c r="G39" s="117"/>
      <c r="H39" s="117">
        <f>IF(F39="",IF(COUNT(G39:G$88)=0,"",IF(ISBLANK(G39),AVERAGE(H38,H40),(1+G39)*H35)),F39)</f>
        <v>73.894800000000004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1.25">
      <c r="C40" s="49">
        <v>42004</v>
      </c>
      <c r="D40" s="8"/>
      <c r="E40" s="48">
        <v>106.6</v>
      </c>
      <c r="F40" s="48">
        <f t="shared" si="0"/>
        <v>74.033699999999996</v>
      </c>
      <c r="G40" s="117"/>
      <c r="H40" s="117">
        <f>IF(F40="",IF(COUNT(G40:G$88)=0,"",IF(ISBLANK(G40),AVERAGE(H39,H41),(1+G40)*H36)),F40)</f>
        <v>74.033699999999996</v>
      </c>
      <c r="I40" s="72">
        <f t="shared" si="1"/>
        <v>1.7175572519084081E-2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1.25">
      <c r="C41" s="49">
        <v>42094</v>
      </c>
      <c r="D41" s="8"/>
      <c r="E41" s="48">
        <v>106.8</v>
      </c>
      <c r="F41" s="48">
        <f t="shared" si="0"/>
        <v>74.172600000000003</v>
      </c>
      <c r="G41" s="117"/>
      <c r="H41" s="117">
        <f>IF(F41="",IF(COUNT(G41:G$88)=0,"",IF(ISBLANK(G41),AVERAGE(H40,H42),(1+G41)*H37)),F41)</f>
        <v>74.172600000000003</v>
      </c>
      <c r="I41" s="72">
        <f t="shared" si="1"/>
        <v>1.3282732447817969E-2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1.25">
      <c r="C42" s="49">
        <v>42185</v>
      </c>
      <c r="D42" s="8"/>
      <c r="E42" s="48">
        <v>107.5</v>
      </c>
      <c r="F42" s="48">
        <f t="shared" si="0"/>
        <v>74.658749999999998</v>
      </c>
      <c r="G42" s="117"/>
      <c r="H42" s="117">
        <f>IF(F42="",IF(COUNT(G42:G$88)=0,"",IF(ISBLANK(G42),AVERAGE(H41,H43),(1+G42)*H38)),F42)</f>
        <v>74.658749999999998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1.25">
      <c r="C43" s="49">
        <v>42277</v>
      </c>
      <c r="D43" s="8"/>
      <c r="E43" s="48">
        <v>108</v>
      </c>
      <c r="F43" s="48">
        <f t="shared" si="0"/>
        <v>75.006</v>
      </c>
      <c r="G43" s="117"/>
      <c r="H43" s="117">
        <f>IF(F43="",IF(COUNT(G43:G$88)=0,"",IF(ISBLANK(G43),AVERAGE(H42,H44),(1+G43)*H39)),F43)</f>
        <v>75.006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1.25">
      <c r="C44" s="49">
        <v>42369</v>
      </c>
      <c r="D44" s="8"/>
      <c r="E44" s="48">
        <v>108.4</v>
      </c>
      <c r="F44" s="48">
        <f t="shared" si="0"/>
        <v>75.283799999999999</v>
      </c>
      <c r="G44" s="117"/>
      <c r="H44" s="117">
        <f>IF(F44="",IF(COUNT(G44:G$88)=0,"",IF(ISBLANK(G44),AVERAGE(H43,H45),(1+G44)*H40)),F44)</f>
        <v>75.283799999999999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1.25">
      <c r="C45" s="49">
        <v>42460</v>
      </c>
      <c r="D45" s="8"/>
      <c r="E45" s="48">
        <v>108.2</v>
      </c>
      <c r="F45" s="48">
        <f t="shared" si="0"/>
        <v>75.144900000000007</v>
      </c>
      <c r="G45" s="117"/>
      <c r="H45" s="117">
        <f>IF(F45="",IF(COUNT(G45:G$88)=0,"",IF(ISBLANK(G45),AVERAGE(H44,H46),(1+G45)*H41)),F45)</f>
        <v>75.144900000000007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1.25">
      <c r="C46" s="49">
        <v>42551</v>
      </c>
      <c r="D46" s="8"/>
      <c r="E46" s="48">
        <v>108.6</v>
      </c>
      <c r="F46" s="48">
        <f t="shared" si="0"/>
        <v>75.422699999999992</v>
      </c>
      <c r="G46" s="117"/>
      <c r="H46" s="117">
        <f>IF(F46="",IF(COUNT(G46:G$88)=0,"",IF(ISBLANK(G46),AVERAGE(H45,H47),(1+G46)*H42)),F46)</f>
        <v>75.422699999999992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1.25">
      <c r="C47" s="49">
        <v>42643</v>
      </c>
      <c r="D47" s="8"/>
      <c r="E47" s="48">
        <v>109.4</v>
      </c>
      <c r="F47" s="48">
        <f t="shared" si="0"/>
        <v>75.978300000000004</v>
      </c>
      <c r="G47" s="117"/>
      <c r="H47" s="117">
        <f>IF(F47="",IF(COUNT(G47:G$88)=0,"",IF(ISBLANK(G47),AVERAGE(H46,H48),(1+G47)*H43)),F47)</f>
        <v>75.978300000000004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1.25">
      <c r="C48" s="49">
        <v>42735</v>
      </c>
      <c r="D48" s="8"/>
      <c r="E48" s="48">
        <v>110</v>
      </c>
      <c r="F48" s="48">
        <f t="shared" si="0"/>
        <v>76.394999999999996</v>
      </c>
      <c r="G48" s="117"/>
      <c r="H48" s="117">
        <f>IF(F48="",IF(COUNT(G48:G$88)=0,"",IF(ISBLANK(G48),AVERAGE(H47,H49),(1+G48)*H44)),F48)</f>
        <v>76.394999999999996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1.25">
      <c r="C49" s="49">
        <v>42825</v>
      </c>
      <c r="D49" s="8"/>
      <c r="E49" s="48">
        <v>110.5</v>
      </c>
      <c r="F49" s="48">
        <f t="shared" si="0"/>
        <v>76.742249999999999</v>
      </c>
      <c r="G49" s="117"/>
      <c r="H49" s="117">
        <f>IF(F49="",IF(COUNT(G49:G$88)=0,"",IF(ISBLANK(G49),AVERAGE(H48,H50),(1+G49)*H45)),F49)</f>
        <v>76.742249999999999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1.25">
      <c r="C50" s="49">
        <v>42916</v>
      </c>
      <c r="D50" s="8"/>
      <c r="E50" s="48">
        <v>110.7</v>
      </c>
      <c r="F50" s="48">
        <f t="shared" si="0"/>
        <v>76.881150000000005</v>
      </c>
      <c r="G50" s="117"/>
      <c r="H50" s="117">
        <f>IF(F50="",IF(COUNT(G50:G$88)=0,"",IF(ISBLANK(G50),AVERAGE(H49,H51),(1+G50)*H46)),F50)</f>
        <v>76.881150000000005</v>
      </c>
      <c r="I50" s="72">
        <f t="shared" si="1"/>
        <v>1.9337016574585864E-2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1.25">
      <c r="C51" s="49">
        <v>43008</v>
      </c>
      <c r="D51" s="8"/>
      <c r="E51" s="48">
        <v>111.4</v>
      </c>
      <c r="F51" s="48">
        <f t="shared" si="0"/>
        <v>77.3673</v>
      </c>
      <c r="G51" s="117"/>
      <c r="H51" s="117">
        <f>IF(F51="",IF(COUNT(G51:G$88)=0,"",IF(ISBLANK(G51),AVERAGE(H50,H52),(1+G51)*H47)),F51)</f>
        <v>77.3673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1.25">
      <c r="C52" s="49">
        <v>43100</v>
      </c>
      <c r="D52" s="8"/>
      <c r="E52" s="48">
        <v>112.1</v>
      </c>
      <c r="F52" s="48">
        <f t="shared" si="0"/>
        <v>77.853449999999995</v>
      </c>
      <c r="G52" s="117"/>
      <c r="H52" s="117">
        <f>IF(F52="",IF(COUNT(G52:G$88)=0,"",IF(ISBLANK(G52),AVERAGE(H51,H53),(1+G52)*H48)),F52)</f>
        <v>77.853449999999995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1.25">
      <c r="C53" s="49">
        <v>43190</v>
      </c>
      <c r="D53" s="8"/>
      <c r="E53" s="48">
        <v>112.6</v>
      </c>
      <c r="F53" s="48">
        <f t="shared" si="0"/>
        <v>78.200699999999998</v>
      </c>
      <c r="G53" s="117"/>
      <c r="H53" s="117">
        <f>IF(F53="",IF(COUNT(G53:G$88)=0,"",IF(ISBLANK(G53),AVERAGE(H52,H54),(1+G53)*H49)),F53)</f>
        <v>78.200699999999998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1.25">
      <c r="C54" s="49">
        <v>43281</v>
      </c>
      <c r="D54" s="8"/>
      <c r="E54" s="48">
        <v>113</v>
      </c>
      <c r="F54" s="48">
        <f t="shared" si="0"/>
        <v>78.478499999999997</v>
      </c>
      <c r="G54" s="117"/>
      <c r="H54" s="117">
        <f>IF(F54="",IF(COUNT(G54:G$88)=0,"",IF(ISBLANK(G54),AVERAGE(H53,H55),(1+G54)*H50)),F54)</f>
        <v>78.478499999999997</v>
      </c>
      <c r="I54" s="72">
        <f t="shared" si="1"/>
        <v>2.0776874435410875E-2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1.25">
      <c r="C55" s="49">
        <v>43373</v>
      </c>
      <c r="D55" s="8"/>
      <c r="E55" s="48">
        <v>113.5</v>
      </c>
      <c r="F55" s="48">
        <f t="shared" si="0"/>
        <v>78.825749999999999</v>
      </c>
      <c r="G55" s="117"/>
      <c r="H55" s="117">
        <f>IF(F55="",IF(COUNT(G55:G$88)=0,"",IF(ISBLANK(G55),AVERAGE(H54,H56),(1+G55)*H51)),F55)</f>
        <v>78.825749999999999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1.25">
      <c r="C56" s="49">
        <v>43465</v>
      </c>
      <c r="D56" s="8"/>
      <c r="E56" s="48">
        <v>114.1</v>
      </c>
      <c r="F56" s="48">
        <f t="shared" si="0"/>
        <v>79.242449999999991</v>
      </c>
      <c r="G56" s="117"/>
      <c r="H56" s="117">
        <f>IF(F56="",IF(COUNT(G56:G$88)=0,"",IF(ISBLANK(G56),AVERAGE(H55,H57),(1+G56)*H52)),F56)</f>
        <v>79.242449999999991</v>
      </c>
      <c r="I56" s="72">
        <f t="shared" si="1"/>
        <v>1.7841213202497652E-2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1.25">
      <c r="C57" s="49">
        <v>43555</v>
      </c>
      <c r="D57" s="8"/>
      <c r="E57" s="48">
        <v>114.1</v>
      </c>
      <c r="F57" s="48">
        <f t="shared" si="0"/>
        <v>79.242449999999991</v>
      </c>
      <c r="G57" s="117"/>
      <c r="H57" s="117">
        <f>IF(F57="",IF(COUNT(G57:G$88)=0,"",IF(ISBLANK(G57),AVERAGE(H56,H58),(1+G57)*H53)),F57)</f>
        <v>79.242449999999991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1.25">
      <c r="C58" s="49">
        <v>43646</v>
      </c>
      <c r="D58" s="8"/>
      <c r="E58" s="48">
        <v>114.8</v>
      </c>
      <c r="F58" s="48">
        <f t="shared" si="0"/>
        <v>79.7286</v>
      </c>
      <c r="G58" s="117"/>
      <c r="H58" s="117">
        <f>IF(F58="",IF(COUNT(G58:G$88)=0,"",IF(ISBLANK(G58),AVERAGE(H57,H59),(1+G58)*H54)),F58)</f>
        <v>79.7286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1.25">
      <c r="C59" s="49">
        <v>43738</v>
      </c>
      <c r="D59" s="8"/>
      <c r="E59" s="48">
        <v>115.4</v>
      </c>
      <c r="F59" s="48">
        <f t="shared" si="0"/>
        <v>80.145300000000006</v>
      </c>
      <c r="G59" s="117"/>
      <c r="H59" s="117">
        <f>IF(F59="",IF(COUNT(G59:G$88)=0,"",IF(ISBLANK(G59),AVERAGE(H58,H60),(1+G59)*H55)),F59)</f>
        <v>80.145300000000006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1.25">
      <c r="C60" s="49">
        <v>43830</v>
      </c>
      <c r="D60" s="8"/>
      <c r="E60" s="48">
        <v>116.2</v>
      </c>
      <c r="F60" s="48">
        <f t="shared" si="0"/>
        <v>80.700900000000004</v>
      </c>
      <c r="G60" s="117"/>
      <c r="H60" s="117">
        <f>IF(F60="",IF(COUNT(G60:G$88)=0,"",IF(ISBLANK(G60),AVERAGE(H59,H61),(1+G60)*H56)),F60)</f>
        <v>80.700900000000004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1.25">
      <c r="C61" s="49">
        <v>43921</v>
      </c>
      <c r="D61" s="8"/>
      <c r="E61" s="48">
        <v>116.6</v>
      </c>
      <c r="F61" s="48">
        <f t="shared" si="0"/>
        <v>80.978700000000003</v>
      </c>
      <c r="G61" s="117"/>
      <c r="H61" s="117">
        <f>IF(F61="",IF(COUNT(G61:G$88)=0,"",IF(ISBLANK(G61),AVERAGE(H60,H62),(1+G61)*H57)),F61)</f>
        <v>80.978700000000003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1.25">
      <c r="C62" s="49">
        <v>44012</v>
      </c>
      <c r="D62" s="8"/>
      <c r="E62" s="48">
        <v>114.4</v>
      </c>
      <c r="F62" s="48">
        <f t="shared" si="0"/>
        <v>79.450800000000001</v>
      </c>
      <c r="G62" s="117"/>
      <c r="H62" s="117">
        <f>IF(F62="",IF(COUNT(G62:G$88)=0,"",IF(ISBLANK(G62),AVERAGE(H61,H63),(1+G62)*H58)),F62)</f>
        <v>79.450800000000001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1.25">
      <c r="C63" s="49">
        <v>44104</v>
      </c>
      <c r="D63" s="8"/>
      <c r="E63" s="48">
        <v>116.2</v>
      </c>
      <c r="F63" s="48">
        <f t="shared" si="0"/>
        <v>80.700900000000004</v>
      </c>
      <c r="G63" s="117"/>
      <c r="H63" s="117">
        <f>IF(F63="",IF(COUNT(G63:G$88)=0,"",IF(ISBLANK(G63),AVERAGE(H62,H64),(1+G63)*H59)),F63)</f>
        <v>80.700900000000004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1.25">
      <c r="C64" s="49">
        <v>44196</v>
      </c>
      <c r="D64" s="8"/>
      <c r="E64" s="48">
        <v>117.2</v>
      </c>
      <c r="F64" s="48">
        <f t="shared" si="0"/>
        <v>81.395400000000009</v>
      </c>
      <c r="G64" s="117"/>
      <c r="H64" s="117">
        <f>IF(F64="",IF(COUNT(G64:G$88)=0,"",IF(ISBLANK(G64),AVERAGE(H63,H65),(1+G64)*H60)),F64)</f>
        <v>81.395400000000009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1.25">
      <c r="C65" s="49">
        <v>44286</v>
      </c>
      <c r="D65" s="8"/>
      <c r="E65" s="48">
        <v>117.9</v>
      </c>
      <c r="F65" s="48">
        <f t="shared" si="0"/>
        <v>81.881550000000004</v>
      </c>
      <c r="G65" s="117"/>
      <c r="H65" s="117">
        <f>IF(F65="",IF(COUNT(G65:G$88)=0,"",IF(ISBLANK(G65),AVERAGE(H64,H66),(1+G65)*H61)),F65)</f>
        <v>81.881550000000004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1.25">
      <c r="C66" s="49">
        <v>44377</v>
      </c>
      <c r="D66" s="8"/>
      <c r="E66" s="48">
        <v>118.8</v>
      </c>
      <c r="F66" s="48">
        <f t="shared" si="0"/>
        <v>82.506599999999992</v>
      </c>
      <c r="G66" s="117"/>
      <c r="H66" s="117">
        <f>IF(F66="",IF(COUNT(G66:G$88)=0,"",IF(ISBLANK(G66),AVERAGE(H65,H67),(1+G66)*H62)),F66)</f>
        <v>82.506599999999992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1.25">
      <c r="C67" s="49">
        <v>44469</v>
      </c>
      <c r="D67" s="8"/>
      <c r="E67" s="48">
        <v>119.7</v>
      </c>
      <c r="F67" s="48">
        <f t="shared" si="0"/>
        <v>83.131650000000008</v>
      </c>
      <c r="G67" s="117"/>
      <c r="H67" s="117">
        <f>IF(F67="",IF(COUNT(G67:G$88)=0,"",IF(ISBLANK(G67),AVERAGE(H66,H68),(1+G67)*H63)),F67)</f>
        <v>83.131650000000008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1.25">
      <c r="C68" s="49">
        <v>44561</v>
      </c>
      <c r="D68" s="8"/>
      <c r="E68" s="48">
        <v>121.3</v>
      </c>
      <c r="F68" s="48">
        <f t="shared" si="0"/>
        <v>84.242850000000004</v>
      </c>
      <c r="G68" s="117"/>
      <c r="H68" s="117">
        <f>IF(F68="",IF(COUNT(G68:G$88)=0,"",IF(ISBLANK(G68),AVERAGE(H67,H69),(1+G68)*H64)),F68)</f>
        <v>84.242850000000004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1.25">
      <c r="C69" s="49">
        <v>44651</v>
      </c>
      <c r="D69" s="8"/>
      <c r="E69" s="48">
        <v>123.9</v>
      </c>
      <c r="F69" s="48">
        <f t="shared" si="0"/>
        <v>86.048550000000006</v>
      </c>
      <c r="G69" s="117"/>
      <c r="H69" s="117">
        <f>IF(F69="",IF(COUNT(G69:G$88)=0,"",IF(ISBLANK(G69),AVERAGE(H68,H70),(1+G69)*H65)),F69)</f>
        <v>86.048550000000006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1.25">
      <c r="C70" s="49">
        <v>44742</v>
      </c>
      <c r="D70" s="8"/>
      <c r="E70" s="48">
        <v>126.1</v>
      </c>
      <c r="F70" s="48">
        <f t="shared" si="0"/>
        <v>87.576449999999994</v>
      </c>
      <c r="G70" s="117"/>
      <c r="H70" s="117">
        <f>IF(F70="",IF(COUNT(G70:G$88)=0,"",IF(ISBLANK(G70),AVERAGE(H69,H71),(1+G70)*H66)),F70)</f>
        <v>87.576449999999994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1.25">
      <c r="C71" s="49">
        <v>44834</v>
      </c>
      <c r="D71" s="8"/>
      <c r="E71" s="48">
        <v>128.4</v>
      </c>
      <c r="F71" s="48">
        <f t="shared" si="0"/>
        <v>89.1738</v>
      </c>
      <c r="G71" s="117"/>
      <c r="H71" s="117">
        <f>IF(F71="",IF(COUNT(G71:G$88)=0,"",IF(ISBLANK(G71),AVERAGE(H70,H72),(1+G71)*H67)),F71)</f>
        <v>89.1738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1.25">
      <c r="C72" s="49">
        <v>44926</v>
      </c>
      <c r="D72" s="8"/>
      <c r="E72" s="48">
        <v>130.80000000000001</v>
      </c>
      <c r="F72" s="48">
        <f t="shared" si="0"/>
        <v>90.840600000000009</v>
      </c>
      <c r="G72" s="110"/>
      <c r="H72" s="117">
        <f>IF(F72="",IF(COUNT(G72:G$88)=0,"",IF(ISBLANK(G72),AVERAGE(H71,H73),(1+G72)*H68)),F72)</f>
        <v>90.840600000000009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1.25">
      <c r="C73" s="49">
        <v>45016</v>
      </c>
      <c r="D73" s="8"/>
      <c r="E73" s="48">
        <v>132.6</v>
      </c>
      <c r="F73" s="48">
        <f t="shared" si="0"/>
        <v>92.090699999999998</v>
      </c>
      <c r="G73" s="110"/>
      <c r="H73" s="117">
        <f>IF(F73="",IF(COUNT(G73:G$88)=0,"",IF(ISBLANK(G73),AVERAGE(H72,H74),(1+G73)*H69)),F73)</f>
        <v>92.090699999999998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1.25">
      <c r="C74" s="49">
        <v>45107</v>
      </c>
      <c r="D74" s="8"/>
      <c r="E74" s="48">
        <v>133.69999999999999</v>
      </c>
      <c r="F74" s="48">
        <f t="shared" si="0"/>
        <v>92.854649999999992</v>
      </c>
      <c r="G74" s="110"/>
      <c r="H74" s="117">
        <f>IF(F74="",IF(COUNT(G74:G$88)=0,"",IF(ISBLANK(G74),AVERAGE(H73,H75),(1+G74)*H70)),F74)</f>
        <v>92.854649999999992</v>
      </c>
      <c r="I74" s="72">
        <f t="shared" si="1"/>
        <v>6.0269627279936566E-2</v>
      </c>
      <c r="J74" s="183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1.25">
      <c r="C75" s="49">
        <v>45199</v>
      </c>
      <c r="D75" s="8"/>
      <c r="E75" s="48">
        <v>135.30000000000001</v>
      </c>
      <c r="F75" s="48">
        <f t="shared" si="0"/>
        <v>93.965850000000003</v>
      </c>
      <c r="G75" s="110"/>
      <c r="H75" s="117">
        <f>IF(F75="",IF(COUNT(G75:G$88)=0,"",IF(ISBLANK(G75),AVERAGE(H74,H76),(1+G75)*H71)),F75)</f>
        <v>93.965850000000003</v>
      </c>
      <c r="I75" s="72">
        <f t="shared" ref="I75:I8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1.25">
      <c r="C76" s="49">
        <v>45291</v>
      </c>
      <c r="D76" s="8"/>
      <c r="E76" s="48">
        <v>136.1</v>
      </c>
      <c r="F76" s="48">
        <f t="shared" si="0"/>
        <v>94.521450000000002</v>
      </c>
      <c r="G76" s="110"/>
      <c r="H76" s="117">
        <f>IF(F76="",IF(COUNT(G76:G$88)=0,"",IF(ISBLANK(G76),AVERAGE(H75,H77),(1+G76)*H72)),F76)</f>
        <v>94.521450000000002</v>
      </c>
      <c r="I76" s="72">
        <f t="shared" si="2"/>
        <v>4.0519877675840865E-2</v>
      </c>
      <c r="J76" s="188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1.25">
      <c r="C77" s="49">
        <v>45382</v>
      </c>
      <c r="D77" s="8"/>
      <c r="E77" s="48">
        <v>137.4</v>
      </c>
      <c r="F77" s="48">
        <f t="shared" si="0"/>
        <v>95.424300000000002</v>
      </c>
      <c r="G77" s="110"/>
      <c r="H77" s="117">
        <f>IF(F77="",IF(COUNT(G77:G$88)=0,"",IF(ISBLANK(G77),AVERAGE(H76,H78),(1+G77)*H73)),F77)</f>
        <v>95.424300000000002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1.25">
      <c r="C78" s="49">
        <v>45473</v>
      </c>
      <c r="D78" s="8"/>
      <c r="E78" s="48">
        <v>138.80000000000001</v>
      </c>
      <c r="F78" s="48">
        <f t="shared" si="0"/>
        <v>96.396600000000007</v>
      </c>
      <c r="G78" s="110"/>
      <c r="H78" s="117">
        <f>IF(F78="",IF(COUNT(G78:G$88)=0,"",IF(ISBLANK(G78),AVERAGE(H77,H79),(1+G78)*H74)),F78)</f>
        <v>96.396600000000007</v>
      </c>
      <c r="I78" s="72">
        <f t="shared" si="2"/>
        <v>3.8145100972326151E-2</v>
      </c>
      <c r="J78" s="188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1.25">
      <c r="C79" s="49">
        <v>45565</v>
      </c>
      <c r="D79" s="8"/>
      <c r="E79" s="48">
        <v>139.1</v>
      </c>
      <c r="F79" s="48">
        <f t="shared" si="0"/>
        <v>96.604950000000002</v>
      </c>
      <c r="G79" s="110"/>
      <c r="H79" s="117">
        <f>IF(F79="",IF(COUNT(G79:G$88)=0,"",IF(ISBLANK(G79),AVERAGE(H78,H80),(1+G79)*H75)),F79)</f>
        <v>96.604950000000002</v>
      </c>
      <c r="I79" s="72">
        <f t="shared" si="2"/>
        <v>2.8085735402808565E-2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1.25">
      <c r="C80" s="49">
        <v>45657</v>
      </c>
      <c r="D80" s="8"/>
      <c r="E80" s="48">
        <v>139.4</v>
      </c>
      <c r="F80" s="48">
        <f t="shared" si="0"/>
        <v>96.813299999999998</v>
      </c>
      <c r="G80" s="110"/>
      <c r="H80" s="117">
        <f>IF(F80="",IF(COUNT(G80:G$88)=0,"",IF(ISBLANK(G80),AVERAGE(H79,H81),(1+G80)*H76)),F80)</f>
        <v>96.813299999999998</v>
      </c>
      <c r="I80" s="72">
        <f t="shared" si="2"/>
        <v>2.4246877296105751E-2</v>
      </c>
      <c r="J80" s="188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1.25">
      <c r="C81" s="49">
        <v>45747</v>
      </c>
      <c r="D81" s="8"/>
      <c r="E81" s="48">
        <v>140.69999999999999</v>
      </c>
      <c r="F81" s="48">
        <f t="shared" si="0"/>
        <v>97.716149999999999</v>
      </c>
      <c r="G81" s="110"/>
      <c r="H81" s="117">
        <f>IF(F81="",IF(COUNT(G81:G$88)=0,"",IF(ISBLANK(G81),AVERAGE(H80,H82),(1+G81)*H77)),F81)</f>
        <v>97.716149999999999</v>
      </c>
      <c r="I81" s="72">
        <f t="shared" si="2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1.25">
      <c r="C82" s="49">
        <v>45838</v>
      </c>
      <c r="D82" s="8"/>
      <c r="E82" s="48">
        <v>141.69999999999999</v>
      </c>
      <c r="F82" s="48">
        <f t="shared" si="0"/>
        <v>98.41064999999999</v>
      </c>
      <c r="G82" s="110"/>
      <c r="H82" s="117">
        <f>IF(F82="",IF(COUNT(G82:G$88)=0,"",IF(ISBLANK(G82),AVERAGE(H81,H83),(1+G82)*H78)),F82)</f>
        <v>98.41064999999999</v>
      </c>
      <c r="I82" s="72">
        <f t="shared" si="2"/>
        <v>2.0893371757924939E-2</v>
      </c>
      <c r="J82" s="188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1.25">
      <c r="C83" s="49">
        <v>45930</v>
      </c>
      <c r="D83" s="8"/>
      <c r="E83" s="48">
        <v>143.6</v>
      </c>
      <c r="F83" s="48">
        <f>E83*0.6945</f>
        <v>99.730199999999996</v>
      </c>
      <c r="G83" s="110"/>
      <c r="H83" s="117">
        <f>IF(F83="",IF(COUNT(G83:G$88)=0,"",IF(ISBLANK(G83),AVERAGE(H82,H84),(1+G83)*H79)),F83)</f>
        <v>99.730199999999996</v>
      </c>
      <c r="I83" s="72">
        <f t="shared" si="2"/>
        <v>3.2350826743350103E-2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1.25">
      <c r="C84" s="49">
        <v>46022</v>
      </c>
      <c r="D84" s="8"/>
      <c r="E84" s="8"/>
      <c r="F84" s="48">
        <v>100.32</v>
      </c>
      <c r="G84" s="110"/>
      <c r="H84" s="117">
        <f>IF(F84="",IF(COUNT(G84:G$88)=0,"",IF(ISBLANK(G84),AVERAGE(H83,H85),(1+G84)*H80)),F84)</f>
        <v>100.32</v>
      </c>
      <c r="I84" s="72">
        <f t="shared" si="2"/>
        <v>3.6221262987626623E-2</v>
      </c>
      <c r="J84" s="188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1.25">
      <c r="C85" s="49">
        <v>46112</v>
      </c>
      <c r="D85" s="8"/>
      <c r="E85" s="8"/>
      <c r="F85" s="48"/>
      <c r="G85" s="110"/>
      <c r="H85" s="117">
        <f>IF(F85="",IF(COUNT(G85:G$88)=0,"",IF(ISBLANK(G85),AVERAGE(H84,H86),(1+G85)*H81)),F85)</f>
        <v>101.43194865</v>
      </c>
      <c r="I85" s="72">
        <f t="shared" si="2"/>
        <v>3.8026453661958559E-2</v>
      </c>
      <c r="J85" s="188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1.25">
      <c r="C86" s="49">
        <v>46203</v>
      </c>
      <c r="D86" s="8"/>
      <c r="E86" s="8"/>
      <c r="F86" s="48"/>
      <c r="G86" s="110">
        <v>4.2000000000000003E-2</v>
      </c>
      <c r="H86" s="117">
        <f>IF(F86="",IF(COUNT(G86:G$88)=0,"",IF(ISBLANK(G86),AVERAGE(H85,H87),(1+G86)*H82)),F86)</f>
        <v>102.5438973</v>
      </c>
      <c r="I86" s="72">
        <f t="shared" si="2"/>
        <v>4.2000000000000037E-2</v>
      </c>
      <c r="J86" s="183" t="s">
        <v>229</v>
      </c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1.25">
      <c r="C87" s="49">
        <v>46295</v>
      </c>
      <c r="D87" s="8"/>
      <c r="E87" s="8"/>
      <c r="F87" s="48"/>
      <c r="G87" s="110"/>
      <c r="H87" s="117">
        <f>IF(F87="",IF(COUNT(G87:G$88)=0,"",IF(ISBLANK(G87),AVERAGE(H86,H88),(1+G87)*H83)),F87)</f>
        <v>103.23770865</v>
      </c>
      <c r="I87" s="72">
        <f t="shared" si="2"/>
        <v>3.5169975092800509E-2</v>
      </c>
      <c r="J87" s="188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1.25">
      <c r="C88" s="49">
        <v>46387</v>
      </c>
      <c r="D88" s="8"/>
      <c r="E88" s="8"/>
      <c r="F88" s="48"/>
      <c r="G88" s="110">
        <v>3.5999999999999997E-2</v>
      </c>
      <c r="H88" s="117">
        <f>IF(F88="",IF(COUNT(G88:G$88)=0,"",IF(ISBLANK(G88),AVERAGE(H87,H89),(1+G88)*H84)),F88)</f>
        <v>103.93151999999999</v>
      </c>
      <c r="I88" s="72">
        <f t="shared" si="2"/>
        <v>3.6000000000000032E-2</v>
      </c>
      <c r="J88" s="183" t="s">
        <v>229</v>
      </c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1.25">
      <c r="E89" s="8"/>
      <c r="F89" s="8"/>
      <c r="G89" s="8"/>
      <c r="H89" s="8"/>
      <c r="I89" s="8"/>
      <c r="J89" s="8"/>
      <c r="K89" s="8"/>
      <c r="L89" s="8"/>
      <c r="V89" s="82"/>
    </row>
    <row r="90" spans="1:50" customFormat="1" ht="12.75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1.25" hidden="1">
      <c r="J91" s="20"/>
      <c r="K91" s="20"/>
    </row>
    <row r="92" spans="1:50" ht="11.25" hidden="1">
      <c r="J92" s="20"/>
      <c r="K92" s="20"/>
    </row>
    <row r="93" spans="1:50" s="16" customFormat="1" ht="11.25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1.25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1.25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1.25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1.25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1.25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1.25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1.25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Y1">
    <cfRule type="cellIs" dxfId="229" priority="8" operator="equal">
      <formula>"Check"</formula>
    </cfRule>
    <cfRule type="cellIs" dxfId="228" priority="9" operator="equal">
      <formula>"Ok"</formula>
    </cfRule>
  </conditionalFormatting>
  <conditionalFormatting sqref="V1">
    <cfRule type="cellIs" dxfId="227" priority="6" operator="equal">
      <formula>"Check"</formula>
    </cfRule>
    <cfRule type="cellIs" dxfId="226" priority="7" operator="equal">
      <formula>"Ok"</formula>
    </cfRule>
  </conditionalFormatting>
  <conditionalFormatting sqref="G21:G88">
    <cfRule type="expression" dxfId="225" priority="1">
      <formula>F21=""</formula>
    </cfRule>
  </conditionalFormatting>
  <conditionalFormatting sqref="V9:V88">
    <cfRule type="cellIs" dxfId="224" priority="12" operator="equal">
      <formula>"Check"</formula>
    </cfRule>
    <cfRule type="cellIs" dxfId="223" priority="13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E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  <hyperlink ref="J86" r:id="rId1" location="3-5-detailed-forecast-information" display="Estimate: RBA, Statement on monetary policy (SoMP), February 2026. Update for the most recent SoMP available." xr:uid="{1081B1CE-F985-4372-8934-8677B64CD4C2}"/>
    <hyperlink ref="J88" r:id="rId2" location="3-5-detailed-forecast-information" display="Estimate: RBA, Statement on monetary policy (SoMP), February 2026. Update for the most recent SoMP available." xr:uid="{494CC12C-B7BF-4490-9D3E-C0D1EA26A0EA}"/>
  </hyperlinks>
  <pageMargins left="0.7" right="0.7" top="0.75" bottom="0.75" header="0.3" footer="0.3"/>
  <pageSetup paperSize="9" orientation="portrait" verticalDpi="4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zoomScaleNormal="100" workbookViewId="0"/>
  </sheetViews>
  <sheetFormatPr defaultColWidth="0" defaultRowHeight="11.25" zeroHeight="1"/>
  <cols>
    <col min="1" max="2" width="1.6640625" customWidth="1"/>
    <col min="3" max="3" width="49.6640625" bestFit="1" customWidth="1"/>
    <col min="4" max="6" width="13.33203125" customWidth="1"/>
    <col min="7" max="9" width="3.33203125" customWidth="1"/>
    <col min="10" max="20" width="10.6640625" customWidth="1"/>
    <col min="21" max="21" width="53.33203125" bestFit="1" customWidth="1"/>
    <col min="22" max="22" width="10.6640625" customWidth="1"/>
    <col min="23" max="24" width="0" hidden="1" customWidth="1"/>
    <col min="25" max="16384" width="9.33203125" hidden="1"/>
  </cols>
  <sheetData>
    <row r="1" spans="1:22" ht="15.7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5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IF(COUNTA($V$8:$V$266)=COUNTIF($V$8:$V$245,"OK"),"OK","Check")</f>
        <v>OK</v>
      </c>
      <c r="T1" s="29"/>
      <c r="U1" s="186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2.75">
      <c r="A8" s="32"/>
      <c r="B8" s="38" t="s">
        <v>204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35"/>
    </row>
    <row r="9" spans="1:22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8"/>
    </row>
    <row r="10" spans="1:22">
      <c r="A10" s="17"/>
      <c r="B10" s="17"/>
      <c r="C10" s="122" t="s">
        <v>71</v>
      </c>
      <c r="D10" s="121" t="s">
        <v>7</v>
      </c>
      <c r="E10" s="121" t="s">
        <v>8</v>
      </c>
      <c r="F10" s="121" t="s">
        <v>22</v>
      </c>
      <c r="G10" s="121"/>
      <c r="H10" s="121"/>
      <c r="I10" s="120"/>
      <c r="J10" s="123">
        <f t="shared" ref="J10:S10" si="0">IF(YEAR(J$4)&lt;=PPLastYear,J$4,"")</f>
        <v>44713</v>
      </c>
      <c r="K10" s="123">
        <f t="shared" si="0"/>
        <v>45078</v>
      </c>
      <c r="L10" s="123">
        <f t="shared" si="0"/>
        <v>45444</v>
      </c>
      <c r="M10" s="123">
        <f t="shared" si="0"/>
        <v>45809</v>
      </c>
      <c r="N10" s="123">
        <f t="shared" si="0"/>
        <v>46174</v>
      </c>
      <c r="O10" s="123" t="str">
        <f t="shared" si="0"/>
        <v/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/>
      <c r="U10" s="124" t="s">
        <v>51</v>
      </c>
      <c r="V10" s="8"/>
    </row>
    <row r="11" spans="1:22">
      <c r="A11" s="17"/>
      <c r="B11" s="17"/>
      <c r="C11" s="125"/>
      <c r="D11" s="120"/>
      <c r="E11" s="120"/>
      <c r="F11" s="120"/>
      <c r="G11" s="121"/>
      <c r="H11" s="121"/>
      <c r="I11" s="120"/>
      <c r="J11" s="126"/>
      <c r="K11" s="126"/>
      <c r="L11" s="126"/>
      <c r="M11" s="126"/>
      <c r="N11" s="126"/>
      <c r="O11" s="126"/>
      <c r="P11" s="126"/>
      <c r="Q11" s="126"/>
      <c r="R11" s="126"/>
      <c r="S11" s="126"/>
      <c r="T11" s="126"/>
      <c r="U11" s="17"/>
      <c r="V11" s="8"/>
    </row>
    <row r="12" spans="1:22">
      <c r="A12" s="17"/>
      <c r="B12" s="17"/>
      <c r="C12" s="125"/>
      <c r="D12" s="120"/>
      <c r="E12" s="120"/>
      <c r="F12" s="120"/>
      <c r="G12" s="121"/>
      <c r="H12" s="121"/>
      <c r="I12" s="120"/>
      <c r="J12" s="126"/>
      <c r="K12" s="126"/>
      <c r="L12" s="126"/>
      <c r="M12" s="126"/>
      <c r="N12" s="126"/>
      <c r="O12" s="126"/>
      <c r="P12" s="126"/>
      <c r="Q12" s="126"/>
      <c r="R12" s="126"/>
      <c r="S12" s="126"/>
      <c r="T12" s="126"/>
      <c r="U12" s="17"/>
      <c r="V12" s="8"/>
    </row>
    <row r="13" spans="1:22">
      <c r="A13" s="17"/>
      <c r="B13" s="17"/>
      <c r="C13" s="127" t="s">
        <v>68</v>
      </c>
      <c r="D13" s="120" t="s">
        <v>64</v>
      </c>
      <c r="E13" s="120" t="str">
        <f>units</f>
        <v>$millions</v>
      </c>
      <c r="F13" s="128">
        <f>DATE(PPFirstYear-1,MONTH(month),1)</f>
        <v>44348</v>
      </c>
      <c r="G13" s="121"/>
      <c r="H13" s="121"/>
      <c r="I13" s="120"/>
      <c r="J13" s="129">
        <v>143.202270923502</v>
      </c>
      <c r="K13" s="129">
        <v>142.79224346653382</v>
      </c>
      <c r="L13" s="129">
        <v>145.67432606877566</v>
      </c>
      <c r="M13" s="129">
        <v>148.7562991060812</v>
      </c>
      <c r="N13" s="129">
        <v>152.85805671826674</v>
      </c>
      <c r="O13" s="129"/>
      <c r="P13" s="129"/>
      <c r="Q13" s="129"/>
      <c r="R13" s="129"/>
      <c r="S13" s="129"/>
      <c r="T13" s="129"/>
      <c r="U13" s="17" t="s">
        <v>173</v>
      </c>
      <c r="V13" s="64" t="str">
        <f>IF(COUNT(J13:T13)=COUNT($J$10:$T$10),"Ok","Check")</f>
        <v>Ok</v>
      </c>
    </row>
    <row r="14" spans="1:22">
      <c r="A14" s="17"/>
      <c r="B14" s="17"/>
      <c r="C14" s="125"/>
      <c r="D14" s="120"/>
      <c r="E14" s="120"/>
      <c r="F14" s="120"/>
      <c r="G14" s="121"/>
      <c r="H14" s="121"/>
      <c r="I14" s="120"/>
      <c r="J14" s="126"/>
      <c r="K14" s="126"/>
      <c r="L14" s="126"/>
      <c r="M14" s="126"/>
      <c r="N14" s="126"/>
      <c r="O14" s="126"/>
      <c r="P14" s="126"/>
      <c r="Q14" s="126"/>
      <c r="R14" s="126"/>
      <c r="S14" s="126"/>
      <c r="T14" s="126"/>
      <c r="U14" s="17"/>
      <c r="V14" s="8"/>
    </row>
    <row r="15" spans="1:22">
      <c r="A15" s="17"/>
      <c r="B15" s="17"/>
      <c r="C15" s="130" t="s">
        <v>68</v>
      </c>
      <c r="D15" s="131" t="str">
        <f>D13</f>
        <v>AER</v>
      </c>
      <c r="E15" s="132" t="str">
        <f>E13</f>
        <v>$millions</v>
      </c>
      <c r="F15" s="132">
        <f>$F$13</f>
        <v>44348</v>
      </c>
      <c r="G15" s="121"/>
      <c r="H15" s="121"/>
      <c r="I15" s="120"/>
      <c r="J15" s="133">
        <f>J13</f>
        <v>143.202270923502</v>
      </c>
      <c r="K15" s="133">
        <f t="shared" ref="K15:S15" si="1">K13</f>
        <v>142.79224346653382</v>
      </c>
      <c r="L15" s="133">
        <f t="shared" si="1"/>
        <v>145.67432606877566</v>
      </c>
      <c r="M15" s="133">
        <f t="shared" si="1"/>
        <v>148.7562991060812</v>
      </c>
      <c r="N15" s="133">
        <f t="shared" si="1"/>
        <v>152.85805671826674</v>
      </c>
      <c r="O15" s="133">
        <f t="shared" si="1"/>
        <v>0</v>
      </c>
      <c r="P15" s="133">
        <f t="shared" si="1"/>
        <v>0</v>
      </c>
      <c r="Q15" s="133">
        <f t="shared" si="1"/>
        <v>0</v>
      </c>
      <c r="R15" s="133">
        <f t="shared" si="1"/>
        <v>0</v>
      </c>
      <c r="S15" s="133">
        <f t="shared" si="1"/>
        <v>0</v>
      </c>
      <c r="T15" s="133"/>
      <c r="U15" s="17"/>
      <c r="V15" s="8"/>
    </row>
    <row r="16" spans="1:22">
      <c r="A16" s="17"/>
      <c r="B16" s="17"/>
      <c r="C16" s="125"/>
      <c r="D16" s="120"/>
      <c r="E16" s="120"/>
      <c r="F16" s="120"/>
      <c r="G16" s="121"/>
      <c r="H16" s="121"/>
      <c r="I16" s="120"/>
      <c r="J16" s="126"/>
      <c r="K16" s="126"/>
      <c r="L16" s="126"/>
      <c r="M16" s="126"/>
      <c r="N16" s="126"/>
      <c r="O16" s="126"/>
      <c r="P16" s="126"/>
      <c r="Q16" s="126"/>
      <c r="R16" s="126"/>
      <c r="S16" s="126"/>
      <c r="T16" s="126"/>
      <c r="U16" s="17"/>
      <c r="V16" s="8"/>
    </row>
    <row r="17" spans="1:22">
      <c r="A17" s="17"/>
      <c r="B17" s="17"/>
      <c r="C17" s="122" t="s">
        <v>205</v>
      </c>
      <c r="D17" s="120"/>
      <c r="E17" s="120"/>
      <c r="F17" s="120"/>
      <c r="G17" s="121"/>
      <c r="H17" s="121"/>
      <c r="I17" s="120"/>
      <c r="J17" s="126"/>
      <c r="K17" s="126"/>
      <c r="L17" s="126"/>
      <c r="M17" s="126"/>
      <c r="N17" s="126"/>
      <c r="O17" s="126"/>
      <c r="P17" s="126"/>
      <c r="Q17" s="126"/>
      <c r="R17" s="126"/>
      <c r="S17" s="126"/>
      <c r="T17" s="126"/>
      <c r="U17" s="17"/>
      <c r="V17" s="8"/>
    </row>
    <row r="18" spans="1:22">
      <c r="A18" s="17"/>
      <c r="B18" s="17"/>
      <c r="C18" s="125"/>
      <c r="D18" s="120"/>
      <c r="E18" s="120"/>
      <c r="F18" s="120"/>
      <c r="G18" s="121"/>
      <c r="H18" s="121"/>
      <c r="I18" s="120"/>
      <c r="J18" s="126"/>
      <c r="K18" s="126"/>
      <c r="L18" s="126"/>
      <c r="M18" s="126"/>
      <c r="N18" s="126"/>
      <c r="O18" s="126"/>
      <c r="P18" s="126"/>
      <c r="Q18" s="126"/>
      <c r="R18" s="126"/>
      <c r="S18" s="126"/>
      <c r="T18" s="126"/>
      <c r="U18" s="17"/>
      <c r="V18" s="8"/>
    </row>
    <row r="19" spans="1:22">
      <c r="A19" s="17"/>
      <c r="B19" s="17"/>
      <c r="C19" s="127" t="s">
        <v>39</v>
      </c>
      <c r="D19" s="120" t="s">
        <v>64</v>
      </c>
      <c r="E19" s="120" t="str">
        <f t="shared" ref="E19:E27" si="2">units</f>
        <v>$millions</v>
      </c>
      <c r="F19" s="134">
        <f>$F$13</f>
        <v>44348</v>
      </c>
      <c r="G19" s="121"/>
      <c r="H19" s="121"/>
      <c r="I19" s="120"/>
      <c r="J19" s="129">
        <v>1.16415518183836</v>
      </c>
      <c r="K19" s="129">
        <v>1.2101134294221598</v>
      </c>
      <c r="L19" s="129">
        <v>1.2278434917550101</v>
      </c>
      <c r="M19" s="129">
        <v>1.2336562852214701</v>
      </c>
      <c r="N19" s="129">
        <v>1.2373546668026401</v>
      </c>
      <c r="O19" s="129"/>
      <c r="P19" s="129"/>
      <c r="Q19" s="129"/>
      <c r="R19" s="129"/>
      <c r="S19" s="129"/>
      <c r="T19" s="129"/>
      <c r="U19" s="17" t="s">
        <v>206</v>
      </c>
      <c r="V19" s="64" t="str">
        <f>IF(ISBLANK(C19),IF(COUNT(J19:T19)=0,"Ok","Check"),IF(COUNT(J19:T19)=COUNT(J$10:T$10),"Ok","Check"))</f>
        <v>Ok</v>
      </c>
    </row>
    <row r="20" spans="1:22">
      <c r="A20" s="17"/>
      <c r="B20" s="17"/>
      <c r="C20" s="127" t="s">
        <v>215</v>
      </c>
      <c r="D20" s="120" t="s">
        <v>64</v>
      </c>
      <c r="E20" s="120" t="str">
        <f t="shared" si="2"/>
        <v>$millions</v>
      </c>
      <c r="F20" s="134">
        <f t="shared" ref="F20:F29" si="3">$F$13</f>
        <v>44348</v>
      </c>
      <c r="G20" s="121"/>
      <c r="H20" s="121"/>
      <c r="I20" s="120"/>
      <c r="J20" s="129">
        <v>0.81501189500464499</v>
      </c>
      <c r="K20" s="129">
        <v>0.81501189500464499</v>
      </c>
      <c r="L20" s="129">
        <v>0.81501189500464499</v>
      </c>
      <c r="M20" s="129">
        <v>0.81501189500464499</v>
      </c>
      <c r="N20" s="129">
        <v>0.81501189500464499</v>
      </c>
      <c r="O20" s="129"/>
      <c r="P20" s="129"/>
      <c r="Q20" s="129"/>
      <c r="R20" s="129"/>
      <c r="S20" s="129"/>
      <c r="T20" s="129"/>
      <c r="U20" s="17"/>
      <c r="V20" s="64" t="str">
        <f>IF(ISBLANK(C20),IF(COUNT(J20:T20)=0,"Ok","Check"),IF(COUNT(J20:T20)=COUNT(J$10:T$10),"Ok","Check"))</f>
        <v>Ok</v>
      </c>
    </row>
    <row r="21" spans="1:22">
      <c r="A21" s="17"/>
      <c r="B21" s="17"/>
      <c r="C21" s="127"/>
      <c r="D21" s="120" t="s">
        <v>64</v>
      </c>
      <c r="E21" s="120" t="str">
        <f t="shared" si="2"/>
        <v>$millions</v>
      </c>
      <c r="F21" s="134">
        <f t="shared" si="3"/>
        <v>44348</v>
      </c>
      <c r="G21" s="121"/>
      <c r="H21" s="121"/>
      <c r="I21" s="120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7"/>
      <c r="V21" s="64" t="str">
        <f t="shared" ref="V21:V27" si="4">IF(ISBLANK(C21),IF(COUNT(J21:T21)=0,"Ok","Check"),IF(COUNT(J21:T21)=COUNT(J$10:T$10),"Ok","Check"))</f>
        <v>Ok</v>
      </c>
    </row>
    <row r="22" spans="1:22">
      <c r="A22" s="17"/>
      <c r="B22" s="17"/>
      <c r="C22" s="127"/>
      <c r="D22" s="120" t="s">
        <v>64</v>
      </c>
      <c r="E22" s="120" t="str">
        <f t="shared" si="2"/>
        <v>$millions</v>
      </c>
      <c r="F22" s="134">
        <f t="shared" si="3"/>
        <v>44348</v>
      </c>
      <c r="G22" s="121"/>
      <c r="H22" s="121"/>
      <c r="I22" s="120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7"/>
      <c r="V22" s="64" t="str">
        <f t="shared" si="4"/>
        <v>Ok</v>
      </c>
    </row>
    <row r="23" spans="1:22">
      <c r="A23" s="17"/>
      <c r="B23" s="17"/>
      <c r="C23" s="127"/>
      <c r="D23" s="120" t="s">
        <v>64</v>
      </c>
      <c r="E23" s="120" t="str">
        <f t="shared" si="2"/>
        <v>$millions</v>
      </c>
      <c r="F23" s="134">
        <f t="shared" si="3"/>
        <v>44348</v>
      </c>
      <c r="G23" s="121"/>
      <c r="H23" s="121"/>
      <c r="I23" s="120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7"/>
      <c r="V23" s="64" t="str">
        <f t="shared" si="4"/>
        <v>Ok</v>
      </c>
    </row>
    <row r="24" spans="1:22">
      <c r="A24" s="17"/>
      <c r="B24" s="17"/>
      <c r="C24" s="127"/>
      <c r="D24" s="120" t="s">
        <v>64</v>
      </c>
      <c r="E24" s="120" t="str">
        <f t="shared" si="2"/>
        <v>$millions</v>
      </c>
      <c r="F24" s="134">
        <f t="shared" si="3"/>
        <v>44348</v>
      </c>
      <c r="G24" s="121"/>
      <c r="H24" s="121"/>
      <c r="I24" s="120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7"/>
      <c r="V24" s="64" t="str">
        <f t="shared" si="4"/>
        <v>Ok</v>
      </c>
    </row>
    <row r="25" spans="1:22">
      <c r="A25" s="17"/>
      <c r="B25" s="17"/>
      <c r="C25" s="127"/>
      <c r="D25" s="120" t="s">
        <v>64</v>
      </c>
      <c r="E25" s="120" t="str">
        <f t="shared" si="2"/>
        <v>$millions</v>
      </c>
      <c r="F25" s="134">
        <f t="shared" si="3"/>
        <v>44348</v>
      </c>
      <c r="G25" s="121"/>
      <c r="H25" s="121"/>
      <c r="I25" s="120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7"/>
      <c r="V25" s="64" t="str">
        <f t="shared" si="4"/>
        <v>Ok</v>
      </c>
    </row>
    <row r="26" spans="1:22">
      <c r="A26" s="17"/>
      <c r="B26" s="17"/>
      <c r="C26" s="127"/>
      <c r="D26" s="120" t="s">
        <v>64</v>
      </c>
      <c r="E26" s="120" t="str">
        <f t="shared" si="2"/>
        <v>$millions</v>
      </c>
      <c r="F26" s="134">
        <f t="shared" si="3"/>
        <v>44348</v>
      </c>
      <c r="G26" s="121"/>
      <c r="H26" s="121"/>
      <c r="I26" s="120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7"/>
      <c r="V26" s="64" t="str">
        <f t="shared" si="4"/>
        <v>Ok</v>
      </c>
    </row>
    <row r="27" spans="1:22">
      <c r="A27" s="17"/>
      <c r="B27" s="17"/>
      <c r="C27" s="127"/>
      <c r="D27" s="120" t="s">
        <v>64</v>
      </c>
      <c r="E27" s="120" t="str">
        <f t="shared" si="2"/>
        <v>$millions</v>
      </c>
      <c r="F27" s="134">
        <f t="shared" si="3"/>
        <v>44348</v>
      </c>
      <c r="G27" s="121"/>
      <c r="H27" s="121"/>
      <c r="I27" s="120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7"/>
      <c r="V27" s="64" t="str">
        <f t="shared" si="4"/>
        <v>Ok</v>
      </c>
    </row>
    <row r="28" spans="1:22">
      <c r="A28" s="17"/>
      <c r="B28" s="17"/>
      <c r="C28" s="125"/>
      <c r="D28" s="120"/>
      <c r="E28" s="120"/>
      <c r="F28" s="120"/>
      <c r="G28" s="121"/>
      <c r="H28" s="121"/>
      <c r="I28" s="120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7"/>
      <c r="V28" s="8"/>
    </row>
    <row r="29" spans="1:22">
      <c r="A29" s="17"/>
      <c r="B29" s="17"/>
      <c r="C29" s="130" t="s">
        <v>145</v>
      </c>
      <c r="D29" s="131" t="s">
        <v>30</v>
      </c>
      <c r="E29" s="135" t="str">
        <f>units</f>
        <v>$millions</v>
      </c>
      <c r="F29" s="132">
        <f t="shared" si="3"/>
        <v>44348</v>
      </c>
      <c r="G29" s="121"/>
      <c r="H29" s="121"/>
      <c r="I29" s="120"/>
      <c r="J29" s="133">
        <f>SUM(J19:J27)</f>
        <v>1.979167076843005</v>
      </c>
      <c r="K29" s="133">
        <f t="shared" ref="K29:S29" si="5">SUM(K19:K27)</f>
        <v>2.0251253244268046</v>
      </c>
      <c r="L29" s="133">
        <f t="shared" si="5"/>
        <v>2.0428553867596548</v>
      </c>
      <c r="M29" s="133">
        <f t="shared" si="5"/>
        <v>2.0486681802261151</v>
      </c>
      <c r="N29" s="133">
        <f t="shared" si="5"/>
        <v>2.0523665618072853</v>
      </c>
      <c r="O29" s="133">
        <f t="shared" si="5"/>
        <v>0</v>
      </c>
      <c r="P29" s="133">
        <f t="shared" si="5"/>
        <v>0</v>
      </c>
      <c r="Q29" s="133">
        <f t="shared" si="5"/>
        <v>0</v>
      </c>
      <c r="R29" s="133">
        <f t="shared" si="5"/>
        <v>0</v>
      </c>
      <c r="S29" s="133">
        <f t="shared" si="5"/>
        <v>0</v>
      </c>
      <c r="T29" s="133"/>
      <c r="U29" s="17"/>
      <c r="V29" s="64"/>
    </row>
    <row r="30" spans="1:22">
      <c r="A30" s="17"/>
      <c r="B30" s="17"/>
      <c r="C30" s="17"/>
      <c r="D30" s="120"/>
      <c r="E30" s="120"/>
      <c r="F30" s="120"/>
      <c r="G30" s="121"/>
      <c r="H30" s="121"/>
      <c r="I30" s="120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8"/>
    </row>
    <row r="31" spans="1:22" ht="12.75">
      <c r="A31" s="32"/>
      <c r="B31" s="38" t="s">
        <v>54</v>
      </c>
      <c r="C31" s="32"/>
      <c r="D31" s="32"/>
      <c r="E31" s="32"/>
      <c r="F31" s="118"/>
      <c r="G31" s="118"/>
      <c r="H31" s="118"/>
      <c r="I31" s="118"/>
      <c r="J31" s="34"/>
      <c r="K31" s="119"/>
      <c r="L31" s="34"/>
      <c r="M31" s="119"/>
      <c r="N31" s="34"/>
      <c r="O31" s="34"/>
      <c r="P31" s="34"/>
      <c r="Q31" s="34"/>
      <c r="R31" s="34"/>
      <c r="S31" s="34"/>
      <c r="T31" s="34"/>
      <c r="U31" s="34"/>
      <c r="V31" s="35"/>
    </row>
    <row r="32" spans="1:22">
      <c r="A32" s="17"/>
      <c r="B32" s="17"/>
      <c r="C32" s="17"/>
      <c r="D32" s="120"/>
      <c r="E32" s="120"/>
      <c r="F32" s="120"/>
      <c r="G32" s="120"/>
      <c r="H32" s="120"/>
      <c r="I32" s="120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8"/>
    </row>
    <row r="33" spans="1:22">
      <c r="A33" s="17"/>
      <c r="B33" s="17"/>
      <c r="C33" s="17"/>
      <c r="D33" s="120"/>
      <c r="E33" s="120"/>
      <c r="F33" s="120"/>
      <c r="G33" s="120"/>
      <c r="H33" s="120"/>
      <c r="I33" s="120"/>
      <c r="J33" s="129" t="s">
        <v>23</v>
      </c>
      <c r="K33" s="129" t="s">
        <v>23</v>
      </c>
      <c r="L33" s="129" t="s">
        <v>23</v>
      </c>
      <c r="M33" s="129" t="s">
        <v>23</v>
      </c>
      <c r="N33" s="129" t="s">
        <v>69</v>
      </c>
      <c r="O33" s="129"/>
      <c r="P33" s="129"/>
      <c r="Q33" s="129"/>
      <c r="R33" s="129"/>
      <c r="S33" s="129"/>
      <c r="T33" s="129"/>
      <c r="U33" s="17"/>
      <c r="V33" s="8"/>
    </row>
    <row r="34" spans="1:22">
      <c r="A34" s="17"/>
      <c r="B34" s="17"/>
      <c r="C34" s="122" t="s">
        <v>71</v>
      </c>
      <c r="D34" s="121" t="s">
        <v>7</v>
      </c>
      <c r="E34" s="121" t="s">
        <v>8</v>
      </c>
      <c r="F34" s="121" t="s">
        <v>22</v>
      </c>
      <c r="G34" s="121"/>
      <c r="H34" s="121"/>
      <c r="I34" s="121"/>
      <c r="J34" s="123">
        <f t="shared" ref="J34:S34" si="6">IF(YEAR(J$4)&lt;=PPLastYear,J$4,"")</f>
        <v>44713</v>
      </c>
      <c r="K34" s="123">
        <f t="shared" si="6"/>
        <v>45078</v>
      </c>
      <c r="L34" s="123">
        <f t="shared" si="6"/>
        <v>45444</v>
      </c>
      <c r="M34" s="123">
        <f t="shared" si="6"/>
        <v>45809</v>
      </c>
      <c r="N34" s="123">
        <f t="shared" si="6"/>
        <v>46174</v>
      </c>
      <c r="O34" s="123" t="str">
        <f t="shared" si="6"/>
        <v/>
      </c>
      <c r="P34" s="123" t="str">
        <f t="shared" si="6"/>
        <v/>
      </c>
      <c r="Q34" s="123" t="str">
        <f t="shared" si="6"/>
        <v/>
      </c>
      <c r="R34" s="123" t="str">
        <f t="shared" si="6"/>
        <v/>
      </c>
      <c r="S34" s="123" t="str">
        <f t="shared" si="6"/>
        <v/>
      </c>
      <c r="T34" s="123"/>
      <c r="U34" s="124" t="s">
        <v>51</v>
      </c>
      <c r="V34" s="8"/>
    </row>
    <row r="35" spans="1:22">
      <c r="A35" s="17"/>
      <c r="B35" s="17"/>
      <c r="C35" s="125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8"/>
    </row>
    <row r="36" spans="1:22">
      <c r="A36" s="17"/>
      <c r="B36" s="17"/>
      <c r="C36" s="125"/>
      <c r="D36" s="120"/>
      <c r="E36" s="120"/>
      <c r="F36" s="120"/>
      <c r="G36" s="121"/>
      <c r="H36" s="121"/>
      <c r="I36" s="120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8"/>
    </row>
    <row r="37" spans="1:22">
      <c r="A37" s="17"/>
      <c r="B37" s="17"/>
      <c r="C37" s="127" t="s">
        <v>68</v>
      </c>
      <c r="D37" s="120" t="s">
        <v>70</v>
      </c>
      <c r="E37" s="120" t="str">
        <f>units</f>
        <v>$millions</v>
      </c>
      <c r="F37" s="134" t="s">
        <v>95</v>
      </c>
      <c r="G37" s="121"/>
      <c r="H37" s="121"/>
      <c r="I37" s="120"/>
      <c r="J37" s="129">
        <v>128.98467199999999</v>
      </c>
      <c r="K37" s="129">
        <v>134.95891499999999</v>
      </c>
      <c r="L37" s="129">
        <v>150.88790670999998</v>
      </c>
      <c r="M37" s="129">
        <v>152.20196999999999</v>
      </c>
      <c r="N37" s="129"/>
      <c r="O37" s="129"/>
      <c r="P37" s="129"/>
      <c r="Q37" s="129"/>
      <c r="R37" s="129"/>
      <c r="S37" s="129"/>
      <c r="T37" s="129"/>
      <c r="U37" s="17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7"/>
      <c r="B38" s="17"/>
      <c r="C38" s="125"/>
      <c r="D38" s="120"/>
      <c r="E38" s="120"/>
      <c r="F38" s="134"/>
      <c r="G38" s="121"/>
      <c r="H38" s="121"/>
      <c r="I38" s="120"/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7"/>
      <c r="V38" s="8"/>
    </row>
    <row r="39" spans="1:22">
      <c r="A39" s="17"/>
      <c r="B39" s="17"/>
      <c r="C39" s="122" t="s">
        <v>159</v>
      </c>
      <c r="D39" s="120"/>
      <c r="E39" s="120"/>
      <c r="F39" s="134"/>
      <c r="G39" s="121"/>
      <c r="H39" s="121"/>
      <c r="I39" s="120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7"/>
      <c r="V39" s="8"/>
    </row>
    <row r="40" spans="1:22">
      <c r="A40" s="17"/>
      <c r="B40" s="17"/>
      <c r="C40" s="122"/>
      <c r="D40" s="120"/>
      <c r="E40" s="120"/>
      <c r="F40" s="134"/>
      <c r="G40" s="121"/>
      <c r="H40" s="121"/>
      <c r="I40" s="120"/>
      <c r="J40" s="129"/>
      <c r="K40" s="193"/>
      <c r="L40" s="129"/>
      <c r="M40" s="129"/>
      <c r="N40" s="129"/>
      <c r="O40" s="129"/>
      <c r="P40" s="129"/>
      <c r="Q40" s="129"/>
      <c r="R40" s="129"/>
      <c r="S40" s="129"/>
      <c r="T40" s="129"/>
      <c r="U40" s="17"/>
      <c r="V40" s="8"/>
    </row>
    <row r="41" spans="1:22">
      <c r="A41" s="17"/>
      <c r="B41" s="17"/>
      <c r="C41" s="127" t="s">
        <v>155</v>
      </c>
      <c r="D41" s="120" t="s">
        <v>70</v>
      </c>
      <c r="E41" s="120" t="str">
        <f>units</f>
        <v>$millions</v>
      </c>
      <c r="F41" s="134" t="s">
        <v>95</v>
      </c>
      <c r="G41" s="121"/>
      <c r="H41" s="121"/>
      <c r="I41" s="120"/>
      <c r="J41" s="129">
        <v>0.42033803999999991</v>
      </c>
      <c r="K41" s="129">
        <v>3.0109300000000001</v>
      </c>
      <c r="L41" s="129">
        <v>-0.57122061000000013</v>
      </c>
      <c r="M41" s="129">
        <v>-3.705E-2</v>
      </c>
      <c r="N41" s="129"/>
      <c r="O41" s="129"/>
      <c r="P41" s="129"/>
      <c r="Q41" s="129"/>
      <c r="R41" s="129"/>
      <c r="S41" s="129"/>
      <c r="T41" s="129"/>
      <c r="U41" s="17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7"/>
      <c r="B42" s="17"/>
      <c r="C42" s="127" t="s">
        <v>192</v>
      </c>
      <c r="D42" s="120" t="s">
        <v>70</v>
      </c>
      <c r="E42" s="120" t="str">
        <f>units</f>
        <v>$millions</v>
      </c>
      <c r="F42" s="134" t="s">
        <v>95</v>
      </c>
      <c r="G42" s="121"/>
      <c r="H42" s="121"/>
      <c r="I42" s="120"/>
      <c r="J42" s="129">
        <v>7.4630000000000002E-2</v>
      </c>
      <c r="K42" s="129">
        <v>0</v>
      </c>
      <c r="L42" s="129">
        <v>0</v>
      </c>
      <c r="M42" s="129">
        <v>0</v>
      </c>
      <c r="N42" s="129"/>
      <c r="O42" s="129"/>
      <c r="P42" s="129"/>
      <c r="Q42" s="129"/>
      <c r="R42" s="129"/>
      <c r="S42" s="129"/>
      <c r="T42" s="129"/>
      <c r="U42" s="17"/>
      <c r="V42" s="64" t="str">
        <f>IF(ISBLANK(C42),IF(COUNT(J42:T42)=0,"Ok","Check"),IF(AND(COUNT(J42:T42)&gt;=COUNTIF($J$33:$T$33,"Actual"),COUNT(J42:T42)&lt;=COUNT($J$34:$T$34)),"Ok","Check"))</f>
        <v>Ok</v>
      </c>
    </row>
    <row r="43" spans="1:22">
      <c r="A43" s="17"/>
      <c r="B43" s="17"/>
      <c r="C43" s="127"/>
      <c r="D43" s="120" t="s">
        <v>70</v>
      </c>
      <c r="E43" s="120" t="str">
        <f>units</f>
        <v>$millions</v>
      </c>
      <c r="F43" s="134" t="s">
        <v>95</v>
      </c>
      <c r="G43" s="121"/>
      <c r="H43" s="121"/>
      <c r="I43" s="120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7"/>
      <c r="V43" s="64" t="str">
        <f>IF(ISBLANK(C43),IF(COUNT(J43:T43)=0,"Ok","Check"),IF(AND(COUNT(J43:T43)&gt;=COUNTIF($J$33:$T$33,"Actual"),COUNT(J43:T43)&lt;=COUNT($J$34:$T$34)),"Ok","Check"))</f>
        <v>Ok</v>
      </c>
    </row>
    <row r="44" spans="1:22">
      <c r="A44" s="17"/>
      <c r="B44" s="17"/>
      <c r="C44" s="127"/>
      <c r="D44" s="120" t="s">
        <v>70</v>
      </c>
      <c r="E44" s="120" t="str">
        <f>units</f>
        <v>$millions</v>
      </c>
      <c r="F44" s="134" t="s">
        <v>95</v>
      </c>
      <c r="G44" s="121"/>
      <c r="H44" s="121"/>
      <c r="I44" s="120"/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7"/>
      <c r="V44" s="64" t="str">
        <f>IF(ISBLANK(C44),IF(COUNT(J44:T44)=0,"Ok","Check"),IF(AND(COUNT(J44:T44)&gt;=COUNTIF($J$33:$T$33,"Actual"),COUNT(J44:T44)&lt;=COUNT($J$34:$T$34)),"Ok","Check"))</f>
        <v>Ok</v>
      </c>
    </row>
    <row r="45" spans="1:22">
      <c r="A45" s="17"/>
      <c r="B45" s="17"/>
      <c r="C45" s="127"/>
      <c r="D45" s="120" t="s">
        <v>70</v>
      </c>
      <c r="E45" s="120" t="str">
        <f>units</f>
        <v>$millions</v>
      </c>
      <c r="F45" s="134" t="s">
        <v>95</v>
      </c>
      <c r="G45" s="121"/>
      <c r="H45" s="121"/>
      <c r="I45" s="120"/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7"/>
      <c r="V45" s="64" t="str">
        <f>IF(ISBLANK(C45),IF(COUNT(J45:T45)=0,"Ok","Check"),IF(AND(COUNT(J45:T45)&gt;=COUNTIF($J$33:$T$33,"Actual"),COUNT(J45:T45)&lt;=COUNT($J$34:$T$34)),"Ok","Check"))</f>
        <v>Ok</v>
      </c>
    </row>
    <row r="46" spans="1:22">
      <c r="A46" s="17"/>
      <c r="B46" s="17"/>
      <c r="C46" s="125"/>
      <c r="D46" s="120"/>
      <c r="E46" s="120"/>
      <c r="F46" s="120"/>
      <c r="G46" s="121"/>
      <c r="H46" s="121"/>
      <c r="I46" s="120"/>
      <c r="J46" s="17"/>
      <c r="K46" s="17"/>
      <c r="L46" s="17"/>
      <c r="M46" s="17"/>
      <c r="N46" s="136"/>
      <c r="O46" s="136"/>
      <c r="P46" s="136"/>
      <c r="Q46" s="136"/>
      <c r="R46" s="136"/>
      <c r="S46" s="136"/>
      <c r="T46" s="136"/>
      <c r="U46" s="17"/>
      <c r="V46" s="8"/>
    </row>
    <row r="47" spans="1:22">
      <c r="A47" s="17"/>
      <c r="B47" s="17"/>
      <c r="C47" s="130" t="s">
        <v>156</v>
      </c>
      <c r="D47" s="131" t="s">
        <v>30</v>
      </c>
      <c r="E47" s="135" t="str">
        <f>units</f>
        <v>$millions</v>
      </c>
      <c r="F47" s="132" t="s">
        <v>95</v>
      </c>
      <c r="G47" s="121"/>
      <c r="H47" s="121"/>
      <c r="I47" s="120"/>
      <c r="J47" s="133">
        <f>J37-SUM(J41:J45)</f>
        <v>128.48970395999999</v>
      </c>
      <c r="K47" s="133">
        <f>K37-SUM(K41:K45)</f>
        <v>131.94798499999999</v>
      </c>
      <c r="L47" s="133">
        <f t="shared" ref="L47:S47" si="7">L37-SUM(L41:L45)</f>
        <v>151.45912731999999</v>
      </c>
      <c r="M47" s="133">
        <f t="shared" si="7"/>
        <v>152.23901999999998</v>
      </c>
      <c r="N47" s="133">
        <f t="shared" si="7"/>
        <v>0</v>
      </c>
      <c r="O47" s="133">
        <f t="shared" si="7"/>
        <v>0</v>
      </c>
      <c r="P47" s="133">
        <f t="shared" si="7"/>
        <v>0</v>
      </c>
      <c r="Q47" s="133">
        <f t="shared" si="7"/>
        <v>0</v>
      </c>
      <c r="R47" s="133">
        <f t="shared" si="7"/>
        <v>0</v>
      </c>
      <c r="S47" s="133">
        <f t="shared" si="7"/>
        <v>0</v>
      </c>
      <c r="T47" s="133"/>
      <c r="U47" s="17"/>
      <c r="V47" s="8"/>
    </row>
    <row r="48" spans="1:22">
      <c r="A48" s="17"/>
      <c r="B48" s="17"/>
      <c r="C48" s="17"/>
      <c r="D48" s="120"/>
      <c r="E48" s="120"/>
      <c r="F48" s="120"/>
      <c r="G48" s="120"/>
      <c r="H48" s="120"/>
      <c r="I48" s="120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8"/>
    </row>
    <row r="49" spans="1:22">
      <c r="A49" s="17"/>
      <c r="B49" s="17"/>
      <c r="C49" s="122" t="s">
        <v>103</v>
      </c>
      <c r="D49" s="120"/>
      <c r="E49" s="120"/>
      <c r="F49" s="120"/>
      <c r="G49" s="120"/>
      <c r="H49" s="120"/>
      <c r="I49" s="120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8"/>
    </row>
    <row r="50" spans="1:22">
      <c r="A50" s="17"/>
      <c r="B50" s="17"/>
      <c r="C50" s="17"/>
      <c r="D50" s="120"/>
      <c r="E50" s="120"/>
      <c r="F50" s="120"/>
      <c r="G50" s="120"/>
      <c r="H50" s="120"/>
      <c r="I50" s="120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8"/>
    </row>
    <row r="51" spans="1:22">
      <c r="A51" s="17"/>
      <c r="B51" s="17"/>
      <c r="C51" s="127" t="s">
        <v>39</v>
      </c>
      <c r="D51" s="120" t="s">
        <v>70</v>
      </c>
      <c r="E51" s="120" t="str">
        <f>units</f>
        <v>$millions</v>
      </c>
      <c r="F51" s="134" t="s">
        <v>95</v>
      </c>
      <c r="G51" s="121"/>
      <c r="H51" s="121"/>
      <c r="I51" s="120"/>
      <c r="J51" s="129">
        <v>0</v>
      </c>
      <c r="K51" s="129">
        <v>0</v>
      </c>
      <c r="L51" s="129">
        <v>0</v>
      </c>
      <c r="M51" s="129">
        <v>0</v>
      </c>
      <c r="N51" s="129"/>
      <c r="O51" s="129"/>
      <c r="P51" s="129"/>
      <c r="Q51" s="129"/>
      <c r="R51" s="129"/>
      <c r="S51" s="129"/>
      <c r="T51" s="129"/>
      <c r="U51" s="17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7"/>
      <c r="B52" s="17"/>
      <c r="C52" s="127" t="s">
        <v>213</v>
      </c>
      <c r="D52" s="120" t="s">
        <v>70</v>
      </c>
      <c r="E52" s="120" t="str">
        <f>units</f>
        <v>$millions</v>
      </c>
      <c r="F52" s="134" t="s">
        <v>95</v>
      </c>
      <c r="G52" s="121"/>
      <c r="H52" s="121"/>
      <c r="I52" s="120"/>
      <c r="J52" s="129">
        <v>2.3464100000000001</v>
      </c>
      <c r="K52" s="129">
        <v>0.43728850000000002</v>
      </c>
      <c r="L52" s="129">
        <v>3.6531907799999996</v>
      </c>
      <c r="M52" s="129">
        <v>0.4203751</v>
      </c>
      <c r="N52" s="129"/>
      <c r="O52" s="129"/>
      <c r="P52" s="129"/>
      <c r="Q52" s="129"/>
      <c r="R52" s="129"/>
      <c r="S52" s="129"/>
      <c r="T52" s="129"/>
      <c r="U52" s="17"/>
      <c r="V52" s="64" t="str">
        <f>IF(ISBLANK(C52),IF(COUNT(J52:T52)=0,"Ok","Check"),IF(AND(COUNT(J52:T52)&gt;=COUNTIF($J$33:$T$33,"Actual"),COUNT(J52:T52)&lt;=COUNT($J$34:$T$34)),"Ok","Check"))</f>
        <v>Ok</v>
      </c>
    </row>
    <row r="53" spans="1:22">
      <c r="A53" s="17"/>
      <c r="B53" s="17"/>
      <c r="C53" s="127"/>
      <c r="D53" s="120" t="s">
        <v>70</v>
      </c>
      <c r="E53" s="120" t="str">
        <f>units</f>
        <v>$millions</v>
      </c>
      <c r="F53" s="134" t="s">
        <v>95</v>
      </c>
      <c r="G53" s="121"/>
      <c r="H53" s="121"/>
      <c r="I53" s="120"/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7"/>
      <c r="V53" s="64" t="str">
        <f>IF(ISBLANK(C53),IF(COUNT(J53:T53)=0,"Ok","Check"),IF(AND(COUNT(J53:T53)&gt;=COUNTIF($J$33:$T$33,"Actual"),COUNT(J53:T53)&lt;=COUNT($J$34:$T$34)),"Ok","Check"))</f>
        <v>Ok</v>
      </c>
    </row>
    <row r="54" spans="1:22">
      <c r="A54" s="17"/>
      <c r="B54" s="17"/>
      <c r="C54" s="127"/>
      <c r="D54" s="120" t="s">
        <v>70</v>
      </c>
      <c r="E54" s="120" t="str">
        <f>units</f>
        <v>$millions</v>
      </c>
      <c r="F54" s="134" t="s">
        <v>95</v>
      </c>
      <c r="G54" s="121"/>
      <c r="H54" s="121"/>
      <c r="I54" s="120"/>
      <c r="J54" s="129"/>
      <c r="K54" s="129"/>
      <c r="L54" s="129"/>
      <c r="M54" s="129"/>
      <c r="N54" s="129"/>
      <c r="O54" s="129"/>
      <c r="Q54" s="129"/>
      <c r="R54" s="129"/>
      <c r="S54" s="129"/>
      <c r="T54" s="129"/>
      <c r="U54" s="17"/>
      <c r="V54" s="64" t="str">
        <f>IF(ISBLANK(C54),IF(COUNT(J54:T54)=0,"Ok","Check"),IF(AND(COUNT(J54:T54)&gt;=COUNTIF($J$33:$T$33,"Actual"),COUNT(J54:T54)&lt;=COUNT($J$34:$T$34)),"Ok","Check"))</f>
        <v>Ok</v>
      </c>
    </row>
    <row r="55" spans="1:22">
      <c r="A55" s="17"/>
      <c r="B55" s="17"/>
      <c r="C55" s="127"/>
      <c r="D55" s="120" t="s">
        <v>70</v>
      </c>
      <c r="E55" s="120" t="str">
        <f>units</f>
        <v>$millions</v>
      </c>
      <c r="F55" s="134" t="s">
        <v>95</v>
      </c>
      <c r="G55" s="121"/>
      <c r="H55" s="121"/>
      <c r="I55" s="120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7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7"/>
      <c r="B56" s="17"/>
      <c r="C56" s="125"/>
      <c r="D56" s="120"/>
      <c r="E56" s="120"/>
      <c r="F56" s="120"/>
      <c r="G56" s="121"/>
      <c r="H56" s="121"/>
      <c r="I56" s="120"/>
      <c r="J56" s="17"/>
      <c r="K56" s="17"/>
      <c r="L56" s="17"/>
      <c r="M56" s="17"/>
      <c r="N56" s="136"/>
      <c r="O56" s="136"/>
      <c r="P56" s="136"/>
      <c r="Q56" s="136"/>
      <c r="R56" s="136"/>
      <c r="S56" s="136"/>
      <c r="T56" s="136"/>
      <c r="U56" s="17"/>
      <c r="V56" s="8"/>
    </row>
    <row r="57" spans="1:22">
      <c r="A57" s="17"/>
      <c r="B57" s="17"/>
      <c r="C57" s="130" t="s">
        <v>145</v>
      </c>
      <c r="D57" s="131" t="s">
        <v>30</v>
      </c>
      <c r="E57" s="135" t="str">
        <f>units</f>
        <v>$millions</v>
      </c>
      <c r="F57" s="132" t="s">
        <v>95</v>
      </c>
      <c r="G57" s="121"/>
      <c r="H57" s="121"/>
      <c r="I57" s="120"/>
      <c r="J57" s="137">
        <f>SUM(J51:J55)</f>
        <v>2.3464100000000001</v>
      </c>
      <c r="K57" s="137">
        <f t="shared" ref="K57:S57" si="8">SUM(K51:K55)</f>
        <v>0.43728850000000002</v>
      </c>
      <c r="L57" s="137">
        <f t="shared" si="8"/>
        <v>3.6531907799999996</v>
      </c>
      <c r="M57" s="137">
        <f t="shared" si="8"/>
        <v>0.4203751</v>
      </c>
      <c r="N57" s="137">
        <f t="shared" si="8"/>
        <v>0</v>
      </c>
      <c r="O57" s="137">
        <f t="shared" si="8"/>
        <v>0</v>
      </c>
      <c r="P57" s="137">
        <f t="shared" si="8"/>
        <v>0</v>
      </c>
      <c r="Q57" s="137">
        <f t="shared" si="8"/>
        <v>0</v>
      </c>
      <c r="R57" s="137">
        <f t="shared" si="8"/>
        <v>0</v>
      </c>
      <c r="S57" s="137">
        <f t="shared" si="8"/>
        <v>0</v>
      </c>
      <c r="T57" s="137"/>
      <c r="U57" s="17"/>
      <c r="V57" s="64"/>
    </row>
    <row r="58" spans="1:22">
      <c r="A58" s="17"/>
      <c r="B58" s="17"/>
      <c r="C58" s="17"/>
      <c r="D58" s="120"/>
      <c r="E58" s="120"/>
      <c r="F58" s="120"/>
      <c r="G58" s="121"/>
      <c r="H58" s="121"/>
      <c r="I58" s="120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8"/>
    </row>
    <row r="59" spans="1:22" ht="12.75">
      <c r="A59" s="32"/>
      <c r="B59" s="38" t="s">
        <v>104</v>
      </c>
      <c r="C59" s="32"/>
      <c r="D59" s="32"/>
      <c r="E59" s="32"/>
      <c r="F59" s="118"/>
      <c r="G59" s="118"/>
      <c r="H59" s="118"/>
      <c r="I59" s="118"/>
      <c r="J59" s="34"/>
      <c r="K59" s="119"/>
      <c r="L59" s="34"/>
      <c r="M59" s="119"/>
      <c r="N59" s="34"/>
      <c r="O59" s="34"/>
      <c r="P59" s="34"/>
      <c r="Q59" s="34"/>
      <c r="R59" s="34"/>
      <c r="S59" s="34"/>
      <c r="T59" s="34"/>
      <c r="U59" s="34"/>
      <c r="V59" s="35"/>
    </row>
    <row r="60" spans="1:22">
      <c r="A60" s="17"/>
      <c r="B60" s="17"/>
      <c r="C60" s="17"/>
      <c r="D60" s="120"/>
      <c r="E60" s="120"/>
      <c r="F60" s="120"/>
      <c r="G60" s="120"/>
      <c r="H60" s="120"/>
      <c r="I60" s="120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8"/>
    </row>
    <row r="61" spans="1:22">
      <c r="A61" s="17"/>
      <c r="B61" s="17"/>
      <c r="C61" s="122" t="s">
        <v>105</v>
      </c>
      <c r="D61" s="121" t="s">
        <v>7</v>
      </c>
      <c r="E61" s="121" t="s">
        <v>8</v>
      </c>
      <c r="F61" s="121" t="s">
        <v>22</v>
      </c>
      <c r="G61" s="121"/>
      <c r="H61" s="121"/>
      <c r="I61" s="121"/>
      <c r="J61" s="123" t="str">
        <f t="shared" ref="J61:S61" si="9">IF(YEAR(J$4)=PPLastYear,J$4,"")</f>
        <v/>
      </c>
      <c r="K61" s="123" t="str">
        <f t="shared" si="9"/>
        <v/>
      </c>
      <c r="L61" s="123" t="str">
        <f t="shared" si="9"/>
        <v/>
      </c>
      <c r="M61" s="123" t="str">
        <f t="shared" si="9"/>
        <v/>
      </c>
      <c r="N61" s="123">
        <f t="shared" si="9"/>
        <v>46174</v>
      </c>
      <c r="O61" s="123" t="str">
        <f t="shared" si="9"/>
        <v/>
      </c>
      <c r="P61" s="123" t="str">
        <f t="shared" si="9"/>
        <v/>
      </c>
      <c r="Q61" s="123" t="str">
        <f t="shared" si="9"/>
        <v/>
      </c>
      <c r="R61" s="123" t="str">
        <f t="shared" si="9"/>
        <v/>
      </c>
      <c r="S61" s="123" t="str">
        <f t="shared" si="9"/>
        <v/>
      </c>
      <c r="T61" s="123"/>
      <c r="U61" s="17"/>
      <c r="V61" s="8"/>
    </row>
    <row r="62" spans="1:22">
      <c r="A62" s="17"/>
      <c r="B62" s="17"/>
      <c r="C62" s="122"/>
      <c r="D62" s="121"/>
      <c r="E62" s="121"/>
      <c r="F62" s="121"/>
      <c r="G62" s="121"/>
      <c r="H62" s="121"/>
      <c r="I62" s="121"/>
      <c r="J62" s="138"/>
      <c r="K62" s="138"/>
      <c r="L62" s="138"/>
      <c r="M62" s="138"/>
      <c r="N62" s="138"/>
      <c r="O62" s="138"/>
      <c r="P62" s="138"/>
      <c r="Q62" s="138"/>
      <c r="R62" s="138"/>
      <c r="S62" s="138"/>
      <c r="T62" s="138"/>
      <c r="U62" s="17"/>
      <c r="V62" s="8"/>
    </row>
    <row r="63" spans="1:22">
      <c r="A63" s="17"/>
      <c r="B63" s="17"/>
      <c r="C63" s="127" t="s">
        <v>216</v>
      </c>
      <c r="D63" s="120" t="s">
        <v>34</v>
      </c>
      <c r="E63" s="120" t="str">
        <f>units</f>
        <v>$millions</v>
      </c>
      <c r="F63" s="139">
        <v>46174</v>
      </c>
      <c r="G63" s="121"/>
      <c r="H63" s="121"/>
      <c r="I63" s="121"/>
      <c r="J63" s="129"/>
      <c r="K63" s="129"/>
      <c r="L63" s="129"/>
      <c r="M63" s="129"/>
      <c r="N63" s="129">
        <v>-0.74928021871394357</v>
      </c>
      <c r="O63" s="129"/>
      <c r="P63" s="129"/>
      <c r="Q63" s="129"/>
      <c r="R63" s="129"/>
      <c r="S63" s="129"/>
      <c r="T63" s="129"/>
      <c r="U63" s="17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>
      <c r="A64" s="17"/>
      <c r="B64" s="17"/>
      <c r="C64" s="127"/>
      <c r="D64" s="120" t="s">
        <v>34</v>
      </c>
      <c r="E64" s="120" t="str">
        <f>units</f>
        <v>$millions</v>
      </c>
      <c r="F64" s="139">
        <v>46174</v>
      </c>
      <c r="G64" s="121"/>
      <c r="H64" s="121"/>
      <c r="I64" s="121"/>
      <c r="J64" s="129"/>
      <c r="K64" s="129"/>
      <c r="L64" s="129"/>
      <c r="M64" s="129"/>
      <c r="N64" s="129"/>
      <c r="O64" s="129"/>
      <c r="P64" s="129"/>
      <c r="Q64" s="129"/>
      <c r="R64" s="129"/>
      <c r="S64" s="129"/>
      <c r="T64" s="129"/>
      <c r="U64" s="122"/>
      <c r="V64" s="64" t="str">
        <f>IF(ISBLANK(C64),IF(COUNT(J64:T64)=0,"Ok","Check"),IF(AND(NOT(ISBLANK(INDEX(J64:T64,1,MATCH(SUM($J$61:$T$61),J62:T62,0)))),COUNT(J64:T64)=COUNT($J$61:$T$61)),"Ok","Check"))</f>
        <v>Ok</v>
      </c>
    </row>
    <row r="65" spans="1:22">
      <c r="A65" s="17"/>
      <c r="B65" s="17"/>
      <c r="C65" s="127"/>
      <c r="D65" s="120" t="s">
        <v>34</v>
      </c>
      <c r="E65" s="120" t="str">
        <f>units</f>
        <v>$millions</v>
      </c>
      <c r="F65" s="139">
        <v>46174</v>
      </c>
      <c r="G65" s="121"/>
      <c r="H65" s="121"/>
      <c r="I65" s="121"/>
      <c r="J65" s="129"/>
      <c r="K65" s="129"/>
      <c r="L65" s="129"/>
      <c r="M65" s="129"/>
      <c r="N65" s="129"/>
      <c r="O65" s="129"/>
      <c r="P65" s="129"/>
      <c r="Q65" s="129"/>
      <c r="R65" s="129"/>
      <c r="S65" s="129"/>
      <c r="T65" s="129"/>
      <c r="U65" s="122"/>
      <c r="V65" s="64" t="str">
        <f>IF(ISBLANK(C65),IF(COUNT(J65:T65)=0,"Ok","Check"),IF(AND(NOT(ISBLANK(INDEX(J65:T65,1,MATCH(SUM($J$61:$T$61),J63:T63,0)))),COUNT(J65:T65)=COUNT($J$61:$T$61)),"Ok","Check"))</f>
        <v>Ok</v>
      </c>
    </row>
    <row r="66" spans="1:22">
      <c r="A66" s="17"/>
      <c r="B66" s="17"/>
      <c r="C66" s="127"/>
      <c r="D66" s="120" t="s">
        <v>34</v>
      </c>
      <c r="E66" s="120" t="str">
        <f>units</f>
        <v>$millions</v>
      </c>
      <c r="F66" s="139">
        <f>DATE(PPLastYear,MONTH(month),1)</f>
        <v>46174</v>
      </c>
      <c r="G66" s="121"/>
      <c r="H66" s="121"/>
      <c r="I66" s="121"/>
      <c r="J66" s="129"/>
      <c r="K66" s="129"/>
      <c r="L66" s="129"/>
      <c r="M66" s="129"/>
      <c r="N66" s="129"/>
      <c r="O66" s="129"/>
      <c r="P66" s="129"/>
      <c r="Q66" s="129"/>
      <c r="R66" s="129"/>
      <c r="S66" s="129"/>
      <c r="T66" s="129"/>
      <c r="U66" s="122"/>
      <c r="V66" s="64" t="str">
        <f>IF(ISBLANK(C66),IF(COUNT(J66:T66)=0,"Ok","Check"),IF(AND(NOT(ISBLANK(INDEX(J66:T66,1,MATCH(SUM($J$61:$T$61),J64:T64,0)))),COUNT(J66:T66)=COUNT($J$61:$T$61)),"Ok","Check"))</f>
        <v>Ok</v>
      </c>
    </row>
    <row r="67" spans="1:22">
      <c r="A67" s="17"/>
      <c r="B67" s="17"/>
      <c r="C67" s="127"/>
      <c r="D67" s="120" t="s">
        <v>34</v>
      </c>
      <c r="E67" s="120" t="str">
        <f>units</f>
        <v>$millions</v>
      </c>
      <c r="F67" s="139">
        <f>DATE(PPLastYear,MONTH(month),1)</f>
        <v>46174</v>
      </c>
      <c r="G67" s="121"/>
      <c r="H67" s="121"/>
      <c r="I67" s="121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2"/>
      <c r="V67" s="64" t="str">
        <f>IF(ISBLANK(C67),IF(COUNT(J67:T67)=0,"Ok","Check"),IF(AND(NOT(ISBLANK(INDEX(J67:T67,1,MATCH(SUM($J$61:$T$61),J65:T65,0)))),COUNT(J67:T67)=COUNT($J$61:$T$61)),"Ok","Check"))</f>
        <v>Ok</v>
      </c>
    </row>
    <row r="68" spans="1:22">
      <c r="A68" s="17"/>
      <c r="B68" s="17"/>
      <c r="C68" s="140"/>
      <c r="D68" s="120"/>
      <c r="E68" s="120"/>
      <c r="F68" s="121"/>
      <c r="G68" s="121"/>
      <c r="H68" s="121"/>
      <c r="I68" s="121"/>
      <c r="J68" s="141"/>
      <c r="K68" s="141"/>
      <c r="L68" s="141"/>
      <c r="M68" s="141"/>
      <c r="N68" s="141"/>
      <c r="O68" s="141"/>
      <c r="P68" s="141"/>
      <c r="Q68" s="141"/>
      <c r="R68" s="141"/>
      <c r="S68" s="141"/>
      <c r="T68" s="141"/>
      <c r="U68" s="122"/>
      <c r="V68" s="8"/>
    </row>
    <row r="69" spans="1:22">
      <c r="A69" s="17"/>
      <c r="B69" s="17"/>
      <c r="C69" s="142" t="s">
        <v>157</v>
      </c>
      <c r="D69" s="120" t="s">
        <v>34</v>
      </c>
      <c r="E69" s="120" t="str">
        <f>units</f>
        <v>$millions</v>
      </c>
      <c r="F69" s="139">
        <f>DATE(PPLastYear,MONTH(month),1)</f>
        <v>46174</v>
      </c>
      <c r="G69" s="121"/>
      <c r="H69" s="121"/>
      <c r="I69" s="121"/>
      <c r="J69" s="129"/>
      <c r="K69" s="129"/>
      <c r="L69" s="129"/>
      <c r="M69" s="129"/>
      <c r="N69" s="129">
        <v>0</v>
      </c>
      <c r="O69" s="129"/>
      <c r="P69" s="129"/>
      <c r="Q69" s="129"/>
      <c r="R69" s="129"/>
      <c r="S69" s="129"/>
      <c r="T69" s="129"/>
      <c r="U69" s="17" t="s">
        <v>202</v>
      </c>
      <c r="V69" s="64" t="str">
        <f>IF(AND(NOT(ISBLANK(INDEX(J69:T69,1,MATCH(SUM($J$61:$T$61),J67:T67,0)))),COUNT(J69:T69)=COUNT($J$61:$T$61)),"Ok","Check")</f>
        <v>Ok</v>
      </c>
    </row>
    <row r="70" spans="1:22">
      <c r="A70" s="17"/>
      <c r="B70" s="17"/>
      <c r="C70" s="142"/>
      <c r="D70" s="120"/>
      <c r="E70" s="120"/>
      <c r="F70" s="121"/>
      <c r="G70" s="121"/>
      <c r="H70" s="121"/>
      <c r="I70" s="121"/>
      <c r="J70" s="141"/>
      <c r="K70" s="141"/>
      <c r="L70" s="141"/>
      <c r="M70" s="141"/>
      <c r="N70" s="141"/>
      <c r="O70" s="141"/>
      <c r="P70" s="141"/>
      <c r="Q70" s="141"/>
      <c r="R70" s="141"/>
      <c r="S70" s="141"/>
      <c r="T70" s="141"/>
      <c r="U70" s="122"/>
      <c r="V70" s="8"/>
    </row>
    <row r="71" spans="1:22">
      <c r="A71" s="17"/>
      <c r="B71" s="17"/>
      <c r="C71" s="142" t="s">
        <v>84</v>
      </c>
      <c r="D71" s="120" t="s">
        <v>34</v>
      </c>
      <c r="E71" s="120" t="s">
        <v>31</v>
      </c>
      <c r="F71" s="121"/>
      <c r="G71" s="121"/>
      <c r="H71" s="121"/>
      <c r="I71" s="121"/>
      <c r="J71" s="143"/>
      <c r="K71" s="143"/>
      <c r="L71" s="143"/>
      <c r="M71" s="143"/>
      <c r="N71" s="143">
        <v>0</v>
      </c>
      <c r="O71" s="143"/>
      <c r="P71" s="143"/>
      <c r="Q71" s="143"/>
      <c r="R71" s="143"/>
      <c r="S71" s="143"/>
      <c r="T71" s="143"/>
      <c r="U71" s="17" t="s">
        <v>201</v>
      </c>
      <c r="V71" s="64" t="str">
        <f>IF(AND(NOT(ISBLANK(INDEX(J71:T71,1,MATCH(SUM($J$61:$T$61),J69:T69,0)))),COUNT(J71:T71)=COUNT($J$61:$T$61)),"Ok","Check")</f>
        <v>Ok</v>
      </c>
    </row>
    <row r="72" spans="1:22">
      <c r="A72" s="17"/>
      <c r="B72" s="17"/>
      <c r="C72" s="125"/>
      <c r="D72" s="120"/>
      <c r="E72" s="120"/>
      <c r="F72" s="120"/>
      <c r="G72" s="121"/>
      <c r="H72" s="121"/>
      <c r="I72" s="120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8"/>
    </row>
    <row r="73" spans="1:22" ht="12.75">
      <c r="A73" s="32"/>
      <c r="B73" s="38" t="s">
        <v>21</v>
      </c>
      <c r="C73" s="32"/>
      <c r="D73" s="32"/>
      <c r="E73" s="32"/>
      <c r="F73" s="118"/>
      <c r="G73" s="118"/>
      <c r="H73" s="118"/>
      <c r="I73" s="118"/>
      <c r="J73" s="34"/>
      <c r="K73" s="119"/>
      <c r="L73" s="34"/>
      <c r="M73" s="119"/>
      <c r="N73" s="34"/>
      <c r="O73" s="34"/>
      <c r="P73" s="34"/>
      <c r="Q73" s="34"/>
      <c r="R73" s="34"/>
      <c r="S73" s="34"/>
      <c r="T73" s="34"/>
      <c r="U73" s="34"/>
      <c r="V73" s="35"/>
    </row>
  </sheetData>
  <conditionalFormatting sqref="V52:V55">
    <cfRule type="cellIs" dxfId="222" priority="86" operator="equal">
      <formula>"Check"</formula>
    </cfRule>
    <cfRule type="cellIs" dxfId="221" priority="87" operator="equal">
      <formula>"Ok"</formula>
    </cfRule>
  </conditionalFormatting>
  <conditionalFormatting sqref="V57">
    <cfRule type="cellIs" dxfId="220" priority="84" operator="equal">
      <formula>"Check"</formula>
    </cfRule>
    <cfRule type="cellIs" dxfId="219" priority="85" operator="equal">
      <formula>"Ok"</formula>
    </cfRule>
  </conditionalFormatting>
  <conditionalFormatting sqref="V15">
    <cfRule type="cellIs" dxfId="218" priority="82" operator="equal">
      <formula>"Check"</formula>
    </cfRule>
    <cfRule type="cellIs" dxfId="217" priority="83" operator="equal">
      <formula>"Ok"</formula>
    </cfRule>
  </conditionalFormatting>
  <conditionalFormatting sqref="V1">
    <cfRule type="cellIs" dxfId="216" priority="80" operator="equal">
      <formula>"Check"</formula>
    </cfRule>
    <cfRule type="cellIs" dxfId="215" priority="81" operator="equal">
      <formula>"Ok"</formula>
    </cfRule>
  </conditionalFormatting>
  <conditionalFormatting sqref="S1">
    <cfRule type="cellIs" dxfId="214" priority="78" operator="equal">
      <formula>"Check"</formula>
    </cfRule>
    <cfRule type="cellIs" dxfId="213" priority="79" operator="equal">
      <formula>"Ok"</formula>
    </cfRule>
  </conditionalFormatting>
  <conditionalFormatting sqref="J15:N15">
    <cfRule type="cellIs" dxfId="212" priority="77" operator="equal">
      <formula>0</formula>
    </cfRule>
  </conditionalFormatting>
  <conditionalFormatting sqref="J57:N57">
    <cfRule type="cellIs" dxfId="211" priority="76" operator="equal">
      <formula>0</formula>
    </cfRule>
  </conditionalFormatting>
  <conditionalFormatting sqref="V48:V50">
    <cfRule type="cellIs" dxfId="210" priority="74" operator="equal">
      <formula>"Check"</formula>
    </cfRule>
    <cfRule type="cellIs" dxfId="209" priority="75" operator="equal">
      <formula>"Ok"</formula>
    </cfRule>
  </conditionalFormatting>
  <conditionalFormatting sqref="J33:N33 N37 N42:N45 O55:T55 R54:T54 O54 J42:L45 J41:N42 J51:N53">
    <cfRule type="expression" dxfId="208" priority="72">
      <formula>J$34=J$4</formula>
    </cfRule>
  </conditionalFormatting>
  <conditionalFormatting sqref="J20:N27 J13:O13">
    <cfRule type="expression" dxfId="207" priority="71">
      <formula>J$10=J$4</formula>
    </cfRule>
  </conditionalFormatting>
  <conditionalFormatting sqref="J37:N37">
    <cfRule type="expression" dxfId="206" priority="68">
      <formula>J$10=J$4</formula>
    </cfRule>
  </conditionalFormatting>
  <conditionalFormatting sqref="V47">
    <cfRule type="cellIs" dxfId="205" priority="66" operator="equal">
      <formula>"Check"</formula>
    </cfRule>
    <cfRule type="cellIs" dxfId="204" priority="67" operator="equal">
      <formula>"Ok"</formula>
    </cfRule>
  </conditionalFormatting>
  <conditionalFormatting sqref="J47:N47">
    <cfRule type="cellIs" dxfId="203" priority="64" operator="equal">
      <formula>0</formula>
    </cfRule>
  </conditionalFormatting>
  <conditionalFormatting sqref="J69:T69 J71:T71 J63:T67">
    <cfRule type="expression" dxfId="202" priority="63">
      <formula>J$61=J$4</formula>
    </cfRule>
  </conditionalFormatting>
  <conditionalFormatting sqref="V29">
    <cfRule type="cellIs" dxfId="201" priority="59" operator="equal">
      <formula>"Check"</formula>
    </cfRule>
    <cfRule type="cellIs" dxfId="200" priority="60" operator="equal">
      <formula>"Ok"</formula>
    </cfRule>
  </conditionalFormatting>
  <conditionalFormatting sqref="J29:N29">
    <cfRule type="cellIs" dxfId="199" priority="58" operator="equal">
      <formula>0</formula>
    </cfRule>
  </conditionalFormatting>
  <conditionalFormatting sqref="T1">
    <cfRule type="cellIs" dxfId="198" priority="51" operator="equal">
      <formula>"Check"</formula>
    </cfRule>
    <cfRule type="cellIs" dxfId="197" priority="52" operator="equal">
      <formula>"Ok"</formula>
    </cfRule>
  </conditionalFormatting>
  <conditionalFormatting sqref="O57:T57">
    <cfRule type="cellIs" dxfId="196" priority="33" operator="equal">
      <formula>0</formula>
    </cfRule>
  </conditionalFormatting>
  <conditionalFormatting sqref="O37:T37">
    <cfRule type="expression" dxfId="195" priority="30">
      <formula>O$10=O$4</formula>
    </cfRule>
  </conditionalFormatting>
  <conditionalFormatting sqref="O47:T47">
    <cfRule type="cellIs" dxfId="194" priority="29" operator="equal">
      <formula>0</formula>
    </cfRule>
  </conditionalFormatting>
  <conditionalFormatting sqref="O29:T29">
    <cfRule type="cellIs" dxfId="193" priority="27" operator="equal">
      <formula>0</formula>
    </cfRule>
  </conditionalFormatting>
  <conditionalFormatting sqref="O15:T15">
    <cfRule type="cellIs" dxfId="192" priority="34" operator="equal">
      <formula>0</formula>
    </cfRule>
  </conditionalFormatting>
  <conditionalFormatting sqref="O41:T45 O33:T33 O37:T37 O51:T51 P52:T53">
    <cfRule type="expression" dxfId="191" priority="32">
      <formula>O$34=O$4</formula>
    </cfRule>
  </conditionalFormatting>
  <conditionalFormatting sqref="P13:T13 O20:T27 P19:T19">
    <cfRule type="expression" dxfId="190" priority="31">
      <formula>O$10=O$4</formula>
    </cfRule>
  </conditionalFormatting>
  <conditionalFormatting sqref="J19:O19">
    <cfRule type="expression" dxfId="189" priority="26">
      <formula>J$10=J$4</formula>
    </cfRule>
  </conditionalFormatting>
  <conditionalFormatting sqref="O52:O53 J53:N55">
    <cfRule type="expression" dxfId="188" priority="25">
      <formula>J$34=J$4</formula>
    </cfRule>
  </conditionalFormatting>
  <conditionalFormatting sqref="M42:M45">
    <cfRule type="expression" dxfId="187" priority="24">
      <formula>M$34=M$4</formula>
    </cfRule>
  </conditionalFormatting>
  <conditionalFormatting sqref="J52:N52">
    <cfRule type="expression" dxfId="186" priority="22">
      <formula>J$34=J$4</formula>
    </cfRule>
  </conditionalFormatting>
  <conditionalFormatting sqref="V13">
    <cfRule type="cellIs" dxfId="185" priority="19" operator="equal">
      <formula>"Check"</formula>
    </cfRule>
    <cfRule type="cellIs" dxfId="184" priority="20" operator="equal">
      <formula>"Ok"</formula>
    </cfRule>
  </conditionalFormatting>
  <conditionalFormatting sqref="V19:V27">
    <cfRule type="cellIs" dxfId="183" priority="17" operator="equal">
      <formula>"Check"</formula>
    </cfRule>
    <cfRule type="cellIs" dxfId="182" priority="18" operator="equal">
      <formula>"Ok"</formula>
    </cfRule>
  </conditionalFormatting>
  <conditionalFormatting sqref="V37">
    <cfRule type="cellIs" dxfId="181" priority="13" operator="equal">
      <formula>"Check"</formula>
    </cfRule>
    <cfRule type="cellIs" dxfId="180" priority="14" operator="equal">
      <formula>"Ok"</formula>
    </cfRule>
  </conditionalFormatting>
  <conditionalFormatting sqref="V41:V45">
    <cfRule type="cellIs" dxfId="179" priority="9" operator="equal">
      <formula>"Check"</formula>
    </cfRule>
    <cfRule type="cellIs" dxfId="178" priority="10" operator="equal">
      <formula>"Ok"</formula>
    </cfRule>
  </conditionalFormatting>
  <conditionalFormatting sqref="V51:V55">
    <cfRule type="cellIs" dxfId="177" priority="7" operator="equal">
      <formula>"Check"</formula>
    </cfRule>
    <cfRule type="cellIs" dxfId="176" priority="8" operator="equal">
      <formula>"Ok"</formula>
    </cfRule>
  </conditionalFormatting>
  <conditionalFormatting sqref="V63:V67">
    <cfRule type="cellIs" dxfId="175" priority="5" operator="equal">
      <formula>"Check"</formula>
    </cfRule>
    <cfRule type="cellIs" dxfId="174" priority="6" operator="equal">
      <formula>"Ok"</formula>
    </cfRule>
  </conditionalFormatting>
  <conditionalFormatting sqref="V69">
    <cfRule type="cellIs" dxfId="173" priority="3" operator="equal">
      <formula>"Check"</formula>
    </cfRule>
    <cfRule type="cellIs" dxfId="172" priority="4" operator="equal">
      <formula>"Ok"</formula>
    </cfRule>
  </conditionalFormatting>
  <conditionalFormatting sqref="V71">
    <cfRule type="cellIs" dxfId="171" priority="1" operator="equal">
      <formula>"Check"</formula>
    </cfRule>
    <cfRule type="cellIs" dxfId="170" priority="2" operator="equal">
      <formula>"Ok"</formula>
    </cfRule>
  </conditionalFormatting>
  <conditionalFormatting sqref="Q54">
    <cfRule type="expression" dxfId="169" priority="184">
      <formula>P$34=P$4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Q54:T54 J19:T27 J51:T53 J37:T37 J55:T55 J54:O54 J13:T13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topLeftCell="A3" workbookViewId="0">
      <selection activeCell="P115" sqref="P115"/>
    </sheetView>
  </sheetViews>
  <sheetFormatPr defaultColWidth="0" defaultRowHeight="11.25" zeroHeight="1" outlineLevelRow="1"/>
  <cols>
    <col min="1" max="2" width="1.5" style="8" customWidth="1"/>
    <col min="3" max="3" width="57.5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33203125" style="16" customWidth="1"/>
    <col min="10" max="10" width="10.6640625" style="16" customWidth="1"/>
    <col min="11" max="24" width="10.6640625" style="8" customWidth="1"/>
    <col min="25" max="16384" width="10.5" style="8" hidden="1"/>
  </cols>
  <sheetData>
    <row r="1" spans="1:34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5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86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>
      <c r="D3" s="105"/>
      <c r="E3" s="105"/>
      <c r="F3" s="105"/>
      <c r="G3" s="105"/>
      <c r="H3" s="105"/>
      <c r="I3" s="105"/>
      <c r="J3" s="96" t="s">
        <v>109</v>
      </c>
      <c r="K3" s="196"/>
      <c r="L3" s="196"/>
      <c r="M3" s="196"/>
      <c r="N3" s="105"/>
      <c r="O3" s="196"/>
      <c r="P3" s="196"/>
      <c r="Q3" s="196"/>
      <c r="R3" s="196"/>
      <c r="S3" s="196"/>
      <c r="T3" s="196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 ht="10.5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7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</row>
    <row r="6" spans="1:34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7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</row>
    <row r="7" spans="1:34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7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</row>
    <row r="8" spans="1:34" customFormat="1" ht="12.75">
      <c r="A8" s="32"/>
      <c r="B8" s="38" t="s">
        <v>35</v>
      </c>
      <c r="C8" s="32"/>
      <c r="D8" s="32"/>
      <c r="E8" s="32"/>
      <c r="F8" s="118"/>
      <c r="G8" s="118"/>
      <c r="H8" s="118"/>
      <c r="I8" s="118"/>
      <c r="J8" s="118"/>
      <c r="K8" s="34"/>
      <c r="L8" s="119"/>
      <c r="M8" s="34"/>
      <c r="N8" s="119"/>
      <c r="O8" s="34"/>
      <c r="P8" s="34"/>
      <c r="Q8" s="34"/>
      <c r="R8" s="34"/>
      <c r="S8" s="34"/>
      <c r="T8" s="34"/>
      <c r="U8" s="34"/>
      <c r="V8" s="34"/>
      <c r="W8" s="34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7"/>
      <c r="B9" s="17"/>
      <c r="C9" s="17"/>
      <c r="D9" s="120"/>
      <c r="E9" s="120"/>
      <c r="F9" s="120"/>
      <c r="G9" s="120"/>
      <c r="H9" s="120"/>
      <c r="I9" s="120"/>
      <c r="J9" s="120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r="10" spans="1:34" ht="11.25" customHeight="1" outlineLevel="1">
      <c r="A10" s="17"/>
      <c r="B10" s="17"/>
      <c r="C10" s="122" t="s">
        <v>33</v>
      </c>
      <c r="D10" s="120"/>
      <c r="E10" s="120"/>
      <c r="F10" s="120"/>
      <c r="G10" s="120"/>
      <c r="H10" s="120"/>
      <c r="I10" s="120"/>
      <c r="J10" s="123">
        <f t="shared" ref="J10:T10" si="0">IF(YEAR(J$4)&lt;=PPLastYear,J$4,"")</f>
        <v>44348</v>
      </c>
      <c r="K10" s="123">
        <f t="shared" si="0"/>
        <v>44713</v>
      </c>
      <c r="L10" s="123">
        <f t="shared" si="0"/>
        <v>45078</v>
      </c>
      <c r="M10" s="123">
        <f t="shared" si="0"/>
        <v>45444</v>
      </c>
      <c r="N10" s="123">
        <f t="shared" si="0"/>
        <v>45809</v>
      </c>
      <c r="O10" s="123">
        <f t="shared" si="0"/>
        <v>46174</v>
      </c>
      <c r="P10" s="123" t="str">
        <f t="shared" si="0"/>
        <v/>
      </c>
      <c r="Q10" s="123" t="str">
        <f t="shared" si="0"/>
        <v/>
      </c>
      <c r="R10" s="123" t="str">
        <f t="shared" si="0"/>
        <v/>
      </c>
      <c r="S10" s="123" t="str">
        <f t="shared" si="0"/>
        <v/>
      </c>
      <c r="T10" s="123" t="str">
        <f t="shared" si="0"/>
        <v/>
      </c>
      <c r="U10" s="138"/>
      <c r="V10" s="17"/>
      <c r="W10" s="17"/>
    </row>
    <row r="11" spans="1:34" ht="11.25" customHeight="1" outlineLevel="1">
      <c r="A11" s="17"/>
      <c r="B11" s="17"/>
      <c r="C11" s="122"/>
      <c r="D11" s="120"/>
      <c r="E11" s="120"/>
      <c r="F11" s="120"/>
      <c r="G11" s="120"/>
      <c r="H11" s="120"/>
      <c r="I11" s="120"/>
      <c r="J11" s="17"/>
      <c r="K11" s="17"/>
      <c r="L11" s="17"/>
      <c r="M11" s="17"/>
      <c r="N11" s="17"/>
      <c r="O11" s="17"/>
      <c r="P11" s="148"/>
      <c r="Q11" s="148"/>
      <c r="R11" s="148"/>
      <c r="S11" s="148"/>
      <c r="T11" s="148"/>
      <c r="U11" s="148"/>
      <c r="V11" s="149"/>
      <c r="W11" s="149"/>
      <c r="X11" s="14"/>
    </row>
    <row r="12" spans="1:34" ht="11.25" customHeight="1" outlineLevel="1">
      <c r="A12" s="17"/>
      <c r="B12" s="17"/>
      <c r="C12" s="125" t="s">
        <v>33</v>
      </c>
      <c r="D12" s="150" t="s">
        <v>93</v>
      </c>
      <c r="E12" s="120" t="str">
        <f>percent</f>
        <v>Per cent</v>
      </c>
      <c r="F12" s="120"/>
      <c r="G12" s="120"/>
      <c r="H12" s="120"/>
      <c r="I12" s="120"/>
      <c r="J12" s="148">
        <f>IF(J10=J4,LOOKUP(EOMONTH(J4,0),'Input|Inflation'!$C$9:$C$88,'Input|Inflation'!$I$9:$I$88),"")</f>
        <v>3.8461538461538325E-2</v>
      </c>
      <c r="K12" s="148">
        <f>IF(K10=K4,LOOKUP(EOMONTH(K4,0),'Input|Inflation'!$C$9:$C$88,'Input|Inflation'!$I$9:$I$88),"")</f>
        <v>6.1447811447811418E-2</v>
      </c>
      <c r="L12" s="148">
        <f>IF(L10=L4,LOOKUP(EOMONTH(L4,0),'Input|Inflation'!$C$9:$C$88,'Input|Inflation'!$I$9:$I$88),"")</f>
        <v>6.0269627279936566E-2</v>
      </c>
      <c r="M12" s="148">
        <f>IF(M10=M4,LOOKUP(EOMONTH(M4,0),'Input|Inflation'!$C$9:$C$88,'Input|Inflation'!$I$9:$I$88),"")</f>
        <v>3.8145100972326151E-2</v>
      </c>
      <c r="N12" s="148">
        <f>IF(N10=N4,LOOKUP(EOMONTH(N4,0),'Input|Inflation'!$C$9:$C$88,'Input|Inflation'!$I$9:$I$88),"")</f>
        <v>2.0893371757924939E-2</v>
      </c>
      <c r="O12" s="148">
        <f>IF(O10=O4,LOOKUP(EOMONTH(O4,0),'Input|Inflation'!$C$9:$C$88,'Input|Inflation'!$I$9:$I$88),"")</f>
        <v>4.2000000000000037E-2</v>
      </c>
      <c r="P12" s="148" t="str">
        <f>IF(P10=P4,LOOKUP(EOMONTH(P4,0),'Input|Inflation'!$C$9:$C$88,'Input|Inflation'!$I$9:$I$88),"")</f>
        <v/>
      </c>
      <c r="Q12" s="148" t="str">
        <f>IF(Q10=Q4,LOOKUP(EOMONTH(Q4,0),'Input|Inflation'!$C$9:$C$88,'Input|Inflation'!$I$9:$I$88),"")</f>
        <v/>
      </c>
      <c r="R12" s="148" t="str">
        <f>IF(R10=R4,LOOKUP(EOMONTH(R4,0),'Input|Inflation'!$C$9:$C$88,'Input|Inflation'!$I$9:$I$88),"")</f>
        <v/>
      </c>
      <c r="S12" s="148" t="str">
        <f>IF(S10=S4,LOOKUP(EOMONTH(S4,0),'Input|Inflation'!$C$9:$C$88,'Input|Inflation'!$I$9:$I$88),"")</f>
        <v/>
      </c>
      <c r="T12" s="148" t="str">
        <f>IF(T10=T4,LOOKUP(EOMONTH(T4,0),'Input|Inflation'!$C$9:$C$88,'Input|Inflation'!$I$9:$I$88),"")</f>
        <v/>
      </c>
      <c r="U12" s="148"/>
      <c r="V12" s="151"/>
      <c r="W12" s="17"/>
    </row>
    <row r="13" spans="1:34" ht="11.25" customHeight="1" outlineLevel="1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r="14" spans="1:34" ht="11.25" customHeight="1" outlineLevel="1">
      <c r="A14" s="17"/>
      <c r="B14" s="17"/>
      <c r="C14" s="122" t="s">
        <v>94</v>
      </c>
      <c r="D14" s="120"/>
      <c r="E14" s="120"/>
      <c r="F14" s="120"/>
      <c r="G14" s="120"/>
      <c r="H14" s="120"/>
      <c r="I14" s="17"/>
      <c r="J14" s="123">
        <f t="shared" ref="J14:T14" si="1">IF(YEAR(J$4)&lt;=PPLastYear,J$4,"")</f>
        <v>44348</v>
      </c>
      <c r="K14" s="123">
        <f t="shared" si="1"/>
        <v>44713</v>
      </c>
      <c r="L14" s="123">
        <f t="shared" si="1"/>
        <v>45078</v>
      </c>
      <c r="M14" s="123">
        <f t="shared" si="1"/>
        <v>45444</v>
      </c>
      <c r="N14" s="123">
        <f t="shared" si="1"/>
        <v>45809</v>
      </c>
      <c r="O14" s="123">
        <f t="shared" si="1"/>
        <v>46174</v>
      </c>
      <c r="P14" s="123" t="str">
        <f t="shared" si="1"/>
        <v/>
      </c>
      <c r="Q14" s="123" t="str">
        <f t="shared" si="1"/>
        <v/>
      </c>
      <c r="R14" s="123" t="str">
        <f t="shared" si="1"/>
        <v/>
      </c>
      <c r="S14" s="123" t="str">
        <f t="shared" si="1"/>
        <v/>
      </c>
      <c r="T14" s="123" t="str">
        <f t="shared" si="1"/>
        <v/>
      </c>
      <c r="U14" s="138"/>
      <c r="V14" s="17"/>
      <c r="W14" s="17"/>
    </row>
    <row r="15" spans="1:34" ht="11.25" customHeight="1" outlineLevel="1">
      <c r="A15" s="17"/>
      <c r="B15" s="17"/>
      <c r="C15" s="122"/>
      <c r="D15" s="120"/>
      <c r="E15" s="120"/>
      <c r="F15" s="120"/>
      <c r="G15" s="120"/>
      <c r="H15" s="120"/>
      <c r="I15" s="17"/>
      <c r="J15" s="149"/>
      <c r="K15" s="149"/>
      <c r="L15" s="149"/>
      <c r="M15" s="149"/>
      <c r="N15" s="149"/>
      <c r="O15" s="149"/>
      <c r="P15" s="152"/>
      <c r="Q15" s="152"/>
      <c r="R15" s="152"/>
      <c r="S15" s="152"/>
      <c r="T15" s="152"/>
      <c r="U15" s="152"/>
      <c r="V15" s="17"/>
      <c r="W15" s="17"/>
    </row>
    <row r="16" spans="1:34" ht="11.25" customHeight="1" outlineLevel="1">
      <c r="A16" s="17"/>
      <c r="B16" s="17"/>
      <c r="C16" s="153">
        <f t="array" ref="C16:C22">TRANSPOSE(J10:P10)</f>
        <v>44348</v>
      </c>
      <c r="D16" s="150" t="str">
        <f t="shared" ref="D16:D22" si="2">IF(ISNONTEXT($C16),"calculated","")</f>
        <v>calculated</v>
      </c>
      <c r="E16" s="120" t="str">
        <f>IF(ISNONTEXT($C16),"index","")</f>
        <v>index</v>
      </c>
      <c r="F16" s="120"/>
      <c r="G16" s="120"/>
      <c r="H16" s="120"/>
      <c r="I16" s="120"/>
      <c r="J16" s="154">
        <f t="shared" ref="J16:O22" si="3">IF(AND($C16&gt;J$14,ISNONTEXT($C16)),K16/(1+K$12),IF(AND($C16=J$14,J$14=J$4),1,IF(AND($C16&lt;J$14,J$14=J$4),I16*(1+J$12),0)))</f>
        <v>1</v>
      </c>
      <c r="K16" s="154">
        <f t="shared" si="3"/>
        <v>1.0614478114478114</v>
      </c>
      <c r="L16" s="154">
        <f t="shared" si="3"/>
        <v>1.1254208754208754</v>
      </c>
      <c r="M16" s="154">
        <f t="shared" si="3"/>
        <v>1.1683501683501685</v>
      </c>
      <c r="N16" s="154">
        <f t="shared" si="3"/>
        <v>1.1927609427609427</v>
      </c>
      <c r="O16" s="154">
        <f t="shared" si="3"/>
        <v>1.2428569023569023</v>
      </c>
      <c r="P16" s="154">
        <f t="shared" ref="P16:P21" si="4">IF(AND($C16&gt;P$14,ISNONTEXT($C16)),Q16/(1+P$12),IF(AND($C16=P$14,P$14=P$4),1,IF(AND($C16&lt;P$14,P$14=P$4),O16*(1+P$12),0)))</f>
        <v>0</v>
      </c>
      <c r="Q16" s="155"/>
      <c r="R16" s="155"/>
      <c r="S16" s="155"/>
      <c r="T16" s="155"/>
      <c r="U16" s="155"/>
      <c r="V16" s="17"/>
      <c r="W16" s="17"/>
    </row>
    <row r="17" spans="1:23" ht="11.25" customHeight="1" outlineLevel="1">
      <c r="A17" s="17"/>
      <c r="B17" s="17"/>
      <c r="C17" s="153">
        <v>44713</v>
      </c>
      <c r="D17" s="150" t="str">
        <f t="shared" si="2"/>
        <v>calculated</v>
      </c>
      <c r="E17" s="120" t="str">
        <f t="shared" ref="E17:E22" si="5">IF(ISNONTEXT($C17),"index","")</f>
        <v>index</v>
      </c>
      <c r="F17" s="120"/>
      <c r="G17" s="120"/>
      <c r="H17" s="120"/>
      <c r="I17" s="154"/>
      <c r="J17" s="154">
        <f t="shared" si="3"/>
        <v>0.94210943695479776</v>
      </c>
      <c r="K17" s="154">
        <f t="shared" si="3"/>
        <v>1</v>
      </c>
      <c r="L17" s="154">
        <f t="shared" si="3"/>
        <v>1.0602696272799366</v>
      </c>
      <c r="M17" s="154">
        <f t="shared" si="3"/>
        <v>1.1007137192704204</v>
      </c>
      <c r="N17" s="154">
        <f t="shared" si="3"/>
        <v>1.1237113402061856</v>
      </c>
      <c r="O17" s="154">
        <f t="shared" si="3"/>
        <v>1.1709072164948453</v>
      </c>
      <c r="P17" s="154">
        <f t="shared" si="4"/>
        <v>0</v>
      </c>
      <c r="Q17" s="155"/>
      <c r="R17" s="155"/>
      <c r="S17" s="155"/>
      <c r="T17" s="155"/>
      <c r="U17" s="155"/>
      <c r="V17" s="17"/>
      <c r="W17" s="17"/>
    </row>
    <row r="18" spans="1:23" ht="11.25" customHeight="1" outlineLevel="1">
      <c r="A18" s="17"/>
      <c r="B18" s="17"/>
      <c r="C18" s="153">
        <v>45078</v>
      </c>
      <c r="D18" s="150" t="str">
        <f t="shared" si="2"/>
        <v>calculated</v>
      </c>
      <c r="E18" s="120" t="str">
        <f t="shared" si="5"/>
        <v>index</v>
      </c>
      <c r="F18" s="120"/>
      <c r="G18" s="120"/>
      <c r="H18" s="120"/>
      <c r="I18" s="154"/>
      <c r="J18" s="154">
        <f t="shared" si="3"/>
        <v>0.88855646970830215</v>
      </c>
      <c r="K18" s="154">
        <f t="shared" si="3"/>
        <v>0.94315632011967088</v>
      </c>
      <c r="L18" s="154">
        <f t="shared" si="3"/>
        <v>1</v>
      </c>
      <c r="M18" s="154">
        <f t="shared" si="3"/>
        <v>1.0381451009723262</v>
      </c>
      <c r="N18" s="154">
        <f t="shared" si="3"/>
        <v>1.0598354525056095</v>
      </c>
      <c r="O18" s="154">
        <f t="shared" si="3"/>
        <v>1.1043485415108452</v>
      </c>
      <c r="P18" s="154">
        <f t="shared" si="4"/>
        <v>0</v>
      </c>
      <c r="Q18" s="155"/>
      <c r="R18" s="155"/>
      <c r="S18" s="155"/>
      <c r="T18" s="155"/>
      <c r="U18" s="155"/>
      <c r="V18" s="17"/>
      <c r="W18" s="17"/>
    </row>
    <row r="19" spans="1:23" ht="11.25" customHeight="1" outlineLevel="1">
      <c r="A19" s="17"/>
      <c r="B19" s="17"/>
      <c r="C19" s="153">
        <v>45444</v>
      </c>
      <c r="D19" s="150" t="str">
        <f t="shared" si="2"/>
        <v>calculated</v>
      </c>
      <c r="E19" s="120" t="str">
        <f t="shared" si="5"/>
        <v>index</v>
      </c>
      <c r="F19" s="120"/>
      <c r="G19" s="120"/>
      <c r="H19" s="120"/>
      <c r="I19" s="154"/>
      <c r="J19" s="154">
        <f t="shared" si="3"/>
        <v>0.85590778097982712</v>
      </c>
      <c r="K19" s="154">
        <f t="shared" si="3"/>
        <v>0.90850144092219021</v>
      </c>
      <c r="L19" s="154">
        <f t="shared" si="3"/>
        <v>0.96325648414985587</v>
      </c>
      <c r="M19" s="154">
        <f t="shared" si="3"/>
        <v>1</v>
      </c>
      <c r="N19" s="154">
        <f t="shared" si="3"/>
        <v>1.0208933717579249</v>
      </c>
      <c r="O19" s="154">
        <f t="shared" si="3"/>
        <v>1.0637708933717578</v>
      </c>
      <c r="P19" s="154">
        <f t="shared" si="4"/>
        <v>0</v>
      </c>
      <c r="Q19" s="155"/>
      <c r="R19" s="155"/>
      <c r="S19" s="155"/>
      <c r="T19" s="155"/>
      <c r="U19" s="155"/>
      <c r="V19" s="17"/>
      <c r="W19" s="17"/>
    </row>
    <row r="20" spans="1:23" ht="11.25" customHeight="1" outlineLevel="1">
      <c r="A20" s="17"/>
      <c r="B20" s="17"/>
      <c r="C20" s="153">
        <v>45809</v>
      </c>
      <c r="D20" s="150" t="str">
        <f t="shared" si="2"/>
        <v>calculated</v>
      </c>
      <c r="E20" s="120" t="str">
        <f t="shared" si="5"/>
        <v>index</v>
      </c>
      <c r="F20" s="120"/>
      <c r="G20" s="120"/>
      <c r="H20" s="120"/>
      <c r="I20" s="154"/>
      <c r="J20" s="154">
        <f t="shared" si="3"/>
        <v>0.83839096683133396</v>
      </c>
      <c r="K20" s="154">
        <f t="shared" si="3"/>
        <v>0.88990825688073405</v>
      </c>
      <c r="L20" s="154">
        <f t="shared" si="3"/>
        <v>0.94354269583627393</v>
      </c>
      <c r="M20" s="154">
        <f t="shared" si="3"/>
        <v>0.97953422724064942</v>
      </c>
      <c r="N20" s="154">
        <f t="shared" si="3"/>
        <v>1</v>
      </c>
      <c r="O20" s="154">
        <f t="shared" si="3"/>
        <v>1.042</v>
      </c>
      <c r="P20" s="154">
        <f t="shared" si="4"/>
        <v>0</v>
      </c>
      <c r="Q20" s="155"/>
      <c r="R20" s="155"/>
      <c r="S20" s="155"/>
      <c r="T20" s="155"/>
      <c r="U20" s="155"/>
      <c r="V20" s="17"/>
      <c r="W20" s="17"/>
    </row>
    <row r="21" spans="1:23" ht="11.25" customHeight="1" outlineLevel="1">
      <c r="A21" s="17"/>
      <c r="B21" s="17"/>
      <c r="C21" s="153">
        <v>46174</v>
      </c>
      <c r="D21" s="150" t="str">
        <f t="shared" si="2"/>
        <v>calculated</v>
      </c>
      <c r="E21" s="120" t="str">
        <f t="shared" si="5"/>
        <v>index</v>
      </c>
      <c r="F21" s="120"/>
      <c r="G21" s="120"/>
      <c r="H21" s="120"/>
      <c r="I21" s="154"/>
      <c r="J21" s="154">
        <f t="shared" si="3"/>
        <v>0.8045978568438904</v>
      </c>
      <c r="K21" s="154">
        <f t="shared" si="3"/>
        <v>0.854038634242547</v>
      </c>
      <c r="L21" s="154">
        <f t="shared" si="3"/>
        <v>0.9055112244110114</v>
      </c>
      <c r="M21" s="154">
        <f t="shared" si="3"/>
        <v>0.94005204149774413</v>
      </c>
      <c r="N21" s="154">
        <f t="shared" si="3"/>
        <v>0.95969289827255277</v>
      </c>
      <c r="O21" s="154">
        <f t="shared" si="3"/>
        <v>1</v>
      </c>
      <c r="P21" s="154">
        <f t="shared" si="4"/>
        <v>0</v>
      </c>
      <c r="Q21" s="155"/>
      <c r="R21" s="155"/>
      <c r="S21" s="155"/>
      <c r="T21" s="155"/>
      <c r="U21" s="155"/>
      <c r="V21" s="17"/>
      <c r="W21" s="17"/>
    </row>
    <row r="22" spans="1:23" ht="11.25" customHeight="1" outlineLevel="1">
      <c r="A22" s="17"/>
      <c r="B22" s="17"/>
      <c r="C22" s="153" t="str">
        <v/>
      </c>
      <c r="D22" s="150" t="str">
        <f t="shared" si="2"/>
        <v/>
      </c>
      <c r="E22" s="120" t="str">
        <f t="shared" si="5"/>
        <v/>
      </c>
      <c r="F22" s="120"/>
      <c r="G22" s="120"/>
      <c r="H22" s="120"/>
      <c r="I22" s="154"/>
      <c r="J22" s="154">
        <f t="shared" si="3"/>
        <v>0</v>
      </c>
      <c r="K22" s="154">
        <f t="shared" si="3"/>
        <v>0</v>
      </c>
      <c r="L22" s="154">
        <f t="shared" si="3"/>
        <v>0</v>
      </c>
      <c r="M22" s="154">
        <f t="shared" si="3"/>
        <v>0</v>
      </c>
      <c r="N22" s="154">
        <f t="shared" si="3"/>
        <v>0</v>
      </c>
      <c r="O22" s="154">
        <f t="shared" si="3"/>
        <v>0</v>
      </c>
      <c r="P22" s="154">
        <f>IF(AND($C22&gt;P$14,ISNONTEXT($C22)),Q22/(1+Q$12),IF(AND($C22=P$14,P$14=P$4),1,IF(AND($C22&lt;P$14,P$14=P$4),O22*(1+P$12),0)))</f>
        <v>0</v>
      </c>
      <c r="Q22" s="155"/>
      <c r="R22" s="155"/>
      <c r="S22" s="155"/>
      <c r="T22" s="155"/>
      <c r="U22" s="155"/>
      <c r="V22" s="17"/>
      <c r="W22" s="17"/>
    </row>
    <row r="23" spans="1:23" ht="11.25" customHeight="1" outlineLevel="1">
      <c r="A23" s="17"/>
      <c r="B23" s="17"/>
      <c r="C23" s="125"/>
      <c r="D23" s="120"/>
      <c r="E23" s="120"/>
      <c r="F23" s="120"/>
      <c r="G23" s="120"/>
      <c r="H23" s="120"/>
      <c r="I23" s="120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7"/>
      <c r="W23" s="17"/>
    </row>
    <row r="24" spans="1:23" ht="11.25" customHeight="1" outlineLevel="1">
      <c r="A24" s="17"/>
      <c r="B24" s="17"/>
      <c r="C24" s="122" t="s">
        <v>46</v>
      </c>
      <c r="D24" s="120"/>
      <c r="E24" s="120"/>
      <c r="F24" s="120"/>
      <c r="G24" s="120"/>
      <c r="H24" s="120"/>
      <c r="I24" s="120"/>
      <c r="J24" s="123">
        <f t="shared" ref="J24:T24" si="6">IF(YEAR(J$4)&lt;=PPLastYear,J$4,"")</f>
        <v>44348</v>
      </c>
      <c r="K24" s="123">
        <f t="shared" si="6"/>
        <v>44713</v>
      </c>
      <c r="L24" s="123">
        <f t="shared" si="6"/>
        <v>45078</v>
      </c>
      <c r="M24" s="123">
        <f t="shared" si="6"/>
        <v>45444</v>
      </c>
      <c r="N24" s="123">
        <f t="shared" si="6"/>
        <v>45809</v>
      </c>
      <c r="O24" s="123">
        <f t="shared" si="6"/>
        <v>46174</v>
      </c>
      <c r="P24" s="123" t="str">
        <f t="shared" si="6"/>
        <v/>
      </c>
      <c r="Q24" s="123" t="str">
        <f t="shared" si="6"/>
        <v/>
      </c>
      <c r="R24" s="123" t="str">
        <f t="shared" si="6"/>
        <v/>
      </c>
      <c r="S24" s="123" t="str">
        <f t="shared" si="6"/>
        <v/>
      </c>
      <c r="T24" s="123" t="str">
        <f t="shared" si="6"/>
        <v/>
      </c>
      <c r="U24" s="138"/>
      <c r="V24" s="17"/>
      <c r="W24" s="17"/>
    </row>
    <row r="25" spans="1:23" ht="11.25" customHeight="1" outlineLevel="1">
      <c r="A25" s="17"/>
      <c r="B25" s="17"/>
      <c r="C25" s="125"/>
      <c r="D25" s="120"/>
      <c r="E25" s="120"/>
      <c r="F25" s="120"/>
      <c r="G25" s="120"/>
      <c r="H25" s="120"/>
      <c r="I25" s="120"/>
      <c r="J25" s="17"/>
      <c r="K25" s="17"/>
      <c r="L25" s="17"/>
      <c r="M25" s="17"/>
      <c r="N25" s="17"/>
      <c r="O25" s="17"/>
      <c r="P25" s="17"/>
      <c r="Q25" s="154"/>
      <c r="R25" s="154"/>
      <c r="S25" s="154"/>
      <c r="T25" s="154"/>
      <c r="U25" s="154"/>
      <c r="V25" s="17"/>
      <c r="W25" s="17"/>
    </row>
    <row r="26" spans="1:23" ht="11.25" customHeight="1" outlineLevel="1">
      <c r="A26" s="17"/>
      <c r="B26" s="17"/>
      <c r="C26" s="153">
        <f t="array" ref="C26:C32">TRANSPOSE(J10:P10)</f>
        <v>44348</v>
      </c>
      <c r="D26" s="150" t="str">
        <f t="shared" ref="D26:D32" si="7">IF(ISNONTEXT($C26),"calculated","")</f>
        <v>calculated</v>
      </c>
      <c r="E26" s="120" t="str">
        <f>IF(ISNONTEXT($C26),"index","")</f>
        <v>index</v>
      </c>
      <c r="F26" s="120"/>
      <c r="G26" s="120"/>
      <c r="H26" s="120"/>
      <c r="I26" s="154"/>
      <c r="J26" s="154">
        <f>IF(AND(J$24=J$4,ISNONTEXT($C26)),1/J16*(1+J$12)^0.5,0)</f>
        <v>1.019049330730136</v>
      </c>
      <c r="K26" s="154">
        <f t="shared" ref="K26:T26" si="8">IF(AND(K$24=K$4,ISNONTEXT($C26)),1/K16*(1+K$12)^0.5,0)</f>
        <v>0.970623220902322</v>
      </c>
      <c r="L26" s="154">
        <f t="shared" si="8"/>
        <v>0.9149412196307648</v>
      </c>
      <c r="M26" s="154">
        <f t="shared" si="8"/>
        <v>0.87207935204504272</v>
      </c>
      <c r="N26" s="154">
        <f t="shared" si="8"/>
        <v>0.8471040975075842</v>
      </c>
      <c r="O26" s="154">
        <f t="shared" ref="O26" si="9">IF(AND(O$24=O$4,ISNONTEXT($C26)),1/O16*(1+O$12)^0.5,0)</f>
        <v>0.82132062868880173</v>
      </c>
      <c r="P26" s="154">
        <f t="shared" si="8"/>
        <v>0</v>
      </c>
      <c r="Q26" s="154">
        <f t="shared" si="8"/>
        <v>0</v>
      </c>
      <c r="R26" s="154">
        <f t="shared" si="8"/>
        <v>0</v>
      </c>
      <c r="S26" s="154">
        <f t="shared" si="8"/>
        <v>0</v>
      </c>
      <c r="T26" s="154">
        <f t="shared" si="8"/>
        <v>0</v>
      </c>
      <c r="U26" s="154"/>
      <c r="V26" s="156"/>
      <c r="W26" s="156"/>
    </row>
    <row r="27" spans="1:23" ht="11.25" customHeight="1" outlineLevel="1">
      <c r="A27" s="17"/>
      <c r="B27" s="17"/>
      <c r="C27" s="153">
        <v>44713</v>
      </c>
      <c r="D27" s="150" t="str">
        <f t="shared" si="7"/>
        <v>calculated</v>
      </c>
      <c r="E27" s="120" t="str">
        <f t="shared" ref="E27:E32" si="10">IF(ISNONTEXT($C27),"index","")</f>
        <v>index</v>
      </c>
      <c r="F27" s="120"/>
      <c r="G27" s="120"/>
      <c r="H27" s="120"/>
      <c r="I27" s="154"/>
      <c r="J27" s="154">
        <f t="shared" ref="J27:T27" si="11">IF(AND(J$24=J$4,ISNONTEXT($C27)),1/J17*(1+J$12)^0.5,0)</f>
        <v>1.0816676818608599</v>
      </c>
      <c r="K27" s="154">
        <f t="shared" si="11"/>
        <v>1.0302658935671953</v>
      </c>
      <c r="L27" s="154">
        <f t="shared" si="11"/>
        <v>0.97116235518046667</v>
      </c>
      <c r="M27" s="154">
        <f t="shared" si="11"/>
        <v>0.92566671963703606</v>
      </c>
      <c r="N27" s="154">
        <f t="shared" si="11"/>
        <v>0.89915679036789875</v>
      </c>
      <c r="O27" s="154">
        <f t="shared" ref="O27" si="12">IF(AND(O$24=O$4,ISNONTEXT($C27)),1/O17*(1+O$12)^0.5,0)</f>
        <v>0.87178898381866909</v>
      </c>
      <c r="P27" s="154">
        <f t="shared" si="11"/>
        <v>0</v>
      </c>
      <c r="Q27" s="154">
        <f t="shared" si="11"/>
        <v>0</v>
      </c>
      <c r="R27" s="154">
        <f t="shared" si="11"/>
        <v>0</v>
      </c>
      <c r="S27" s="154">
        <f t="shared" si="11"/>
        <v>0</v>
      </c>
      <c r="T27" s="154">
        <f t="shared" si="11"/>
        <v>0</v>
      </c>
      <c r="U27" s="154"/>
      <c r="V27" s="156"/>
      <c r="W27" s="156"/>
    </row>
    <row r="28" spans="1:23" ht="11.25" customHeight="1" outlineLevel="1">
      <c r="A28" s="17"/>
      <c r="B28" s="17"/>
      <c r="C28" s="153">
        <v>45078</v>
      </c>
      <c r="D28" s="150" t="str">
        <f t="shared" si="7"/>
        <v>calculated</v>
      </c>
      <c r="E28" s="120" t="str">
        <f t="shared" si="10"/>
        <v>index</v>
      </c>
      <c r="F28" s="120"/>
      <c r="G28" s="120"/>
      <c r="H28" s="120"/>
      <c r="I28" s="154"/>
      <c r="J28" s="154">
        <f t="shared" ref="J28:T28" si="13">IF(AND(J$24=J$4,ISNONTEXT($C28)),1/J18*(1+J$12)^0.5,0)</f>
        <v>1.1468593898873669</v>
      </c>
      <c r="K28" s="154">
        <f t="shared" si="13"/>
        <v>1.0923596349717211</v>
      </c>
      <c r="L28" s="154">
        <f t="shared" si="13"/>
        <v>1.0296939483554988</v>
      </c>
      <c r="M28" s="154">
        <f t="shared" si="13"/>
        <v>0.98145630781500193</v>
      </c>
      <c r="N28" s="154">
        <f t="shared" si="13"/>
        <v>0.9533486349895961</v>
      </c>
      <c r="O28" s="154">
        <f t="shared" ref="O28" si="14">IF(AND(O$24=O$4,ISNONTEXT($C28)),1/O18*(1+O$12)^0.5,0)</f>
        <v>0.92433138094017486</v>
      </c>
      <c r="P28" s="154">
        <f t="shared" si="13"/>
        <v>0</v>
      </c>
      <c r="Q28" s="154">
        <f t="shared" si="13"/>
        <v>0</v>
      </c>
      <c r="R28" s="154">
        <f t="shared" si="13"/>
        <v>0</v>
      </c>
      <c r="S28" s="154">
        <f t="shared" si="13"/>
        <v>0</v>
      </c>
      <c r="T28" s="154">
        <f t="shared" si="13"/>
        <v>0</v>
      </c>
      <c r="U28" s="154"/>
      <c r="V28" s="156"/>
      <c r="W28" s="156"/>
    </row>
    <row r="29" spans="1:23" ht="11.25" customHeight="1" outlineLevel="1">
      <c r="A29" s="17"/>
      <c r="B29" s="17"/>
      <c r="C29" s="153">
        <v>45444</v>
      </c>
      <c r="D29" s="150" t="str">
        <f t="shared" si="7"/>
        <v>calculated</v>
      </c>
      <c r="E29" s="120" t="str">
        <f t="shared" si="10"/>
        <v>index</v>
      </c>
      <c r="F29" s="120"/>
      <c r="G29" s="120"/>
      <c r="H29" s="120"/>
      <c r="I29" s="154"/>
      <c r="J29" s="154">
        <f t="shared" ref="J29:T29" si="15">IF(AND(J$24=J$4,ISNONTEXT($C29)),1/J19*(1+J$12)^0.5,0)</f>
        <v>1.1906064571156807</v>
      </c>
      <c r="K29" s="154">
        <f t="shared" si="15"/>
        <v>1.1340278035458107</v>
      </c>
      <c r="L29" s="154">
        <f t="shared" si="15"/>
        <v>1.0689717279861124</v>
      </c>
      <c r="M29" s="154">
        <f t="shared" si="15"/>
        <v>1.0188940577765315</v>
      </c>
      <c r="N29" s="154">
        <f t="shared" si="15"/>
        <v>0.98971421493310363</v>
      </c>
      <c r="O29" s="154">
        <f t="shared" ref="O29" si="16">IF(AND(O$24=O$4,ISNONTEXT($C29)),1/O19*(1+O$12)^0.5,0)</f>
        <v>0.95959009479802759</v>
      </c>
      <c r="P29" s="154">
        <f t="shared" si="15"/>
        <v>0</v>
      </c>
      <c r="Q29" s="154">
        <f t="shared" si="15"/>
        <v>0</v>
      </c>
      <c r="R29" s="154">
        <f t="shared" si="15"/>
        <v>0</v>
      </c>
      <c r="S29" s="154">
        <f t="shared" si="15"/>
        <v>0</v>
      </c>
      <c r="T29" s="154">
        <f t="shared" si="15"/>
        <v>0</v>
      </c>
      <c r="U29" s="154"/>
      <c r="V29" s="156"/>
      <c r="W29" s="156"/>
    </row>
    <row r="30" spans="1:23" ht="11.25" customHeight="1" outlineLevel="1">
      <c r="A30" s="17"/>
      <c r="B30" s="17"/>
      <c r="C30" s="153">
        <v>45809</v>
      </c>
      <c r="D30" s="150" t="str">
        <f t="shared" si="7"/>
        <v>calculated</v>
      </c>
      <c r="E30" s="120" t="str">
        <f t="shared" si="10"/>
        <v>index</v>
      </c>
      <c r="F30" s="120"/>
      <c r="G30" s="120"/>
      <c r="H30" s="120"/>
      <c r="I30" s="154"/>
      <c r="J30" s="154">
        <f t="shared" ref="J30:T30" si="17">IF(AND(J$24=J$4,ISNONTEXT($C30)),1/J20*(1+J$12)^0.5,0)</f>
        <v>1.2154822404415846</v>
      </c>
      <c r="K30" s="154">
        <f t="shared" si="17"/>
        <v>1.1577214680291161</v>
      </c>
      <c r="L30" s="154">
        <f t="shared" si="17"/>
        <v>1.0913061516976377</v>
      </c>
      <c r="M30" s="154">
        <f t="shared" si="17"/>
        <v>1.0401821901075972</v>
      </c>
      <c r="N30" s="154">
        <f t="shared" si="17"/>
        <v>1.0103926819598037</v>
      </c>
      <c r="O30" s="154">
        <f t="shared" ref="O30" si="18">IF(AND(O$24=O$4,ISNONTEXT($C30)),1/O20*(1+O$12)^0.5,0)</f>
        <v>0.97963916738386514</v>
      </c>
      <c r="P30" s="154">
        <f t="shared" si="17"/>
        <v>0</v>
      </c>
      <c r="Q30" s="154">
        <f t="shared" si="17"/>
        <v>0</v>
      </c>
      <c r="R30" s="154">
        <f t="shared" si="17"/>
        <v>0</v>
      </c>
      <c r="S30" s="154">
        <f t="shared" si="17"/>
        <v>0</v>
      </c>
      <c r="T30" s="154">
        <f t="shared" si="17"/>
        <v>0</v>
      </c>
      <c r="U30" s="154"/>
      <c r="V30" s="156"/>
      <c r="W30" s="156"/>
    </row>
    <row r="31" spans="1:23" ht="11.25" customHeight="1" outlineLevel="1">
      <c r="A31" s="17"/>
      <c r="B31" s="17"/>
      <c r="C31" s="153">
        <v>46174</v>
      </c>
      <c r="D31" s="150" t="str">
        <f t="shared" si="7"/>
        <v>calculated</v>
      </c>
      <c r="E31" s="120" t="str">
        <f t="shared" si="10"/>
        <v>index</v>
      </c>
      <c r="F31" s="120"/>
      <c r="G31" s="120"/>
      <c r="H31" s="120"/>
      <c r="I31" s="154"/>
      <c r="J31" s="154">
        <f t="shared" ref="J31:T32" si="19">IF(AND(J$24=J$4,ISNONTEXT($C31)),1/J21*(1+J$12)^0.5,0)</f>
        <v>1.2665324945401313</v>
      </c>
      <c r="K31" s="154">
        <f t="shared" si="19"/>
        <v>1.2063457696863393</v>
      </c>
      <c r="L31" s="154">
        <f t="shared" si="19"/>
        <v>1.1371410100689385</v>
      </c>
      <c r="M31" s="154">
        <f t="shared" si="19"/>
        <v>1.0838698420921162</v>
      </c>
      <c r="N31" s="154">
        <f t="shared" si="19"/>
        <v>1.0528291746021154</v>
      </c>
      <c r="O31" s="154">
        <f t="shared" si="19"/>
        <v>1.0207840124139875</v>
      </c>
      <c r="P31" s="154">
        <f t="shared" si="19"/>
        <v>0</v>
      </c>
      <c r="Q31" s="154">
        <f t="shared" si="19"/>
        <v>0</v>
      </c>
      <c r="R31" s="154">
        <f t="shared" si="19"/>
        <v>0</v>
      </c>
      <c r="S31" s="154">
        <f t="shared" si="19"/>
        <v>0</v>
      </c>
      <c r="T31" s="154">
        <f t="shared" si="19"/>
        <v>0</v>
      </c>
      <c r="U31" s="154"/>
      <c r="V31" s="156"/>
      <c r="W31" s="156"/>
    </row>
    <row r="32" spans="1:23" ht="11.25" customHeight="1" outlineLevel="1">
      <c r="A32" s="17"/>
      <c r="B32" s="17"/>
      <c r="C32" s="153" t="str">
        <v/>
      </c>
      <c r="D32" s="150" t="str">
        <f t="shared" si="7"/>
        <v/>
      </c>
      <c r="E32" s="120" t="str">
        <f t="shared" si="10"/>
        <v/>
      </c>
      <c r="F32" s="120"/>
      <c r="G32" s="120"/>
      <c r="H32" s="120"/>
      <c r="I32" s="154"/>
      <c r="J32" s="154">
        <f t="shared" si="19"/>
        <v>0</v>
      </c>
      <c r="K32" s="154">
        <f t="shared" si="19"/>
        <v>0</v>
      </c>
      <c r="L32" s="154">
        <f t="shared" si="19"/>
        <v>0</v>
      </c>
      <c r="M32" s="154">
        <f t="shared" si="19"/>
        <v>0</v>
      </c>
      <c r="N32" s="154">
        <f t="shared" si="19"/>
        <v>0</v>
      </c>
      <c r="O32" s="154">
        <f t="shared" si="19"/>
        <v>0</v>
      </c>
      <c r="P32" s="154">
        <f t="shared" si="19"/>
        <v>0</v>
      </c>
      <c r="Q32" s="154">
        <f t="shared" si="19"/>
        <v>0</v>
      </c>
      <c r="R32" s="154">
        <f t="shared" si="19"/>
        <v>0</v>
      </c>
      <c r="S32" s="154">
        <f t="shared" si="19"/>
        <v>0</v>
      </c>
      <c r="T32" s="154">
        <f t="shared" si="19"/>
        <v>0</v>
      </c>
      <c r="U32" s="154"/>
      <c r="V32" s="156"/>
      <c r="W32" s="156"/>
    </row>
    <row r="33" spans="1:34">
      <c r="A33" s="17"/>
      <c r="B33" s="17"/>
      <c r="C33" s="125"/>
      <c r="D33" s="120"/>
      <c r="E33" s="120"/>
      <c r="F33" s="120"/>
      <c r="G33" s="120"/>
      <c r="H33" s="120"/>
      <c r="I33" s="120"/>
      <c r="J33" s="120"/>
      <c r="K33" s="154"/>
      <c r="L33" s="154"/>
      <c r="M33" s="154"/>
      <c r="N33" s="154"/>
      <c r="O33" s="154"/>
      <c r="P33" s="152"/>
      <c r="Q33" s="154"/>
      <c r="R33" s="154"/>
      <c r="S33" s="154"/>
      <c r="T33" s="154"/>
      <c r="U33" s="154"/>
      <c r="V33" s="17"/>
      <c r="W33" s="17"/>
    </row>
    <row r="34" spans="1:34" customFormat="1" ht="12.75">
      <c r="A34" s="32"/>
      <c r="B34" s="38" t="s">
        <v>72</v>
      </c>
      <c r="C34" s="32"/>
      <c r="D34" s="32"/>
      <c r="E34" s="32"/>
      <c r="F34" s="118"/>
      <c r="G34" s="118"/>
      <c r="H34" s="118"/>
      <c r="I34" s="118"/>
      <c r="J34" s="118"/>
      <c r="K34" s="34"/>
      <c r="L34" s="119"/>
      <c r="M34" s="34"/>
      <c r="N34" s="119"/>
      <c r="O34" s="34"/>
      <c r="P34" s="34"/>
      <c r="Q34" s="34"/>
      <c r="R34" s="34"/>
      <c r="S34" s="34"/>
      <c r="T34" s="34"/>
      <c r="U34" s="34"/>
      <c r="V34" s="34"/>
      <c r="W34" s="34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7"/>
      <c r="B35" s="17"/>
      <c r="C35" s="17"/>
      <c r="D35" s="120"/>
      <c r="E35" s="120"/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7"/>
      <c r="W35" s="17"/>
    </row>
    <row r="36" spans="1:34" ht="11.25" customHeight="1" outlineLevel="1">
      <c r="A36" s="17"/>
      <c r="B36" s="17"/>
      <c r="C36" s="122" t="s">
        <v>75</v>
      </c>
      <c r="D36" s="121" t="s">
        <v>7</v>
      </c>
      <c r="E36" s="121" t="s">
        <v>8</v>
      </c>
      <c r="F36" s="120"/>
      <c r="G36" s="120"/>
      <c r="H36" s="120"/>
      <c r="I36" s="120"/>
      <c r="J36" s="138" t="str">
        <f t="shared" ref="J36:U36" si="20">IF(YEAR(J$4)&gt;=FPFirstYear,IF(YEAR(J$4)&lt;=FPLastYear,J$4,""),"")</f>
        <v/>
      </c>
      <c r="K36" s="138" t="str">
        <f t="shared" si="20"/>
        <v/>
      </c>
      <c r="L36" s="138" t="str">
        <f t="shared" si="20"/>
        <v/>
      </c>
      <c r="M36" s="138" t="str">
        <f t="shared" si="20"/>
        <v/>
      </c>
      <c r="N36" s="138" t="str">
        <f t="shared" si="20"/>
        <v/>
      </c>
      <c r="O36" s="138" t="str">
        <f t="shared" si="20"/>
        <v/>
      </c>
      <c r="P36" s="138">
        <f t="shared" si="20"/>
        <v>46539</v>
      </c>
      <c r="Q36" s="138">
        <f t="shared" si="20"/>
        <v>46905</v>
      </c>
      <c r="R36" s="138">
        <f t="shared" si="20"/>
        <v>47270</v>
      </c>
      <c r="S36" s="138">
        <f t="shared" si="20"/>
        <v>47635</v>
      </c>
      <c r="T36" s="138">
        <f t="shared" si="20"/>
        <v>48000</v>
      </c>
      <c r="U36" s="138" t="str">
        <f t="shared" si="20"/>
        <v/>
      </c>
      <c r="V36" s="17"/>
      <c r="W36" s="17"/>
    </row>
    <row r="37" spans="1:34" ht="11.25" customHeight="1" outlineLevel="1">
      <c r="A37" s="17"/>
      <c r="B37" s="17"/>
      <c r="C37" s="17"/>
      <c r="D37" s="120"/>
      <c r="E37" s="120"/>
      <c r="F37" s="120"/>
      <c r="G37" s="120"/>
      <c r="H37" s="120"/>
      <c r="I37" s="120"/>
      <c r="J37" s="120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</row>
    <row r="38" spans="1:34" ht="11.25" customHeight="1" outlineLevel="1">
      <c r="A38" s="17"/>
      <c r="B38" s="17"/>
      <c r="C38" s="127" t="s">
        <v>225</v>
      </c>
      <c r="D38" s="120" t="s">
        <v>96</v>
      </c>
      <c r="E38" s="120" t="str">
        <f t="shared" ref="E38:E45" si="21">percent</f>
        <v>Per cent</v>
      </c>
      <c r="F38" s="120"/>
      <c r="G38" s="120"/>
      <c r="H38" s="120"/>
      <c r="I38" s="120"/>
      <c r="J38" s="157"/>
      <c r="K38" s="158"/>
      <c r="L38" s="158"/>
      <c r="M38" s="158"/>
      <c r="N38" s="158"/>
      <c r="O38" s="158"/>
      <c r="P38" s="159">
        <v>3.2611068341632521E-3</v>
      </c>
      <c r="Q38" s="159">
        <v>7.2355957756888856E-3</v>
      </c>
      <c r="R38" s="159">
        <v>8.4987632532935731E-3</v>
      </c>
      <c r="S38" s="159">
        <v>8.7211063749346174E-3</v>
      </c>
      <c r="T38" s="159">
        <v>9.1410375757572382E-3</v>
      </c>
      <c r="U38" s="17"/>
      <c r="V38" s="17"/>
      <c r="W38" s="17"/>
    </row>
    <row r="39" spans="1:34" ht="11.25" customHeight="1" outlineLevel="1">
      <c r="A39" s="17"/>
      <c r="B39" s="17"/>
      <c r="C39" s="127" t="s">
        <v>226</v>
      </c>
      <c r="D39" s="120" t="s">
        <v>96</v>
      </c>
      <c r="E39" s="120" t="str">
        <f t="shared" si="21"/>
        <v>Per cent</v>
      </c>
      <c r="F39" s="120"/>
      <c r="G39" s="120"/>
      <c r="H39" s="120"/>
      <c r="I39" s="120"/>
      <c r="J39" s="157"/>
      <c r="K39" s="158"/>
      <c r="L39" s="158"/>
      <c r="M39" s="158"/>
      <c r="N39" s="158"/>
      <c r="O39" s="158"/>
      <c r="P39" s="159">
        <v>9.5673827067392376E-3</v>
      </c>
      <c r="Q39" s="159">
        <v>9.9112949661780761E-3</v>
      </c>
      <c r="R39" s="159">
        <v>1.1554432806516867E-2</v>
      </c>
      <c r="S39" s="159">
        <v>1.3871156654089422E-2</v>
      </c>
      <c r="T39" s="159">
        <v>1.3830494751977387E-2</v>
      </c>
      <c r="U39" s="17"/>
      <c r="V39" s="17"/>
      <c r="W39" s="17"/>
    </row>
    <row r="40" spans="1:34" ht="11.25" customHeight="1" outlineLevel="1">
      <c r="A40" s="17"/>
      <c r="B40" s="17"/>
      <c r="C40" s="127" t="s">
        <v>174</v>
      </c>
      <c r="D40" s="120" t="s">
        <v>96</v>
      </c>
      <c r="E40" s="120" t="str">
        <f t="shared" si="21"/>
        <v>Per cent</v>
      </c>
      <c r="F40" s="120"/>
      <c r="G40" s="120"/>
      <c r="H40" s="120"/>
      <c r="I40" s="120"/>
      <c r="J40" s="157"/>
      <c r="K40" s="158"/>
      <c r="L40" s="158"/>
      <c r="M40" s="158"/>
      <c r="N40" s="158"/>
      <c r="O40" s="158"/>
      <c r="P40" s="160">
        <f>AVERAGE(P38:P39)</f>
        <v>6.4142447704512448E-3</v>
      </c>
      <c r="Q40" s="160">
        <f>AVERAGE(Q38:Q39)</f>
        <v>8.5734453709334808E-3</v>
      </c>
      <c r="R40" s="160">
        <f>AVERAGE(R38:R39)</f>
        <v>1.002659802990522E-2</v>
      </c>
      <c r="S40" s="160">
        <f>AVERAGE(S38:S39)</f>
        <v>1.1296131514512021E-2</v>
      </c>
      <c r="T40" s="160">
        <f>AVERAGE(T38:T39)</f>
        <v>1.1485766163867313E-2</v>
      </c>
      <c r="U40" s="17"/>
      <c r="V40" s="17"/>
      <c r="W40" s="17"/>
    </row>
    <row r="41" spans="1:34" ht="11.25" customHeight="1" outlineLevel="1">
      <c r="A41" s="17"/>
      <c r="B41" s="17"/>
      <c r="C41" s="127"/>
      <c r="D41" s="120" t="s">
        <v>96</v>
      </c>
      <c r="E41" s="120" t="str">
        <f t="shared" si="21"/>
        <v>Per cent</v>
      </c>
      <c r="F41" s="120"/>
      <c r="G41" s="120"/>
      <c r="H41" s="120"/>
      <c r="I41" s="120"/>
      <c r="J41" s="157"/>
      <c r="K41" s="158"/>
      <c r="L41" s="158"/>
      <c r="M41" s="158"/>
      <c r="N41" s="158"/>
      <c r="O41" s="158"/>
      <c r="P41" s="160"/>
      <c r="Q41" s="160"/>
      <c r="R41" s="160"/>
      <c r="S41" s="160"/>
      <c r="T41" s="160"/>
      <c r="U41" s="161"/>
      <c r="V41" s="162"/>
      <c r="W41" s="17"/>
    </row>
    <row r="42" spans="1:34" ht="11.25" customHeight="1" outlineLevel="1">
      <c r="A42" s="17"/>
      <c r="B42" s="17"/>
      <c r="C42" s="127"/>
      <c r="D42" s="120" t="s">
        <v>96</v>
      </c>
      <c r="E42" s="120" t="str">
        <f t="shared" si="21"/>
        <v>Per cent</v>
      </c>
      <c r="F42" s="120"/>
      <c r="G42" s="120"/>
      <c r="H42" s="120"/>
      <c r="I42" s="120"/>
      <c r="J42" s="157"/>
      <c r="K42" s="158"/>
      <c r="L42" s="158"/>
      <c r="M42" s="158"/>
      <c r="N42" s="158"/>
      <c r="O42" s="158"/>
      <c r="P42" s="160"/>
      <c r="Q42" s="160"/>
      <c r="R42" s="160"/>
      <c r="S42" s="160"/>
      <c r="T42" s="160"/>
      <c r="U42" s="161"/>
      <c r="V42" s="17"/>
      <c r="W42" s="17"/>
    </row>
    <row r="43" spans="1:34" ht="11.25" customHeight="1" outlineLevel="1">
      <c r="A43" s="17"/>
      <c r="B43" s="17"/>
      <c r="C43" s="127"/>
      <c r="D43" s="120" t="s">
        <v>96</v>
      </c>
      <c r="E43" s="120" t="str">
        <f t="shared" si="21"/>
        <v>Per cent</v>
      </c>
      <c r="F43" s="120"/>
      <c r="G43" s="120"/>
      <c r="H43" s="120"/>
      <c r="I43" s="120"/>
      <c r="J43" s="157"/>
      <c r="K43" s="158"/>
      <c r="L43" s="158"/>
      <c r="M43" s="158"/>
      <c r="N43" s="158"/>
      <c r="O43" s="158"/>
      <c r="P43" s="163"/>
      <c r="Q43" s="163"/>
      <c r="R43" s="163"/>
      <c r="S43" s="163"/>
      <c r="T43" s="163"/>
      <c r="U43" s="161"/>
      <c r="V43" s="17"/>
      <c r="W43" s="17"/>
    </row>
    <row r="44" spans="1:34" ht="11.25" customHeight="1" outlineLevel="1">
      <c r="A44" s="17"/>
      <c r="B44" s="17"/>
      <c r="C44" s="127"/>
      <c r="D44" s="120" t="s">
        <v>96</v>
      </c>
      <c r="E44" s="120" t="str">
        <f t="shared" si="21"/>
        <v>Per cent</v>
      </c>
      <c r="F44" s="120"/>
      <c r="G44" s="120"/>
      <c r="H44" s="120"/>
      <c r="I44" s="120"/>
      <c r="J44" s="157"/>
      <c r="K44" s="158"/>
      <c r="L44" s="158"/>
      <c r="M44" s="158"/>
      <c r="N44" s="158"/>
      <c r="O44" s="158"/>
      <c r="P44" s="163"/>
      <c r="Q44" s="163"/>
      <c r="R44" s="163"/>
      <c r="S44" s="163"/>
      <c r="T44" s="163"/>
      <c r="U44" s="161"/>
      <c r="V44" s="17"/>
      <c r="W44" s="17"/>
    </row>
    <row r="45" spans="1:34" ht="11.25" customHeight="1" outlineLevel="1">
      <c r="A45" s="17"/>
      <c r="B45" s="17"/>
      <c r="C45" s="127" t="s">
        <v>76</v>
      </c>
      <c r="D45" s="120" t="s">
        <v>96</v>
      </c>
      <c r="E45" s="120" t="str">
        <f t="shared" si="21"/>
        <v>Per cent</v>
      </c>
      <c r="F45" s="120"/>
      <c r="G45" s="120"/>
      <c r="H45" s="120"/>
      <c r="I45" s="120"/>
      <c r="J45" s="157"/>
      <c r="K45" s="158"/>
      <c r="L45" s="158"/>
      <c r="M45" s="158"/>
      <c r="N45" s="158"/>
      <c r="O45" s="158"/>
      <c r="P45" s="163">
        <v>0</v>
      </c>
      <c r="Q45" s="163">
        <v>0</v>
      </c>
      <c r="R45" s="163">
        <v>0</v>
      </c>
      <c r="S45" s="163">
        <v>0</v>
      </c>
      <c r="T45" s="163">
        <v>0</v>
      </c>
      <c r="U45" s="161"/>
      <c r="V45" s="17"/>
      <c r="W45" s="17"/>
    </row>
    <row r="46" spans="1:34" ht="11.25" customHeight="1" outlineLevel="1">
      <c r="A46" s="17"/>
      <c r="B46" s="17"/>
      <c r="C46" s="17"/>
      <c r="D46" s="120"/>
      <c r="E46" s="120"/>
      <c r="F46" s="120"/>
      <c r="G46" s="120"/>
      <c r="H46" s="120"/>
      <c r="I46" s="120"/>
      <c r="J46" s="120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</row>
    <row r="47" spans="1:34" ht="11.25" customHeight="1" outlineLevel="1">
      <c r="A47" s="17"/>
      <c r="B47" s="17"/>
      <c r="C47" s="17" t="s">
        <v>40</v>
      </c>
      <c r="D47" s="120" t="s">
        <v>93</v>
      </c>
      <c r="E47" s="120" t="s">
        <v>28</v>
      </c>
      <c r="F47" s="120" t="s">
        <v>36</v>
      </c>
      <c r="G47" s="120"/>
      <c r="H47" s="120"/>
      <c r="I47" s="120"/>
      <c r="J47" s="164" t="str">
        <f t="shared" ref="J47:S47" si="22">IF(J36=J4,IF(COUNTA($C38:$C45)=COUNT(J38:J45),"Ok","Check"),"")</f>
        <v/>
      </c>
      <c r="K47" s="164" t="str">
        <f t="shared" si="22"/>
        <v/>
      </c>
      <c r="L47" s="164" t="str">
        <f t="shared" si="22"/>
        <v/>
      </c>
      <c r="M47" s="164" t="str">
        <f t="shared" si="22"/>
        <v/>
      </c>
      <c r="N47" s="164" t="str">
        <f t="shared" si="22"/>
        <v/>
      </c>
      <c r="O47" s="164" t="str">
        <f t="shared" si="22"/>
        <v/>
      </c>
      <c r="P47" s="164" t="str">
        <f t="shared" si="22"/>
        <v>Ok</v>
      </c>
      <c r="Q47" s="164" t="str">
        <f t="shared" si="22"/>
        <v>Ok</v>
      </c>
      <c r="R47" s="164" t="str">
        <f t="shared" si="22"/>
        <v>Ok</v>
      </c>
      <c r="S47" s="164" t="str">
        <f t="shared" si="22"/>
        <v>Ok</v>
      </c>
      <c r="T47" s="164" t="str">
        <f>IF(T36=T4,IF(COUNTA($C38:$C45)=COUNT(T38:T45),"Ok","Check"),"")</f>
        <v>Ok</v>
      </c>
      <c r="U47" s="164" t="str">
        <f>IF(U36=U4,IF(COUNTA($C38:$C45)=COUNT(U38:U45),"Ok","Check"),"")</f>
        <v/>
      </c>
      <c r="V47" s="165"/>
      <c r="W47" s="17"/>
      <c r="X47" s="81" t="str">
        <f>IF(COUNTIF(J47:U47,"Check")=0,"Ok","Check")</f>
        <v>Ok</v>
      </c>
    </row>
    <row r="48" spans="1:34" ht="11.25" customHeight="1" outlineLevel="1">
      <c r="A48" s="17"/>
      <c r="B48" s="17"/>
      <c r="C48" s="17"/>
      <c r="D48" s="120"/>
      <c r="E48" s="120"/>
      <c r="F48" s="120"/>
      <c r="G48" s="120"/>
      <c r="H48" s="120"/>
      <c r="I48" s="120"/>
      <c r="J48" s="120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</row>
    <row r="49" spans="1:34" ht="11.25" customHeight="1" outlineLevel="1">
      <c r="A49" s="17"/>
      <c r="B49" s="17"/>
      <c r="C49" s="122" t="s">
        <v>43</v>
      </c>
      <c r="D49" s="121" t="s">
        <v>7</v>
      </c>
      <c r="E49" s="121" t="s">
        <v>8</v>
      </c>
      <c r="F49" s="120"/>
      <c r="G49" s="120"/>
      <c r="H49" s="120"/>
      <c r="I49" s="120"/>
      <c r="J49" s="138" t="str">
        <f t="shared" ref="J49:U49" si="23">IF(YEAR(J$4)&gt;=FPFirstYear,IF(YEAR(J$4)&lt;=FPLastYear,J$4,""),"")</f>
        <v/>
      </c>
      <c r="K49" s="138" t="str">
        <f t="shared" si="23"/>
        <v/>
      </c>
      <c r="L49" s="138" t="str">
        <f t="shared" si="23"/>
        <v/>
      </c>
      <c r="M49" s="138" t="str">
        <f t="shared" si="23"/>
        <v/>
      </c>
      <c r="N49" s="138" t="str">
        <f t="shared" si="23"/>
        <v/>
      </c>
      <c r="O49" s="138" t="str">
        <f t="shared" si="23"/>
        <v/>
      </c>
      <c r="P49" s="138">
        <f t="shared" si="23"/>
        <v>46539</v>
      </c>
      <c r="Q49" s="138">
        <f t="shared" si="23"/>
        <v>46905</v>
      </c>
      <c r="R49" s="138">
        <f t="shared" si="23"/>
        <v>47270</v>
      </c>
      <c r="S49" s="138">
        <f t="shared" si="23"/>
        <v>47635</v>
      </c>
      <c r="T49" s="138">
        <f t="shared" si="23"/>
        <v>48000</v>
      </c>
      <c r="U49" s="138" t="str">
        <f t="shared" si="23"/>
        <v/>
      </c>
      <c r="V49" s="17"/>
      <c r="W49" s="17"/>
    </row>
    <row r="50" spans="1:34" ht="11.25" customHeight="1" outlineLevel="1">
      <c r="A50" s="17"/>
      <c r="B50" s="17"/>
      <c r="C50" s="17"/>
      <c r="D50" s="120"/>
      <c r="E50" s="120"/>
      <c r="F50" s="120"/>
      <c r="G50" s="120"/>
      <c r="H50" s="120"/>
      <c r="I50" s="120"/>
      <c r="J50" s="120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</row>
    <row r="51" spans="1:34" ht="11.25" customHeight="1" outlineLevel="1">
      <c r="A51" s="17"/>
      <c r="B51" s="17"/>
      <c r="C51" s="166" t="str">
        <f t="shared" ref="C51:C58" si="24">C38</f>
        <v>WPI - Deloitte</v>
      </c>
      <c r="D51" s="120" t="s">
        <v>96</v>
      </c>
      <c r="E51" s="120" t="str">
        <f t="shared" ref="E51:E58" si="25">percent</f>
        <v>Per cent</v>
      </c>
      <c r="F51" s="120"/>
      <c r="G51" s="120"/>
      <c r="H51" s="120"/>
      <c r="I51" s="120"/>
      <c r="J51" s="157"/>
      <c r="K51" s="158"/>
      <c r="L51" s="158"/>
      <c r="M51" s="158"/>
      <c r="N51" s="158"/>
      <c r="O51" s="158"/>
      <c r="P51" s="143"/>
      <c r="Q51" s="143"/>
      <c r="R51" s="143"/>
      <c r="S51" s="143"/>
      <c r="T51" s="143"/>
      <c r="U51" s="167"/>
      <c r="V51" s="17"/>
      <c r="W51" s="17"/>
    </row>
    <row r="52" spans="1:34" ht="11.25" customHeight="1" outlineLevel="1">
      <c r="A52" s="17"/>
      <c r="B52" s="17"/>
      <c r="C52" s="166" t="str">
        <f t="shared" si="24"/>
        <v xml:space="preserve">WPI - BIS Oxford </v>
      </c>
      <c r="D52" s="120" t="s">
        <v>96</v>
      </c>
      <c r="E52" s="120" t="str">
        <f t="shared" si="25"/>
        <v>Per cent</v>
      </c>
      <c r="F52" s="120"/>
      <c r="G52" s="120"/>
      <c r="H52" s="120"/>
      <c r="I52" s="120"/>
      <c r="J52" s="157"/>
      <c r="K52" s="158"/>
      <c r="L52" s="158"/>
      <c r="M52" s="158"/>
      <c r="N52" s="158"/>
      <c r="O52" s="158"/>
      <c r="P52" s="143"/>
      <c r="Q52" s="143"/>
      <c r="R52" s="143"/>
      <c r="S52" s="143"/>
      <c r="T52" s="143"/>
      <c r="U52" s="167"/>
      <c r="V52" s="17"/>
      <c r="W52" s="17"/>
    </row>
    <row r="53" spans="1:34" ht="11.25" customHeight="1" outlineLevel="1">
      <c r="A53" s="17"/>
      <c r="B53" s="17"/>
      <c r="C53" s="166" t="str">
        <f t="shared" si="24"/>
        <v>WPI - average</v>
      </c>
      <c r="D53" s="120" t="s">
        <v>96</v>
      </c>
      <c r="E53" s="120" t="str">
        <f t="shared" si="25"/>
        <v>Per cent</v>
      </c>
      <c r="F53" s="120"/>
      <c r="G53" s="120"/>
      <c r="H53" s="120"/>
      <c r="I53" s="120"/>
      <c r="J53" s="157"/>
      <c r="K53" s="158"/>
      <c r="L53" s="158"/>
      <c r="M53" s="158"/>
      <c r="N53" s="158"/>
      <c r="O53" s="158"/>
      <c r="P53" s="168">
        <v>0.59199999999999997</v>
      </c>
      <c r="Q53" s="143">
        <v>0.59199999999999997</v>
      </c>
      <c r="R53" s="143">
        <v>0.59199999999999997</v>
      </c>
      <c r="S53" s="143">
        <v>0.59199999999999997</v>
      </c>
      <c r="T53" s="143">
        <v>0.59199999999999997</v>
      </c>
      <c r="U53" s="167"/>
      <c r="V53" s="17"/>
      <c r="W53" s="17"/>
    </row>
    <row r="54" spans="1:34" ht="11.25" customHeight="1" outlineLevel="1">
      <c r="A54" s="17"/>
      <c r="B54" s="17"/>
      <c r="C54" s="166">
        <f t="shared" si="24"/>
        <v>0</v>
      </c>
      <c r="D54" s="120" t="s">
        <v>96</v>
      </c>
      <c r="E54" s="120" t="str">
        <f t="shared" si="25"/>
        <v>Per cent</v>
      </c>
      <c r="F54" s="120"/>
      <c r="G54" s="120"/>
      <c r="H54" s="120"/>
      <c r="I54" s="120"/>
      <c r="J54" s="157"/>
      <c r="K54" s="158"/>
      <c r="L54" s="158"/>
      <c r="M54" s="158"/>
      <c r="N54" s="158"/>
      <c r="O54" s="158"/>
      <c r="P54" s="143"/>
      <c r="Q54" s="143"/>
      <c r="R54" s="143"/>
      <c r="S54" s="143"/>
      <c r="T54" s="143"/>
      <c r="U54" s="167"/>
      <c r="V54" s="162"/>
      <c r="W54" s="17"/>
    </row>
    <row r="55" spans="1:34" ht="11.25" customHeight="1" outlineLevel="1">
      <c r="A55" s="17"/>
      <c r="B55" s="17"/>
      <c r="C55" s="166">
        <f t="shared" si="24"/>
        <v>0</v>
      </c>
      <c r="D55" s="120" t="s">
        <v>96</v>
      </c>
      <c r="E55" s="120" t="str">
        <f t="shared" si="25"/>
        <v>Per cent</v>
      </c>
      <c r="F55" s="120"/>
      <c r="G55" s="120"/>
      <c r="H55" s="120"/>
      <c r="I55" s="120"/>
      <c r="J55" s="157"/>
      <c r="K55" s="158"/>
      <c r="L55" s="158"/>
      <c r="M55" s="158"/>
      <c r="N55" s="158"/>
      <c r="O55" s="158"/>
      <c r="P55" s="168"/>
      <c r="Q55" s="168"/>
      <c r="R55" s="168"/>
      <c r="S55" s="168"/>
      <c r="T55" s="168"/>
      <c r="U55" s="167"/>
      <c r="V55" s="17"/>
      <c r="W55" s="17"/>
    </row>
    <row r="56" spans="1:34" ht="11.25" customHeight="1" outlineLevel="1">
      <c r="A56" s="17"/>
      <c r="B56" s="17"/>
      <c r="C56" s="166">
        <f t="shared" si="24"/>
        <v>0</v>
      </c>
      <c r="D56" s="120" t="s">
        <v>96</v>
      </c>
      <c r="E56" s="120" t="str">
        <f t="shared" si="25"/>
        <v>Per cent</v>
      </c>
      <c r="F56" s="120"/>
      <c r="G56" s="120"/>
      <c r="H56" s="120"/>
      <c r="I56" s="120"/>
      <c r="J56" s="157"/>
      <c r="K56" s="158"/>
      <c r="L56" s="158"/>
      <c r="M56" s="158"/>
      <c r="N56" s="158"/>
      <c r="O56" s="158"/>
      <c r="P56" s="143"/>
      <c r="Q56" s="143"/>
      <c r="R56" s="143"/>
      <c r="S56" s="143"/>
      <c r="T56" s="143"/>
      <c r="U56" s="167"/>
      <c r="V56" s="17"/>
      <c r="W56" s="17"/>
    </row>
    <row r="57" spans="1:34" ht="11.25" customHeight="1" outlineLevel="1">
      <c r="A57" s="17"/>
      <c r="B57" s="17"/>
      <c r="C57" s="166">
        <f t="shared" si="24"/>
        <v>0</v>
      </c>
      <c r="D57" s="120" t="s">
        <v>96</v>
      </c>
      <c r="E57" s="120" t="str">
        <f t="shared" si="25"/>
        <v>Per cent</v>
      </c>
      <c r="F57" s="120"/>
      <c r="G57" s="120"/>
      <c r="H57" s="120"/>
      <c r="I57" s="120"/>
      <c r="J57" s="157"/>
      <c r="K57" s="158"/>
      <c r="L57" s="158"/>
      <c r="M57" s="158"/>
      <c r="N57" s="158"/>
      <c r="O57" s="158"/>
      <c r="P57" s="143"/>
      <c r="Q57" s="143"/>
      <c r="R57" s="143"/>
      <c r="S57" s="143"/>
      <c r="T57" s="143"/>
      <c r="U57" s="167"/>
      <c r="V57" s="17"/>
      <c r="W57" s="17"/>
    </row>
    <row r="58" spans="1:34" ht="11.25" customHeight="1" outlineLevel="1">
      <c r="A58" s="17"/>
      <c r="B58" s="17"/>
      <c r="C58" s="166" t="str">
        <f t="shared" si="24"/>
        <v>CPI</v>
      </c>
      <c r="D58" s="120" t="s">
        <v>96</v>
      </c>
      <c r="E58" s="120" t="str">
        <f t="shared" si="25"/>
        <v>Per cent</v>
      </c>
      <c r="F58" s="120"/>
      <c r="G58" s="120"/>
      <c r="H58" s="120"/>
      <c r="I58" s="120"/>
      <c r="J58" s="157"/>
      <c r="K58" s="158"/>
      <c r="L58" s="158"/>
      <c r="M58" s="158"/>
      <c r="N58" s="158"/>
      <c r="O58" s="158"/>
      <c r="P58" s="143">
        <v>0.40800000000000003</v>
      </c>
      <c r="Q58" s="143">
        <v>0.40800000000000003</v>
      </c>
      <c r="R58" s="143">
        <v>0.40800000000000003</v>
      </c>
      <c r="S58" s="143">
        <v>0.40800000000000003</v>
      </c>
      <c r="T58" s="143">
        <v>0.40800000000000003</v>
      </c>
      <c r="U58" s="167"/>
      <c r="V58" s="17"/>
      <c r="W58" s="17"/>
    </row>
    <row r="59" spans="1:34" ht="11.25" customHeight="1" outlineLevel="1">
      <c r="A59" s="17"/>
      <c r="B59" s="17"/>
      <c r="C59" s="17"/>
      <c r="D59" s="120"/>
      <c r="E59" s="120"/>
      <c r="F59" s="120"/>
      <c r="G59" s="120"/>
      <c r="H59" s="120"/>
      <c r="I59" s="120"/>
      <c r="J59" s="120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34" outlineLevel="1">
      <c r="A60" s="17"/>
      <c r="B60" s="17"/>
      <c r="C60" s="17" t="s">
        <v>40</v>
      </c>
      <c r="D60" s="120" t="s">
        <v>93</v>
      </c>
      <c r="E60" s="120" t="s">
        <v>28</v>
      </c>
      <c r="F60" s="120" t="s">
        <v>36</v>
      </c>
      <c r="G60" s="120"/>
      <c r="H60" s="120"/>
      <c r="I60" s="120"/>
      <c r="J60" s="164" t="str">
        <f t="shared" ref="J60:S60" si="26">IF(J49=J$4,IF(SUM(J51:J58)=1,"Ok","Check"),"")</f>
        <v/>
      </c>
      <c r="K60" s="164" t="str">
        <f t="shared" si="26"/>
        <v/>
      </c>
      <c r="L60" s="164" t="str">
        <f t="shared" si="26"/>
        <v/>
      </c>
      <c r="M60" s="164" t="str">
        <f t="shared" si="26"/>
        <v/>
      </c>
      <c r="N60" s="164" t="str">
        <f t="shared" si="26"/>
        <v/>
      </c>
      <c r="O60" s="164" t="str">
        <f t="shared" si="26"/>
        <v/>
      </c>
      <c r="P60" s="164" t="str">
        <f t="shared" si="26"/>
        <v>Ok</v>
      </c>
      <c r="Q60" s="164" t="str">
        <f t="shared" si="26"/>
        <v>Ok</v>
      </c>
      <c r="R60" s="164" t="str">
        <f t="shared" si="26"/>
        <v>Ok</v>
      </c>
      <c r="S60" s="164" t="str">
        <f t="shared" si="26"/>
        <v>Ok</v>
      </c>
      <c r="T60" s="164" t="str">
        <f>IF(T49=T$4,IF(SUM(T51:T58)=1,"Ok","Check"),"")</f>
        <v>Ok</v>
      </c>
      <c r="U60" s="164" t="str">
        <f>IF(U49=U$4,IF(SUM(U51:U58)=1,"Ok","Check"),"")</f>
        <v/>
      </c>
      <c r="V60" s="165"/>
      <c r="W60" s="17"/>
      <c r="X60" s="81" t="str">
        <f>IF(COUNTIF(J60:U60,"Check")=0,"Ok","Check")</f>
        <v>Ok</v>
      </c>
    </row>
    <row r="61" spans="1:34">
      <c r="A61" s="17"/>
      <c r="B61" s="17"/>
      <c r="C61" s="17"/>
      <c r="D61" s="120"/>
      <c r="E61" s="120"/>
      <c r="F61" s="120"/>
      <c r="G61" s="120"/>
      <c r="H61" s="120"/>
      <c r="I61" s="120"/>
      <c r="J61" s="120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34" customFormat="1" ht="12.75">
      <c r="A62" s="32"/>
      <c r="B62" s="38" t="s">
        <v>79</v>
      </c>
      <c r="C62" s="32"/>
      <c r="D62" s="32"/>
      <c r="E62" s="32"/>
      <c r="F62" s="118"/>
      <c r="G62" s="118"/>
      <c r="H62" s="118"/>
      <c r="I62" s="118"/>
      <c r="J62" s="118"/>
      <c r="K62" s="34"/>
      <c r="L62" s="119"/>
      <c r="M62" s="34"/>
      <c r="N62" s="119"/>
      <c r="O62" s="34"/>
      <c r="P62" s="34"/>
      <c r="Q62" s="34"/>
      <c r="R62" s="34"/>
      <c r="S62" s="34"/>
      <c r="T62" s="34"/>
      <c r="U62" s="34"/>
      <c r="V62" s="34"/>
      <c r="W62" s="34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7"/>
      <c r="B63" s="17"/>
      <c r="C63" s="17"/>
      <c r="D63" s="120"/>
      <c r="E63" s="120"/>
      <c r="F63" s="120"/>
      <c r="G63" s="121"/>
      <c r="H63" s="121"/>
      <c r="I63" s="120"/>
      <c r="J63" s="120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34" outlineLevel="1">
      <c r="A64" s="17"/>
      <c r="B64" s="17"/>
      <c r="C64" s="122" t="s">
        <v>80</v>
      </c>
      <c r="D64" s="121" t="s">
        <v>7</v>
      </c>
      <c r="E64" s="121" t="s">
        <v>8</v>
      </c>
      <c r="F64" s="121" t="s">
        <v>22</v>
      </c>
      <c r="G64" s="121"/>
      <c r="H64" s="121"/>
      <c r="I64" s="120"/>
      <c r="J64" s="138" t="str">
        <f t="shared" ref="J64:U64" si="27">IF(YEAR(J$4)&gt;=PPLastYear,IF(YEAR(J$4)&lt;=FPLastYear,J$4,""),"")</f>
        <v/>
      </c>
      <c r="K64" s="138" t="str">
        <f t="shared" si="27"/>
        <v/>
      </c>
      <c r="L64" s="138" t="str">
        <f t="shared" si="27"/>
        <v/>
      </c>
      <c r="M64" s="138" t="str">
        <f t="shared" si="27"/>
        <v/>
      </c>
      <c r="N64" s="138" t="str">
        <f t="shared" si="27"/>
        <v/>
      </c>
      <c r="O64" s="138">
        <f t="shared" si="27"/>
        <v>46174</v>
      </c>
      <c r="P64" s="138">
        <f t="shared" si="27"/>
        <v>46539</v>
      </c>
      <c r="Q64" s="138">
        <f t="shared" si="27"/>
        <v>46905</v>
      </c>
      <c r="R64" s="138">
        <f t="shared" si="27"/>
        <v>47270</v>
      </c>
      <c r="S64" s="138">
        <f t="shared" si="27"/>
        <v>47635</v>
      </c>
      <c r="T64" s="138">
        <f t="shared" si="27"/>
        <v>48000</v>
      </c>
      <c r="U64" s="138" t="str">
        <f t="shared" si="27"/>
        <v/>
      </c>
      <c r="V64" s="17"/>
      <c r="W64" s="17"/>
    </row>
    <row r="65" spans="1:24" outlineLevel="1">
      <c r="A65" s="17"/>
      <c r="B65" s="17"/>
      <c r="C65" s="125"/>
      <c r="D65" s="120"/>
      <c r="E65" s="120"/>
      <c r="F65" s="120"/>
      <c r="G65" s="121"/>
      <c r="H65" s="121"/>
      <c r="I65" s="120"/>
      <c r="J65" s="120"/>
      <c r="K65" s="126"/>
      <c r="L65" s="126"/>
      <c r="M65" s="126"/>
      <c r="N65" s="126"/>
      <c r="O65" s="126"/>
      <c r="P65" s="17"/>
      <c r="Q65" s="17"/>
      <c r="R65" s="17"/>
      <c r="S65" s="17"/>
      <c r="T65" s="17"/>
      <c r="U65" s="17"/>
      <c r="V65" s="17"/>
      <c r="W65" s="17"/>
    </row>
    <row r="66" spans="1:24" outlineLevel="1">
      <c r="A66" s="17"/>
      <c r="B66" s="17"/>
      <c r="C66" s="127" t="s">
        <v>175</v>
      </c>
      <c r="D66" s="120" t="s">
        <v>96</v>
      </c>
      <c r="E66" s="120" t="s">
        <v>18</v>
      </c>
      <c r="F66" s="120" t="s">
        <v>36</v>
      </c>
      <c r="G66" s="121"/>
      <c r="H66" s="121"/>
      <c r="I66" s="120"/>
      <c r="J66" s="157"/>
      <c r="K66" s="169"/>
      <c r="L66" s="169"/>
      <c r="M66" s="169"/>
      <c r="N66" s="169"/>
      <c r="O66" s="141">
        <v>726198.4566251135</v>
      </c>
      <c r="P66" s="141">
        <v>731325.83823715511</v>
      </c>
      <c r="Q66" s="141">
        <v>736484.75810042454</v>
      </c>
      <c r="R66" s="141">
        <v>741592.13718538021</v>
      </c>
      <c r="S66" s="141">
        <v>746646.50453835353</v>
      </c>
      <c r="T66" s="141">
        <v>751623.75751647097</v>
      </c>
      <c r="U66" s="141"/>
      <c r="V66" s="17"/>
      <c r="W66" s="17"/>
    </row>
    <row r="67" spans="1:24" outlineLevel="1">
      <c r="A67" s="17"/>
      <c r="B67" s="17"/>
      <c r="C67" s="127" t="s">
        <v>176</v>
      </c>
      <c r="D67" s="120" t="s">
        <v>96</v>
      </c>
      <c r="E67" s="120" t="s">
        <v>18</v>
      </c>
      <c r="F67" s="120" t="s">
        <v>36</v>
      </c>
      <c r="G67" s="121"/>
      <c r="H67" s="121"/>
      <c r="I67" s="120"/>
      <c r="J67" s="157"/>
      <c r="K67" s="169"/>
      <c r="L67" s="169"/>
      <c r="M67" s="169"/>
      <c r="N67" s="169"/>
      <c r="O67" s="141">
        <v>13585.496494806441</v>
      </c>
      <c r="P67" s="141">
        <v>13613.11761184975</v>
      </c>
      <c r="Q67" s="141">
        <v>13641.08500547744</v>
      </c>
      <c r="R67" s="141">
        <v>13669.401988190701</v>
      </c>
      <c r="S67" s="141">
        <v>13698.0719047698</v>
      </c>
      <c r="T67" s="141">
        <v>13727.098132588129</v>
      </c>
      <c r="U67" s="141"/>
      <c r="V67" s="17"/>
      <c r="W67" s="17"/>
    </row>
    <row r="68" spans="1:24" outlineLevel="1">
      <c r="A68" s="17"/>
      <c r="B68" s="17"/>
      <c r="C68" s="127" t="s">
        <v>177</v>
      </c>
      <c r="D68" s="120" t="s">
        <v>96</v>
      </c>
      <c r="E68" s="120" t="s">
        <v>18</v>
      </c>
      <c r="F68" s="120" t="s">
        <v>36</v>
      </c>
      <c r="G68" s="121"/>
      <c r="H68" s="121"/>
      <c r="I68" s="120"/>
      <c r="J68" s="157"/>
      <c r="K68" s="169"/>
      <c r="L68" s="169"/>
      <c r="M68" s="169"/>
      <c r="N68" s="169"/>
      <c r="O68" s="141">
        <v>2142.611222</v>
      </c>
      <c r="P68" s="141">
        <v>2142.611222</v>
      </c>
      <c r="Q68" s="141">
        <v>2142.611222</v>
      </c>
      <c r="R68" s="141">
        <v>2142.611222</v>
      </c>
      <c r="S68" s="141">
        <v>2142.611222</v>
      </c>
      <c r="T68" s="141">
        <v>2142.611222</v>
      </c>
      <c r="U68" s="141"/>
      <c r="V68" s="17"/>
      <c r="W68" s="17"/>
    </row>
    <row r="69" spans="1:24" outlineLevel="1">
      <c r="A69" s="17"/>
      <c r="B69" s="17"/>
      <c r="C69" s="127"/>
      <c r="D69" s="120" t="s">
        <v>96</v>
      </c>
      <c r="E69" s="120" t="s">
        <v>18</v>
      </c>
      <c r="F69" s="120" t="s">
        <v>36</v>
      </c>
      <c r="G69" s="121"/>
      <c r="H69" s="121"/>
      <c r="I69" s="120"/>
      <c r="J69" s="157"/>
      <c r="K69" s="169"/>
      <c r="L69" s="169"/>
      <c r="M69" s="169"/>
      <c r="N69" s="169"/>
      <c r="O69" s="141"/>
      <c r="P69" s="141"/>
      <c r="Q69" s="141"/>
      <c r="R69" s="141"/>
      <c r="S69" s="141"/>
      <c r="T69" s="141"/>
      <c r="U69" s="141"/>
      <c r="V69" s="17"/>
      <c r="W69" s="17"/>
    </row>
    <row r="70" spans="1:24" outlineLevel="1">
      <c r="A70" s="17"/>
      <c r="B70" s="17"/>
      <c r="C70" s="127"/>
      <c r="D70" s="120" t="s">
        <v>96</v>
      </c>
      <c r="E70" s="120" t="s">
        <v>18</v>
      </c>
      <c r="F70" s="120" t="s">
        <v>36</v>
      </c>
      <c r="G70" s="121"/>
      <c r="H70" s="121"/>
      <c r="I70" s="120"/>
      <c r="J70" s="157"/>
      <c r="K70" s="169"/>
      <c r="L70" s="169"/>
      <c r="M70" s="169"/>
      <c r="N70" s="169"/>
      <c r="O70" s="141"/>
      <c r="P70" s="141"/>
      <c r="Q70" s="141"/>
      <c r="R70" s="141"/>
      <c r="S70" s="141"/>
      <c r="T70" s="141"/>
      <c r="U70" s="141"/>
      <c r="V70" s="17"/>
      <c r="W70" s="17"/>
    </row>
    <row r="71" spans="1:24" outlineLevel="1">
      <c r="A71" s="17"/>
      <c r="B71" s="17"/>
      <c r="C71" s="127"/>
      <c r="D71" s="120" t="s">
        <v>96</v>
      </c>
      <c r="E71" s="120" t="s">
        <v>18</v>
      </c>
      <c r="F71" s="120" t="s">
        <v>36</v>
      </c>
      <c r="G71" s="121"/>
      <c r="H71" s="121"/>
      <c r="I71" s="120"/>
      <c r="J71" s="157"/>
      <c r="K71" s="169"/>
      <c r="L71" s="169"/>
      <c r="M71" s="169"/>
      <c r="N71" s="169"/>
      <c r="O71" s="141"/>
      <c r="P71" s="141"/>
      <c r="Q71" s="141"/>
      <c r="R71" s="141"/>
      <c r="S71" s="141"/>
      <c r="T71" s="141"/>
      <c r="U71" s="141"/>
      <c r="V71" s="17"/>
      <c r="W71" s="17"/>
    </row>
    <row r="72" spans="1:24" outlineLevel="1">
      <c r="A72" s="17"/>
      <c r="B72" s="17"/>
      <c r="C72" s="125"/>
      <c r="D72" s="120"/>
      <c r="E72" s="120"/>
      <c r="F72" s="120"/>
      <c r="G72" s="121"/>
      <c r="H72" s="121"/>
      <c r="I72" s="120"/>
      <c r="J72" s="120"/>
      <c r="K72" s="126"/>
      <c r="L72" s="126"/>
      <c r="M72" s="126"/>
      <c r="N72" s="126"/>
      <c r="O72" s="126"/>
      <c r="P72" s="17"/>
      <c r="Q72" s="17"/>
      <c r="R72" s="17"/>
      <c r="S72" s="17"/>
      <c r="T72" s="17"/>
      <c r="U72" s="17"/>
      <c r="V72" s="17"/>
      <c r="W72" s="17"/>
    </row>
    <row r="73" spans="1:24" outlineLevel="1">
      <c r="A73" s="17"/>
      <c r="B73" s="17"/>
      <c r="C73" s="17" t="s">
        <v>40</v>
      </c>
      <c r="D73" s="120" t="s">
        <v>93</v>
      </c>
      <c r="E73" s="120" t="s">
        <v>28</v>
      </c>
      <c r="F73" s="120" t="s">
        <v>36</v>
      </c>
      <c r="G73" s="120"/>
      <c r="H73" s="120"/>
      <c r="I73" s="120"/>
      <c r="J73" s="164" t="str">
        <f t="shared" ref="J73:S73" si="28">IF(J64=J$4,IF(COUNTA($C66:$C71)=COUNT(J66:J71),"Ok","Check"),"")</f>
        <v/>
      </c>
      <c r="K73" s="164" t="str">
        <f t="shared" si="28"/>
        <v/>
      </c>
      <c r="L73" s="164" t="str">
        <f t="shared" si="28"/>
        <v/>
      </c>
      <c r="M73" s="164" t="str">
        <f t="shared" si="28"/>
        <v/>
      </c>
      <c r="N73" s="164" t="str">
        <f t="shared" si="28"/>
        <v/>
      </c>
      <c r="O73" s="164" t="str">
        <f t="shared" si="28"/>
        <v>Ok</v>
      </c>
      <c r="P73" s="164" t="str">
        <f t="shared" si="28"/>
        <v>Ok</v>
      </c>
      <c r="Q73" s="164" t="str">
        <f t="shared" si="28"/>
        <v>Ok</v>
      </c>
      <c r="R73" s="164" t="str">
        <f t="shared" si="28"/>
        <v>Ok</v>
      </c>
      <c r="S73" s="164" t="str">
        <f t="shared" si="28"/>
        <v>Ok</v>
      </c>
      <c r="T73" s="164" t="str">
        <f>IF(T64=T$4,IF(COUNTA($C66:$C71)=COUNT(T66:T71),"Ok","Check"),"")</f>
        <v>Ok</v>
      </c>
      <c r="U73" s="164" t="str">
        <f>IF(U64=U$4,IF(COUNTA($C66:$C71)=COUNT(U66:U71),"Ok","Check"),"")</f>
        <v/>
      </c>
      <c r="V73" s="165"/>
      <c r="W73" s="17"/>
      <c r="X73" s="81" t="str">
        <f>IF(COUNTIF(J73:U73,"Check")=0,"Ok","Check")</f>
        <v>Ok</v>
      </c>
    </row>
    <row r="74" spans="1:24" outlineLevel="1">
      <c r="A74" s="17"/>
      <c r="B74" s="17"/>
      <c r="C74" s="125"/>
      <c r="D74" s="120"/>
      <c r="E74" s="120"/>
      <c r="F74" s="120"/>
      <c r="G74" s="121"/>
      <c r="H74" s="121"/>
      <c r="I74" s="120"/>
      <c r="J74" s="120"/>
      <c r="K74" s="126"/>
      <c r="L74" s="126"/>
      <c r="M74" s="126"/>
      <c r="N74" s="126"/>
      <c r="O74" s="126"/>
      <c r="P74" s="17"/>
      <c r="Q74" s="17"/>
      <c r="R74" s="17"/>
      <c r="S74" s="17"/>
      <c r="T74" s="17"/>
      <c r="U74" s="17"/>
      <c r="V74" s="17"/>
      <c r="W74" s="17"/>
    </row>
    <row r="75" spans="1:24" outlineLevel="1">
      <c r="A75" s="17"/>
      <c r="B75" s="17"/>
      <c r="C75" s="122" t="s">
        <v>83</v>
      </c>
      <c r="D75" s="121" t="s">
        <v>7</v>
      </c>
      <c r="E75" s="121" t="s">
        <v>8</v>
      </c>
      <c r="F75" s="121" t="s">
        <v>22</v>
      </c>
      <c r="G75" s="121"/>
      <c r="H75" s="121"/>
      <c r="I75" s="120"/>
      <c r="J75" s="138" t="str">
        <f t="shared" ref="J75:U75" si="29">IF(YEAR(J$4)&gt;=FPFirstYear,IF(YEAR(J$4)&lt;=FPLastYear,J$4,""),"")</f>
        <v/>
      </c>
      <c r="K75" s="138" t="str">
        <f t="shared" si="29"/>
        <v/>
      </c>
      <c r="L75" s="138" t="str">
        <f t="shared" si="29"/>
        <v/>
      </c>
      <c r="M75" s="138" t="str">
        <f t="shared" si="29"/>
        <v/>
      </c>
      <c r="N75" s="138" t="str">
        <f t="shared" si="29"/>
        <v/>
      </c>
      <c r="O75" s="138" t="str">
        <f t="shared" si="29"/>
        <v/>
      </c>
      <c r="P75" s="138">
        <f t="shared" si="29"/>
        <v>46539</v>
      </c>
      <c r="Q75" s="138">
        <f t="shared" si="29"/>
        <v>46905</v>
      </c>
      <c r="R75" s="138">
        <f t="shared" si="29"/>
        <v>47270</v>
      </c>
      <c r="S75" s="138">
        <f t="shared" si="29"/>
        <v>47635</v>
      </c>
      <c r="T75" s="138">
        <f t="shared" si="29"/>
        <v>48000</v>
      </c>
      <c r="U75" s="138" t="str">
        <f t="shared" si="29"/>
        <v/>
      </c>
      <c r="V75" s="17" t="str">
        <f>IF(RIGHT(V$4,2)&gt;=RIGHT('Input|General'!$G$13,2),IF(RIGHT(V$4,2)&lt;='Input|General'!$G$14,'Input|Reported opex'!U$4,""),"")</f>
        <v/>
      </c>
      <c r="W75" s="17"/>
    </row>
    <row r="76" spans="1:24" outlineLevel="1">
      <c r="A76" s="17"/>
      <c r="B76" s="17"/>
      <c r="C76" s="125"/>
      <c r="D76" s="120"/>
      <c r="E76" s="120"/>
      <c r="F76" s="120"/>
      <c r="G76" s="121"/>
      <c r="H76" s="121"/>
      <c r="I76" s="120"/>
      <c r="J76" s="120"/>
      <c r="K76" s="126"/>
      <c r="L76" s="126"/>
      <c r="M76" s="126"/>
      <c r="N76" s="126"/>
      <c r="O76" s="126"/>
      <c r="P76" s="17"/>
      <c r="Q76" s="17"/>
      <c r="R76" s="17"/>
      <c r="S76" s="17"/>
      <c r="T76" s="17"/>
      <c r="U76" s="17"/>
      <c r="V76" s="17"/>
      <c r="W76" s="17"/>
    </row>
    <row r="77" spans="1:24" outlineLevel="1">
      <c r="A77" s="17"/>
      <c r="B77" s="17"/>
      <c r="C77" s="166" t="str">
        <f t="shared" ref="C77:C82" si="30">C66</f>
        <v>Customer numbers (#)</v>
      </c>
      <c r="D77" s="120" t="s">
        <v>93</v>
      </c>
      <c r="E77" s="120" t="s">
        <v>18</v>
      </c>
      <c r="F77" s="120" t="s">
        <v>36</v>
      </c>
      <c r="G77" s="121"/>
      <c r="H77" s="121"/>
      <c r="I77" s="120"/>
      <c r="J77" s="170" t="str">
        <f>IF(ISBLANK(I66),"",IF(ISBLANK(J66),"",LN(J66)-LN(I66)))</f>
        <v/>
      </c>
      <c r="K77" s="170" t="str">
        <f>IF(ISBLANK(J66),"",IF(ISBLANK(K66),"",LN(K66)-LN(J66)))</f>
        <v/>
      </c>
      <c r="L77" s="170" t="str">
        <f>IF(ISBLANK(K66),"",IF(ISBLANK(L66),"",LN(L66)-LN(K66)))</f>
        <v/>
      </c>
      <c r="M77" s="170" t="str">
        <f>IF(ISBLANK(L66),"",IF(ISBLANK(M66),"",LN(M66)-LN(L66)))</f>
        <v/>
      </c>
      <c r="N77" s="170" t="str">
        <f>IF(ISBLANK(M66),"",IF(ISBLANK(N66),"",LN(N66)-LN(M66)))</f>
        <v/>
      </c>
      <c r="O77" s="170" t="str">
        <f t="shared" ref="O77:U77" si="31">IF(ISBLANK(N66),"",IF(ISBLANK(O66),"",LN(O66)-LN(N66)))</f>
        <v/>
      </c>
      <c r="P77" s="170">
        <f>IF(ISBLANK(O66),"",IF(ISBLANK(P66),"",LN(P66)-LN(O66)))</f>
        <v>7.0357698755714182E-3</v>
      </c>
      <c r="Q77" s="170">
        <f t="shared" si="31"/>
        <v>7.029437066689681E-3</v>
      </c>
      <c r="R77" s="170">
        <f t="shared" si="31"/>
        <v>6.9108710496141867E-3</v>
      </c>
      <c r="S77" s="170">
        <f t="shared" si="31"/>
        <v>6.7924412713704641E-3</v>
      </c>
      <c r="T77" s="170">
        <f t="shared" si="31"/>
        <v>6.6440233293239004E-3</v>
      </c>
      <c r="U77" s="170" t="str">
        <f t="shared" si="31"/>
        <v/>
      </c>
      <c r="V77" s="17"/>
      <c r="W77" s="17"/>
    </row>
    <row r="78" spans="1:24" outlineLevel="1">
      <c r="A78" s="17"/>
      <c r="B78" s="17"/>
      <c r="C78" s="166" t="str">
        <f t="shared" si="30"/>
        <v>Circuit Length (km)</v>
      </c>
      <c r="D78" s="120" t="s">
        <v>93</v>
      </c>
      <c r="E78" s="120" t="s">
        <v>18</v>
      </c>
      <c r="F78" s="120" t="s">
        <v>36</v>
      </c>
      <c r="G78" s="121"/>
      <c r="H78" s="121"/>
      <c r="I78" s="120"/>
      <c r="J78" s="170" t="str">
        <f t="shared" ref="J78:U78" si="32">IF(ISBLANK(I67),"",IF(ISBLANK(J67),"",LN(J67)-LN(I67)))</f>
        <v/>
      </c>
      <c r="K78" s="170" t="str">
        <f t="shared" si="32"/>
        <v/>
      </c>
      <c r="L78" s="170" t="str">
        <f t="shared" si="32"/>
        <v/>
      </c>
      <c r="M78" s="170" t="str">
        <f t="shared" si="32"/>
        <v/>
      </c>
      <c r="N78" s="170" t="str">
        <f t="shared" si="32"/>
        <v/>
      </c>
      <c r="O78" s="170" t="str">
        <f t="shared" si="32"/>
        <v/>
      </c>
      <c r="P78" s="170">
        <f t="shared" si="32"/>
        <v>2.0310686735953709E-3</v>
      </c>
      <c r="Q78" s="170">
        <f t="shared" si="32"/>
        <v>2.0523369431959537E-3</v>
      </c>
      <c r="R78" s="170">
        <f t="shared" si="32"/>
        <v>2.0737083793029853E-3</v>
      </c>
      <c r="S78" s="170">
        <f t="shared" si="32"/>
        <v>2.0951825644672795E-3</v>
      </c>
      <c r="T78" s="170">
        <f t="shared" si="32"/>
        <v>2.1167590659860736E-3</v>
      </c>
      <c r="U78" s="170" t="str">
        <f t="shared" si="32"/>
        <v/>
      </c>
      <c r="V78" s="17"/>
      <c r="W78" s="17"/>
    </row>
    <row r="79" spans="1:24" outlineLevel="1">
      <c r="A79" s="17"/>
      <c r="B79" s="17"/>
      <c r="C79" s="166" t="str">
        <f t="shared" si="30"/>
        <v xml:space="preserve">Ratcheted maximum demand </v>
      </c>
      <c r="D79" s="120" t="s">
        <v>93</v>
      </c>
      <c r="E79" s="120" t="s">
        <v>18</v>
      </c>
      <c r="F79" s="120" t="s">
        <v>36</v>
      </c>
      <c r="G79" s="121"/>
      <c r="H79" s="121"/>
      <c r="I79" s="120"/>
      <c r="J79" s="170" t="str">
        <f t="shared" ref="J79:U79" si="33">IF(ISBLANK(I68),"",IF(ISBLANK(J68),"",LN(J68)-LN(I68)))</f>
        <v/>
      </c>
      <c r="K79" s="170" t="str">
        <f t="shared" si="33"/>
        <v/>
      </c>
      <c r="L79" s="170" t="str">
        <f t="shared" si="33"/>
        <v/>
      </c>
      <c r="M79" s="170" t="str">
        <f t="shared" si="33"/>
        <v/>
      </c>
      <c r="N79" s="170" t="str">
        <f t="shared" si="33"/>
        <v/>
      </c>
      <c r="O79" s="170" t="str">
        <f t="shared" si="33"/>
        <v/>
      </c>
      <c r="P79" s="170">
        <f t="shared" si="33"/>
        <v>0</v>
      </c>
      <c r="Q79" s="170">
        <f t="shared" si="33"/>
        <v>0</v>
      </c>
      <c r="R79" s="170">
        <f t="shared" si="33"/>
        <v>0</v>
      </c>
      <c r="S79" s="170">
        <f t="shared" si="33"/>
        <v>0</v>
      </c>
      <c r="T79" s="170">
        <f t="shared" si="33"/>
        <v>0</v>
      </c>
      <c r="U79" s="170" t="str">
        <f t="shared" si="33"/>
        <v/>
      </c>
      <c r="V79" s="17"/>
      <c r="W79" s="17"/>
    </row>
    <row r="80" spans="1:24" outlineLevel="1">
      <c r="A80" s="17"/>
      <c r="B80" s="17"/>
      <c r="C80" s="166">
        <f t="shared" si="30"/>
        <v>0</v>
      </c>
      <c r="D80" s="120" t="s">
        <v>93</v>
      </c>
      <c r="E80" s="120" t="s">
        <v>18</v>
      </c>
      <c r="F80" s="120" t="s">
        <v>36</v>
      </c>
      <c r="G80" s="121"/>
      <c r="H80" s="121"/>
      <c r="I80" s="120"/>
      <c r="J80" s="170" t="str">
        <f t="shared" ref="J80:U80" si="34">IF(ISBLANK(I69),"",IF(ISBLANK(J69),"",LN(J69)-LN(I69)))</f>
        <v/>
      </c>
      <c r="K80" s="170" t="str">
        <f t="shared" si="34"/>
        <v/>
      </c>
      <c r="L80" s="170" t="str">
        <f t="shared" si="34"/>
        <v/>
      </c>
      <c r="M80" s="170" t="str">
        <f t="shared" si="34"/>
        <v/>
      </c>
      <c r="N80" s="170" t="str">
        <f t="shared" si="34"/>
        <v/>
      </c>
      <c r="O80" s="170" t="str">
        <f t="shared" si="34"/>
        <v/>
      </c>
      <c r="P80" s="170" t="str">
        <f t="shared" si="34"/>
        <v/>
      </c>
      <c r="Q80" s="170" t="str">
        <f t="shared" si="34"/>
        <v/>
      </c>
      <c r="R80" s="170" t="str">
        <f t="shared" si="34"/>
        <v/>
      </c>
      <c r="S80" s="170" t="str">
        <f t="shared" si="34"/>
        <v/>
      </c>
      <c r="T80" s="170" t="str">
        <f t="shared" si="34"/>
        <v/>
      </c>
      <c r="U80" s="170" t="str">
        <f t="shared" si="34"/>
        <v/>
      </c>
      <c r="V80" s="17"/>
      <c r="W80" s="17"/>
    </row>
    <row r="81" spans="1:24" outlineLevel="1">
      <c r="A81" s="17"/>
      <c r="B81" s="17"/>
      <c r="C81" s="166">
        <f t="shared" si="30"/>
        <v>0</v>
      </c>
      <c r="D81" s="120" t="s">
        <v>93</v>
      </c>
      <c r="E81" s="120" t="s">
        <v>18</v>
      </c>
      <c r="F81" s="120" t="s">
        <v>36</v>
      </c>
      <c r="G81" s="121"/>
      <c r="H81" s="121"/>
      <c r="I81" s="120"/>
      <c r="J81" s="170" t="str">
        <f t="shared" ref="J81:T81" si="35">IF(ISBLANK(I70),"",IF(ISBLANK(J70),"",LN(J70)-LN(I70)))</f>
        <v/>
      </c>
      <c r="K81" s="170" t="str">
        <f t="shared" si="35"/>
        <v/>
      </c>
      <c r="L81" s="170" t="str">
        <f t="shared" si="35"/>
        <v/>
      </c>
      <c r="M81" s="170" t="str">
        <f t="shared" si="35"/>
        <v/>
      </c>
      <c r="N81" s="170" t="str">
        <f t="shared" si="35"/>
        <v/>
      </c>
      <c r="O81" s="170" t="str">
        <f t="shared" si="35"/>
        <v/>
      </c>
      <c r="P81" s="170" t="str">
        <f t="shared" si="35"/>
        <v/>
      </c>
      <c r="Q81" s="170" t="str">
        <f t="shared" si="35"/>
        <v/>
      </c>
      <c r="R81" s="170" t="str">
        <f t="shared" si="35"/>
        <v/>
      </c>
      <c r="S81" s="170" t="str">
        <f t="shared" si="35"/>
        <v/>
      </c>
      <c r="T81" s="170" t="str">
        <f t="shared" si="35"/>
        <v/>
      </c>
      <c r="U81" s="170"/>
      <c r="V81" s="17"/>
      <c r="W81" s="17"/>
    </row>
    <row r="82" spans="1:24" outlineLevel="1">
      <c r="A82" s="17"/>
      <c r="B82" s="17"/>
      <c r="C82" s="166">
        <f t="shared" si="30"/>
        <v>0</v>
      </c>
      <c r="D82" s="120" t="s">
        <v>93</v>
      </c>
      <c r="E82" s="120" t="s">
        <v>18</v>
      </c>
      <c r="F82" s="120" t="s">
        <v>36</v>
      </c>
      <c r="G82" s="121"/>
      <c r="H82" s="121"/>
      <c r="I82" s="120"/>
      <c r="J82" s="170" t="str">
        <f t="shared" ref="J82:T82" si="36">IF(ISBLANK(I71),"",IF(ISBLANK(J71),"",LN(J71)-LN(I71)))</f>
        <v/>
      </c>
      <c r="K82" s="170" t="str">
        <f t="shared" si="36"/>
        <v/>
      </c>
      <c r="L82" s="170" t="str">
        <f t="shared" si="36"/>
        <v/>
      </c>
      <c r="M82" s="170" t="str">
        <f t="shared" si="36"/>
        <v/>
      </c>
      <c r="N82" s="170" t="str">
        <f t="shared" si="36"/>
        <v/>
      </c>
      <c r="O82" s="170" t="str">
        <f t="shared" si="36"/>
        <v/>
      </c>
      <c r="P82" s="170" t="str">
        <f t="shared" si="36"/>
        <v/>
      </c>
      <c r="Q82" s="170" t="str">
        <f t="shared" si="36"/>
        <v/>
      </c>
      <c r="R82" s="170" t="str">
        <f t="shared" si="36"/>
        <v/>
      </c>
      <c r="S82" s="170" t="str">
        <f t="shared" si="36"/>
        <v/>
      </c>
      <c r="T82" s="170" t="str">
        <f t="shared" si="36"/>
        <v/>
      </c>
      <c r="U82" s="170"/>
      <c r="V82" s="17"/>
      <c r="W82" s="17"/>
    </row>
    <row r="83" spans="1:24" outlineLevel="1">
      <c r="A83" s="17"/>
      <c r="B83" s="17"/>
      <c r="C83" s="125"/>
      <c r="D83" s="120"/>
      <c r="E83" s="120"/>
      <c r="F83" s="120"/>
      <c r="G83" s="121"/>
      <c r="H83" s="121"/>
      <c r="I83" s="120"/>
      <c r="J83" s="120"/>
      <c r="K83" s="126"/>
      <c r="L83" s="126"/>
      <c r="M83" s="126"/>
      <c r="N83" s="126"/>
      <c r="O83" s="126"/>
      <c r="P83" s="17"/>
      <c r="Q83" s="17"/>
      <c r="R83" s="17"/>
      <c r="S83" s="17"/>
      <c r="T83" s="17"/>
      <c r="U83" s="17"/>
      <c r="V83" s="17"/>
      <c r="W83" s="17"/>
    </row>
    <row r="84" spans="1:24" outlineLevel="1">
      <c r="A84" s="17"/>
      <c r="B84" s="17"/>
      <c r="C84" s="122" t="s">
        <v>191</v>
      </c>
      <c r="D84" s="121" t="s">
        <v>7</v>
      </c>
      <c r="E84" s="121" t="s">
        <v>8</v>
      </c>
      <c r="F84" s="121" t="s">
        <v>22</v>
      </c>
      <c r="G84" s="121"/>
      <c r="H84" s="121"/>
      <c r="I84" s="120"/>
      <c r="J84" s="171" t="s">
        <v>185</v>
      </c>
      <c r="K84" s="171" t="s">
        <v>186</v>
      </c>
      <c r="L84" s="171" t="s">
        <v>187</v>
      </c>
      <c r="M84" s="171"/>
      <c r="N84" s="126"/>
      <c r="O84" s="192" t="s">
        <v>212</v>
      </c>
      <c r="P84" s="17"/>
      <c r="Q84" s="17"/>
      <c r="R84" s="17"/>
      <c r="S84" s="17"/>
      <c r="T84" s="17"/>
      <c r="U84" s="17"/>
      <c r="V84" s="17"/>
      <c r="W84" s="17"/>
    </row>
    <row r="85" spans="1:24" outlineLevel="1">
      <c r="A85" s="17"/>
      <c r="B85" s="17"/>
      <c r="C85" s="125"/>
      <c r="D85" s="120"/>
      <c r="E85" s="120"/>
      <c r="F85" s="120"/>
      <c r="G85" s="121"/>
      <c r="H85" s="121"/>
      <c r="I85" s="120"/>
      <c r="J85" s="120"/>
      <c r="K85" s="126"/>
      <c r="L85" s="126"/>
      <c r="M85" s="126"/>
      <c r="N85" s="126"/>
      <c r="O85" s="126"/>
      <c r="P85" s="17"/>
      <c r="Q85" s="17"/>
      <c r="R85" s="17"/>
      <c r="S85" s="17"/>
      <c r="T85" s="17"/>
      <c r="U85" s="17"/>
      <c r="V85" s="17"/>
      <c r="W85" s="17"/>
    </row>
    <row r="86" spans="1:24" outlineLevel="1">
      <c r="A86" s="17"/>
      <c r="B86" s="17"/>
      <c r="C86" s="166" t="str">
        <f t="shared" ref="C86:C91" si="37">C66</f>
        <v>Customer numbers (#)</v>
      </c>
      <c r="D86" s="120" t="s">
        <v>96</v>
      </c>
      <c r="E86" s="120" t="s">
        <v>18</v>
      </c>
      <c r="F86" s="120" t="s">
        <v>36</v>
      </c>
      <c r="G86" s="121"/>
      <c r="H86" s="121"/>
      <c r="I86" s="120"/>
      <c r="J86" s="172">
        <v>0.24244830000000001</v>
      </c>
      <c r="K86" s="172">
        <v>0.5183875</v>
      </c>
      <c r="L86" s="172">
        <v>0.35791430000000002</v>
      </c>
      <c r="M86" s="172"/>
      <c r="N86" s="126"/>
      <c r="O86" s="126"/>
      <c r="P86" s="17"/>
      <c r="Q86" s="17"/>
      <c r="R86" s="17"/>
      <c r="S86" s="17"/>
      <c r="T86" s="17"/>
      <c r="U86" s="17"/>
      <c r="V86" s="17"/>
      <c r="W86" s="17"/>
    </row>
    <row r="87" spans="1:24" outlineLevel="1">
      <c r="A87" s="17"/>
      <c r="B87" s="17"/>
      <c r="C87" s="166" t="str">
        <f t="shared" si="37"/>
        <v>Circuit Length (km)</v>
      </c>
      <c r="D87" s="120" t="s">
        <v>96</v>
      </c>
      <c r="E87" s="120" t="s">
        <v>18</v>
      </c>
      <c r="F87" s="120" t="s">
        <v>36</v>
      </c>
      <c r="G87" s="121"/>
      <c r="H87" s="121"/>
      <c r="I87" s="120"/>
      <c r="J87" s="172">
        <v>0.1390005</v>
      </c>
      <c r="K87" s="172">
        <v>0.2287825</v>
      </c>
      <c r="L87" s="172">
        <v>0.2330788</v>
      </c>
      <c r="M87" s="172"/>
      <c r="N87" s="126"/>
      <c r="O87" s="126"/>
      <c r="P87" s="17"/>
      <c r="Q87" s="17"/>
      <c r="R87" s="17"/>
      <c r="S87" s="17"/>
      <c r="T87" s="17"/>
      <c r="U87" s="17"/>
      <c r="V87" s="17"/>
      <c r="W87" s="17"/>
    </row>
    <row r="88" spans="1:24" outlineLevel="1">
      <c r="A88" s="17"/>
      <c r="B88" s="17"/>
      <c r="C88" s="166" t="str">
        <f t="shared" si="37"/>
        <v xml:space="preserve">Ratcheted maximum demand </v>
      </c>
      <c r="D88" s="120" t="s">
        <v>96</v>
      </c>
      <c r="E88" s="120" t="s">
        <v>18</v>
      </c>
      <c r="F88" s="120" t="s">
        <v>36</v>
      </c>
      <c r="G88" s="121"/>
      <c r="H88" s="121"/>
      <c r="I88" s="120"/>
      <c r="J88" s="172">
        <v>0.58343420000000001</v>
      </c>
      <c r="K88" s="172">
        <v>0.2159809</v>
      </c>
      <c r="L88" s="172">
        <v>0.36370520000000001</v>
      </c>
      <c r="M88" s="172"/>
      <c r="N88" s="126"/>
      <c r="O88" s="126"/>
      <c r="P88" s="17"/>
      <c r="Q88" s="17"/>
      <c r="R88" s="17"/>
      <c r="S88" s="17"/>
      <c r="T88" s="17"/>
      <c r="U88" s="17"/>
      <c r="V88" s="17"/>
      <c r="W88" s="17"/>
    </row>
    <row r="89" spans="1:24" outlineLevel="1">
      <c r="A89" s="17"/>
      <c r="B89" s="17"/>
      <c r="C89" s="166">
        <f t="shared" si="37"/>
        <v>0</v>
      </c>
      <c r="D89" s="120" t="s">
        <v>96</v>
      </c>
      <c r="E89" s="120" t="s">
        <v>18</v>
      </c>
      <c r="F89" s="120" t="s">
        <v>36</v>
      </c>
      <c r="G89" s="121"/>
      <c r="H89" s="121"/>
      <c r="I89" s="120"/>
      <c r="J89" s="172"/>
      <c r="K89" s="173"/>
      <c r="L89" s="173"/>
      <c r="M89" s="172"/>
      <c r="N89" s="126"/>
      <c r="O89" s="126"/>
      <c r="P89" s="17"/>
      <c r="Q89" s="17"/>
      <c r="R89" s="17"/>
      <c r="S89" s="17"/>
      <c r="T89" s="17"/>
      <c r="U89" s="17"/>
      <c r="V89" s="17"/>
      <c r="W89" s="17"/>
    </row>
    <row r="90" spans="1:24" outlineLevel="1">
      <c r="A90" s="17"/>
      <c r="B90" s="17"/>
      <c r="C90" s="166">
        <f t="shared" si="37"/>
        <v>0</v>
      </c>
      <c r="D90" s="120" t="s">
        <v>96</v>
      </c>
      <c r="E90" s="120" t="s">
        <v>18</v>
      </c>
      <c r="F90" s="120" t="s">
        <v>36</v>
      </c>
      <c r="G90" s="121"/>
      <c r="H90" s="121"/>
      <c r="I90" s="120"/>
      <c r="J90" s="173"/>
      <c r="K90" s="173"/>
      <c r="L90" s="173"/>
      <c r="M90" s="173"/>
      <c r="N90" s="126"/>
      <c r="O90" s="126"/>
      <c r="P90" s="17"/>
      <c r="Q90" s="17"/>
      <c r="R90" s="17"/>
      <c r="S90" s="17"/>
      <c r="T90" s="17"/>
      <c r="U90" s="17"/>
      <c r="V90" s="17"/>
      <c r="W90" s="17"/>
    </row>
    <row r="91" spans="1:24" outlineLevel="1">
      <c r="A91" s="17"/>
      <c r="B91" s="17"/>
      <c r="C91" s="166">
        <f t="shared" si="37"/>
        <v>0</v>
      </c>
      <c r="D91" s="120" t="s">
        <v>96</v>
      </c>
      <c r="E91" s="120" t="s">
        <v>18</v>
      </c>
      <c r="F91" s="120" t="s">
        <v>36</v>
      </c>
      <c r="G91" s="121"/>
      <c r="H91" s="121"/>
      <c r="I91" s="120"/>
      <c r="J91" s="173"/>
      <c r="K91" s="173"/>
      <c r="L91" s="173"/>
      <c r="M91" s="173"/>
      <c r="N91" s="126"/>
      <c r="O91" s="126"/>
      <c r="P91" s="17"/>
      <c r="Q91" s="17"/>
      <c r="R91" s="17"/>
      <c r="S91" s="17"/>
      <c r="T91" s="17"/>
      <c r="U91" s="17"/>
      <c r="V91" s="17"/>
      <c r="W91" s="17"/>
    </row>
    <row r="92" spans="1:24" outlineLevel="1">
      <c r="A92" s="17"/>
      <c r="B92" s="17"/>
      <c r="C92" s="125"/>
      <c r="D92" s="120"/>
      <c r="E92" s="120"/>
      <c r="F92" s="120"/>
      <c r="G92" s="121"/>
      <c r="H92" s="121"/>
      <c r="I92" s="120"/>
      <c r="J92" s="120"/>
      <c r="K92" s="126"/>
      <c r="L92" s="126"/>
      <c r="M92" s="126"/>
      <c r="N92" s="126"/>
      <c r="O92" s="126"/>
      <c r="P92" s="17"/>
      <c r="Q92" s="17"/>
      <c r="R92" s="17"/>
      <c r="S92" s="17"/>
      <c r="T92" s="17"/>
      <c r="U92" s="17"/>
      <c r="V92" s="17"/>
      <c r="W92" s="17"/>
    </row>
    <row r="93" spans="1:24" outlineLevel="1">
      <c r="A93" s="17"/>
      <c r="B93" s="17"/>
      <c r="C93" s="17" t="s">
        <v>40</v>
      </c>
      <c r="D93" s="120" t="s">
        <v>93</v>
      </c>
      <c r="E93" s="120" t="s">
        <v>28</v>
      </c>
      <c r="F93" s="120" t="s">
        <v>36</v>
      </c>
      <c r="G93" s="120"/>
      <c r="H93" s="120"/>
      <c r="I93" s="120"/>
      <c r="J93" s="164" t="str">
        <f>IF(AND(ISBLANK(J84),COUNT(J86:J91)=0),"Ok",IF(AND(COUNTA($C66:$C71)=COUNT(J86:J91),COUNTA(J84)=1),"Ok","Check"))</f>
        <v>Ok</v>
      </c>
      <c r="K93" s="164" t="str">
        <f>IF(AND(ISBLANK(K84),COUNT(K86:K91)=0),"Ok",IF(AND(COUNTA($C66:$C71)=COUNT(K86:K91),COUNTA(K84)=1),"Ok","Check"))</f>
        <v>Ok</v>
      </c>
      <c r="L93" s="164" t="str">
        <f>IF(AND(ISBLANK(L84),COUNT(L86:L91)=0),"Ok",IF(AND(COUNTA($C66:$C71)=COUNT(L86:L91),COUNTA(L84)=1),"Ok","Check"))</f>
        <v>Ok</v>
      </c>
      <c r="M93" s="164" t="str">
        <f>IF(AND(ISBLANK(M84),COUNT(M86:M91)=0),"Ok",IF(AND(COUNTA($C66:$C71)=COUNT(M86:M91),COUNTA(M84)=1),"Ok","Check"))</f>
        <v>Ok</v>
      </c>
      <c r="N93" s="164"/>
      <c r="O93" s="164"/>
      <c r="P93" s="164"/>
      <c r="Q93" s="164"/>
      <c r="R93" s="164"/>
      <c r="S93" s="164"/>
      <c r="T93" s="164"/>
      <c r="U93" s="164"/>
      <c r="V93" s="165"/>
      <c r="W93" s="17"/>
      <c r="X93" s="81" t="str">
        <f>IF(COUNTIF(J93:T93,"Check")=0,"Ok","Check")</f>
        <v>Ok</v>
      </c>
    </row>
    <row r="94" spans="1:24" outlineLevel="1">
      <c r="A94" s="17"/>
      <c r="B94" s="17"/>
      <c r="C94" s="125"/>
      <c r="D94" s="120"/>
      <c r="E94" s="120"/>
      <c r="F94" s="120"/>
      <c r="G94" s="121"/>
      <c r="H94" s="121"/>
      <c r="I94" s="120"/>
      <c r="J94" s="120"/>
      <c r="K94" s="126"/>
      <c r="L94" s="126"/>
      <c r="M94" s="126"/>
      <c r="N94" s="126"/>
      <c r="O94" s="126"/>
      <c r="P94" s="17"/>
      <c r="Q94" s="17"/>
      <c r="R94" s="17"/>
      <c r="S94" s="17"/>
      <c r="T94" s="17"/>
      <c r="U94" s="17"/>
      <c r="V94" s="17"/>
      <c r="W94" s="17"/>
    </row>
    <row r="95" spans="1:24" outlineLevel="1">
      <c r="A95" s="17"/>
      <c r="B95" s="17"/>
      <c r="C95" s="122" t="s">
        <v>152</v>
      </c>
      <c r="D95" s="121" t="s">
        <v>7</v>
      </c>
      <c r="E95" s="121" t="s">
        <v>8</v>
      </c>
      <c r="F95" s="121" t="s">
        <v>22</v>
      </c>
      <c r="G95" s="121"/>
      <c r="H95" s="121"/>
      <c r="I95" s="120"/>
      <c r="J95" s="189" t="str">
        <f>J84</f>
        <v>SFA CD</v>
      </c>
      <c r="K95" s="189" t="str">
        <f>K84</f>
        <v>LSE CD</v>
      </c>
      <c r="L95" s="189" t="str">
        <f>L84</f>
        <v>LSE TLG</v>
      </c>
      <c r="M95" s="189">
        <f>M84</f>
        <v>0</v>
      </c>
      <c r="N95" s="138"/>
      <c r="O95" s="138"/>
      <c r="P95" s="138"/>
      <c r="Q95" s="138"/>
      <c r="R95" s="138"/>
      <c r="S95" s="138"/>
      <c r="T95" s="138"/>
      <c r="U95" s="138"/>
      <c r="V95" s="17"/>
      <c r="W95" s="17"/>
    </row>
    <row r="96" spans="1:24" outlineLevel="1">
      <c r="A96" s="17"/>
      <c r="B96" s="17"/>
      <c r="C96" s="125"/>
      <c r="D96" s="120"/>
      <c r="E96" s="120"/>
      <c r="F96" s="120"/>
      <c r="G96" s="121"/>
      <c r="H96" s="121"/>
      <c r="I96" s="120"/>
      <c r="J96" s="120"/>
      <c r="K96" s="126"/>
      <c r="L96" s="126"/>
      <c r="M96" s="126"/>
      <c r="N96" s="126"/>
      <c r="O96" s="174"/>
      <c r="P96" s="174"/>
      <c r="Q96" s="174"/>
      <c r="R96" s="174"/>
      <c r="S96" s="174"/>
      <c r="T96" s="174"/>
      <c r="U96" s="174"/>
      <c r="V96" s="17"/>
      <c r="W96" s="17"/>
    </row>
    <row r="97" spans="1:34" outlineLevel="1">
      <c r="A97" s="17"/>
      <c r="B97" s="17"/>
      <c r="C97" s="166" t="str">
        <f t="shared" ref="C97:C102" si="38">C66</f>
        <v>Customer numbers (#)</v>
      </c>
      <c r="D97" s="120" t="s">
        <v>93</v>
      </c>
      <c r="E97" s="120" t="str">
        <f t="shared" ref="E97:E102" si="39">percent</f>
        <v>Per cent</v>
      </c>
      <c r="F97" s="120" t="s">
        <v>36</v>
      </c>
      <c r="G97" s="121"/>
      <c r="H97" s="121"/>
      <c r="I97" s="120"/>
      <c r="J97" s="190">
        <f t="shared" ref="J97:M102" si="40">J86/SUM(J$86:J$91)</f>
        <v>0.25127222678811834</v>
      </c>
      <c r="K97" s="190">
        <f t="shared" si="40"/>
        <v>0.53822043877029024</v>
      </c>
      <c r="L97" s="190">
        <f t="shared" si="40"/>
        <v>0.3748978080300342</v>
      </c>
      <c r="M97" s="190" t="e">
        <f t="shared" si="40"/>
        <v>#DIV/0!</v>
      </c>
      <c r="N97" s="175"/>
      <c r="O97" s="175"/>
      <c r="P97" s="175"/>
      <c r="Q97" s="175"/>
      <c r="R97" s="175"/>
      <c r="S97" s="175"/>
      <c r="T97" s="175"/>
      <c r="U97" s="175"/>
      <c r="V97" s="17"/>
      <c r="W97" s="17"/>
    </row>
    <row r="98" spans="1:34" outlineLevel="1">
      <c r="A98" s="17"/>
      <c r="B98" s="17"/>
      <c r="C98" s="166" t="str">
        <f t="shared" si="38"/>
        <v>Circuit Length (km)</v>
      </c>
      <c r="D98" s="120" t="s">
        <v>93</v>
      </c>
      <c r="E98" s="120" t="str">
        <f t="shared" si="39"/>
        <v>Per cent</v>
      </c>
      <c r="F98" s="120" t="s">
        <v>36</v>
      </c>
      <c r="G98" s="121"/>
      <c r="H98" s="121"/>
      <c r="I98" s="120"/>
      <c r="J98" s="190">
        <f t="shared" si="40"/>
        <v>0.1440594351854059</v>
      </c>
      <c r="K98" s="190">
        <f t="shared" si="40"/>
        <v>0.23753546822206156</v>
      </c>
      <c r="L98" s="190">
        <f t="shared" si="40"/>
        <v>0.24413869805780528</v>
      </c>
      <c r="M98" s="190" t="e">
        <f t="shared" si="40"/>
        <v>#DIV/0!</v>
      </c>
      <c r="N98" s="175"/>
      <c r="O98" s="175"/>
      <c r="P98" s="175"/>
      <c r="Q98" s="175"/>
      <c r="R98" s="175"/>
      <c r="S98" s="175"/>
      <c r="T98" s="175"/>
      <c r="U98" s="175"/>
      <c r="V98" s="17"/>
      <c r="W98" s="17"/>
    </row>
    <row r="99" spans="1:34" outlineLevel="1">
      <c r="A99" s="17"/>
      <c r="B99" s="17"/>
      <c r="C99" s="166" t="str">
        <f t="shared" si="38"/>
        <v xml:space="preserve">Ratcheted maximum demand </v>
      </c>
      <c r="D99" s="120" t="s">
        <v>93</v>
      </c>
      <c r="E99" s="120" t="str">
        <f t="shared" si="39"/>
        <v>Per cent</v>
      </c>
      <c r="F99" s="120" t="s">
        <v>36</v>
      </c>
      <c r="G99" s="121"/>
      <c r="H99" s="121"/>
      <c r="I99" s="120"/>
      <c r="J99" s="190">
        <f t="shared" si="40"/>
        <v>0.60466833802647568</v>
      </c>
      <c r="K99" s="190">
        <f t="shared" si="40"/>
        <v>0.22424409300764811</v>
      </c>
      <c r="L99" s="190">
        <f t="shared" si="40"/>
        <v>0.38096349391216056</v>
      </c>
      <c r="M99" s="190" t="e">
        <f t="shared" si="40"/>
        <v>#DIV/0!</v>
      </c>
      <c r="N99" s="175"/>
      <c r="O99" s="175"/>
      <c r="P99" s="175"/>
      <c r="Q99" s="175"/>
      <c r="R99" s="175"/>
      <c r="S99" s="175"/>
      <c r="T99" s="175"/>
      <c r="U99" s="175"/>
      <c r="V99" s="17"/>
      <c r="W99" s="17"/>
    </row>
    <row r="100" spans="1:34" outlineLevel="1">
      <c r="A100" s="17"/>
      <c r="B100" s="17"/>
      <c r="C100" s="166">
        <f t="shared" si="38"/>
        <v>0</v>
      </c>
      <c r="D100" s="120" t="s">
        <v>93</v>
      </c>
      <c r="E100" s="120" t="str">
        <f t="shared" si="39"/>
        <v>Per cent</v>
      </c>
      <c r="F100" s="120" t="s">
        <v>36</v>
      </c>
      <c r="G100" s="121"/>
      <c r="H100" s="121"/>
      <c r="I100" s="120"/>
      <c r="J100" s="190">
        <f t="shared" si="40"/>
        <v>0</v>
      </c>
      <c r="K100" s="190">
        <f t="shared" si="40"/>
        <v>0</v>
      </c>
      <c r="L100" s="190">
        <f t="shared" si="40"/>
        <v>0</v>
      </c>
      <c r="M100" s="190" t="e">
        <f t="shared" si="40"/>
        <v>#DIV/0!</v>
      </c>
      <c r="N100" s="175"/>
      <c r="O100" s="175"/>
      <c r="P100" s="175"/>
      <c r="Q100" s="175"/>
      <c r="R100" s="175"/>
      <c r="S100" s="175"/>
      <c r="T100" s="175"/>
      <c r="U100" s="175"/>
      <c r="V100" s="17"/>
      <c r="W100" s="17"/>
    </row>
    <row r="101" spans="1:34" outlineLevel="1">
      <c r="A101" s="17"/>
      <c r="B101" s="17"/>
      <c r="C101" s="166">
        <f t="shared" si="38"/>
        <v>0</v>
      </c>
      <c r="D101" s="120" t="s">
        <v>93</v>
      </c>
      <c r="E101" s="120" t="str">
        <f t="shared" si="39"/>
        <v>Per cent</v>
      </c>
      <c r="F101" s="120" t="s">
        <v>36</v>
      </c>
      <c r="G101" s="121"/>
      <c r="H101" s="121"/>
      <c r="I101" s="120"/>
      <c r="J101" s="190">
        <f t="shared" si="40"/>
        <v>0</v>
      </c>
      <c r="K101" s="190">
        <f t="shared" si="40"/>
        <v>0</v>
      </c>
      <c r="L101" s="190">
        <f t="shared" si="40"/>
        <v>0</v>
      </c>
      <c r="M101" s="190" t="e">
        <f t="shared" si="40"/>
        <v>#DIV/0!</v>
      </c>
      <c r="N101" s="175"/>
      <c r="O101" s="175"/>
      <c r="P101" s="175"/>
      <c r="Q101" s="175"/>
      <c r="R101" s="175"/>
      <c r="S101" s="175"/>
      <c r="T101" s="175"/>
      <c r="U101" s="175"/>
      <c r="V101" s="17"/>
      <c r="W101" s="17"/>
    </row>
    <row r="102" spans="1:34" outlineLevel="1">
      <c r="A102" s="17"/>
      <c r="B102" s="17"/>
      <c r="C102" s="166">
        <f t="shared" si="38"/>
        <v>0</v>
      </c>
      <c r="D102" s="120" t="s">
        <v>93</v>
      </c>
      <c r="E102" s="120" t="str">
        <f t="shared" si="39"/>
        <v>Per cent</v>
      </c>
      <c r="F102" s="120" t="s">
        <v>36</v>
      </c>
      <c r="G102" s="121"/>
      <c r="H102" s="121"/>
      <c r="I102" s="120"/>
      <c r="J102" s="190">
        <f t="shared" si="40"/>
        <v>0</v>
      </c>
      <c r="K102" s="190">
        <f t="shared" si="40"/>
        <v>0</v>
      </c>
      <c r="L102" s="190">
        <f t="shared" si="40"/>
        <v>0</v>
      </c>
      <c r="M102" s="190" t="e">
        <f t="shared" si="40"/>
        <v>#DIV/0!</v>
      </c>
      <c r="N102" s="175"/>
      <c r="O102" s="175"/>
      <c r="P102" s="175"/>
      <c r="Q102" s="175"/>
      <c r="R102" s="175"/>
      <c r="S102" s="175"/>
      <c r="T102" s="175"/>
      <c r="U102" s="175"/>
      <c r="V102" s="17"/>
      <c r="W102" s="17"/>
    </row>
    <row r="103" spans="1:34" outlineLevel="1">
      <c r="A103" s="17"/>
      <c r="B103" s="17"/>
      <c r="C103" s="17"/>
      <c r="D103" s="120"/>
      <c r="E103" s="120"/>
      <c r="F103" s="120"/>
      <c r="G103" s="121"/>
      <c r="H103" s="121"/>
      <c r="I103" s="120"/>
      <c r="J103" s="176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</row>
    <row r="104" spans="1:34" outlineLevel="1">
      <c r="A104" s="17"/>
      <c r="B104" s="17"/>
      <c r="C104" s="122" t="s">
        <v>153</v>
      </c>
      <c r="D104" s="121" t="s">
        <v>7</v>
      </c>
      <c r="E104" s="121" t="s">
        <v>8</v>
      </c>
      <c r="F104" s="121" t="s">
        <v>22</v>
      </c>
      <c r="G104" s="120"/>
      <c r="H104" s="120"/>
      <c r="I104" s="120"/>
      <c r="J104" s="138" t="str">
        <f t="shared" ref="J104:U104" si="41">IF(YEAR(J$4)&gt;=FPFirstYear,IF(YEAR(J$4)&lt;=FPLastYear,J$4,""),"")</f>
        <v/>
      </c>
      <c r="K104" s="138" t="str">
        <f t="shared" si="41"/>
        <v/>
      </c>
      <c r="L104" s="138" t="str">
        <f t="shared" si="41"/>
        <v/>
      </c>
      <c r="M104" s="138" t="str">
        <f t="shared" si="41"/>
        <v/>
      </c>
      <c r="N104" s="138" t="str">
        <f t="shared" si="41"/>
        <v/>
      </c>
      <c r="O104" s="138" t="str">
        <f t="shared" si="41"/>
        <v/>
      </c>
      <c r="P104" s="138">
        <f t="shared" si="41"/>
        <v>46539</v>
      </c>
      <c r="Q104" s="138">
        <f t="shared" si="41"/>
        <v>46905</v>
      </c>
      <c r="R104" s="138">
        <f t="shared" si="41"/>
        <v>47270</v>
      </c>
      <c r="S104" s="138">
        <f t="shared" si="41"/>
        <v>47635</v>
      </c>
      <c r="T104" s="138">
        <f t="shared" si="41"/>
        <v>48000</v>
      </c>
      <c r="U104" s="138" t="str">
        <f t="shared" si="41"/>
        <v/>
      </c>
      <c r="V104" s="165"/>
      <c r="W104" s="17"/>
      <c r="X104" s="82"/>
    </row>
    <row r="105" spans="1:34" outlineLevel="1">
      <c r="A105" s="17"/>
      <c r="B105" s="17"/>
      <c r="C105" s="17"/>
      <c r="D105" s="120"/>
      <c r="E105" s="120"/>
      <c r="F105" s="120"/>
      <c r="G105" s="120"/>
      <c r="H105" s="120"/>
      <c r="I105" s="120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5"/>
      <c r="W105" s="17"/>
      <c r="X105" s="82"/>
    </row>
    <row r="106" spans="1:34" outlineLevel="1">
      <c r="A106" s="17"/>
      <c r="B106" s="17"/>
      <c r="C106" s="166" t="str">
        <f t="array" ref="C106:C109">TRANSPOSE(J95:M95)</f>
        <v>SFA CD</v>
      </c>
      <c r="D106" s="120" t="s">
        <v>93</v>
      </c>
      <c r="E106" s="120" t="s">
        <v>18</v>
      </c>
      <c r="F106" s="120" t="s">
        <v>36</v>
      </c>
      <c r="G106" s="120"/>
      <c r="H106" s="120"/>
      <c r="I106" s="120"/>
      <c r="J106" s="170" t="str">
        <f t="shared" ref="J106:U106" si="42">IF(J$104=J$4,SUMPRODUCT(J$77:J$82,$J$97:$J$102),"")</f>
        <v/>
      </c>
      <c r="K106" s="170" t="str">
        <f t="shared" si="42"/>
        <v/>
      </c>
      <c r="L106" s="170" t="str">
        <f t="shared" si="42"/>
        <v/>
      </c>
      <c r="M106" s="170" t="str">
        <f t="shared" si="42"/>
        <v/>
      </c>
      <c r="N106" s="170" t="str">
        <f t="shared" si="42"/>
        <v/>
      </c>
      <c r="O106" s="170" t="str">
        <f t="shared" si="42"/>
        <v/>
      </c>
      <c r="P106" s="170">
        <f>IF(P$104=P$4,SUMPRODUCT(P$77:P$82,$J$97:$J$102),"")</f>
        <v>2.0604881697445132E-3</v>
      </c>
      <c r="Q106" s="170">
        <f t="shared" si="42"/>
        <v>2.0619608056610065E-3</v>
      </c>
      <c r="R106" s="170">
        <f t="shared" si="42"/>
        <v>2.0352472155437287E-3</v>
      </c>
      <c r="S106" s="170">
        <f t="shared" si="42"/>
        <v>2.0085826604322407E-3</v>
      </c>
      <c r="T106" s="170">
        <f t="shared" si="42"/>
        <v>1.9743976522609654E-3</v>
      </c>
      <c r="U106" s="170" t="str">
        <f t="shared" si="42"/>
        <v/>
      </c>
      <c r="V106" s="165"/>
      <c r="W106" s="17"/>
      <c r="X106" s="82"/>
    </row>
    <row r="107" spans="1:34" outlineLevel="1">
      <c r="A107" s="17"/>
      <c r="B107" s="17"/>
      <c r="C107" s="166" t="str">
        <v>LSE CD</v>
      </c>
      <c r="D107" s="120" t="s">
        <v>93</v>
      </c>
      <c r="E107" s="120" t="s">
        <v>18</v>
      </c>
      <c r="F107" s="120" t="s">
        <v>36</v>
      </c>
      <c r="G107" s="120"/>
      <c r="H107" s="120"/>
      <c r="I107" s="120"/>
      <c r="J107" s="170" t="str">
        <f t="shared" ref="J107:U107" si="43">IF(J$104=J$4,SUMPRODUCT(J$77:J$82,$K$97:$K$102),"")</f>
        <v/>
      </c>
      <c r="K107" s="170" t="str">
        <f t="shared" si="43"/>
        <v/>
      </c>
      <c r="L107" s="170" t="str">
        <f t="shared" si="43"/>
        <v/>
      </c>
      <c r="M107" s="170" t="str">
        <f t="shared" si="43"/>
        <v/>
      </c>
      <c r="N107" s="170" t="str">
        <f t="shared" si="43"/>
        <v/>
      </c>
      <c r="O107" s="170" t="str">
        <f t="shared" si="43"/>
        <v/>
      </c>
      <c r="P107" s="170">
        <f t="shared" si="43"/>
        <v>4.2692459978904765E-3</v>
      </c>
      <c r="Q107" s="170">
        <f t="shared" si="43"/>
        <v>4.2708895190933481E-3</v>
      </c>
      <c r="R107" s="170">
        <f t="shared" si="43"/>
        <v>4.2121513394419909E-3</v>
      </c>
      <c r="S107" s="170">
        <f t="shared" si="43"/>
        <v>4.1535108928598746E-3</v>
      </c>
      <c r="T107" s="170">
        <f t="shared" si="43"/>
        <v>4.0787545073610503E-3</v>
      </c>
      <c r="U107" s="170" t="str">
        <f t="shared" si="43"/>
        <v/>
      </c>
      <c r="V107" s="165"/>
      <c r="W107" s="17"/>
      <c r="X107" s="82"/>
    </row>
    <row r="108" spans="1:34" outlineLevel="1">
      <c r="A108" s="17"/>
      <c r="B108" s="17"/>
      <c r="C108" s="166" t="str">
        <v>LSE TLG</v>
      </c>
      <c r="D108" s="120" t="s">
        <v>93</v>
      </c>
      <c r="E108" s="120" t="s">
        <v>18</v>
      </c>
      <c r="F108" s="120" t="s">
        <v>36</v>
      </c>
      <c r="G108" s="120"/>
      <c r="H108" s="120"/>
      <c r="I108" s="120"/>
      <c r="J108" s="170" t="str">
        <f t="shared" ref="J108:U108" si="44">IF(J$104=J$4,SUMPRODUCT(J$77:J$82,$L$97:$L$102),"")</f>
        <v/>
      </c>
      <c r="K108" s="170" t="str">
        <f t="shared" si="44"/>
        <v/>
      </c>
      <c r="L108" s="170" t="str">
        <f t="shared" si="44"/>
        <v/>
      </c>
      <c r="M108" s="170" t="str">
        <f t="shared" si="44"/>
        <v/>
      </c>
      <c r="N108" s="170" t="str">
        <f t="shared" si="44"/>
        <v/>
      </c>
      <c r="O108" s="170" t="str">
        <f t="shared" si="44"/>
        <v/>
      </c>
      <c r="P108" s="170">
        <f t="shared" si="44"/>
        <v>3.1335571657930385E-3</v>
      </c>
      <c r="Q108" s="170">
        <f t="shared" si="44"/>
        <v>3.1363754172748304E-3</v>
      </c>
      <c r="R108" s="170">
        <f t="shared" si="44"/>
        <v>3.0971428719531726E-3</v>
      </c>
      <c r="S108" s="170">
        <f t="shared" si="44"/>
        <v>3.057986487291981E-3</v>
      </c>
      <c r="T108" s="170">
        <f t="shared" si="44"/>
        <v>3.0076125851358363E-3</v>
      </c>
      <c r="U108" s="170" t="str">
        <f t="shared" si="44"/>
        <v/>
      </c>
      <c r="V108" s="165"/>
      <c r="W108" s="17"/>
      <c r="X108" s="82"/>
    </row>
    <row r="109" spans="1:34" outlineLevel="1">
      <c r="A109" s="17"/>
      <c r="B109" s="17"/>
      <c r="C109" s="166">
        <v>0</v>
      </c>
      <c r="D109" s="120" t="s">
        <v>93</v>
      </c>
      <c r="E109" s="120" t="s">
        <v>18</v>
      </c>
      <c r="F109" s="120" t="s">
        <v>36</v>
      </c>
      <c r="G109" s="120"/>
      <c r="H109" s="120"/>
      <c r="I109" s="120"/>
      <c r="J109" s="170" t="str">
        <f t="shared" ref="J109:U109" si="45">IF(J$104=J$4,SUMPRODUCT(J$77:J$82,$M$97:$M$102),"")</f>
        <v/>
      </c>
      <c r="K109" s="170" t="str">
        <f t="shared" si="45"/>
        <v/>
      </c>
      <c r="L109" s="170" t="str">
        <f t="shared" si="45"/>
        <v/>
      </c>
      <c r="M109" s="170" t="str">
        <f t="shared" si="45"/>
        <v/>
      </c>
      <c r="N109" s="170" t="str">
        <f t="shared" si="45"/>
        <v/>
      </c>
      <c r="O109" s="170" t="str">
        <f t="shared" si="45"/>
        <v/>
      </c>
      <c r="P109" s="170" t="e">
        <f t="shared" si="45"/>
        <v>#DIV/0!</v>
      </c>
      <c r="Q109" s="170" t="e">
        <f t="shared" si="45"/>
        <v>#DIV/0!</v>
      </c>
      <c r="R109" s="170" t="e">
        <f t="shared" si="45"/>
        <v>#DIV/0!</v>
      </c>
      <c r="S109" s="170" t="e">
        <f t="shared" si="45"/>
        <v>#DIV/0!</v>
      </c>
      <c r="T109" s="170" t="e">
        <f t="shared" si="45"/>
        <v>#DIV/0!</v>
      </c>
      <c r="U109" s="170" t="str">
        <f t="shared" si="45"/>
        <v/>
      </c>
      <c r="V109" s="165"/>
      <c r="W109" s="17"/>
      <c r="X109" s="82"/>
    </row>
    <row r="110" spans="1:34" outlineLevel="1">
      <c r="A110" s="17"/>
      <c r="B110" s="17"/>
      <c r="C110" s="125"/>
      <c r="D110" s="120"/>
      <c r="E110" s="120"/>
      <c r="F110" s="120"/>
      <c r="G110" s="121"/>
      <c r="H110" s="121"/>
      <c r="I110" s="120"/>
      <c r="J110" s="120"/>
      <c r="K110" s="126"/>
      <c r="L110" s="126"/>
      <c r="M110" s="126"/>
      <c r="N110" s="126"/>
      <c r="O110" s="126"/>
      <c r="P110" s="17"/>
      <c r="Q110" s="17"/>
      <c r="R110" s="17"/>
      <c r="S110" s="17"/>
      <c r="T110" s="17"/>
      <c r="U110" s="17"/>
      <c r="V110" s="17"/>
      <c r="W110" s="17"/>
    </row>
    <row r="111" spans="1:34" customFormat="1" ht="12.75">
      <c r="A111" s="32"/>
      <c r="B111" s="38" t="s">
        <v>73</v>
      </c>
      <c r="C111" s="32"/>
      <c r="D111" s="32"/>
      <c r="E111" s="32"/>
      <c r="F111" s="118"/>
      <c r="G111" s="118"/>
      <c r="H111" s="118"/>
      <c r="I111" s="118"/>
      <c r="J111" s="118"/>
      <c r="K111" s="34"/>
      <c r="L111" s="119"/>
      <c r="M111" s="34"/>
      <c r="N111" s="119"/>
      <c r="O111" s="34"/>
      <c r="P111" s="34"/>
      <c r="Q111" s="34"/>
      <c r="R111" s="34"/>
      <c r="S111" s="34"/>
      <c r="T111" s="34"/>
      <c r="U111" s="34"/>
      <c r="V111" s="34"/>
      <c r="W111" s="34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7"/>
      <c r="B112" s="17"/>
      <c r="C112" s="17"/>
      <c r="D112" s="120"/>
      <c r="E112" s="120"/>
      <c r="F112" s="120"/>
      <c r="G112" s="121"/>
      <c r="H112" s="121"/>
      <c r="I112" s="120"/>
      <c r="J112" s="120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</row>
    <row r="113" spans="1:34" outlineLevel="1">
      <c r="A113" s="17"/>
      <c r="B113" s="17"/>
      <c r="C113" s="122" t="s">
        <v>47</v>
      </c>
      <c r="D113" s="121" t="s">
        <v>7</v>
      </c>
      <c r="E113" s="121" t="s">
        <v>8</v>
      </c>
      <c r="F113" s="121" t="s">
        <v>22</v>
      </c>
      <c r="G113" s="121"/>
      <c r="H113" s="121"/>
      <c r="I113" s="120"/>
      <c r="J113" s="138" t="str">
        <f t="shared" ref="J113:U113" si="46">IF(YEAR(J$4)&gt;=FPFirstYear,IF(YEAR(J$4)&lt;=FPLastYear,J$4,""),"")</f>
        <v/>
      </c>
      <c r="K113" s="138" t="str">
        <f t="shared" si="46"/>
        <v/>
      </c>
      <c r="L113" s="138" t="str">
        <f t="shared" si="46"/>
        <v/>
      </c>
      <c r="M113" s="138" t="str">
        <f t="shared" si="46"/>
        <v/>
      </c>
      <c r="N113" s="138" t="str">
        <f t="shared" si="46"/>
        <v/>
      </c>
      <c r="O113" s="138" t="str">
        <f t="shared" si="46"/>
        <v/>
      </c>
      <c r="P113" s="138">
        <f t="shared" si="46"/>
        <v>46539</v>
      </c>
      <c r="Q113" s="138">
        <f t="shared" si="46"/>
        <v>46905</v>
      </c>
      <c r="R113" s="138">
        <f t="shared" si="46"/>
        <v>47270</v>
      </c>
      <c r="S113" s="138">
        <f t="shared" si="46"/>
        <v>47635</v>
      </c>
      <c r="T113" s="138">
        <f t="shared" si="46"/>
        <v>48000</v>
      </c>
      <c r="U113" s="138" t="str">
        <f t="shared" si="46"/>
        <v/>
      </c>
      <c r="V113" s="17"/>
      <c r="W113" s="17"/>
    </row>
    <row r="114" spans="1:34" outlineLevel="1">
      <c r="A114" s="17"/>
      <c r="B114" s="17"/>
      <c r="C114" s="125"/>
      <c r="D114" s="120"/>
      <c r="E114" s="120"/>
      <c r="F114" s="120"/>
      <c r="G114" s="121"/>
      <c r="H114" s="121"/>
      <c r="I114" s="120"/>
      <c r="J114" s="120"/>
      <c r="K114" s="126"/>
      <c r="L114" s="126"/>
      <c r="M114" s="126"/>
      <c r="N114" s="126"/>
      <c r="O114" s="126"/>
      <c r="P114" s="17"/>
      <c r="Q114" s="17"/>
      <c r="R114" s="17"/>
      <c r="S114" s="17"/>
      <c r="T114" s="17"/>
      <c r="U114" s="17"/>
      <c r="V114" s="17"/>
      <c r="W114" s="17"/>
    </row>
    <row r="115" spans="1:34" outlineLevel="1">
      <c r="A115" s="17"/>
      <c r="B115" s="17"/>
      <c r="C115" s="125" t="s">
        <v>47</v>
      </c>
      <c r="D115" s="120" t="s">
        <v>96</v>
      </c>
      <c r="E115" s="120" t="str">
        <f>percent</f>
        <v>Per cent</v>
      </c>
      <c r="F115" s="120" t="s">
        <v>36</v>
      </c>
      <c r="G115" s="121"/>
      <c r="H115" s="121"/>
      <c r="I115" s="120"/>
      <c r="J115" s="157"/>
      <c r="K115" s="177"/>
      <c r="L115" s="177"/>
      <c r="M115" s="177"/>
      <c r="N115" s="177"/>
      <c r="O115" s="167"/>
      <c r="P115" s="167">
        <v>5.0000000000000001E-3</v>
      </c>
      <c r="Q115" s="167">
        <v>5.0000000000000001E-3</v>
      </c>
      <c r="R115" s="167">
        <v>5.0000000000000001E-3</v>
      </c>
      <c r="S115" s="167">
        <v>5.0000000000000001E-3</v>
      </c>
      <c r="T115" s="167">
        <v>5.0000000000000001E-3</v>
      </c>
      <c r="U115" s="167"/>
      <c r="V115" s="17"/>
      <c r="W115" s="17"/>
    </row>
    <row r="116" spans="1:34" outlineLevel="1">
      <c r="A116" s="17"/>
      <c r="B116" s="17"/>
      <c r="C116" s="125"/>
      <c r="D116" s="120"/>
      <c r="E116" s="120"/>
      <c r="F116" s="120"/>
      <c r="G116" s="121"/>
      <c r="H116" s="121"/>
      <c r="I116" s="120"/>
      <c r="J116" s="120"/>
      <c r="K116" s="126"/>
      <c r="L116" s="126"/>
      <c r="M116" s="126"/>
      <c r="N116" s="126"/>
      <c r="O116" s="126"/>
      <c r="P116" s="178"/>
      <c r="Q116" s="178"/>
      <c r="R116" s="178"/>
      <c r="S116" s="178"/>
      <c r="T116" s="178"/>
      <c r="U116" s="178"/>
      <c r="V116" s="17"/>
      <c r="W116" s="17"/>
    </row>
    <row r="117" spans="1:34" outlineLevel="1">
      <c r="A117" s="17"/>
      <c r="B117" s="17"/>
      <c r="C117" s="17" t="s">
        <v>40</v>
      </c>
      <c r="D117" s="120" t="s">
        <v>93</v>
      </c>
      <c r="E117" s="120" t="s">
        <v>28</v>
      </c>
      <c r="F117" s="120" t="s">
        <v>36</v>
      </c>
      <c r="G117" s="120"/>
      <c r="H117" s="120"/>
      <c r="I117" s="120"/>
      <c r="J117" s="164" t="str">
        <f t="shared" ref="J117:S117" si="47">IF(J113=J$4,IF(ISBLANK(J115),"Check","Ok"),"")</f>
        <v/>
      </c>
      <c r="K117" s="164" t="str">
        <f t="shared" si="47"/>
        <v/>
      </c>
      <c r="L117" s="164" t="str">
        <f t="shared" si="47"/>
        <v/>
      </c>
      <c r="M117" s="164" t="str">
        <f t="shared" si="47"/>
        <v/>
      </c>
      <c r="N117" s="164" t="str">
        <f t="shared" si="47"/>
        <v/>
      </c>
      <c r="O117" s="164" t="str">
        <f t="shared" si="47"/>
        <v/>
      </c>
      <c r="P117" s="164" t="str">
        <f t="shared" si="47"/>
        <v>Ok</v>
      </c>
      <c r="Q117" s="164" t="str">
        <f t="shared" si="47"/>
        <v>Ok</v>
      </c>
      <c r="R117" s="164" t="str">
        <f t="shared" si="47"/>
        <v>Ok</v>
      </c>
      <c r="S117" s="164" t="str">
        <f t="shared" si="47"/>
        <v>Ok</v>
      </c>
      <c r="T117" s="164" t="str">
        <f>IF(T113=T$4,IF(ISBLANK(T115),"Check","Ok"),"")</f>
        <v>Ok</v>
      </c>
      <c r="U117" s="164" t="str">
        <f>IF(U113=U$4,IF(ISBLANK(U115),"Check","Ok"),"")</f>
        <v/>
      </c>
      <c r="V117" s="165"/>
      <c r="W117" s="17"/>
      <c r="X117" s="81" t="str">
        <f>IF(COUNTIF(J117:T117,"Check")=0,"Ok","Check")</f>
        <v>Ok</v>
      </c>
    </row>
    <row r="118" spans="1:34" outlineLevel="1">
      <c r="A118" s="17"/>
      <c r="B118" s="17"/>
      <c r="C118" s="125"/>
      <c r="D118" s="120"/>
      <c r="E118" s="120"/>
      <c r="F118" s="120"/>
      <c r="G118" s="121"/>
      <c r="H118" s="121"/>
      <c r="I118" s="120"/>
      <c r="J118" s="120"/>
      <c r="K118" s="126"/>
      <c r="L118" s="126"/>
      <c r="M118" s="126"/>
      <c r="N118" s="126"/>
      <c r="O118" s="126"/>
      <c r="P118" s="17"/>
      <c r="Q118" s="17"/>
      <c r="R118" s="17"/>
      <c r="S118" s="17"/>
      <c r="T118" s="17"/>
      <c r="U118" s="17"/>
      <c r="V118" s="17"/>
      <c r="W118" s="17"/>
    </row>
    <row r="119" spans="1:34" customFormat="1" ht="12.75">
      <c r="A119" s="32"/>
      <c r="B119" s="38" t="s">
        <v>21</v>
      </c>
      <c r="C119" s="32"/>
      <c r="D119" s="32"/>
      <c r="E119" s="32"/>
      <c r="F119" s="118"/>
      <c r="G119" s="118"/>
      <c r="H119" s="118"/>
      <c r="I119" s="118"/>
      <c r="J119" s="118"/>
      <c r="K119" s="34"/>
      <c r="L119" s="119"/>
      <c r="M119" s="34"/>
      <c r="N119" s="119"/>
      <c r="O119" s="34"/>
      <c r="P119" s="34"/>
      <c r="Q119" s="34"/>
      <c r="R119" s="34"/>
      <c r="S119" s="34"/>
      <c r="T119" s="34"/>
      <c r="U119" s="34"/>
      <c r="V119" s="34"/>
      <c r="W119" s="34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X1 X104:X109">
    <cfRule type="cellIs" dxfId="168" priority="124" operator="equal">
      <formula>"Check"</formula>
    </cfRule>
    <cfRule type="cellIs" dxfId="167" priority="125" operator="equal">
      <formula>"Ok"</formula>
    </cfRule>
  </conditionalFormatting>
  <conditionalFormatting sqref="T1:U1">
    <cfRule type="cellIs" dxfId="166" priority="88" operator="equal">
      <formula>"Check"</formula>
    </cfRule>
    <cfRule type="cellIs" dxfId="165" priority="89" operator="equal">
      <formula>"Ok"</formula>
    </cfRule>
  </conditionalFormatting>
  <conditionalFormatting sqref="X60">
    <cfRule type="cellIs" dxfId="164" priority="76" operator="equal">
      <formula>"Check"</formula>
    </cfRule>
    <cfRule type="cellIs" dxfId="163" priority="77" operator="equal">
      <formula>"Ok"</formula>
    </cfRule>
  </conditionalFormatting>
  <conditionalFormatting sqref="J60:U60">
    <cfRule type="cellIs" dxfId="162" priority="68" operator="equal">
      <formula>"Check"</formula>
    </cfRule>
    <cfRule type="cellIs" dxfId="161" priority="69" operator="equal">
      <formula>"Ok"</formula>
    </cfRule>
  </conditionalFormatting>
  <conditionalFormatting sqref="J36:U36">
    <cfRule type="expression" dxfId="160" priority="59">
      <formula>J$36=J$4</formula>
    </cfRule>
  </conditionalFormatting>
  <conditionalFormatting sqref="J39:T40 J41:U45 J38:O38 T38 P39:T45">
    <cfRule type="expression" dxfId="159" priority="57">
      <formula>J$36=J$4</formula>
    </cfRule>
  </conditionalFormatting>
  <conditionalFormatting sqref="J51:T52 J55:O55 J56:T58 J54:T54 J53:O53 Q53:T53">
    <cfRule type="expression" dxfId="158" priority="56">
      <formula>J$49=J$4</formula>
    </cfRule>
  </conditionalFormatting>
  <conditionalFormatting sqref="X117">
    <cfRule type="cellIs" dxfId="157" priority="50" operator="equal">
      <formula>"Check"</formula>
    </cfRule>
    <cfRule type="cellIs" dxfId="156" priority="51" operator="equal">
      <formula>"Ok"</formula>
    </cfRule>
  </conditionalFormatting>
  <conditionalFormatting sqref="J117:U117">
    <cfRule type="cellIs" dxfId="155" priority="48" operator="equal">
      <formula>"Check"</formula>
    </cfRule>
    <cfRule type="cellIs" dxfId="154" priority="49" operator="equal">
      <formula>"Ok"</formula>
    </cfRule>
  </conditionalFormatting>
  <conditionalFormatting sqref="X47">
    <cfRule type="cellIs" dxfId="153" priority="46" operator="equal">
      <formula>"Check"</formula>
    </cfRule>
    <cfRule type="cellIs" dxfId="152" priority="47" operator="equal">
      <formula>"Ok"</formula>
    </cfRule>
  </conditionalFormatting>
  <conditionalFormatting sqref="J47:U47">
    <cfRule type="cellIs" dxfId="151" priority="44" operator="equal">
      <formula>"Check"</formula>
    </cfRule>
    <cfRule type="cellIs" dxfId="150" priority="45" operator="equal">
      <formula>"Ok"</formula>
    </cfRule>
  </conditionalFormatting>
  <conditionalFormatting sqref="X73">
    <cfRule type="cellIs" dxfId="149" priority="42" operator="equal">
      <formula>"Check"</formula>
    </cfRule>
    <cfRule type="cellIs" dxfId="148" priority="43" operator="equal">
      <formula>"Ok"</formula>
    </cfRule>
  </conditionalFormatting>
  <conditionalFormatting sqref="J73:U73">
    <cfRule type="cellIs" dxfId="147" priority="40" operator="equal">
      <formula>"Check"</formula>
    </cfRule>
    <cfRule type="cellIs" dxfId="146" priority="41" operator="equal">
      <formula>"Ok"</formula>
    </cfRule>
  </conditionalFormatting>
  <conditionalFormatting sqref="J64:U64">
    <cfRule type="expression" dxfId="145" priority="34">
      <formula>J$64=J$4</formula>
    </cfRule>
  </conditionalFormatting>
  <conditionalFormatting sqref="J66:U71">
    <cfRule type="expression" dxfId="144" priority="32">
      <formula>J$64=J$4</formula>
    </cfRule>
  </conditionalFormatting>
  <conditionalFormatting sqref="J49:U49">
    <cfRule type="expression" dxfId="143" priority="29">
      <formula>J$36=J$4</formula>
    </cfRule>
  </conditionalFormatting>
  <conditionalFormatting sqref="J75:U75">
    <cfRule type="expression" dxfId="142" priority="28">
      <formula>J$36=J$4</formula>
    </cfRule>
  </conditionalFormatting>
  <conditionalFormatting sqref="J113:U113">
    <cfRule type="expression" dxfId="141" priority="27">
      <formula>J$36=J$4</formula>
    </cfRule>
  </conditionalFormatting>
  <conditionalFormatting sqref="J26:U32">
    <cfRule type="cellIs" dxfId="140" priority="25" operator="equal">
      <formula>0</formula>
    </cfRule>
  </conditionalFormatting>
  <conditionalFormatting sqref="J16:U22">
    <cfRule type="cellIs" dxfId="139" priority="24" operator="equal">
      <formula>0</formula>
    </cfRule>
  </conditionalFormatting>
  <conditionalFormatting sqref="J105:U105">
    <cfRule type="cellIs" dxfId="138" priority="17" operator="equal">
      <formula>"Check"</formula>
    </cfRule>
    <cfRule type="cellIs" dxfId="137" priority="18" operator="equal">
      <formula>"Ok"</formula>
    </cfRule>
  </conditionalFormatting>
  <conditionalFormatting sqref="U51:U58">
    <cfRule type="expression" dxfId="136" priority="13">
      <formula>U$49=U$4</formula>
    </cfRule>
  </conditionalFormatting>
  <conditionalFormatting sqref="P38:T39">
    <cfRule type="expression" dxfId="135" priority="12">
      <formula>P$36=P$4</formula>
    </cfRule>
  </conditionalFormatting>
  <conditionalFormatting sqref="P55:T55">
    <cfRule type="expression" dxfId="134" priority="11">
      <formula>P$49=P$4</formula>
    </cfRule>
  </conditionalFormatting>
  <conditionalFormatting sqref="T55">
    <cfRule type="expression" dxfId="133" priority="10">
      <formula>T$49=T$4</formula>
    </cfRule>
  </conditionalFormatting>
  <conditionalFormatting sqref="K89:M91">
    <cfRule type="expression" dxfId="132" priority="176">
      <formula>K$95=K$4</formula>
    </cfRule>
  </conditionalFormatting>
  <conditionalFormatting sqref="X93">
    <cfRule type="cellIs" dxfId="131" priority="6" operator="equal">
      <formula>"Check"</formula>
    </cfRule>
    <cfRule type="cellIs" dxfId="130" priority="7" operator="equal">
      <formula>"Ok"</formula>
    </cfRule>
  </conditionalFormatting>
  <conditionalFormatting sqref="J93:U93">
    <cfRule type="cellIs" dxfId="129" priority="4" operator="equal">
      <formula>"Check"</formula>
    </cfRule>
    <cfRule type="cellIs" dxfId="128" priority="5" operator="equal">
      <formula>"Ok"</formula>
    </cfRule>
  </conditionalFormatting>
  <conditionalFormatting sqref="J104:U104">
    <cfRule type="expression" dxfId="127" priority="179">
      <formula>J$104=J$4</formula>
    </cfRule>
  </conditionalFormatting>
  <conditionalFormatting sqref="J115:U115">
    <cfRule type="expression" dxfId="126" priority="180">
      <formula>J$113=J$4</formula>
    </cfRule>
  </conditionalFormatting>
  <conditionalFormatting sqref="P53">
    <cfRule type="expression" dxfId="125" priority="1">
      <formula>P$49=P$4</formula>
    </cfRule>
  </conditionalFormatting>
  <dataValidations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6"/>
  <sheetViews>
    <sheetView workbookViewId="0">
      <selection activeCell="O43" sqref="O43"/>
    </sheetView>
  </sheetViews>
  <sheetFormatPr defaultColWidth="0" defaultRowHeight="11.25" zeroHeight="1" outlineLevelRow="1"/>
  <cols>
    <col min="1" max="2" width="1.5" style="8" customWidth="1"/>
    <col min="3" max="3" width="48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33203125" style="16" customWidth="1"/>
    <col min="10" max="23" width="10.6640625" style="8" customWidth="1"/>
    <col min="24" max="47" width="10.5" style="8" hidden="1" customWidth="1"/>
    <col min="48" max="16384" width="0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IF(COUNTA($W$8:$W$239)=COUNTIF($W$8:$W$239,"OK"),"OK","Check")</f>
        <v>OK</v>
      </c>
      <c r="U1" s="186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196"/>
      <c r="O3" s="196"/>
      <c r="P3" s="196"/>
      <c r="Q3" s="196"/>
      <c r="R3" s="196"/>
      <c r="S3" s="196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4" t="s">
        <v>22</v>
      </c>
      <c r="G4" s="145"/>
      <c r="H4" s="145"/>
      <c r="I4" s="145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79"/>
      <c r="W4" s="60"/>
    </row>
    <row r="5" spans="1:30" s="6" customFormat="1" ht="3" customHeight="1">
      <c r="A5" s="146"/>
      <c r="B5" s="146"/>
      <c r="C5" s="146"/>
      <c r="D5" s="147"/>
      <c r="E5" s="147"/>
      <c r="F5" s="147"/>
      <c r="G5" s="147"/>
      <c r="H5" s="147"/>
      <c r="I5" s="147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</row>
    <row r="6" spans="1:30" s="6" customFormat="1" ht="9" customHeight="1">
      <c r="A6" s="146"/>
      <c r="B6" s="146"/>
      <c r="C6" s="146"/>
      <c r="D6" s="147"/>
      <c r="E6" s="147"/>
      <c r="F6" s="147"/>
      <c r="G6" s="147"/>
      <c r="H6" s="147"/>
      <c r="I6" s="147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</row>
    <row r="7" spans="1:30" s="6" customFormat="1" ht="3" customHeight="1">
      <c r="A7" s="146"/>
      <c r="B7" s="146"/>
      <c r="C7" s="146"/>
      <c r="D7" s="147"/>
      <c r="E7" s="147"/>
      <c r="F7" s="147"/>
      <c r="G7" s="147"/>
      <c r="H7" s="147"/>
      <c r="I7" s="147"/>
      <c r="J7" s="146"/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</row>
    <row r="8" spans="1:30" customFormat="1" ht="12.75">
      <c r="A8" s="32"/>
      <c r="B8" s="38" t="s">
        <v>49</v>
      </c>
      <c r="C8" s="32"/>
      <c r="D8" s="32"/>
      <c r="E8" s="32"/>
      <c r="F8" s="118"/>
      <c r="G8" s="118"/>
      <c r="H8" s="118"/>
      <c r="I8" s="118"/>
      <c r="J8" s="34"/>
      <c r="K8" s="119"/>
      <c r="L8" s="34"/>
      <c r="M8" s="119"/>
      <c r="N8" s="34"/>
      <c r="O8" s="34"/>
      <c r="P8" s="34"/>
      <c r="Q8" s="34"/>
      <c r="R8" s="34"/>
      <c r="S8" s="34"/>
      <c r="T8" s="34"/>
      <c r="U8" s="34"/>
      <c r="V8" s="119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7"/>
      <c r="B9" s="17"/>
      <c r="C9" s="17"/>
      <c r="D9" s="120"/>
      <c r="E9" s="120"/>
      <c r="F9" s="120"/>
      <c r="G9" s="121"/>
      <c r="H9" s="121"/>
      <c r="I9" s="120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</row>
    <row r="10" spans="1:30" outlineLevel="1">
      <c r="A10" s="17"/>
      <c r="B10" s="17"/>
      <c r="C10" s="122" t="s">
        <v>74</v>
      </c>
      <c r="D10" s="121" t="s">
        <v>7</v>
      </c>
      <c r="E10" s="121" t="s">
        <v>8</v>
      </c>
      <c r="F10" s="121" t="s">
        <v>22</v>
      </c>
      <c r="G10" s="121"/>
      <c r="H10" s="121"/>
      <c r="I10" s="138"/>
      <c r="J10" s="138" t="str">
        <f t="shared" ref="J10:T10" si="0">IF(YEAR(J$4)&gt;=FPFirstYear,IF(YEAR(J$4)&lt;=FPLastYear,J$4,""),"")</f>
        <v/>
      </c>
      <c r="K10" s="138" t="str">
        <f t="shared" si="0"/>
        <v/>
      </c>
      <c r="L10" s="138" t="str">
        <f t="shared" si="0"/>
        <v/>
      </c>
      <c r="M10" s="138" t="str">
        <f t="shared" si="0"/>
        <v/>
      </c>
      <c r="N10" s="138" t="str">
        <f t="shared" si="0"/>
        <v/>
      </c>
      <c r="O10" s="138">
        <f t="shared" si="0"/>
        <v>46539</v>
      </c>
      <c r="P10" s="138">
        <f t="shared" si="0"/>
        <v>46905</v>
      </c>
      <c r="Q10" s="138">
        <f t="shared" si="0"/>
        <v>47270</v>
      </c>
      <c r="R10" s="138">
        <f t="shared" si="0"/>
        <v>47635</v>
      </c>
      <c r="S10" s="138">
        <f t="shared" si="0"/>
        <v>48000</v>
      </c>
      <c r="T10" s="138" t="str">
        <f t="shared" si="0"/>
        <v/>
      </c>
      <c r="U10" s="17"/>
      <c r="V10" s="17"/>
    </row>
    <row r="11" spans="1:30" outlineLevel="1">
      <c r="A11" s="17"/>
      <c r="B11" s="17"/>
      <c r="C11" s="17"/>
      <c r="D11" s="120"/>
      <c r="E11" s="120"/>
      <c r="F11" s="120"/>
      <c r="G11" s="121"/>
      <c r="H11" s="121"/>
      <c r="I11" s="120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</row>
    <row r="12" spans="1:30" outlineLevel="1">
      <c r="A12" s="17"/>
      <c r="B12" s="17"/>
      <c r="C12" s="195" t="s">
        <v>217</v>
      </c>
      <c r="D12" s="120" t="s">
        <v>64</v>
      </c>
      <c r="E12" s="120" t="str">
        <f t="shared" ref="E12:E22" si="1">units</f>
        <v>$millions</v>
      </c>
      <c r="F12" s="194">
        <v>46174</v>
      </c>
      <c r="G12" s="121"/>
      <c r="H12" s="121"/>
      <c r="I12" s="120"/>
      <c r="J12" s="158"/>
      <c r="K12" s="158"/>
      <c r="L12" s="158"/>
      <c r="M12" s="158"/>
      <c r="N12" s="158"/>
      <c r="O12" s="180">
        <v>0</v>
      </c>
      <c r="P12" s="180">
        <v>0</v>
      </c>
      <c r="Q12" s="180">
        <v>0</v>
      </c>
      <c r="R12" s="180">
        <v>0</v>
      </c>
      <c r="S12" s="180">
        <v>0</v>
      </c>
      <c r="T12" s="180"/>
      <c r="U12" s="17"/>
      <c r="V12" s="17"/>
      <c r="W12" s="81" t="str">
        <f>IF(ISBLANK(C12),IF(COUNT(J12:T12)=0,"Ok","Check"),IF(COUNT(J12:T12)=COUNT(J$10:T$10),"Ok","Check"))</f>
        <v>Ok</v>
      </c>
    </row>
    <row r="13" spans="1:30" outlineLevel="1">
      <c r="A13" s="17"/>
      <c r="B13" s="17"/>
      <c r="C13" s="195" t="s">
        <v>218</v>
      </c>
      <c r="D13" s="120" t="s">
        <v>64</v>
      </c>
      <c r="E13" s="120" t="str">
        <f t="shared" si="1"/>
        <v>$millions</v>
      </c>
      <c r="F13" s="194">
        <v>46174</v>
      </c>
      <c r="G13" s="121"/>
      <c r="H13" s="121"/>
      <c r="I13" s="120"/>
      <c r="J13" s="158"/>
      <c r="K13" s="158"/>
      <c r="L13" s="158"/>
      <c r="M13" s="158"/>
      <c r="N13" s="158"/>
      <c r="O13" s="180">
        <v>4.2328626374420004</v>
      </c>
      <c r="P13" s="180">
        <v>4.0189516396591332</v>
      </c>
      <c r="Q13" s="180">
        <v>3.7806456174080187</v>
      </c>
      <c r="R13" s="180">
        <v>3.5381402675338163</v>
      </c>
      <c r="S13" s="180">
        <v>3.263555068451192</v>
      </c>
      <c r="T13" s="180"/>
      <c r="U13" s="17"/>
      <c r="V13" s="17"/>
      <c r="W13" s="81" t="str">
        <f t="shared" ref="W13:W14" si="2">IF(ISBLANK(C13),IF(COUNT(J13:T13)=0,"Ok","Check"),IF(COUNT(J13:T13)=COUNT(J$10:T$10),"Ok","Check"))</f>
        <v>Ok</v>
      </c>
    </row>
    <row r="14" spans="1:30" outlineLevel="1">
      <c r="A14" s="17"/>
      <c r="B14" s="17"/>
      <c r="C14" s="195" t="s">
        <v>219</v>
      </c>
      <c r="D14" s="120" t="s">
        <v>64</v>
      </c>
      <c r="E14" s="120" t="str">
        <f t="shared" si="1"/>
        <v>$millions</v>
      </c>
      <c r="F14" s="194">
        <v>46174</v>
      </c>
      <c r="G14" s="121"/>
      <c r="H14" s="121"/>
      <c r="I14" s="120"/>
      <c r="J14" s="158"/>
      <c r="K14" s="158"/>
      <c r="L14" s="158"/>
      <c r="M14" s="158"/>
      <c r="N14" s="158"/>
      <c r="O14" s="180">
        <v>1.1396466463329626</v>
      </c>
      <c r="P14" s="180">
        <v>4.0928662589529221</v>
      </c>
      <c r="Q14" s="180">
        <v>4.1435655470590778</v>
      </c>
      <c r="R14" s="180">
        <v>4.6024176659476614</v>
      </c>
      <c r="S14" s="180">
        <v>4.8238401689039305</v>
      </c>
      <c r="T14" s="180"/>
      <c r="U14" s="17"/>
      <c r="V14" s="17"/>
      <c r="W14" s="81" t="str">
        <f t="shared" si="2"/>
        <v>Ok</v>
      </c>
    </row>
    <row r="15" spans="1:30" outlineLevel="1">
      <c r="A15" s="17"/>
      <c r="B15" s="17"/>
      <c r="C15" s="195" t="s">
        <v>220</v>
      </c>
      <c r="D15" s="120" t="s">
        <v>64</v>
      </c>
      <c r="E15" s="120" t="str">
        <f t="shared" si="1"/>
        <v>$millions</v>
      </c>
      <c r="F15" s="194">
        <v>46174</v>
      </c>
      <c r="G15" s="121"/>
      <c r="H15" s="121"/>
      <c r="I15" s="120"/>
      <c r="J15" s="158"/>
      <c r="K15" s="158"/>
      <c r="L15" s="158"/>
      <c r="M15" s="158"/>
      <c r="N15" s="158"/>
      <c r="O15" s="180">
        <v>1.0113105391359123</v>
      </c>
      <c r="P15" s="180">
        <v>0.99938259270357932</v>
      </c>
      <c r="Q15" s="180">
        <v>8.1497038428261934</v>
      </c>
      <c r="R15" s="180">
        <v>10.251602734330506</v>
      </c>
      <c r="S15" s="180">
        <v>3.2985730897842318</v>
      </c>
      <c r="T15" s="180"/>
      <c r="U15" s="17"/>
      <c r="V15" s="17"/>
      <c r="W15" s="81" t="str">
        <f t="shared" ref="W15:W22" si="3">IF(ISBLANK(C15),IF(COUNT(J15:T15)=0,"Ok","Check"),IF(COUNT(J15:T15)=COUNT(J$10:T$10),"Ok","Check"))</f>
        <v>Ok</v>
      </c>
    </row>
    <row r="16" spans="1:30" outlineLevel="1">
      <c r="A16" s="17"/>
      <c r="B16" s="17"/>
      <c r="C16" s="195" t="s">
        <v>221</v>
      </c>
      <c r="D16" s="120" t="s">
        <v>64</v>
      </c>
      <c r="E16" s="120" t="str">
        <f t="shared" si="1"/>
        <v>$millions</v>
      </c>
      <c r="F16" s="194">
        <v>46174</v>
      </c>
      <c r="G16" s="121"/>
      <c r="H16" s="121"/>
      <c r="I16" s="120"/>
      <c r="J16" s="158"/>
      <c r="K16" s="158"/>
      <c r="L16" s="158"/>
      <c r="M16" s="158"/>
      <c r="N16" s="158"/>
      <c r="O16" s="180">
        <v>1.8507529075206524</v>
      </c>
      <c r="P16" s="180">
        <v>4.8131537985104949</v>
      </c>
      <c r="Q16" s="180">
        <v>6.880523066747446</v>
      </c>
      <c r="R16" s="180">
        <v>7.0196352335513836</v>
      </c>
      <c r="S16" s="180">
        <v>8.3226605150413384</v>
      </c>
      <c r="T16" s="180"/>
      <c r="U16" s="17"/>
      <c r="V16" s="17"/>
      <c r="W16" s="81" t="str">
        <f t="shared" si="3"/>
        <v>Ok</v>
      </c>
    </row>
    <row r="17" spans="1:30" outlineLevel="1">
      <c r="A17" s="17"/>
      <c r="B17" s="17"/>
      <c r="C17" s="195" t="s">
        <v>222</v>
      </c>
      <c r="D17" s="120" t="s">
        <v>64</v>
      </c>
      <c r="E17" s="120" t="str">
        <f t="shared" si="1"/>
        <v>$millions</v>
      </c>
      <c r="F17" s="194">
        <v>46174</v>
      </c>
      <c r="G17" s="121"/>
      <c r="H17" s="121"/>
      <c r="I17" s="120"/>
      <c r="J17" s="158"/>
      <c r="K17" s="158"/>
      <c r="L17" s="158"/>
      <c r="M17" s="158"/>
      <c r="N17" s="158"/>
      <c r="O17" s="180">
        <v>0</v>
      </c>
      <c r="P17" s="180">
        <v>0</v>
      </c>
      <c r="Q17" s="180">
        <v>0</v>
      </c>
      <c r="R17" s="180">
        <v>0</v>
      </c>
      <c r="S17" s="180">
        <v>0</v>
      </c>
      <c r="T17" s="180"/>
      <c r="U17" s="17"/>
      <c r="V17" s="17"/>
      <c r="W17" s="81" t="str">
        <f t="shared" si="3"/>
        <v>Ok</v>
      </c>
    </row>
    <row r="18" spans="1:30" outlineLevel="1">
      <c r="A18" s="17"/>
      <c r="B18" s="17"/>
      <c r="C18" s="195" t="s">
        <v>223</v>
      </c>
      <c r="D18" s="120" t="s">
        <v>64</v>
      </c>
      <c r="E18" s="120" t="str">
        <f t="shared" si="1"/>
        <v>$millions</v>
      </c>
      <c r="F18" s="194">
        <v>46174</v>
      </c>
      <c r="G18" s="121"/>
      <c r="H18" s="121"/>
      <c r="I18" s="120"/>
      <c r="J18" s="158"/>
      <c r="K18" s="158"/>
      <c r="L18" s="158"/>
      <c r="M18" s="158"/>
      <c r="N18" s="158"/>
      <c r="O18" s="180">
        <v>0</v>
      </c>
      <c r="P18" s="180">
        <v>-3.463126415118014E-2</v>
      </c>
      <c r="Q18" s="180">
        <v>-3.922360362655114E-2</v>
      </c>
      <c r="R18" s="180">
        <v>-5.1139236653130395E-2</v>
      </c>
      <c r="S18" s="180">
        <v>-6.3371892137794539E-2</v>
      </c>
      <c r="T18" s="180"/>
      <c r="U18" s="17"/>
      <c r="V18" s="17"/>
      <c r="W18" s="81" t="str">
        <f t="shared" si="3"/>
        <v>Ok</v>
      </c>
    </row>
    <row r="19" spans="1:30" outlineLevel="1">
      <c r="A19" s="17"/>
      <c r="B19" s="17"/>
      <c r="C19" s="127" t="s">
        <v>230</v>
      </c>
      <c r="D19" s="120" t="s">
        <v>64</v>
      </c>
      <c r="E19" s="120" t="str">
        <f t="shared" si="1"/>
        <v>$millions</v>
      </c>
      <c r="F19" s="194">
        <v>46174</v>
      </c>
      <c r="G19" s="121"/>
      <c r="H19" s="121"/>
      <c r="I19" s="120"/>
      <c r="J19" s="158"/>
      <c r="K19" s="158"/>
      <c r="L19" s="158"/>
      <c r="M19" s="158"/>
      <c r="N19" s="158"/>
      <c r="O19" s="180">
        <v>-1.4235861361488704</v>
      </c>
      <c r="P19" s="180">
        <v>-1.4281511056593887</v>
      </c>
      <c r="Q19" s="180">
        <v>-1.4338976096863729</v>
      </c>
      <c r="R19" s="180">
        <v>-1.4406832666726663</v>
      </c>
      <c r="S19" s="180">
        <v>-1.4475858151856114</v>
      </c>
      <c r="T19" s="180"/>
      <c r="U19" s="17"/>
      <c r="V19" s="17"/>
      <c r="W19" s="81" t="str">
        <f t="shared" si="3"/>
        <v>Ok</v>
      </c>
    </row>
    <row r="20" spans="1:30" outlineLevel="1">
      <c r="A20" s="17"/>
      <c r="B20" s="17"/>
      <c r="C20" s="127" t="s">
        <v>231</v>
      </c>
      <c r="D20" s="120" t="s">
        <v>64</v>
      </c>
      <c r="E20" s="120" t="str">
        <f t="shared" si="1"/>
        <v>$millions</v>
      </c>
      <c r="F20" s="194">
        <v>46174</v>
      </c>
      <c r="G20" s="121"/>
      <c r="H20" s="121"/>
      <c r="I20" s="120"/>
      <c r="J20" s="158"/>
      <c r="K20" s="158"/>
      <c r="L20" s="158"/>
      <c r="M20" s="158"/>
      <c r="N20" s="158"/>
      <c r="O20" s="180">
        <v>1.2272305855962564</v>
      </c>
      <c r="P20" s="180">
        <v>-0.12111844183727027</v>
      </c>
      <c r="Q20" s="180">
        <v>-1.3658820630057378</v>
      </c>
      <c r="R20" s="180">
        <v>-2.2845529821860335</v>
      </c>
      <c r="S20" s="180">
        <v>-2.295621331491398</v>
      </c>
      <c r="T20" s="180"/>
      <c r="U20" s="17"/>
      <c r="V20" s="17"/>
      <c r="W20" s="81" t="str">
        <f t="shared" si="3"/>
        <v>Ok</v>
      </c>
    </row>
    <row r="21" spans="1:30" outlineLevel="1">
      <c r="A21" s="17"/>
      <c r="B21" s="17"/>
      <c r="C21" s="127"/>
      <c r="D21" s="120" t="s">
        <v>64</v>
      </c>
      <c r="E21" s="120" t="str">
        <f t="shared" si="1"/>
        <v>$millions</v>
      </c>
      <c r="F21" s="194">
        <v>46174</v>
      </c>
      <c r="G21" s="121"/>
      <c r="H21" s="121"/>
      <c r="I21" s="120"/>
      <c r="J21" s="158"/>
      <c r="K21" s="158"/>
      <c r="L21" s="158"/>
      <c r="M21" s="158"/>
      <c r="N21" s="158"/>
      <c r="O21" s="180"/>
      <c r="P21" s="180"/>
      <c r="Q21" s="180"/>
      <c r="R21" s="180"/>
      <c r="S21" s="180"/>
      <c r="T21" s="180"/>
      <c r="U21" s="17"/>
      <c r="V21" s="17"/>
      <c r="W21" s="81" t="str">
        <f t="shared" si="3"/>
        <v>Ok</v>
      </c>
    </row>
    <row r="22" spans="1:30" outlineLevel="1">
      <c r="A22" s="17"/>
      <c r="B22" s="17"/>
      <c r="C22" s="127"/>
      <c r="D22" s="120" t="s">
        <v>64</v>
      </c>
      <c r="E22" s="120" t="str">
        <f t="shared" si="1"/>
        <v>$millions</v>
      </c>
      <c r="F22" s="194">
        <v>46174</v>
      </c>
      <c r="G22" s="121"/>
      <c r="H22" s="121"/>
      <c r="I22" s="120"/>
      <c r="J22" s="158"/>
      <c r="K22" s="158"/>
      <c r="L22" s="158"/>
      <c r="M22" s="158"/>
      <c r="N22" s="158"/>
      <c r="O22" s="180"/>
      <c r="P22" s="180"/>
      <c r="Q22" s="180"/>
      <c r="R22" s="180"/>
      <c r="S22" s="180"/>
      <c r="T22" s="180"/>
      <c r="U22" s="17"/>
      <c r="V22" s="17"/>
      <c r="W22" s="81" t="str">
        <f t="shared" si="3"/>
        <v>Ok</v>
      </c>
    </row>
    <row r="23" spans="1:30" outlineLevel="1">
      <c r="A23" s="17"/>
      <c r="B23" s="17"/>
      <c r="C23" s="17"/>
      <c r="D23" s="120"/>
      <c r="E23" s="120"/>
      <c r="F23" s="120"/>
      <c r="G23" s="121"/>
      <c r="H23" s="121"/>
      <c r="I23" s="120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</row>
    <row r="24" spans="1:30" outlineLevel="1">
      <c r="A24" s="17"/>
      <c r="B24" s="17"/>
      <c r="C24" s="17" t="s">
        <v>40</v>
      </c>
      <c r="D24" s="120" t="s">
        <v>93</v>
      </c>
      <c r="E24" s="120" t="s">
        <v>28</v>
      </c>
      <c r="F24" s="120" t="s">
        <v>36</v>
      </c>
      <c r="G24" s="120"/>
      <c r="H24" s="120"/>
      <c r="I24" s="120"/>
      <c r="J24" s="164" t="str">
        <f t="shared" ref="J24:S24" si="4">IF(J10=J4,IF(COUNTA($C12:$C22)=COUNT(J12:J22),"Ok","Check"),"")</f>
        <v/>
      </c>
      <c r="K24" s="164" t="str">
        <f t="shared" si="4"/>
        <v/>
      </c>
      <c r="L24" s="164" t="str">
        <f t="shared" si="4"/>
        <v/>
      </c>
      <c r="M24" s="164" t="str">
        <f t="shared" si="4"/>
        <v/>
      </c>
      <c r="N24" s="164" t="str">
        <f t="shared" si="4"/>
        <v/>
      </c>
      <c r="O24" s="164" t="str">
        <f t="shared" si="4"/>
        <v>Ok</v>
      </c>
      <c r="P24" s="164" t="str">
        <f t="shared" si="4"/>
        <v>Ok</v>
      </c>
      <c r="Q24" s="164" t="str">
        <f t="shared" si="4"/>
        <v>Ok</v>
      </c>
      <c r="R24" s="164" t="str">
        <f t="shared" si="4"/>
        <v>Ok</v>
      </c>
      <c r="S24" s="164" t="str">
        <f t="shared" si="4"/>
        <v>Ok</v>
      </c>
      <c r="T24" s="164" t="str">
        <f>IF(T10=T4,IF(COUNTA($C12:$C22)=COUNT(T12:T22),"Ok","Check"),"")</f>
        <v/>
      </c>
      <c r="U24" s="165"/>
      <c r="V24" s="17"/>
      <c r="W24" s="81" t="str">
        <f>IF(COUNTIF(J24:T24,"Check")=0,"Ok","Check")</f>
        <v>Ok</v>
      </c>
    </row>
    <row r="25" spans="1:30">
      <c r="A25" s="17"/>
      <c r="B25" s="17"/>
      <c r="C25" s="17"/>
      <c r="D25" s="120"/>
      <c r="E25" s="120"/>
      <c r="F25" s="120"/>
      <c r="G25" s="121"/>
      <c r="H25" s="121"/>
      <c r="I25" s="120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</row>
    <row r="26" spans="1:30" customFormat="1" ht="12.75">
      <c r="A26" s="32"/>
      <c r="B26" s="38" t="s">
        <v>106</v>
      </c>
      <c r="C26" s="32"/>
      <c r="D26" s="32"/>
      <c r="E26" s="32"/>
      <c r="F26" s="118"/>
      <c r="G26" s="118"/>
      <c r="H26" s="118"/>
      <c r="I26" s="118"/>
      <c r="J26" s="34"/>
      <c r="K26" s="119"/>
      <c r="L26" s="34"/>
      <c r="M26" s="119"/>
      <c r="N26" s="34"/>
      <c r="O26" s="34"/>
      <c r="P26" s="34"/>
      <c r="Q26" s="34"/>
      <c r="R26" s="34"/>
      <c r="S26" s="34"/>
      <c r="T26" s="34"/>
      <c r="U26" s="34"/>
      <c r="V26" s="119"/>
      <c r="W26" s="35"/>
      <c r="X26" s="36"/>
      <c r="Y26" s="36"/>
      <c r="Z26" s="36"/>
      <c r="AA26" s="36"/>
      <c r="AB26" s="36"/>
      <c r="AC26" s="37"/>
      <c r="AD26" s="37"/>
    </row>
    <row r="27" spans="1:30" outlineLevel="1">
      <c r="A27" s="17"/>
      <c r="B27" s="17"/>
      <c r="C27" s="17"/>
      <c r="D27" s="120"/>
      <c r="E27" s="120"/>
      <c r="F27" s="120"/>
      <c r="G27" s="121"/>
      <c r="H27" s="121"/>
      <c r="I27" s="120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</row>
    <row r="28" spans="1:30" outlineLevel="1">
      <c r="A28" s="17"/>
      <c r="B28" s="17"/>
      <c r="C28" s="122" t="s">
        <v>102</v>
      </c>
      <c r="D28" s="121" t="s">
        <v>7</v>
      </c>
      <c r="E28" s="121" t="s">
        <v>8</v>
      </c>
      <c r="F28" s="121" t="s">
        <v>22</v>
      </c>
      <c r="G28" s="121"/>
      <c r="H28" s="121"/>
      <c r="I28" s="120"/>
      <c r="J28" s="138" t="str">
        <f t="shared" ref="J28:T28" si="5">IF(YEAR(J$4)&gt;=FPFirstYear,IF(YEAR(J$4)&lt;=FPLastYear,J$4,""),"")</f>
        <v/>
      </c>
      <c r="K28" s="138" t="str">
        <f t="shared" si="5"/>
        <v/>
      </c>
      <c r="L28" s="138" t="str">
        <f t="shared" si="5"/>
        <v/>
      </c>
      <c r="M28" s="138" t="str">
        <f t="shared" si="5"/>
        <v/>
      </c>
      <c r="N28" s="138" t="str">
        <f t="shared" si="5"/>
        <v/>
      </c>
      <c r="O28" s="138">
        <f t="shared" si="5"/>
        <v>46539</v>
      </c>
      <c r="P28" s="138">
        <f t="shared" si="5"/>
        <v>46905</v>
      </c>
      <c r="Q28" s="138">
        <f t="shared" si="5"/>
        <v>47270</v>
      </c>
      <c r="R28" s="138">
        <f t="shared" si="5"/>
        <v>47635</v>
      </c>
      <c r="S28" s="138">
        <f t="shared" si="5"/>
        <v>48000</v>
      </c>
      <c r="T28" s="138" t="str">
        <f t="shared" si="5"/>
        <v/>
      </c>
      <c r="U28" s="17"/>
      <c r="V28" s="17"/>
    </row>
    <row r="29" spans="1:30" outlineLevel="1">
      <c r="A29" s="17"/>
      <c r="B29" s="17"/>
      <c r="C29" s="17"/>
      <c r="D29" s="120"/>
      <c r="E29" s="120"/>
      <c r="F29" s="120"/>
      <c r="G29" s="121"/>
      <c r="H29" s="121"/>
      <c r="I29" s="120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</row>
    <row r="30" spans="1:30" outlineLevel="1">
      <c r="A30" s="17"/>
      <c r="B30" s="17"/>
      <c r="C30" s="181" t="s">
        <v>213</v>
      </c>
      <c r="D30" s="120" t="s">
        <v>64</v>
      </c>
      <c r="E30" s="120" t="str">
        <f>units</f>
        <v>$millions</v>
      </c>
      <c r="F30" s="139">
        <f>DATE(PPLastYear,MONTH(month),1)</f>
        <v>46174</v>
      </c>
      <c r="G30" s="121"/>
      <c r="H30" s="121"/>
      <c r="I30" s="120"/>
      <c r="J30" s="158"/>
      <c r="K30" s="158"/>
      <c r="L30" s="158"/>
      <c r="M30" s="158"/>
      <c r="N30" s="180"/>
      <c r="O30" s="180">
        <v>1.2650465793651291</v>
      </c>
      <c r="P30" s="180">
        <v>1.232749777666666</v>
      </c>
      <c r="Q30" s="180">
        <v>1.2012775174649069</v>
      </c>
      <c r="R30" s="180">
        <v>1.1706087481095073</v>
      </c>
      <c r="S30" s="180">
        <v>1.1407229563759314</v>
      </c>
      <c r="T30" s="180"/>
      <c r="U30" s="17"/>
      <c r="V30" s="17"/>
      <c r="W30" s="81" t="str">
        <f>IF(ISBLANK(C30),IF(COUNT(J30:T30)=0,"Ok","Check"),IF(COUNT(J30:T30)=COUNT(J$10:T$10),"Ok","Check"))</f>
        <v>Ok</v>
      </c>
    </row>
    <row r="31" spans="1:30" outlineLevel="1">
      <c r="A31" s="17"/>
      <c r="B31" s="17"/>
      <c r="C31" s="181" t="s">
        <v>224</v>
      </c>
      <c r="D31" s="120" t="s">
        <v>64</v>
      </c>
      <c r="E31" s="120" t="str">
        <f>units</f>
        <v>$millions</v>
      </c>
      <c r="F31" s="139">
        <f>DATE(PPLastYear,MONTH(month),1)</f>
        <v>46174</v>
      </c>
      <c r="G31" s="121"/>
      <c r="H31" s="121"/>
      <c r="I31" s="120"/>
      <c r="J31" s="158"/>
      <c r="K31" s="158"/>
      <c r="L31" s="158"/>
      <c r="M31" s="158"/>
      <c r="N31" s="180"/>
      <c r="O31" s="180">
        <v>0.39796399999999998</v>
      </c>
      <c r="P31" s="180">
        <v>0.39796399999999998</v>
      </c>
      <c r="Q31" s="180">
        <v>0.39796399999999998</v>
      </c>
      <c r="R31" s="180">
        <v>0.39796399999999998</v>
      </c>
      <c r="S31" s="180">
        <v>0.39796399999999998</v>
      </c>
      <c r="T31" s="180"/>
      <c r="U31" s="17"/>
      <c r="V31" s="17"/>
      <c r="W31" s="81" t="str">
        <f>IF(ISBLANK(C31),IF(COUNT(J31:T31)=0,"Ok","Check"),IF(COUNT(J31:T31)=COUNT(J$10:T$10),"Ok","Check"))</f>
        <v>Ok</v>
      </c>
    </row>
    <row r="32" spans="1:30" outlineLevel="1">
      <c r="A32" s="17"/>
      <c r="B32" s="17"/>
      <c r="C32" s="181" t="s">
        <v>217</v>
      </c>
      <c r="D32" s="120" t="s">
        <v>64</v>
      </c>
      <c r="E32" s="120" t="str">
        <f>units</f>
        <v>$millions</v>
      </c>
      <c r="F32" s="139">
        <f>DATE(PPLastYear,MONTH(month),1)</f>
        <v>46174</v>
      </c>
      <c r="G32" s="121"/>
      <c r="H32" s="121"/>
      <c r="I32" s="120"/>
      <c r="J32" s="158"/>
      <c r="K32" s="158"/>
      <c r="L32" s="158"/>
      <c r="M32" s="158"/>
      <c r="N32" s="180"/>
      <c r="O32" s="180">
        <v>1.7105411467276042</v>
      </c>
      <c r="P32" s="180">
        <v>1.7242499788848678</v>
      </c>
      <c r="Q32" s="180">
        <v>1.7400695948977483</v>
      </c>
      <c r="R32" s="180">
        <v>1.7577027844504141</v>
      </c>
      <c r="S32" s="180">
        <v>1.7747260890321206</v>
      </c>
      <c r="T32" s="180"/>
      <c r="U32" s="17"/>
      <c r="V32" s="17"/>
      <c r="W32" s="81" t="str">
        <f>IF(ISBLANK(C32),IF(COUNT(J32:T32)=0,"Ok","Check"),IF(COUNT(J32:T32)=COUNT(J$10:T$10),"Ok","Check"))</f>
        <v>Ok</v>
      </c>
    </row>
    <row r="33" spans="1:30" outlineLevel="1">
      <c r="A33" s="17"/>
      <c r="B33" s="17"/>
      <c r="C33" s="182"/>
      <c r="D33" s="120" t="s">
        <v>64</v>
      </c>
      <c r="E33" s="120" t="str">
        <f>units</f>
        <v>$millions</v>
      </c>
      <c r="F33" s="139">
        <f>DATE(PPLastYear,MONTH(month),1)</f>
        <v>46174</v>
      </c>
      <c r="G33" s="121"/>
      <c r="H33" s="121"/>
      <c r="I33" s="120"/>
      <c r="J33" s="158"/>
      <c r="K33" s="158"/>
      <c r="L33" s="158"/>
      <c r="M33" s="158"/>
      <c r="N33" s="180"/>
      <c r="O33" s="180"/>
      <c r="P33" s="180"/>
      <c r="Q33" s="180"/>
      <c r="R33" s="180"/>
      <c r="S33" s="180"/>
      <c r="T33" s="180"/>
      <c r="U33" s="17"/>
      <c r="V33" s="17"/>
      <c r="W33" s="81" t="str">
        <f>IF(ISBLANK(C33),IF(COUNT(J33:T33)=0,"Ok","Check"),IF(COUNT(J33:T33)=COUNT(J$10:T$10),"Ok","Check"))</f>
        <v>Ok</v>
      </c>
    </row>
    <row r="34" spans="1:30" outlineLevel="1">
      <c r="A34" s="17"/>
      <c r="B34" s="17"/>
      <c r="C34" s="127"/>
      <c r="D34" s="120" t="s">
        <v>64</v>
      </c>
      <c r="E34" s="120" t="str">
        <f>units</f>
        <v>$millions</v>
      </c>
      <c r="F34" s="139">
        <f>DATE(PPLastYear,MONTH(month),1)</f>
        <v>46174</v>
      </c>
      <c r="G34" s="121"/>
      <c r="H34" s="121"/>
      <c r="I34" s="120"/>
      <c r="J34" s="158"/>
      <c r="K34" s="158"/>
      <c r="L34" s="158"/>
      <c r="M34" s="158"/>
      <c r="N34" s="180"/>
      <c r="O34" s="180"/>
      <c r="P34" s="180"/>
      <c r="Q34" s="180"/>
      <c r="R34" s="180"/>
      <c r="S34" s="180"/>
      <c r="T34" s="180"/>
      <c r="U34" s="17"/>
      <c r="V34" s="17"/>
      <c r="W34" s="81" t="str">
        <f>IF(ISBLANK(C34),IF(COUNT(J34:T34)=0,"Ok","Check"),IF(COUNT(J34:T34)=COUNT(J$10:T$10),"Ok","Check"))</f>
        <v>Ok</v>
      </c>
    </row>
    <row r="35" spans="1:30" outlineLevel="1">
      <c r="A35" s="17"/>
      <c r="B35" s="17"/>
      <c r="C35" s="17"/>
      <c r="D35" s="120"/>
      <c r="E35" s="120"/>
      <c r="F35" s="120"/>
      <c r="G35" s="121"/>
      <c r="H35" s="121"/>
      <c r="I35" s="120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</row>
    <row r="36" spans="1:30" outlineLevel="1">
      <c r="A36" s="17"/>
      <c r="B36" s="17"/>
      <c r="C36" s="17" t="s">
        <v>40</v>
      </c>
      <c r="D36" s="120" t="s">
        <v>93</v>
      </c>
      <c r="E36" s="120" t="s">
        <v>28</v>
      </c>
      <c r="F36" s="120" t="s">
        <v>36</v>
      </c>
      <c r="G36" s="120"/>
      <c r="H36" s="120"/>
      <c r="I36" s="120"/>
      <c r="J36" s="164" t="str">
        <f t="shared" ref="J36:T36" si="6">IF(J28=J4,IF(COUNTA($C30:$C34)=COUNT(J30:J34),"Ok","Check"),"")</f>
        <v/>
      </c>
      <c r="K36" s="164" t="str">
        <f t="shared" si="6"/>
        <v/>
      </c>
      <c r="L36" s="164" t="str">
        <f t="shared" si="6"/>
        <v/>
      </c>
      <c r="M36" s="164" t="str">
        <f t="shared" si="6"/>
        <v/>
      </c>
      <c r="N36" s="164" t="str">
        <f t="shared" si="6"/>
        <v/>
      </c>
      <c r="O36" s="164" t="str">
        <f t="shared" si="6"/>
        <v>Ok</v>
      </c>
      <c r="P36" s="164" t="str">
        <f t="shared" si="6"/>
        <v>Ok</v>
      </c>
      <c r="Q36" s="164" t="str">
        <f t="shared" si="6"/>
        <v>Ok</v>
      </c>
      <c r="R36" s="164" t="str">
        <f t="shared" si="6"/>
        <v>Ok</v>
      </c>
      <c r="S36" s="164" t="str">
        <f t="shared" si="6"/>
        <v>Ok</v>
      </c>
      <c r="T36" s="164" t="str">
        <f t="shared" si="6"/>
        <v/>
      </c>
      <c r="U36" s="165"/>
      <c r="V36" s="17"/>
      <c r="W36" s="81" t="str">
        <f>IF(COUNTIF(J36:T36,"Check")=0,"Ok","Check")</f>
        <v>Ok</v>
      </c>
    </row>
    <row r="37" spans="1:30">
      <c r="A37" s="17"/>
      <c r="B37" s="17"/>
      <c r="C37" s="17"/>
      <c r="D37" s="120"/>
      <c r="E37" s="120"/>
      <c r="F37" s="120"/>
      <c r="G37" s="121"/>
      <c r="H37" s="121"/>
      <c r="I37" s="120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</row>
    <row r="38" spans="1:30" customFormat="1" ht="12.75">
      <c r="A38" s="32"/>
      <c r="B38" s="38" t="s">
        <v>44</v>
      </c>
      <c r="C38" s="32"/>
      <c r="D38" s="32"/>
      <c r="E38" s="32"/>
      <c r="F38" s="118"/>
      <c r="G38" s="118"/>
      <c r="H38" s="118"/>
      <c r="I38" s="118"/>
      <c r="J38" s="34"/>
      <c r="K38" s="119"/>
      <c r="L38" s="34"/>
      <c r="M38" s="119"/>
      <c r="N38" s="34"/>
      <c r="O38" s="34"/>
      <c r="P38" s="34"/>
      <c r="Q38" s="34"/>
      <c r="R38" s="34"/>
      <c r="S38" s="34"/>
      <c r="T38" s="34"/>
      <c r="U38" s="34"/>
      <c r="V38" s="119"/>
      <c r="W38" s="35"/>
      <c r="X38" s="36"/>
      <c r="Y38" s="36"/>
      <c r="Z38" s="36"/>
      <c r="AA38" s="36"/>
      <c r="AB38" s="36"/>
      <c r="AC38" s="37"/>
      <c r="AD38" s="37"/>
    </row>
    <row r="39" spans="1:30" outlineLevel="1">
      <c r="A39" s="17"/>
      <c r="B39" s="17"/>
      <c r="C39" s="17"/>
      <c r="D39" s="120"/>
      <c r="E39" s="120"/>
      <c r="F39" s="120"/>
      <c r="G39" s="121"/>
      <c r="H39" s="121"/>
      <c r="I39" s="120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</row>
    <row r="40" spans="1:30" outlineLevel="1">
      <c r="A40" s="17"/>
      <c r="B40" s="17"/>
      <c r="C40" s="122" t="s">
        <v>32</v>
      </c>
      <c r="D40" s="121" t="s">
        <v>7</v>
      </c>
      <c r="E40" s="121" t="s">
        <v>8</v>
      </c>
      <c r="F40" s="121" t="s">
        <v>22</v>
      </c>
      <c r="G40" s="121"/>
      <c r="H40" s="121"/>
      <c r="I40" s="120"/>
      <c r="J40" s="138" t="str">
        <f t="shared" ref="J40:T40" si="7">IF(YEAR(J$4)&gt;=FPFirstYear,IF(YEAR(J$4)&lt;=FPLastYear,J$4,""),"")</f>
        <v/>
      </c>
      <c r="K40" s="138" t="str">
        <f t="shared" si="7"/>
        <v/>
      </c>
      <c r="L40" s="138" t="str">
        <f t="shared" si="7"/>
        <v/>
      </c>
      <c r="M40" s="138" t="str">
        <f t="shared" si="7"/>
        <v/>
      </c>
      <c r="N40" s="138" t="str">
        <f t="shared" si="7"/>
        <v/>
      </c>
      <c r="O40" s="138">
        <f t="shared" si="7"/>
        <v>46539</v>
      </c>
      <c r="P40" s="138">
        <f t="shared" si="7"/>
        <v>46905</v>
      </c>
      <c r="Q40" s="138">
        <f t="shared" si="7"/>
        <v>47270</v>
      </c>
      <c r="R40" s="138">
        <f t="shared" si="7"/>
        <v>47635</v>
      </c>
      <c r="S40" s="138">
        <f t="shared" si="7"/>
        <v>48000</v>
      </c>
      <c r="T40" s="138" t="str">
        <f t="shared" si="7"/>
        <v/>
      </c>
      <c r="U40" s="17"/>
      <c r="V40" s="17"/>
    </row>
    <row r="41" spans="1:30" outlineLevel="1">
      <c r="A41" s="17"/>
      <c r="B41" s="17"/>
      <c r="C41" s="17"/>
      <c r="D41" s="120"/>
      <c r="E41" s="120"/>
      <c r="F41" s="120"/>
      <c r="G41" s="121"/>
      <c r="H41" s="121"/>
      <c r="I41" s="120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</row>
    <row r="42" spans="1:30" outlineLevel="1">
      <c r="A42" s="17"/>
      <c r="B42" s="17"/>
      <c r="C42" s="125" t="s">
        <v>39</v>
      </c>
      <c r="D42" s="120" t="s">
        <v>67</v>
      </c>
      <c r="E42" s="120" t="s">
        <v>15</v>
      </c>
      <c r="F42" s="139">
        <f>DATE(PPLastYear,MONTH(month),1)</f>
        <v>46174</v>
      </c>
      <c r="G42" s="121"/>
      <c r="H42" s="121"/>
      <c r="I42" s="121"/>
      <c r="J42" s="180"/>
      <c r="K42" s="180"/>
      <c r="L42" s="180"/>
      <c r="M42" s="180"/>
      <c r="N42" s="180"/>
      <c r="O42" s="180">
        <v>1.5613214630914092</v>
      </c>
      <c r="P42" s="180">
        <v>1.5728620983263379</v>
      </c>
      <c r="Q42" s="180">
        <v>1.5800906701002431</v>
      </c>
      <c r="R42" s="180">
        <v>1.5813967029553979</v>
      </c>
      <c r="S42" s="180">
        <v>1.5813165676393572</v>
      </c>
      <c r="T42" s="180"/>
      <c r="U42" s="17"/>
      <c r="V42" s="17"/>
    </row>
    <row r="43" spans="1:30" outlineLevel="1">
      <c r="A43" s="17"/>
      <c r="B43" s="17"/>
      <c r="C43" s="17"/>
      <c r="D43" s="120"/>
      <c r="E43" s="120"/>
      <c r="F43" s="120"/>
      <c r="G43" s="121"/>
      <c r="H43" s="121"/>
      <c r="I43" s="120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</row>
    <row r="44" spans="1:30" outlineLevel="1">
      <c r="A44" s="17"/>
      <c r="B44" s="17"/>
      <c r="C44" s="17" t="s">
        <v>40</v>
      </c>
      <c r="D44" s="120" t="s">
        <v>93</v>
      </c>
      <c r="E44" s="120" t="s">
        <v>28</v>
      </c>
      <c r="F44" s="120" t="s">
        <v>36</v>
      </c>
      <c r="G44" s="120"/>
      <c r="H44" s="120"/>
      <c r="I44" s="120"/>
      <c r="J44" s="164" t="str">
        <f t="shared" ref="J44:T44" si="8">IF(J40=J4,IF(ISBLANK(J42),"Check","Ok"),"")</f>
        <v/>
      </c>
      <c r="K44" s="164" t="str">
        <f t="shared" si="8"/>
        <v/>
      </c>
      <c r="L44" s="164" t="str">
        <f t="shared" si="8"/>
        <v/>
      </c>
      <c r="M44" s="164" t="str">
        <f t="shared" si="8"/>
        <v/>
      </c>
      <c r="N44" s="164" t="str">
        <f t="shared" si="8"/>
        <v/>
      </c>
      <c r="O44" s="164" t="str">
        <f t="shared" si="8"/>
        <v>Ok</v>
      </c>
      <c r="P44" s="164" t="str">
        <f t="shared" si="8"/>
        <v>Ok</v>
      </c>
      <c r="Q44" s="164" t="str">
        <f t="shared" si="8"/>
        <v>Ok</v>
      </c>
      <c r="R44" s="164" t="str">
        <f t="shared" si="8"/>
        <v>Ok</v>
      </c>
      <c r="S44" s="164" t="str">
        <f t="shared" si="8"/>
        <v>Ok</v>
      </c>
      <c r="T44" s="164" t="str">
        <f t="shared" si="8"/>
        <v/>
      </c>
      <c r="U44" s="165"/>
      <c r="V44" s="17"/>
      <c r="W44" s="81" t="str">
        <f>IF(COUNTIF(J44:T44,"Check")=0,"Ok","Check")</f>
        <v>Ok</v>
      </c>
    </row>
    <row r="45" spans="1:30">
      <c r="A45" s="17"/>
      <c r="B45" s="17"/>
      <c r="C45" s="17"/>
      <c r="D45" s="120"/>
      <c r="E45" s="120"/>
      <c r="F45" s="120"/>
      <c r="G45" s="121"/>
      <c r="H45" s="121"/>
      <c r="I45" s="120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</row>
    <row r="46" spans="1:30" customFormat="1" ht="12.75">
      <c r="A46" s="32"/>
      <c r="B46" s="38" t="s">
        <v>21</v>
      </c>
      <c r="C46" s="32"/>
      <c r="D46" s="32"/>
      <c r="E46" s="32"/>
      <c r="F46" s="118"/>
      <c r="G46" s="118"/>
      <c r="H46" s="118"/>
      <c r="I46" s="118"/>
      <c r="J46" s="34"/>
      <c r="K46" s="119"/>
      <c r="L46" s="34"/>
      <c r="M46" s="119"/>
      <c r="N46" s="34"/>
      <c r="O46" s="34"/>
      <c r="P46" s="34"/>
      <c r="Q46" s="34"/>
      <c r="R46" s="34"/>
      <c r="S46" s="34"/>
      <c r="T46" s="34"/>
      <c r="U46" s="34"/>
      <c r="V46" s="119"/>
      <c r="W46" s="35"/>
      <c r="X46" s="36"/>
      <c r="Y46" s="36"/>
      <c r="Z46" s="36"/>
      <c r="AA46" s="36"/>
      <c r="AB46" s="36"/>
      <c r="AC46" s="37"/>
      <c r="AD46" s="37"/>
    </row>
    <row r="47" spans="1:30" hidden="1">
      <c r="G47" s="20"/>
      <c r="H47" s="20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  <row r="55" spans="7:8" hidden="1">
      <c r="G55" s="20"/>
      <c r="H55" s="20"/>
    </row>
    <row r="56" spans="7:8" hidden="1">
      <c r="G56" s="20"/>
      <c r="H56" s="20"/>
    </row>
  </sheetData>
  <mergeCells count="1">
    <mergeCell ref="N3:S3"/>
  </mergeCells>
  <conditionalFormatting sqref="S1">
    <cfRule type="cellIs" dxfId="124" priority="40" operator="equal">
      <formula>"Check"</formula>
    </cfRule>
    <cfRule type="cellIs" dxfId="123" priority="41" operator="equal">
      <formula>"Ok"</formula>
    </cfRule>
  </conditionalFormatting>
  <conditionalFormatting sqref="V1">
    <cfRule type="cellIs" dxfId="122" priority="42" operator="equal">
      <formula>"Check"</formula>
    </cfRule>
    <cfRule type="cellIs" dxfId="121" priority="43" operator="equal">
      <formula>"Ok"</formula>
    </cfRule>
  </conditionalFormatting>
  <conditionalFormatting sqref="J10:T10">
    <cfRule type="expression" dxfId="120" priority="38">
      <formula>J$10=J$4</formula>
    </cfRule>
  </conditionalFormatting>
  <conditionalFormatting sqref="J12:N22 T12:T22">
    <cfRule type="expression" dxfId="119" priority="37">
      <formula>J$10=J$4</formula>
    </cfRule>
  </conditionalFormatting>
  <conditionalFormatting sqref="W24">
    <cfRule type="cellIs" dxfId="118" priority="33" operator="equal">
      <formula>"Check"</formula>
    </cfRule>
    <cfRule type="cellIs" dxfId="117" priority="34" operator="equal">
      <formula>"Ok"</formula>
    </cfRule>
  </conditionalFormatting>
  <conditionalFormatting sqref="J24:T24">
    <cfRule type="cellIs" dxfId="116" priority="31" operator="equal">
      <formula>"Check"</formula>
    </cfRule>
    <cfRule type="cellIs" dxfId="115" priority="32" operator="equal">
      <formula>"Ok"</formula>
    </cfRule>
  </conditionalFormatting>
  <conditionalFormatting sqref="W36">
    <cfRule type="cellIs" dxfId="114" priority="29" operator="equal">
      <formula>"Check"</formula>
    </cfRule>
    <cfRule type="cellIs" dxfId="113" priority="30" operator="equal">
      <formula>"Ok"</formula>
    </cfRule>
  </conditionalFormatting>
  <conditionalFormatting sqref="J36:T36">
    <cfRule type="cellIs" dxfId="112" priority="27" operator="equal">
      <formula>"Check"</formula>
    </cfRule>
    <cfRule type="cellIs" dxfId="111" priority="28" operator="equal">
      <formula>"Ok"</formula>
    </cfRule>
  </conditionalFormatting>
  <conditionalFormatting sqref="J30:M34 O33:O34">
    <cfRule type="expression" dxfId="110" priority="26">
      <formula>J$28=J$4</formula>
    </cfRule>
  </conditionalFormatting>
  <conditionalFormatting sqref="W44">
    <cfRule type="cellIs" dxfId="109" priority="24" operator="equal">
      <formula>"Check"</formula>
    </cfRule>
    <cfRule type="cellIs" dxfId="108" priority="25" operator="equal">
      <formula>"Ok"</formula>
    </cfRule>
  </conditionalFormatting>
  <conditionalFormatting sqref="J44:T44">
    <cfRule type="cellIs" dxfId="107" priority="22" operator="equal">
      <formula>"Check"</formula>
    </cfRule>
    <cfRule type="cellIs" dxfId="106" priority="23" operator="equal">
      <formula>"Ok"</formula>
    </cfRule>
  </conditionalFormatting>
  <conditionalFormatting sqref="P33:T34 T32 O30:T31 O30:S32">
    <cfRule type="expression" dxfId="105" priority="21">
      <formula>O$10=O$4</formula>
    </cfRule>
  </conditionalFormatting>
  <conditionalFormatting sqref="N30:N34">
    <cfRule type="expression" dxfId="104" priority="20">
      <formula>N$10=N$4</formula>
    </cfRule>
  </conditionalFormatting>
  <conditionalFormatting sqref="J42:T42">
    <cfRule type="expression" dxfId="103" priority="17">
      <formula>J$40=J$4</formula>
    </cfRule>
  </conditionalFormatting>
  <conditionalFormatting sqref="J28:T28">
    <cfRule type="expression" dxfId="102" priority="16">
      <formula>J$10=J$4</formula>
    </cfRule>
  </conditionalFormatting>
  <conditionalFormatting sqref="J40:T40">
    <cfRule type="expression" dxfId="101" priority="15">
      <formula>J$10=J$4</formula>
    </cfRule>
  </conditionalFormatting>
  <conditionalFormatting sqref="O12:S22">
    <cfRule type="expression" dxfId="100" priority="14">
      <formula>O$10=O$4</formula>
    </cfRule>
  </conditionalFormatting>
  <conditionalFormatting sqref="W12:W22">
    <cfRule type="cellIs" dxfId="99" priority="12" operator="equal">
      <formula>"Check"</formula>
    </cfRule>
    <cfRule type="cellIs" dxfId="98" priority="13" operator="equal">
      <formula>"Ok"</formula>
    </cfRule>
  </conditionalFormatting>
  <conditionalFormatting sqref="W30">
    <cfRule type="cellIs" dxfId="97" priority="10" operator="equal">
      <formula>"Check"</formula>
    </cfRule>
    <cfRule type="cellIs" dxfId="96" priority="11" operator="equal">
      <formula>"Ok"</formula>
    </cfRule>
  </conditionalFormatting>
  <conditionalFormatting sqref="W31">
    <cfRule type="cellIs" dxfId="95" priority="8" operator="equal">
      <formula>"Check"</formula>
    </cfRule>
    <cfRule type="cellIs" dxfId="94" priority="9" operator="equal">
      <formula>"Ok"</formula>
    </cfRule>
  </conditionalFormatting>
  <conditionalFormatting sqref="W32">
    <cfRule type="cellIs" dxfId="93" priority="6" operator="equal">
      <formula>"Check"</formula>
    </cfRule>
    <cfRule type="cellIs" dxfId="92" priority="7" operator="equal">
      <formula>"Ok"</formula>
    </cfRule>
  </conditionalFormatting>
  <conditionalFormatting sqref="W33">
    <cfRule type="cellIs" dxfId="91" priority="4" operator="equal">
      <formula>"Check"</formula>
    </cfRule>
    <cfRule type="cellIs" dxfId="90" priority="5" operator="equal">
      <formula>"Ok"</formula>
    </cfRule>
  </conditionalFormatting>
  <conditionalFormatting sqref="W34">
    <cfRule type="cellIs" dxfId="89" priority="2" operator="equal">
      <formula>"Check"</formula>
    </cfRule>
    <cfRule type="cellIs" dxfId="88" priority="3" operator="equal">
      <formula>"Ok"</formula>
    </cfRule>
  </conditionalFormatting>
  <conditionalFormatting sqref="O32:S32">
    <cfRule type="expression" dxfId="87" priority="1">
      <formula>O$10=O$4</formula>
    </cfRule>
  </conditionalFormatting>
  <dataValidations count="4">
    <dataValidation type="list" allowBlank="1" showInputMessage="1" showErrorMessage="1" sqref="F25 F35 F37 F45" xr:uid="{00000000-0002-0000-0600-000000000000}">
      <formula1>"Real 2010,Real 2011,Real 2012,Real 2013,Real 2014,Real 2015,Nominal"</formula1>
    </dataValidation>
    <dataValidation type="list" allowBlank="1" showInputMessage="1" showErrorMessage="1" sqref="U30:U35 I45 U25 I25 U45 I30:I35 U37 I37 U12:U23" xr:uid="{00000000-0002-0000-0600-000001000000}">
      <formula1>#REF!</formula1>
    </dataValidation>
    <dataValidation type="decimal" operator="greaterThanOrEqual" allowBlank="1" showInputMessage="1" showErrorMessage="1" sqref="J42:T42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E42 E23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6"/>
  <sheetViews>
    <sheetView workbookViewId="0">
      <selection activeCell="V80" sqref="V80"/>
    </sheetView>
  </sheetViews>
  <sheetFormatPr defaultColWidth="0" defaultRowHeight="11.25" zeroHeight="1" outlineLevelRow="1"/>
  <cols>
    <col min="1" max="2" width="1.5" style="8" customWidth="1"/>
    <col min="3" max="3" width="76.5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5" style="16" customWidth="1"/>
    <col min="10" max="24" width="10.6640625" style="8" customWidth="1"/>
    <col min="25" max="39" width="10.5" style="8" hidden="1" customWidth="1"/>
    <col min="40" max="16384" width="10.5" style="8" hidden="1"/>
  </cols>
  <sheetData>
    <row r="1" spans="1:31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6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6"/>
      <c r="O3" s="196"/>
      <c r="P3" s="196"/>
      <c r="Q3" s="196"/>
      <c r="R3" s="196"/>
      <c r="S3" s="196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2.75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0</v>
      </c>
      <c r="L12" s="66">
        <f>IF(YEAR(L$4)=BaseYear,'Input|Reported opex'!L47,0)</f>
        <v>0</v>
      </c>
      <c r="M12" s="66">
        <f>IF(YEAR(M$4)=BaseYear,'Input|Reported opex'!M47,0)</f>
        <v>152.23901999999998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160.28168176883491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207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0</v>
      </c>
      <c r="L14" s="66">
        <f>IF(YEAR(L$4)=BaseYear,'Input|Reported opex'!L15,0)</f>
        <v>0</v>
      </c>
      <c r="M14" s="66">
        <f>IF(YEAR(M$4)=BaseYear,'Input|Reported opex'!M15,0)</f>
        <v>148.7562991060812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207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184.8827931130609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208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152.85805671826674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208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189.98069087316068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0</v>
      </c>
      <c r="L19" s="66">
        <f>IF(YEAR(L$4)=BaseYear,'Input|Reported opex'!L57,0)</f>
        <v>0</v>
      </c>
      <c r="M19" s="66">
        <f>IF(YEAR(M$4)=BaseYear,'Input|Reported opex'!M57,0)</f>
        <v>0.4203751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0.44258316955628174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209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0</v>
      </c>
      <c r="L21" s="66">
        <f>IF(YEAR(L$4)=BaseYear,'Input|Reported opex'!L29,0)</f>
        <v>0</v>
      </c>
      <c r="M21" s="66">
        <f>IF(YEAR(M$4)=BaseYear,'Input|Reported opex'!M29,0)</f>
        <v>2.0486681802261151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209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2.5462013884329813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210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2.0523665618072853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210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2.5507979475086886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0</v>
      </c>
      <c r="L26" s="70">
        <f t="shared" ca="1" si="1"/>
        <v>0</v>
      </c>
      <c r="M26" s="70">
        <f t="shared" ca="1" si="1"/>
        <v>160.28168176883491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0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5.0978977600997837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165.3795795289347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-0.44717972863198918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outlineLevel="1">
      <c r="C37" s="77" t="str">
        <f>'Input|Reported opex'!$C$63</f>
        <v>Licence fee</v>
      </c>
      <c r="D37" s="65" t="s">
        <v>87</v>
      </c>
      <c r="E37" s="16" t="str">
        <f>'Input|Reported opex'!E63</f>
        <v>$millions</v>
      </c>
      <c r="F37" s="98">
        <f>'Input|Reported opex'!F63</f>
        <v>46174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-0.74928021871394357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outlineLevel="1">
      <c r="C38" s="77" t="str">
        <f>C37</f>
        <v>Licence fee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-0.74928021871394357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outlineLevel="1">
      <c r="C40" s="77">
        <f>'Input|Reported opex'!$C$64</f>
        <v>0</v>
      </c>
      <c r="D40" s="65" t="s">
        <v>87</v>
      </c>
      <c r="E40" s="16" t="str">
        <f>'Input|Reported opex'!$E$64</f>
        <v>$millions</v>
      </c>
      <c r="F40" s="98">
        <f>'Input|Reported opex'!$F$64</f>
        <v>46174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0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outlineLevel="1">
      <c r="C41" s="77">
        <f>C40</f>
        <v>0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outlineLevel="1">
      <c r="C43" s="77">
        <f>'Input|Reported opex'!$C$65</f>
        <v>0</v>
      </c>
      <c r="D43" s="65" t="s">
        <v>87</v>
      </c>
      <c r="E43" s="16" t="str">
        <f>'Input|Reported opex'!$E$65</f>
        <v>$millions</v>
      </c>
      <c r="F43" s="98">
        <f>'Input|Reported opex'!$F$65</f>
        <v>46174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0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outlineLevel="1">
      <c r="C44" s="77">
        <f>C43</f>
        <v>0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164.18311958158876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2.75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3.1544304444760091E-3</v>
      </c>
      <c r="P61" s="72">
        <f ca="1">IF(P58=P4,AVERAGE(OFFSET('Input|Rate of change'!Q106,0,0,COUNTA('Input|Rate of change'!$J$84:$M$84),1)),0)</f>
        <v>3.1564085806763953E-3</v>
      </c>
      <c r="Q61" s="72">
        <f ca="1">IF(Q58=Q4,AVERAGE(OFFSET('Input|Rate of change'!R106,0,0,COUNTA('Input|Rate of change'!$J$84:$M$84),1)),0)</f>
        <v>3.1148471423129639E-3</v>
      </c>
      <c r="R61" s="72">
        <f ca="1">IF(R58=R4,AVERAGE(OFFSET('Input|Rate of change'!S106,0,0,COUNTA('Input|Rate of change'!$J$84:$M$84),1)),0)</f>
        <v>3.0733600135280322E-3</v>
      </c>
      <c r="S61" s="72">
        <f ca="1">IF(S58=S4,AVERAGE(OFFSET('Input|Rate of change'!T106,0,0,COUNTA('Input|Rate of change'!$J$84:$M$84),1)),0)</f>
        <v>3.020254914919284E-3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3.1544304444759419E-3</v>
      </c>
      <c r="P62" s="72">
        <f t="array" aca="1" ref="P62" ca="1">IF(P$58=P$4,PRODUCT(1+$J61:P61)-1,0)</f>
        <v>6.3207956964743683E-3</v>
      </c>
      <c r="Q62" s="72">
        <f t="array" aca="1" ref="Q62" ca="1">IF(Q$58=Q$4,PRODUCT(1+$J61:Q61)-1,0)</f>
        <v>9.4553311511997862E-3</v>
      </c>
      <c r="R62" s="72">
        <f t="array" aca="1" ref="R62" ca="1">IF(R$58=R$4,PRODUCT(1+$J61:R61)-1,0)</f>
        <v>1.2557750801402534E-2</v>
      </c>
      <c r="S62" s="72">
        <f t="array" aca="1" ref="S62" ca="1">IF(S$58=S$4,PRODUCT(1+$J61:S61)-1,0)</f>
        <v>1.5615933324899967E-2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3.7972329041071366E-3</v>
      </c>
      <c r="P64" s="72">
        <f>SUMPRODUCT('Input|Rate of change'!Q38:Q45,'Input|Rate of change'!Q51:Q58)</f>
        <v>5.07547965959262E-3</v>
      </c>
      <c r="Q64" s="72">
        <f>SUMPRODUCT('Input|Rate of change'!R38:R45,'Input|Rate of change'!R51:R58)</f>
        <v>5.9357460337038899E-3</v>
      </c>
      <c r="R64" s="72">
        <f>SUMPRODUCT('Input|Rate of change'!S38:S45,'Input|Rate of change'!S51:S58)</f>
        <v>6.6873098565911155E-3</v>
      </c>
      <c r="S64" s="72">
        <f>SUMPRODUCT('Input|Rate of change'!T38:T45,'Input|Rate of change'!T51:T58)</f>
        <v>6.7995735690094495E-3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3.7972329041071617E-3</v>
      </c>
      <c r="P65" s="72">
        <f t="array" ref="P65">IF(P$58=P$4,PRODUCT(1+$J64:P64)-1,0)</f>
        <v>8.8919853420672545E-3</v>
      </c>
      <c r="Q65" s="72">
        <f t="array" ref="Q65">IF(Q$58=Q$4,PRODUCT(1+$J64:Q64)-1,0)</f>
        <v>1.4880511942497066E-2</v>
      </c>
      <c r="R65" s="72">
        <f t="array" ref="R65">IF(R$58=R$4,PRODUCT(1+$J64:R64)-1,0)</f>
        <v>2.1667332393272343E-2</v>
      </c>
      <c r="S65" s="72">
        <f t="array" ref="S65">IF(S$58=S$4,PRODUCT(1+$J64:S64)-1,0)</f>
        <v>2.8614234582933884E-2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>
        <f>'Input|Rate of change'!U115</f>
        <v>0</v>
      </c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1.9288232483822831E-3</v>
      </c>
      <c r="P70" s="88">
        <f t="shared" ca="1" si="6"/>
        <v>3.2066689851784069E-3</v>
      </c>
      <c r="Q70" s="88">
        <f t="shared" ca="1" si="6"/>
        <v>4.0237367069997365E-3</v>
      </c>
      <c r="R70" s="88">
        <f t="shared" ca="1" si="6"/>
        <v>4.7323162689263398E-3</v>
      </c>
      <c r="S70" s="88">
        <f t="shared" ca="1" si="6"/>
        <v>4.7911631047725667E-3</v>
      </c>
      <c r="T70" s="88">
        <f ca="1">(1+T61)*(1+T64)*(1-T67)-1</f>
        <v>0</v>
      </c>
    </row>
    <row r="71" spans="1:31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1.9288232483822831E-3</v>
      </c>
      <c r="P71" s="72">
        <f t="array" aca="1" ref="P71" ca="1">IF(P$58=P$4,PRODUCT(1+$J70:P70)-1,"")</f>
        <v>5.1416773312491504E-3</v>
      </c>
      <c r="Q71" s="72">
        <f t="array" aca="1" ref="Q71" ca="1">IF(Q$58=Q$4,PRODUCT(1+$J70:Q70)-1,"")</f>
        <v>9.1861027940622897E-3</v>
      </c>
      <c r="R71" s="72">
        <f t="array" aca="1" ref="R71" ca="1">IF(R$58=R$4,PRODUCT(1+$J70:R70)-1,"")</f>
        <v>1.3961890606688954E-2</v>
      </c>
      <c r="S71" s="72">
        <f t="array" aca="1" ref="S71" ca="1">IF(S$58=S$4,PRODUCT(1+$J70:S70)-1,"")</f>
        <v>1.8819947406609083E-2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2.75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Customer assistance package</v>
      </c>
      <c r="D77" s="16" t="s">
        <v>30</v>
      </c>
      <c r="E77" s="16" t="str">
        <f t="shared" ref="E77:E99" si="7">$E$8</f>
        <v>$millions</v>
      </c>
      <c r="F77" s="98">
        <f t="shared" ref="F77:F89" si="8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>Vegetation management</v>
      </c>
      <c r="D78" s="16" t="s">
        <v>30</v>
      </c>
      <c r="E78" s="16" t="str">
        <f t="shared" si="7"/>
        <v>$millions</v>
      </c>
      <c r="F78" s="98">
        <f t="shared" si="8"/>
        <v>46174</v>
      </c>
      <c r="J78" s="79">
        <f>'Input|Step changes'!J12*INDEX('Input|Rate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K78" s="79">
        <f>'Input|Step changes'!K12*INDEX('Input|Rate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L78" s="79">
        <f>'Input|Step changes'!L12*INDEX('Input|Rate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M78" s="79">
        <f>'Input|Step changes'!M12*INDEX('Input|Rate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N78" s="79">
        <f>'Input|Step changes'!N12*INDEX('Input|Rate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O78" s="79">
        <f>'Input|Step changes'!O13*INDEX('Input|Rate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4.2328626374420004</v>
      </c>
      <c r="P78" s="79">
        <f>'Input|Step changes'!P13*INDEX('Input|Rate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4.0189516396591332</v>
      </c>
      <c r="Q78" s="79">
        <f>'Input|Step changes'!Q13*INDEX('Input|Rate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3.7806456174080187</v>
      </c>
      <c r="R78" s="79">
        <f>'Input|Step changes'!R13*INDEX('Input|Rate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3.5381402675338163</v>
      </c>
      <c r="S78" s="79">
        <f>'Input|Step changes'!S13*INDEX('Input|Rate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3.263555068451192</v>
      </c>
      <c r="T78" s="79">
        <f>'Input|Step changes'!T12*INDEX('Input|Rate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</row>
    <row r="79" spans="1:31" outlineLevel="1">
      <c r="C79" s="75" t="str">
        <f>'Input|Step changes'!C14</f>
        <v>CER integration</v>
      </c>
      <c r="D79" s="16" t="s">
        <v>30</v>
      </c>
      <c r="E79" s="16" t="str">
        <f t="shared" si="7"/>
        <v>$millions</v>
      </c>
      <c r="F79" s="98">
        <f t="shared" si="8"/>
        <v>46174</v>
      </c>
      <c r="J79" s="79">
        <f>'Input|Step changes'!J13*INDEX('Input|Rate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K79" s="79">
        <f>'Input|Step changes'!K13*INDEX('Input|Rate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L79" s="79">
        <f>'Input|Step changes'!L13*INDEX('Input|Rate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M79" s="79">
        <f>'Input|Step changes'!M13*INDEX('Input|Rate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N79" s="79">
        <f>'Input|Step changes'!N13*INDEX('Input|Rate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O79" s="79">
        <f>'Input|Step changes'!O14*INDEX('Input|Rate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1.1396466463329626</v>
      </c>
      <c r="P79" s="79">
        <f>'Input|Step changes'!P14*INDEX('Input|Rate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4.0928662589529221</v>
      </c>
      <c r="Q79" s="79">
        <f>'Input|Step changes'!Q14*INDEX('Input|Rate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4.1435655470590778</v>
      </c>
      <c r="R79" s="79">
        <f>'Input|Step changes'!R14*INDEX('Input|Rate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4.6024176659476614</v>
      </c>
      <c r="S79" s="79">
        <f>'Input|Step changes'!S14*INDEX('Input|Rate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4.8238401689039305</v>
      </c>
      <c r="T79" s="79">
        <f>'Input|Step changes'!T13*INDEX('Input|Rate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</row>
    <row r="80" spans="1:31" outlineLevel="1">
      <c r="C80" s="75" t="str">
        <f>'Input|Step changes'!C15</f>
        <v>Cloud services</v>
      </c>
      <c r="D80" s="16" t="s">
        <v>30</v>
      </c>
      <c r="E80" s="16" t="str">
        <f t="shared" si="7"/>
        <v>$millions</v>
      </c>
      <c r="F80" s="98">
        <f t="shared" si="8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1.0113105391359123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0.99938259270357932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8.1497038428261934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10.251602734330506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3.2985730897842318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>ICT modernisation and new capability</v>
      </c>
      <c r="D81" s="16" t="s">
        <v>30</v>
      </c>
      <c r="E81" s="16" t="str">
        <f t="shared" si="7"/>
        <v>$millions</v>
      </c>
      <c r="F81" s="98">
        <f t="shared" si="8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1.8507529075206524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4.8131537985104949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6.880523066747446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7.0196352335513836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8.3226605150413384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Network and community resilience</v>
      </c>
      <c r="D82" s="16" t="s">
        <v>30</v>
      </c>
      <c r="E82" s="16" t="str">
        <f t="shared" si="7"/>
        <v>$millions</v>
      </c>
      <c r="F82" s="98">
        <f t="shared" si="8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>Fleet electrification</v>
      </c>
      <c r="D83" s="16" t="s">
        <v>30</v>
      </c>
      <c r="E83" s="16" t="str">
        <f t="shared" si="7"/>
        <v>$millions</v>
      </c>
      <c r="F83" s="98">
        <f t="shared" si="8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-3.463126415118014E-2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-3.922360362655114E-2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-5.1139236653130395E-2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-6.3371892137794539E-2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Insurance</v>
      </c>
      <c r="D84" s="16" t="s">
        <v>30</v>
      </c>
      <c r="E84" s="16" t="str">
        <f t="shared" si="7"/>
        <v>$millions</v>
      </c>
      <c r="F84" s="98">
        <f t="shared" si="8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-1.4235861361488704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-1.4281511056593887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-1.4338976096863731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-1.4406832666726663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-1.4475858151856114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 t="str">
        <f>'Input|Step changes'!C20</f>
        <v>Flexible trading arrangements cost pass through</v>
      </c>
      <c r="D85" s="16" t="s">
        <v>30</v>
      </c>
      <c r="E85" s="16" t="str">
        <f t="shared" si="7"/>
        <v>$millions</v>
      </c>
      <c r="F85" s="98">
        <f t="shared" si="8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1.2272305855962564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-0.12111844183727027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-1.3658820630057378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-2.2845529821860335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-2.295621331491398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>
        <f>'Input|Step changes'!C21</f>
        <v>0</v>
      </c>
      <c r="D86" s="16" t="s">
        <v>30</v>
      </c>
      <c r="E86" s="16" t="str">
        <f t="shared" si="7"/>
        <v>$millions</v>
      </c>
      <c r="F86" s="98">
        <f t="shared" si="8"/>
        <v>46174</v>
      </c>
      <c r="J86" s="7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7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7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7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7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7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7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7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R86" s="7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S86" s="7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T86" s="79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1" outlineLevel="1">
      <c r="C87" s="75">
        <f>'Input|Step changes'!C22</f>
        <v>0</v>
      </c>
      <c r="D87" s="16" t="s">
        <v>30</v>
      </c>
      <c r="E87" s="16" t="str">
        <f t="shared" si="7"/>
        <v>$millions</v>
      </c>
      <c r="F87" s="98">
        <f t="shared" si="8"/>
        <v>46174</v>
      </c>
      <c r="J87" s="79">
        <f>'Input|Step changes'!J22*INDEX('Input|Rate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K87" s="79">
        <f>'Input|Step changes'!K22*INDEX('Input|Rate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L87" s="79">
        <f>'Input|Step changes'!L22*INDEX('Input|Rate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M87" s="79">
        <f>'Input|Step changes'!M22*INDEX('Input|Rate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N87" s="79">
        <f>'Input|Step changes'!N22*INDEX('Input|Rate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O87" s="79">
        <f>'Input|Step changes'!O22*INDEX('Input|Rate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P87" s="79">
        <f>'Input|Step changes'!P22*INDEX('Input|Rate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Q87" s="79">
        <f>'Input|Step changes'!Q22*INDEX('Input|Rate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R87" s="79">
        <f>'Input|Step changes'!R22*INDEX('Input|Rate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S87" s="79">
        <f>'Input|Step changes'!S22*INDEX('Input|Rate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  <c r="T87" s="79">
        <f>'Input|Step changes'!T22*INDEX('Input|Rate of change'!$C$14:$P$22,MATCH('Input|Step changes'!$F22,'Input|Rate of change'!$C$14:$C$22,0),MATCH('Calc|Opex forecast'!$F87,'Input|Rate of change'!$C$14:$P$14,0))*IF('Input|Step changes'!$E22="$millions",1000000,IF('Input|Step changes'!$E22="$000",1000,1))/IF($E87="$millions",1000000,IF($E87="$000",1000,1))</f>
        <v>0</v>
      </c>
    </row>
    <row r="88" spans="1:31" outlineLevel="1">
      <c r="C88" s="75"/>
      <c r="F88" s="67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</row>
    <row r="89" spans="1:31" outlineLevel="1">
      <c r="C89" s="68" t="s">
        <v>48</v>
      </c>
      <c r="D89" s="76" t="s">
        <v>30</v>
      </c>
      <c r="E89" s="76" t="str">
        <f>$E$8</f>
        <v>$millions</v>
      </c>
      <c r="F89" s="101">
        <f t="shared" si="8"/>
        <v>46174</v>
      </c>
      <c r="G89" s="20"/>
      <c r="H89" s="20"/>
      <c r="I89" s="20"/>
      <c r="J89" s="80">
        <f>SUM(J76:J88)</f>
        <v>0</v>
      </c>
      <c r="K89" s="80">
        <f t="shared" ref="K89:R89" si="9">SUM(K76:K88)</f>
        <v>0</v>
      </c>
      <c r="L89" s="80">
        <f t="shared" si="9"/>
        <v>0</v>
      </c>
      <c r="M89" s="80">
        <f t="shared" si="9"/>
        <v>0</v>
      </c>
      <c r="N89" s="80">
        <f t="shared" si="9"/>
        <v>0</v>
      </c>
      <c r="O89" s="80">
        <f t="shared" si="9"/>
        <v>8.0382171798789148</v>
      </c>
      <c r="P89" s="80">
        <f t="shared" si="9"/>
        <v>12.340453478178292</v>
      </c>
      <c r="Q89" s="80">
        <f t="shared" si="9"/>
        <v>20.115434797722077</v>
      </c>
      <c r="R89" s="80">
        <f t="shared" si="9"/>
        <v>21.635420415851534</v>
      </c>
      <c r="S89" s="80">
        <f>SUM(S76:S88)</f>
        <v>15.902049803365889</v>
      </c>
      <c r="T89" s="80">
        <f>SUM(T76:T88)</f>
        <v>0</v>
      </c>
    </row>
    <row r="90" spans="1:31">
      <c r="C90" s="77"/>
      <c r="J90" s="64"/>
      <c r="K90" s="64"/>
      <c r="L90" s="64"/>
      <c r="M90" s="64"/>
      <c r="N90" s="22"/>
      <c r="O90" s="22"/>
      <c r="P90" s="22"/>
      <c r="Q90" s="22"/>
      <c r="R90" s="22"/>
      <c r="S90" s="22"/>
      <c r="T90" s="22"/>
    </row>
    <row r="91" spans="1:31" customFormat="1" ht="12.75">
      <c r="A91" s="32"/>
      <c r="B91" s="38" t="s">
        <v>107</v>
      </c>
      <c r="C91" s="32"/>
      <c r="D91" s="32"/>
      <c r="E91" s="32"/>
      <c r="F91" s="33"/>
      <c r="G91" s="33"/>
      <c r="H91" s="33"/>
      <c r="I91" s="33"/>
      <c r="J91" s="34"/>
      <c r="K91" s="35"/>
      <c r="L91" s="34"/>
      <c r="M91" s="35"/>
      <c r="N91" s="34"/>
      <c r="O91" s="34"/>
      <c r="P91" s="34"/>
      <c r="Q91" s="34"/>
      <c r="R91" s="34"/>
      <c r="S91" s="34"/>
      <c r="T91" s="34"/>
      <c r="U91" s="34"/>
      <c r="V91" s="34"/>
      <c r="W91" s="35"/>
      <c r="X91" s="35"/>
      <c r="Y91" s="36"/>
      <c r="Z91" s="36"/>
      <c r="AA91" s="36"/>
      <c r="AB91" s="36"/>
      <c r="AC91" s="36"/>
      <c r="AD91" s="37"/>
      <c r="AE91" s="37"/>
    </row>
    <row r="92" spans="1:31" outlineLevel="1">
      <c r="C92" s="15"/>
      <c r="J92" s="64"/>
      <c r="K92" s="64"/>
      <c r="L92" s="64"/>
    </row>
    <row r="93" spans="1:31" outlineLevel="1">
      <c r="C93" s="9" t="s">
        <v>102</v>
      </c>
      <c r="D93" s="20" t="s">
        <v>7</v>
      </c>
      <c r="E93" s="20" t="s">
        <v>8</v>
      </c>
      <c r="F93" s="20" t="s">
        <v>22</v>
      </c>
      <c r="J93" s="99" t="str">
        <f>IF(YEAR(J$4)&gt;='Input|General'!$G$13,IF(YEAR(J$4)&lt;='Input|General'!$G$14,J$4,""),"")</f>
        <v/>
      </c>
      <c r="K93" s="99" t="str">
        <f>IF(YEAR(K$4)&gt;='Input|General'!$G$13,IF(YEAR(K$4)&lt;='Input|General'!$G$14,K$4,""),"")</f>
        <v/>
      </c>
      <c r="L93" s="99" t="str">
        <f>IF(YEAR(L$4)&gt;='Input|General'!$G$13,IF(YEAR(L$4)&lt;='Input|General'!$G$14,L$4,""),"")</f>
        <v/>
      </c>
      <c r="M93" s="99" t="str">
        <f>IF(YEAR(M$4)&gt;='Input|General'!$G$13,IF(YEAR(M$4)&lt;='Input|General'!$G$14,M$4,""),"")</f>
        <v/>
      </c>
      <c r="N93" s="99" t="str">
        <f>IF(YEAR(N$4)&gt;='Input|General'!$G$13,IF(YEAR(N$4)&lt;='Input|General'!$G$14,N$4,""),"")</f>
        <v/>
      </c>
      <c r="O93" s="99">
        <f>IF(YEAR(O$4)&gt;='Input|General'!$G$13,IF(YEAR(O$4)&lt;='Input|General'!$G$14,O$4,""),"")</f>
        <v>46539</v>
      </c>
      <c r="P93" s="99">
        <f>IF(YEAR(P$4)&gt;='Input|General'!$G$13,IF(YEAR(P$4)&lt;='Input|General'!$G$14,P$4,""),"")</f>
        <v>46905</v>
      </c>
      <c r="Q93" s="99">
        <f>IF(YEAR(Q$4)&gt;='Input|General'!$G$13,IF(YEAR(Q$4)&lt;='Input|General'!$G$14,Q$4,""),"")</f>
        <v>47270</v>
      </c>
      <c r="R93" s="99">
        <f>IF(YEAR(R$4)&gt;='Input|General'!$G$13,IF(YEAR(R$4)&lt;='Input|General'!$G$14,R$4,""),"")</f>
        <v>47635</v>
      </c>
      <c r="S93" s="99">
        <f>IF(YEAR(S$4)&gt;='Input|General'!$G$13,IF(YEAR(S$4)&lt;='Input|General'!$G$14,S$4,""),"")</f>
        <v>48000</v>
      </c>
      <c r="T93" s="99" t="str">
        <f>IF(YEAR(T$4)&gt;='Input|General'!$G$13,IF(YEAR(T$4)&lt;='Input|General'!$G$14,T$4,""),"")</f>
        <v/>
      </c>
    </row>
    <row r="94" spans="1:31" outlineLevel="1">
      <c r="C94" s="9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</row>
    <row r="95" spans="1:31" outlineLevel="1">
      <c r="C95" s="75" t="str">
        <f>'Input|Step changes'!C30</f>
        <v>GSL payments</v>
      </c>
      <c r="D95" s="16" t="s">
        <v>30</v>
      </c>
      <c r="E95" s="16" t="str">
        <f t="shared" si="7"/>
        <v>$millions</v>
      </c>
      <c r="F95" s="98">
        <f>$F$8</f>
        <v>46174</v>
      </c>
      <c r="J95" s="79">
        <f>'Input|Step changes'!J30*INDEX('Input|Rate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K95" s="79">
        <f>'Input|Step changes'!K30*INDEX('Input|Rate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L95" s="79">
        <f>'Input|Step changes'!L30*INDEX('Input|Rate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M95" s="79">
        <f>'Input|Step changes'!M30*INDEX('Input|Rate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N95" s="79">
        <f>'Input|Step changes'!N30*INDEX('Input|Rate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  <c r="O95" s="79">
        <f>'Input|Step changes'!O30*INDEX('Input|Rate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1.2650465793651291</v>
      </c>
      <c r="P95" s="79">
        <f>'Input|Step changes'!P30*INDEX('Input|Rate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1.232749777666666</v>
      </c>
      <c r="Q95" s="79">
        <f>'Input|Step changes'!Q30*INDEX('Input|Rate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1.2012775174649069</v>
      </c>
      <c r="R95" s="79">
        <f>'Input|Step changes'!R30*INDEX('Input|Rate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1.1706087481095073</v>
      </c>
      <c r="S95" s="79">
        <f>'Input|Step changes'!S30*INDEX('Input|Rate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1.1407229563759314</v>
      </c>
      <c r="T95" s="79">
        <f>'Input|Step changes'!T30*INDEX('Input|Rate of change'!$C$14:$P$22,MATCH('Input|Step changes'!$F30,'Input|Rate of change'!$C$14:$C$22,0),MATCH('Calc|Opex forecast'!$F95,'Input|Rate of change'!$C$14:$P$14,0))*IF('Input|Step changes'!$E30="$millions",1000000,IF('Input|Step changes'!$E30="$000",1000,1))/IF($E95="$millions",1000000,IF($E95="$000",1000,1))</f>
        <v>0</v>
      </c>
    </row>
    <row r="96" spans="1:31" outlineLevel="1">
      <c r="C96" s="75" t="str">
        <f>'Input|Step changes'!C31</f>
        <v>Network innovation fund</v>
      </c>
      <c r="D96" s="16" t="s">
        <v>30</v>
      </c>
      <c r="E96" s="16" t="str">
        <f t="shared" si="7"/>
        <v>$millions</v>
      </c>
      <c r="F96" s="98">
        <f>$F$8</f>
        <v>46174</v>
      </c>
      <c r="J96" s="79">
        <f>'Input|Step changes'!J31*INDEX('Input|Rate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K96" s="79">
        <f>'Input|Step changes'!K31*INDEX('Input|Rate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L96" s="79">
        <f>'Input|Step changes'!L31*INDEX('Input|Rate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M96" s="79">
        <f>'Input|Step changes'!M31*INDEX('Input|Rate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N96" s="79">
        <f>'Input|Step changes'!N31*INDEX('Input|Rate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0.39796399999999998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0.39796399999999998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0.39796399999999998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0.39796399999999998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0.39796399999999998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 t="str">
        <f>'Input|Step changes'!C32</f>
        <v>Customer assistance package</v>
      </c>
      <c r="D97" s="16" t="s">
        <v>30</v>
      </c>
      <c r="E97" s="16" t="str">
        <f t="shared" si="7"/>
        <v>$millions</v>
      </c>
      <c r="F97" s="98">
        <f>$F$8</f>
        <v>46174</v>
      </c>
      <c r="J97" s="79">
        <f>'Input|Step changes'!J32*INDEX('Input|Rate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K97" s="79">
        <f>'Input|Step changes'!K32*INDEX('Input|Rate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L97" s="79">
        <f>'Input|Step changes'!L32*INDEX('Input|Rate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M97" s="79">
        <f>'Input|Step changes'!M32*INDEX('Input|Rate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N97" s="79">
        <f>'Input|Step changes'!N32*INDEX('Input|Rate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1.7105411467276042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1.7242499788848678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1.7400695948977483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1.7577027844504141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1.7747260890321206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5">
        <f>'Input|Step changes'!C33</f>
        <v>0</v>
      </c>
      <c r="D98" s="16" t="s">
        <v>30</v>
      </c>
      <c r="E98" s="16" t="str">
        <f t="shared" si="7"/>
        <v>$millions</v>
      </c>
      <c r="F98" s="98">
        <f>$F$8</f>
        <v>46174</v>
      </c>
      <c r="J98" s="79">
        <f>'Input|Step changes'!J33*INDEX('Input|Rate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K98" s="79">
        <f>'Input|Step changes'!K33*INDEX('Input|Rate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L98" s="79">
        <f>'Input|Step changes'!L33*INDEX('Input|Rate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M98" s="79">
        <f>'Input|Step changes'!M33*INDEX('Input|Rate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N98" s="79">
        <f>'Input|Step changes'!N33*INDEX('Input|Rate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O98" s="7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7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7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7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7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7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5">
        <f>'Input|Step changes'!C34</f>
        <v>0</v>
      </c>
      <c r="D99" s="16" t="s">
        <v>30</v>
      </c>
      <c r="E99" s="16" t="str">
        <f t="shared" si="7"/>
        <v>$millions</v>
      </c>
      <c r="F99" s="98">
        <f>$F$8</f>
        <v>46174</v>
      </c>
      <c r="J99" s="79">
        <f>'Input|Step changes'!J34*INDEX('Input|Rate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K99" s="79">
        <f>'Input|Step changes'!K34*INDEX('Input|Rate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L99" s="79">
        <f>'Input|Step changes'!L34*INDEX('Input|Rate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M99" s="79">
        <f>'Input|Step changes'!M34*INDEX('Input|Rate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N99" s="79">
        <f>'Input|Step changes'!N34*INDEX('Input|Rate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O99" s="79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9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9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9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9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9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</row>
    <row r="100" spans="1:39" outlineLevel="1">
      <c r="C100" s="75"/>
      <c r="F100" s="67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</row>
    <row r="101" spans="1:39" outlineLevel="1">
      <c r="C101" s="68" t="s">
        <v>108</v>
      </c>
      <c r="D101" s="76" t="s">
        <v>30</v>
      </c>
      <c r="E101" s="76" t="str">
        <f>$E$8</f>
        <v>$millions</v>
      </c>
      <c r="F101" s="101">
        <f>$F$8</f>
        <v>46174</v>
      </c>
      <c r="G101" s="20"/>
      <c r="H101" s="20"/>
      <c r="I101" s="20"/>
      <c r="J101" s="80">
        <f t="shared" ref="J101:T101" si="10">SUM(J94:J99)</f>
        <v>0</v>
      </c>
      <c r="K101" s="80">
        <f t="shared" si="10"/>
        <v>0</v>
      </c>
      <c r="L101" s="80">
        <f t="shared" si="10"/>
        <v>0</v>
      </c>
      <c r="M101" s="80">
        <f t="shared" si="10"/>
        <v>0</v>
      </c>
      <c r="N101" s="80">
        <f t="shared" si="10"/>
        <v>0</v>
      </c>
      <c r="O101" s="80">
        <f t="shared" si="10"/>
        <v>3.3735517260927335</v>
      </c>
      <c r="P101" s="80">
        <f t="shared" si="10"/>
        <v>3.354963756551534</v>
      </c>
      <c r="Q101" s="80">
        <f t="shared" si="10"/>
        <v>3.3393111123626551</v>
      </c>
      <c r="R101" s="80">
        <f t="shared" si="10"/>
        <v>3.3262755325599214</v>
      </c>
      <c r="S101" s="80">
        <f t="shared" si="10"/>
        <v>3.3134130454080521</v>
      </c>
      <c r="T101" s="80">
        <f t="shared" si="10"/>
        <v>0</v>
      </c>
    </row>
    <row r="102" spans="1:39">
      <c r="C102" s="77"/>
      <c r="J102" s="64"/>
      <c r="K102" s="64"/>
      <c r="L102" s="64"/>
      <c r="M102" s="64"/>
      <c r="N102" s="22"/>
      <c r="O102" s="22"/>
      <c r="P102" s="22"/>
      <c r="Q102" s="22"/>
      <c r="R102" s="22"/>
      <c r="S102" s="22"/>
      <c r="T102" s="22"/>
    </row>
    <row r="103" spans="1:39" customFormat="1" ht="12.75">
      <c r="A103" s="32"/>
      <c r="B103" s="38" t="s">
        <v>86</v>
      </c>
      <c r="C103" s="32"/>
      <c r="D103" s="32"/>
      <c r="E103" s="32"/>
      <c r="F103" s="33"/>
      <c r="G103" s="33"/>
      <c r="H103" s="33"/>
      <c r="I103" s="33"/>
      <c r="J103" s="34"/>
      <c r="K103" s="35"/>
      <c r="L103" s="34"/>
      <c r="M103" s="35"/>
      <c r="N103" s="34"/>
      <c r="O103" s="34"/>
      <c r="P103" s="34"/>
      <c r="Q103" s="34"/>
      <c r="R103" s="34"/>
      <c r="S103" s="34"/>
      <c r="T103" s="34"/>
      <c r="U103" s="34"/>
      <c r="V103" s="34"/>
      <c r="W103" s="35"/>
      <c r="X103" s="35"/>
      <c r="Y103" s="36"/>
      <c r="Z103" s="36"/>
      <c r="AA103" s="36"/>
      <c r="AB103" s="36"/>
      <c r="AC103" s="36"/>
      <c r="AD103" s="37"/>
      <c r="AE103" s="37"/>
    </row>
    <row r="104" spans="1:39" outlineLevel="1">
      <c r="C104" s="15"/>
      <c r="J104" s="64"/>
      <c r="K104" s="64"/>
      <c r="L104" s="64"/>
    </row>
    <row r="105" spans="1:39" outlineLevel="1">
      <c r="C105" s="9"/>
      <c r="J105" s="99" t="str">
        <f>IF(YEAR(J$4)&gt;='Input|General'!$G$13,IF(YEAR(J$4)&lt;='Input|General'!$G$14,J$4,""),"")</f>
        <v/>
      </c>
      <c r="K105" s="99" t="str">
        <f>IF(YEAR(K$4)&gt;='Input|General'!$G$13,IF(YEAR(K$4)&lt;='Input|General'!$G$14,K$4,""),"")</f>
        <v/>
      </c>
      <c r="L105" s="99" t="str">
        <f>IF(YEAR(L$4)&gt;='Input|General'!$G$13,IF(YEAR(L$4)&lt;='Input|General'!$G$14,L$4,""),"")</f>
        <v/>
      </c>
      <c r="M105" s="99" t="str">
        <f>IF(YEAR(M$4)&gt;='Input|General'!$G$13,IF(YEAR(M$4)&lt;='Input|General'!$G$14,M$4,""),"")</f>
        <v/>
      </c>
      <c r="N105" s="99" t="str">
        <f>IF(YEAR(N$4)&gt;='Input|General'!$G$13,IF(YEAR(N$4)&lt;='Input|General'!$G$14,N$4,""),"")</f>
        <v/>
      </c>
      <c r="O105" s="99">
        <f>IF(YEAR(O$4)&gt;='Input|General'!$G$13,IF(YEAR(O$4)&lt;='Input|General'!$G$14,O$4,""),"")</f>
        <v>46539</v>
      </c>
      <c r="P105" s="99">
        <f>IF(YEAR(P$4)&gt;='Input|General'!$G$13,IF(YEAR(P$4)&lt;='Input|General'!$G$14,P$4,""),"")</f>
        <v>46905</v>
      </c>
      <c r="Q105" s="99">
        <f>IF(YEAR(Q$4)&gt;='Input|General'!$G$13,IF(YEAR(Q$4)&lt;='Input|General'!$G$14,Q$4,""),"")</f>
        <v>47270</v>
      </c>
      <c r="R105" s="99">
        <f>IF(YEAR(R$4)&gt;='Input|General'!$G$13,IF(YEAR(R$4)&lt;='Input|General'!$G$14,R$4,""),"")</f>
        <v>47635</v>
      </c>
      <c r="S105" s="99">
        <f>IF(YEAR(S$4)&gt;='Input|General'!$G$13,IF(YEAR(S$4)&lt;='Input|General'!$G$14,S$4,""),"")</f>
        <v>48000</v>
      </c>
      <c r="T105" s="99" t="str">
        <f>IF(YEAR(T$4)&gt;='Input|General'!$G$13,IF(YEAR(T$4)&lt;='Input|General'!$G$14,T$4,""),"")</f>
        <v/>
      </c>
    </row>
    <row r="106" spans="1:39" outlineLevel="1">
      <c r="C106" s="9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</row>
    <row r="107" spans="1:39" outlineLevel="1">
      <c r="C107" s="77" t="s">
        <v>124</v>
      </c>
      <c r="D107" s="20" t="s">
        <v>30</v>
      </c>
      <c r="E107" s="20" t="str">
        <f>$E$8</f>
        <v>$millions</v>
      </c>
      <c r="F107" s="101">
        <f>$F$8</f>
        <v>46174</v>
      </c>
      <c r="J107" s="90" t="str">
        <f t="shared" ref="J107:T107" si="11">IF(YEAR(J$4)&gt;=FPFirstYear,IF(YEAR(J$4)&lt;=FPLastYear,IF(ISBLANK(J105),"",(1+J71)*SUM($J54:$S54)+J89),""),"")</f>
        <v/>
      </c>
      <c r="K107" s="90" t="str">
        <f t="shared" si="11"/>
        <v/>
      </c>
      <c r="L107" s="90" t="str">
        <f t="shared" si="11"/>
        <v/>
      </c>
      <c r="M107" s="90" t="str">
        <f t="shared" si="11"/>
        <v/>
      </c>
      <c r="N107" s="90" t="str">
        <f t="shared" si="11"/>
        <v/>
      </c>
      <c r="O107" s="90">
        <f t="shared" ca="1" si="11"/>
        <v>172.53801697950857</v>
      </c>
      <c r="P107" s="90">
        <f t="shared" ca="1" si="11"/>
        <v>177.36774968389346</v>
      </c>
      <c r="Q107" s="90">
        <f t="shared" ca="1" si="11"/>
        <v>185.80675739283714</v>
      </c>
      <c r="R107" s="90">
        <f t="shared" ca="1" si="11"/>
        <v>188.11084675250336</v>
      </c>
      <c r="S107" s="90">
        <f t="shared" ca="1" si="11"/>
        <v>183.17508706053314</v>
      </c>
      <c r="T107" s="90" t="str">
        <f t="shared" si="11"/>
        <v/>
      </c>
    </row>
    <row r="108" spans="1:39" outlineLevel="1">
      <c r="C108" s="77" t="s">
        <v>100</v>
      </c>
      <c r="D108" s="20" t="s">
        <v>30</v>
      </c>
      <c r="E108" s="20" t="str">
        <f>$E$8</f>
        <v>$millions</v>
      </c>
      <c r="F108" s="101">
        <f>$F$8</f>
        <v>46174</v>
      </c>
      <c r="J108" s="90" t="str">
        <f t="shared" ref="J108:T108" si="12">IF(YEAR(J$4)&gt;=FPFirstYear,IF(YEAR(J$4)&lt;=FPLastYear,IF(ISBLANK(J105),"",(1+J71)*SUM($J54:$S54)+J89+J101),""),"")</f>
        <v/>
      </c>
      <c r="K108" s="90" t="str">
        <f t="shared" si="12"/>
        <v/>
      </c>
      <c r="L108" s="90" t="str">
        <f t="shared" si="12"/>
        <v/>
      </c>
      <c r="M108" s="90" t="str">
        <f t="shared" si="12"/>
        <v/>
      </c>
      <c r="N108" s="90" t="str">
        <f t="shared" si="12"/>
        <v/>
      </c>
      <c r="O108" s="90">
        <f t="shared" ca="1" si="12"/>
        <v>175.9115687056013</v>
      </c>
      <c r="P108" s="90">
        <f t="shared" ca="1" si="12"/>
        <v>180.72271344044501</v>
      </c>
      <c r="Q108" s="90">
        <f t="shared" ca="1" si="12"/>
        <v>189.14606850519979</v>
      </c>
      <c r="R108" s="90">
        <f t="shared" ca="1" si="12"/>
        <v>191.43712228506328</v>
      </c>
      <c r="S108" s="90">
        <f t="shared" ca="1" si="12"/>
        <v>186.4885001059412</v>
      </c>
      <c r="T108" s="90" t="str">
        <f t="shared" si="12"/>
        <v/>
      </c>
    </row>
    <row r="109" spans="1:39" outlineLevel="1">
      <c r="C109" s="77" t="s">
        <v>101</v>
      </c>
      <c r="D109" s="20" t="s">
        <v>30</v>
      </c>
      <c r="E109" s="20" t="str">
        <f>$E$8</f>
        <v>$millions</v>
      </c>
      <c r="F109" s="101">
        <f>$F$8</f>
        <v>46174</v>
      </c>
      <c r="J109" s="90" t="str">
        <f>IF(YEAR(J$4)&gt;=FPFirstYear,IF(YEAR(J$4)&lt;=FPLastYear,J108+'Input|Step changes'!J42,""),"")</f>
        <v/>
      </c>
      <c r="K109" s="90" t="str">
        <f>IF(YEAR(K$4)&gt;=FPFirstYear,IF(YEAR(K$4)&lt;=FPLastYear,K108+'Input|Step changes'!K42,""),"")</f>
        <v/>
      </c>
      <c r="L109" s="90" t="str">
        <f>IF(YEAR(L$4)&gt;=FPFirstYear,IF(YEAR(L$4)&lt;=FPLastYear,L108+'Input|Step changes'!L42,""),"")</f>
        <v/>
      </c>
      <c r="M109" s="90" t="str">
        <f>IF(YEAR(M$4)&gt;=FPFirstYear,IF(YEAR(M$4)&lt;=FPLastYear,M108+'Input|Step changes'!M42,""),"")</f>
        <v/>
      </c>
      <c r="N109" s="90" t="str">
        <f>IF(YEAR(N$4)&gt;=FPFirstYear,IF(YEAR(N$4)&lt;=FPLastYear,N108+'Input|Step changes'!N42,""),"")</f>
        <v/>
      </c>
      <c r="O109" s="90">
        <f ca="1">IF(YEAR(O$4)&gt;=FPFirstYear,IF(YEAR(O$4)&lt;=FPLastYear,O108+'Input|Step changes'!O42,""),"")</f>
        <v>177.47289016869271</v>
      </c>
      <c r="P109" s="90">
        <f ca="1">IF(YEAR(P$4)&gt;=FPFirstYear,IF(YEAR(P$4)&lt;=FPLastYear,P108+'Input|Step changes'!P42,""),"")</f>
        <v>182.29557553877135</v>
      </c>
      <c r="Q109" s="90">
        <f ca="1">IF(YEAR(Q$4)&gt;=FPFirstYear,IF(YEAR(Q$4)&lt;=FPLastYear,Q108+'Input|Step changes'!Q42,""),"")</f>
        <v>190.72615917530004</v>
      </c>
      <c r="R109" s="90">
        <f ca="1">IF(YEAR(R$4)&gt;=FPFirstYear,IF(YEAR(R$4)&lt;=FPLastYear,R108+'Input|Step changes'!R42,""),"")</f>
        <v>193.01851898801868</v>
      </c>
      <c r="S109" s="90">
        <f ca="1">IF(YEAR(S$4)&gt;=FPFirstYear,IF(YEAR(S$4)&lt;=FPLastYear,S108+'Input|Step changes'!S42,""),"")</f>
        <v>188.06981667358056</v>
      </c>
      <c r="T109" s="90" t="str">
        <f>IF(YEAR(T$4)&gt;=FPFirstYear,IF(YEAR(T$4)&lt;=FPLastYear,T108+'Input|Step changes'!T42,""),"")</f>
        <v/>
      </c>
    </row>
    <row r="110" spans="1:39">
      <c r="C110" s="77"/>
      <c r="J110" s="64"/>
      <c r="K110" s="64"/>
      <c r="L110" s="64"/>
      <c r="M110" s="64"/>
      <c r="N110" s="22"/>
      <c r="O110" s="22"/>
      <c r="P110" s="22"/>
      <c r="Q110" s="22"/>
      <c r="R110" s="22"/>
      <c r="S110" s="22"/>
      <c r="T110" s="22"/>
    </row>
    <row r="111" spans="1:39" customFormat="1" ht="12.75">
      <c r="A111" s="32"/>
      <c r="B111" s="38" t="s">
        <v>21</v>
      </c>
      <c r="C111" s="32"/>
      <c r="D111" s="32"/>
      <c r="E111" s="32"/>
      <c r="F111" s="33"/>
      <c r="G111" s="33"/>
      <c r="H111" s="33"/>
      <c r="I111" s="33"/>
      <c r="J111" s="34"/>
      <c r="K111" s="35"/>
      <c r="L111" s="34"/>
      <c r="M111" s="35"/>
      <c r="N111" s="34"/>
      <c r="O111" s="34"/>
      <c r="P111" s="34"/>
      <c r="Q111" s="34"/>
      <c r="R111" s="34"/>
      <c r="S111" s="34"/>
      <c r="T111" s="34"/>
      <c r="U111" s="34"/>
      <c r="V111" s="34"/>
      <c r="W111" s="35"/>
      <c r="X111" s="35"/>
      <c r="Y111" s="36"/>
      <c r="Z111" s="36"/>
      <c r="AA111" s="36"/>
      <c r="AB111" s="36"/>
      <c r="AC111" s="36"/>
      <c r="AD111" s="37"/>
      <c r="AE111" s="37"/>
    </row>
    <row r="120" s="8" customFormat="1" hidden="1"/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</sheetData>
  <mergeCells count="1">
    <mergeCell ref="N3:S3"/>
  </mergeCells>
  <conditionalFormatting sqref="S1:T1">
    <cfRule type="cellIs" dxfId="86" priority="107" operator="equal">
      <formula>"Check"</formula>
    </cfRule>
    <cfRule type="cellIs" dxfId="85" priority="108" operator="equal">
      <formula>"Ok"</formula>
    </cfRule>
  </conditionalFormatting>
  <conditionalFormatting sqref="W1">
    <cfRule type="cellIs" dxfId="84" priority="109" operator="equal">
      <formula>"Check"</formula>
    </cfRule>
    <cfRule type="cellIs" dxfId="83" priority="110" operator="equal">
      <formula>"Ok"</formula>
    </cfRule>
  </conditionalFormatting>
  <conditionalFormatting sqref="R39:T39 R42:T42 R45:T45 R48:T48 J12:T18">
    <cfRule type="cellIs" dxfId="82" priority="106" operator="equal">
      <formula>0</formula>
    </cfRule>
  </conditionalFormatting>
  <conditionalFormatting sqref="J13:T13">
    <cfRule type="cellIs" dxfId="81" priority="105" operator="equal">
      <formula>0</formula>
    </cfRule>
  </conditionalFormatting>
  <conditionalFormatting sqref="J14:T14">
    <cfRule type="cellIs" dxfId="80" priority="104" operator="equal">
      <formula>0</formula>
    </cfRule>
  </conditionalFormatting>
  <conditionalFormatting sqref="J15:T15">
    <cfRule type="cellIs" dxfId="79" priority="103" operator="equal">
      <formula>0</formula>
    </cfRule>
  </conditionalFormatting>
  <conditionalFormatting sqref="J16:T16">
    <cfRule type="cellIs" dxfId="78" priority="102" operator="equal">
      <formula>0</formula>
    </cfRule>
  </conditionalFormatting>
  <conditionalFormatting sqref="J17:T18">
    <cfRule type="cellIs" dxfId="77" priority="101" operator="equal">
      <formula>0</formula>
    </cfRule>
  </conditionalFormatting>
  <conditionalFormatting sqref="J61:T68">
    <cfRule type="cellIs" dxfId="76" priority="100" operator="equal">
      <formula>0</formula>
    </cfRule>
  </conditionalFormatting>
  <conditionalFormatting sqref="J95:T100 J77:T87">
    <cfRule type="cellIs" dxfId="75" priority="98" operator="equal">
      <formula>0</formula>
    </cfRule>
  </conditionalFormatting>
  <conditionalFormatting sqref="J36:T36 J33:T34 J51:T54">
    <cfRule type="cellIs" dxfId="74" priority="95" operator="equal">
      <formula>0</formula>
    </cfRule>
  </conditionalFormatting>
  <conditionalFormatting sqref="J108:T109">
    <cfRule type="cellIs" dxfId="73" priority="94" operator="equal">
      <formula>0</formula>
    </cfRule>
  </conditionalFormatting>
  <conditionalFormatting sqref="J108:T109">
    <cfRule type="cellIs" dxfId="72" priority="93" operator="equal">
      <formula>0</formula>
    </cfRule>
  </conditionalFormatting>
  <conditionalFormatting sqref="J46:T46">
    <cfRule type="cellIs" dxfId="71" priority="56" operator="equal">
      <formula>0</formula>
    </cfRule>
  </conditionalFormatting>
  <conditionalFormatting sqref="J39:Q39 J42:Q42 J45:Q45">
    <cfRule type="cellIs" dxfId="70" priority="74" operator="equal">
      <formula>0</formula>
    </cfRule>
  </conditionalFormatting>
  <conditionalFormatting sqref="J39:Q39 J42:Q42 J45:Q45">
    <cfRule type="cellIs" dxfId="69" priority="73" operator="equal">
      <formula>0</formula>
    </cfRule>
  </conditionalFormatting>
  <conditionalFormatting sqref="J37:T37">
    <cfRule type="cellIs" dxfId="68" priority="69" operator="equal">
      <formula>0</formula>
    </cfRule>
  </conditionalFormatting>
  <conditionalFormatting sqref="J37:T37">
    <cfRule type="cellIs" dxfId="67" priority="68" operator="equal">
      <formula>0</formula>
    </cfRule>
  </conditionalFormatting>
  <conditionalFormatting sqref="J48:Q48">
    <cfRule type="cellIs" dxfId="66" priority="59" operator="equal">
      <formula>0</formula>
    </cfRule>
  </conditionalFormatting>
  <conditionalFormatting sqref="J48:Q48">
    <cfRule type="cellIs" dxfId="65" priority="58" operator="equal">
      <formula>0</formula>
    </cfRule>
  </conditionalFormatting>
  <conditionalFormatting sqref="J40:T40">
    <cfRule type="cellIs" dxfId="64" priority="65" operator="equal">
      <formula>0</formula>
    </cfRule>
  </conditionalFormatting>
  <conditionalFormatting sqref="J40:T40">
    <cfRule type="cellIs" dxfId="63" priority="64" operator="equal">
      <formula>0</formula>
    </cfRule>
  </conditionalFormatting>
  <conditionalFormatting sqref="J46:T46">
    <cfRule type="cellIs" dxfId="62" priority="57" operator="equal">
      <formula>0</formula>
    </cfRule>
  </conditionalFormatting>
  <conditionalFormatting sqref="J43:T43">
    <cfRule type="cellIs" dxfId="61" priority="61" operator="equal">
      <formula>0</formula>
    </cfRule>
  </conditionalFormatting>
  <conditionalFormatting sqref="J43:T43">
    <cfRule type="cellIs" dxfId="60" priority="60" operator="equal">
      <formula>0</formula>
    </cfRule>
  </conditionalFormatting>
  <conditionalFormatting sqref="J49:T49">
    <cfRule type="cellIs" dxfId="59" priority="51" operator="equal">
      <formula>0</formula>
    </cfRule>
  </conditionalFormatting>
  <conditionalFormatting sqref="J49:T49">
    <cfRule type="cellIs" dxfId="58" priority="52" operator="equal">
      <formula>0</formula>
    </cfRule>
  </conditionalFormatting>
  <conditionalFormatting sqref="J38:T38">
    <cfRule type="cellIs" dxfId="57" priority="50" operator="equal">
      <formula>0</formula>
    </cfRule>
  </conditionalFormatting>
  <conditionalFormatting sqref="J38:T38">
    <cfRule type="cellIs" dxfId="56" priority="49" operator="equal">
      <formula>0</formula>
    </cfRule>
  </conditionalFormatting>
  <conditionalFormatting sqref="J107:T107">
    <cfRule type="cellIs" dxfId="55" priority="30" operator="equal">
      <formula>0</formula>
    </cfRule>
  </conditionalFormatting>
  <conditionalFormatting sqref="J107:T107">
    <cfRule type="cellIs" dxfId="54" priority="29" operator="equal">
      <formula>0</formula>
    </cfRule>
  </conditionalFormatting>
  <conditionalFormatting sqref="J10:T10">
    <cfRule type="expression" dxfId="53" priority="28">
      <formula>J$10=J$4</formula>
    </cfRule>
  </conditionalFormatting>
  <conditionalFormatting sqref="J25:T25">
    <cfRule type="expression" dxfId="52" priority="27">
      <formula>J$10=J$4</formula>
    </cfRule>
  </conditionalFormatting>
  <conditionalFormatting sqref="J54:T54">
    <cfRule type="expression" dxfId="51" priority="26">
      <formula>J$10=J$4</formula>
    </cfRule>
  </conditionalFormatting>
  <conditionalFormatting sqref="J26:T28 J30:T30">
    <cfRule type="cellIs" dxfId="50" priority="23" operator="equal">
      <formula>0</formula>
    </cfRule>
  </conditionalFormatting>
  <conditionalFormatting sqref="J31:T32">
    <cfRule type="cellIs" dxfId="49" priority="22" operator="equal">
      <formula>0</formula>
    </cfRule>
  </conditionalFormatting>
  <conditionalFormatting sqref="J71:T71">
    <cfRule type="cellIs" dxfId="48" priority="19" operator="equal">
      <formula>0</formula>
    </cfRule>
  </conditionalFormatting>
  <conditionalFormatting sqref="J35:T35">
    <cfRule type="cellIs" dxfId="47" priority="18" operator="equal">
      <formula>0</formula>
    </cfRule>
  </conditionalFormatting>
  <conditionalFormatting sqref="J35:T35">
    <cfRule type="cellIs" dxfId="46" priority="17" operator="equal">
      <formula>0</formula>
    </cfRule>
  </conditionalFormatting>
  <conditionalFormatting sqref="J29:T29">
    <cfRule type="cellIs" dxfId="45" priority="16" operator="equal">
      <formula>0</formula>
    </cfRule>
  </conditionalFormatting>
  <conditionalFormatting sqref="J29:T29">
    <cfRule type="cellIs" dxfId="44" priority="15" operator="equal">
      <formula>0</formula>
    </cfRule>
  </conditionalFormatting>
  <conditionalFormatting sqref="J19:T24">
    <cfRule type="cellIs" dxfId="43" priority="14" operator="equal">
      <formula>0</formula>
    </cfRule>
  </conditionalFormatting>
  <conditionalFormatting sqref="J20:T20">
    <cfRule type="cellIs" dxfId="42" priority="13" operator="equal">
      <formula>0</formula>
    </cfRule>
  </conditionalFormatting>
  <conditionalFormatting sqref="J21:T21">
    <cfRule type="cellIs" dxfId="41" priority="12" operator="equal">
      <formula>0</formula>
    </cfRule>
  </conditionalFormatting>
  <conditionalFormatting sqref="J22:T22">
    <cfRule type="cellIs" dxfId="40" priority="11" operator="equal">
      <formula>0</formula>
    </cfRule>
  </conditionalFormatting>
  <conditionalFormatting sqref="J23:T23">
    <cfRule type="cellIs" dxfId="39" priority="10" operator="equal">
      <formula>0</formula>
    </cfRule>
  </conditionalFormatting>
  <conditionalFormatting sqref="J24:T24">
    <cfRule type="cellIs" dxfId="38" priority="9" operator="equal">
      <formula>0</formula>
    </cfRule>
  </conditionalFormatting>
  <conditionalFormatting sqref="J70:T70">
    <cfRule type="expression" dxfId="37" priority="112">
      <formula>J$58=J$4</formula>
    </cfRule>
    <cfRule type="cellIs" dxfId="36" priority="113" operator="equal">
      <formula>0</formula>
    </cfRule>
  </conditionalFormatting>
  <conditionalFormatting sqref="J101:T101">
    <cfRule type="expression" dxfId="35" priority="114">
      <formula>J$93=J$4</formula>
    </cfRule>
    <cfRule type="cellIs" dxfId="34" priority="115" operator="equal">
      <formula>0</formula>
    </cfRule>
  </conditionalFormatting>
  <conditionalFormatting sqref="J89:T89">
    <cfRule type="expression" dxfId="33" priority="116">
      <formula>J$75=J$4</formula>
    </cfRule>
    <cfRule type="cellIs" dxfId="32" priority="117" operator="equal">
      <formula>0</formula>
    </cfRule>
  </conditionalFormatting>
  <conditionalFormatting sqref="J58:T58 J75:T75 J93:T93">
    <cfRule type="expression" dxfId="31" priority="118">
      <formula>J$58=J$4</formula>
    </cfRule>
  </conditionalFormatting>
  <conditionalFormatting sqref="J105:T105">
    <cfRule type="expression" dxfId="30" priority="121">
      <formula>J$105=J$4</formula>
    </cfRule>
  </conditionalFormatting>
  <conditionalFormatting sqref="J41:T41">
    <cfRule type="cellIs" dxfId="29" priority="8" operator="equal">
      <formula>0</formula>
    </cfRule>
  </conditionalFormatting>
  <conditionalFormatting sqref="J41:T41">
    <cfRule type="cellIs" dxfId="28" priority="7" operator="equal">
      <formula>0</formula>
    </cfRule>
  </conditionalFormatting>
  <conditionalFormatting sqref="J44:T44">
    <cfRule type="cellIs" dxfId="27" priority="6" operator="equal">
      <formula>0</formula>
    </cfRule>
  </conditionalFormatting>
  <conditionalFormatting sqref="J44:T44">
    <cfRule type="cellIs" dxfId="26" priority="5" operator="equal">
      <formula>0</formula>
    </cfRule>
  </conditionalFormatting>
  <conditionalFormatting sqref="J47:T47">
    <cfRule type="cellIs" dxfId="25" priority="4" operator="equal">
      <formula>0</formula>
    </cfRule>
  </conditionalFormatting>
  <conditionalFormatting sqref="J47:T47">
    <cfRule type="cellIs" dxfId="24" priority="3" operator="equal">
      <formula>0</formula>
    </cfRule>
  </conditionalFormatting>
  <conditionalFormatting sqref="J50:T50">
    <cfRule type="cellIs" dxfId="23" priority="2" operator="equal">
      <formula>0</formula>
    </cfRule>
  </conditionalFormatting>
  <conditionalFormatting sqref="J50:T50">
    <cfRule type="cellIs" dxfId="22" priority="1" operator="equal">
      <formula>0</formula>
    </cfRule>
  </conditionalFormatting>
  <dataValidations count="3">
    <dataValidation type="list" allowBlank="1" showInputMessage="1" showErrorMessage="1" sqref="F102 F90 F110" xr:uid="{00000000-0002-0000-0700-000000000000}">
      <formula1>"Real 2010,Real 2011,Real 2012,Real 2013,Real 2014,Real 2015,Nominal"</formula1>
    </dataValidation>
    <dataValidation type="list" allowBlank="1" showInputMessage="1" showErrorMessage="1" sqref="F88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topLeftCell="A2" workbookViewId="0">
      <selection activeCell="O13" sqref="O13"/>
    </sheetView>
  </sheetViews>
  <sheetFormatPr defaultColWidth="0" defaultRowHeight="11.25" zeroHeight="1"/>
  <cols>
    <col min="1" max="2" width="1.5" style="8" customWidth="1"/>
    <col min="3" max="3" width="59.6640625" style="8" bestFit="1" customWidth="1"/>
    <col min="4" max="4" width="27.6640625" style="16" customWidth="1"/>
    <col min="5" max="5" width="15.6640625" style="16" customWidth="1"/>
    <col min="6" max="6" width="10.6640625" style="16" customWidth="1"/>
    <col min="7" max="9" width="3.33203125" style="16" customWidth="1"/>
    <col min="10" max="24" width="10.6640625" style="8" customWidth="1"/>
    <col min="25" max="48" width="0" style="8" hidden="1" customWidth="1"/>
    <col min="49" max="16384" width="10.5" style="8" hidden="1"/>
  </cols>
  <sheetData>
    <row r="1" spans="1:27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86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196"/>
      <c r="O3" s="196"/>
      <c r="P3" s="196"/>
      <c r="Q3" s="196"/>
      <c r="R3" s="196"/>
      <c r="S3" s="196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2.75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forecast'!C107</f>
        <v>Total forecast opex, excluding category specific forecasts</v>
      </c>
      <c r="D13" s="24" t="s">
        <v>98</v>
      </c>
      <c r="E13" s="16" t="str">
        <f t="shared" ref="E13:E18" si="0">$E$8</f>
        <v>$millions</v>
      </c>
      <c r="F13" s="98">
        <f t="shared" ref="F13:F18" si="1">$F$8</f>
        <v>46174</v>
      </c>
      <c r="H13" s="20"/>
      <c r="I13" s="20"/>
      <c r="J13" s="104">
        <f>IF(J11="",0,'Calc|Opex forecast'!J107*INDEX('Input|Rate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K13" s="104">
        <f>IF(K11="",0,'Calc|Opex forecast'!K107*INDEX('Input|Rate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L13" s="104">
        <f>IF(L11="",0,'Calc|Opex forecast'!L107*INDEX('Input|Rate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M13" s="104">
        <f>IF(M11="",0,'Calc|Opex forecast'!M107*INDEX('Input|Rate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N13" s="104">
        <f>IF(N11="",0,'Calc|Opex forecast'!N107*INDEX('Input|Rate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O13" s="104">
        <f ca="1">IF(O11="",0,'Calc|Opex forecast'!O107*INDEX('Input|Rate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172.53801697950857</v>
      </c>
      <c r="P13" s="104">
        <f ca="1">IF(P11="",0,'Calc|Opex forecast'!P107*INDEX('Input|Rate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177.36774968389346</v>
      </c>
      <c r="Q13" s="104">
        <f ca="1">IF(Q11="",0,'Calc|Opex forecast'!Q107*INDEX('Input|Rate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185.80675739283714</v>
      </c>
      <c r="R13" s="104">
        <f ca="1">IF(R11="",0,'Calc|Opex forecast'!R107*INDEX('Input|Rate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188.11084675250336</v>
      </c>
      <c r="S13" s="104">
        <f ca="1">IF(S11="",0,'Calc|Opex forecast'!S107*INDEX('Input|Rate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183.17508706053314</v>
      </c>
      <c r="T13" s="104">
        <f>IF(T11="",0,'Calc|Opex forecast'!T107*INDEX('Input|Rate of change'!$C$14:$P$22,MATCH('Calc|Opex forecast'!$F$107,'Input|Rate of change'!$C$14:$C$22,0),MATCH('Output|Models'!$F13,'Input|Rate of change'!$C$14:$P$14,0))*IF('Calc|Opex forecast'!$E$107="$millions",1000000,IF('Calc|Opex forecast'!$E$107="$000",1000,1))/IF($E13="$millions",1000000,IF($E13="$000",1000,1)))</f>
        <v>0</v>
      </c>
      <c r="U13" s="15"/>
      <c r="V13" s="91"/>
    </row>
    <row r="14" spans="1:27">
      <c r="C14" s="15" t="str">
        <f>'Input|Step changes'!C30</f>
        <v>GSL payments</v>
      </c>
      <c r="D14" s="24" t="s">
        <v>98</v>
      </c>
      <c r="E14" s="16" t="str">
        <f t="shared" si="0"/>
        <v>$millions</v>
      </c>
      <c r="F14" s="98">
        <f t="shared" si="1"/>
        <v>46174</v>
      </c>
      <c r="H14" s="20"/>
      <c r="I14" s="20"/>
      <c r="J14" s="104">
        <f>IF(J$11="",0,'Calc|Opex forecast'!J95*INDEX('Input|Rate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K14" s="104">
        <f>IF(K$11="",0,'Calc|Opex forecast'!K95*INDEX('Input|Rate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L14" s="104">
        <f>IF(L$11="",0,'Calc|Opex forecast'!L95*INDEX('Input|Rate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M14" s="104">
        <f>IF(M$11="",0,'Calc|Opex forecast'!M95*INDEX('Input|Rate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N14" s="104">
        <f>IF(N$11="",0,'Calc|Opex forecast'!N95*INDEX('Input|Rate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O14" s="104">
        <f>IF(O$11="",0,'Calc|Opex forecast'!O95*INDEX('Input|Rate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1.2650465793651291</v>
      </c>
      <c r="P14" s="104">
        <f>IF(P$11="",0,'Calc|Opex forecast'!P95*INDEX('Input|Rate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1.232749777666666</v>
      </c>
      <c r="Q14" s="104">
        <f>IF(Q$11="",0,'Calc|Opex forecast'!Q95*INDEX('Input|Rate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1.2012775174649069</v>
      </c>
      <c r="R14" s="104">
        <f>IF(R$11="",0,'Calc|Opex forecast'!R95*INDEX('Input|Rate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1.1706087481095073</v>
      </c>
      <c r="S14" s="104">
        <f>IF(S$11="",0,'Calc|Opex forecast'!S95*INDEX('Input|Rate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1.1407229563759314</v>
      </c>
      <c r="T14" s="104">
        <f>IF(T$11="",0,'Calc|Opex forecast'!T95*INDEX('Input|Rate of change'!$C$14:$P$22,MATCH('Calc|Opex forecast'!$F95,'Input|Rate of change'!$C$14:$C$22,0),MATCH('Output|Models'!$F14,'Input|Rate of change'!$C$14:$P$14,0))*IF('Calc|Opex forecast'!$E95="$millions",1000000,IF('Calc|Opex forecast'!$E95="$000",1000,1))/IF($E14="$millions",1000000,IF($E14="$000",1000,1)))</f>
        <v>0</v>
      </c>
      <c r="U14" s="15"/>
      <c r="V14" s="91"/>
    </row>
    <row r="15" spans="1:27">
      <c r="C15" s="15" t="str">
        <f>'Input|Step changes'!C31</f>
        <v>Network 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K15" s="104">
        <f>IF(K$11="",0,'Calc|Opex forecast'!K96*INDEX('Input|Rate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L15" s="104">
        <f>IF(L$11="",0,'Calc|Opex forecast'!L96*INDEX('Input|Rate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M15" s="104">
        <f>IF(M$11="",0,'Calc|Opex forecast'!M96*INDEX('Input|Rate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N15" s="104">
        <f>IF(N$11="",0,'Calc|Opex forecast'!N96*INDEX('Input|Rate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O15" s="104">
        <f>IF(O$11="",0,'Calc|Opex forecast'!O96*INDEX('Input|Rate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0.39796399999999998</v>
      </c>
      <c r="P15" s="104">
        <f>IF(P$11="",0,'Calc|Opex forecast'!P96*INDEX('Input|Rate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0.39796399999999998</v>
      </c>
      <c r="Q15" s="104">
        <f>IF(Q$11="",0,'Calc|Opex forecast'!Q96*INDEX('Input|Rate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0.39796399999999998</v>
      </c>
      <c r="R15" s="104">
        <f>IF(R$11="",0,'Calc|Opex forecast'!R96*INDEX('Input|Rate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0.39796399999999998</v>
      </c>
      <c r="S15" s="104">
        <f>IF(S$11="",0,'Calc|Opex forecast'!S96*INDEX('Input|Rate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0.39796399999999998</v>
      </c>
      <c r="T15" s="104">
        <f>IF(T$11="",0,'Calc|Opex forecast'!T96*INDEX('Input|Rate of change'!$C$14:$P$22,MATCH('Calc|Opex forecast'!$F96,'Input|Rate of change'!$C$14:$C$22,0),MATCH('Output|Models'!$F15,'Input|Rate of change'!$C$14:$P$14,0))*IF('Calc|Opex forecast'!$E96="$millions",1000000,IF('Calc|Opex forecast'!$E96="$000",1000,1))/IF($E15="$millions",1000000,IF($E15="$000",1000,1)))</f>
        <v>0</v>
      </c>
      <c r="U15" s="15"/>
      <c r="V15" s="91"/>
    </row>
    <row r="16" spans="1:27">
      <c r="C16" s="15" t="str">
        <f>'Input|Step changes'!C32</f>
        <v>Customer assistance package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K16" s="104">
        <f>IF(K$11="",0,'Calc|Opex forecast'!K97*INDEX('Input|Rate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L16" s="104">
        <f>IF(L$11="",0,'Calc|Opex forecast'!L97*INDEX('Input|Rate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M16" s="104">
        <f>IF(M$11="",0,'Calc|Opex forecast'!M97*INDEX('Input|Rate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N16" s="104">
        <f>IF(N$11="",0,'Calc|Opex forecast'!N97*INDEX('Input|Rate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O16" s="104">
        <f>IF(O$11="",0,'Calc|Opex forecast'!O97*INDEX('Input|Rate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1.7105411467276042</v>
      </c>
      <c r="P16" s="104">
        <f>IF(P$11="",0,'Calc|Opex forecast'!P97*INDEX('Input|Rate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1.7242499788848678</v>
      </c>
      <c r="Q16" s="104">
        <f>IF(Q$11="",0,'Calc|Opex forecast'!Q97*INDEX('Input|Rate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1.7400695948977483</v>
      </c>
      <c r="R16" s="104">
        <f>IF(R$11="",0,'Calc|Opex forecast'!R97*INDEX('Input|Rate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1.7577027844504141</v>
      </c>
      <c r="S16" s="104">
        <f>IF(S$11="",0,'Calc|Opex forecast'!S97*INDEX('Input|Rate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1.7747260890321206</v>
      </c>
      <c r="T16" s="104">
        <f>IF(T$11="",0,'Calc|Opex forecast'!T97*INDEX('Input|Rate of change'!$C$14:$P$22,MATCH('Calc|Opex forecast'!$F97,'Input|Rate of change'!$C$14:$C$22,0),MATCH('Output|Models'!$F16,'Input|Rate of change'!$C$14:$P$14,0))*IF('Calc|Opex forecast'!$E97="$millions",1000000,IF('Calc|Opex forecast'!$E97="$000",1000,1))/IF($E16="$millions",1000000,IF($E16="$000",1000,1)))</f>
        <v>0</v>
      </c>
      <c r="U16" s="15"/>
      <c r="V16" s="91"/>
    </row>
    <row r="17" spans="1:24">
      <c r="C17" s="15">
        <f>'Input|Step changes'!C33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K17" s="104">
        <f>IF(K$11="",0,'Calc|Opex forecast'!K98*INDEX('Input|Rate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L17" s="104">
        <f>IF(L$11="",0,'Calc|Opex forecast'!L98*INDEX('Input|Rate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M17" s="104">
        <f>IF(M$11="",0,'Calc|Opex forecast'!M98*INDEX('Input|Rate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N17" s="104">
        <f>IF(N$11="",0,'Calc|Opex forecast'!N98*INDEX('Input|Rate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O17" s="104">
        <f>IF(O$11="",0,'Calc|Opex forecast'!O98*INDEX('Input|Rate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P17" s="104">
        <f>IF(P$11="",0,'Calc|Opex forecast'!P98*INDEX('Input|Rate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Q17" s="104">
        <f>IF(Q$11="",0,'Calc|Opex forecast'!Q98*INDEX('Input|Rate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R17" s="104">
        <f>IF(R$11="",0,'Calc|Opex forecast'!R98*INDEX('Input|Rate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S17" s="104">
        <f>IF(S$11="",0,'Calc|Opex forecast'!S98*INDEX('Input|Rate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T17" s="104">
        <f>IF(T$11="",0,'Calc|Opex forecast'!T98*INDEX('Input|Rate of change'!$C$14:$P$22,MATCH('Calc|Opex forecast'!$F98,'Input|Rate of change'!$C$14:$C$22,0),MATCH('Output|Models'!$F17,'Input|Rate of change'!$C$14:$P$14,0))*IF('Calc|Opex forecast'!$E98="$millions",1000000,IF('Calc|Opex forecast'!$E98="$000",1000,1))/IF($E17="$millions",1000000,IF($E17="$000",1000,1)))</f>
        <v>0</v>
      </c>
      <c r="U17" s="15"/>
      <c r="V17" s="112"/>
    </row>
    <row r="18" spans="1:24">
      <c r="C18" s="15">
        <f>'Input|Step changes'!C34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K18" s="104">
        <f>IF(K$11="",0,'Calc|Opex forecast'!K99*INDEX('Input|Rate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L18" s="104">
        <f>IF(L$11="",0,'Calc|Opex forecast'!L99*INDEX('Input|Rate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M18" s="104">
        <f>IF(M$11="",0,'Calc|Opex forecast'!M99*INDEX('Input|Rate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N18" s="104">
        <f>IF(N$11="",0,'Calc|Opex forecast'!N99*INDEX('Input|Rate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O18" s="104">
        <f>IF(O$11="",0,'Calc|Opex forecast'!O99*INDEX('Input|Rate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P18" s="104">
        <f>IF(P$11="",0,'Calc|Opex forecast'!P99*INDEX('Input|Rate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Q18" s="104">
        <f>IF(Q$11="",0,'Calc|Opex forecast'!Q99*INDEX('Input|Rate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R18" s="104">
        <f>IF(R$11="",0,'Calc|Opex forecast'!R99*INDEX('Input|Rate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S18" s="104">
        <f>IF(S$11="",0,'Calc|Opex forecast'!S99*INDEX('Input|Rate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T18" s="104">
        <f>IF(T$11="",0,'Calc|Opex forecast'!T99*INDEX('Input|Rate of change'!$C$14:$P$22,MATCH('Calc|Opex forecast'!$F99,'Input|Rate of change'!$C$14:$C$22,0),MATCH('Output|Models'!$F18,'Input|Rate of change'!$C$14:$P$14,0))*IF('Calc|Opex forecast'!$E99="$millions",1000000,IF('Calc|Opex forecast'!$E99="$000",1000,1))/IF($E18="$millions",1000000,IF($E18="$000",1000,1)))</f>
        <v>0</v>
      </c>
      <c r="U18" s="15"/>
      <c r="V18" s="112"/>
    </row>
    <row r="19" spans="1:24">
      <c r="D19" s="24"/>
      <c r="H19" s="20"/>
      <c r="I19" s="20"/>
      <c r="S19" s="22"/>
      <c r="T19" s="22"/>
    </row>
    <row r="20" spans="1:24" customFormat="1" ht="12.75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W1">
    <cfRule type="cellIs" dxfId="21" priority="13" operator="equal">
      <formula>"Check"</formula>
    </cfRule>
    <cfRule type="cellIs" dxfId="20" priority="14" operator="equal">
      <formula>"Ok"</formula>
    </cfRule>
  </conditionalFormatting>
  <conditionalFormatting sqref="J13:T18">
    <cfRule type="expression" dxfId="19" priority="3">
      <formula>AND($C13=0,J$11=J$4)</formula>
    </cfRule>
    <cfRule type="expression" dxfId="18" priority="4">
      <formula>NOT(J$11=J$4)</formula>
    </cfRule>
    <cfRule type="expression" dxfId="17" priority="5">
      <formula>J$11=J$4</formula>
    </cfRule>
  </conditionalFormatting>
  <conditionalFormatting sqref="J11:T11">
    <cfRule type="expression" dxfId="16" priority="7">
      <formula>J$11=J$4</formula>
    </cfRule>
  </conditionalFormatting>
  <conditionalFormatting sqref="S1:T1">
    <cfRule type="cellIs" dxfId="15" priority="1" operator="equal">
      <formula>"Check"</formula>
    </cfRule>
    <cfRule type="cellIs" dxfId="14" priority="2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workbookViewId="0"/>
  </sheetViews>
  <sheetFormatPr defaultColWidth="0" defaultRowHeight="11.25" zeroHeight="1"/>
  <cols>
    <col min="1" max="2" width="1.5" style="8" customWidth="1"/>
    <col min="3" max="3" width="42" style="8" customWidth="1"/>
    <col min="4" max="4" width="17" style="7" customWidth="1"/>
    <col min="5" max="5" width="15.6640625" style="7" customWidth="1"/>
    <col min="6" max="6" width="10.6640625" style="7" customWidth="1"/>
    <col min="7" max="7" width="15" style="16" customWidth="1"/>
    <col min="8" max="9" width="15" style="8" customWidth="1"/>
    <col min="10" max="23" width="10.6640625" style="8" customWidth="1"/>
    <col min="24" max="311" width="10.5" style="8" hidden="1" customWidth="1"/>
    <col min="312" max="16371" width="10.5" style="8" hidden="1"/>
    <col min="16372" max="16372" width="0" style="8" hidden="1"/>
    <col min="16373" max="16384" width="10.5" style="8" hidden="1"/>
  </cols>
  <sheetData>
    <row r="1" spans="1:30" s="27" customFormat="1" ht="15.7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5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86" t="s">
        <v>24</v>
      </c>
      <c r="V1" s="29" t="str">
        <f>'Check|List'!$S$1</f>
        <v>Ok</v>
      </c>
    </row>
    <row r="2" spans="1:30" s="27" customFormat="1" ht="12.75">
      <c r="B2" s="41" t="str">
        <f>Index!$C$14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2.75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2.75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179</v>
      </c>
      <c r="D8" s="16" t="s">
        <v>182</v>
      </c>
      <c r="E8" s="16"/>
      <c r="F8" s="16"/>
      <c r="G8" s="39" t="s">
        <v>179</v>
      </c>
    </row>
    <row r="9" spans="1:30">
      <c r="C9" s="15" t="s">
        <v>180</v>
      </c>
      <c r="D9" s="16" t="s">
        <v>182</v>
      </c>
      <c r="E9" s="16"/>
      <c r="F9" s="16"/>
      <c r="G9" s="39" t="s">
        <v>180</v>
      </c>
    </row>
    <row r="10" spans="1:30">
      <c r="C10" s="15" t="s">
        <v>181</v>
      </c>
      <c r="D10" s="16" t="s">
        <v>64</v>
      </c>
      <c r="E10" s="16"/>
      <c r="F10" s="16"/>
      <c r="G10" s="39" t="s">
        <v>181</v>
      </c>
      <c r="T10" s="17"/>
    </row>
    <row r="11" spans="1:30">
      <c r="C11" s="15" t="s">
        <v>183</v>
      </c>
      <c r="D11" s="16" t="s">
        <v>182</v>
      </c>
      <c r="E11" s="16"/>
      <c r="F11" s="16"/>
      <c r="G11" s="39" t="s">
        <v>183</v>
      </c>
    </row>
    <row r="12" spans="1:30">
      <c r="C12" s="15" t="s">
        <v>184</v>
      </c>
      <c r="D12" s="16" t="s">
        <v>64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2.75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2.75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2.75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2018</v>
      </c>
      <c r="H48" s="107">
        <f>DATE(G48,MONTH('Input|General'!$G$9),1)</f>
        <v>43252</v>
      </c>
      <c r="I48" s="106" t="str">
        <f>G48-1&amp;"–"&amp;RIGHT(G48,2)</f>
        <v>2017–18</v>
      </c>
    </row>
    <row r="49" spans="3:20">
      <c r="C49" s="97">
        <v>41061</v>
      </c>
      <c r="D49" s="16" t="s">
        <v>64</v>
      </c>
      <c r="E49" s="16"/>
      <c r="F49" s="16"/>
      <c r="G49" s="93">
        <v>2019</v>
      </c>
      <c r="H49" s="107">
        <f>DATE(G49,MONTH('Input|General'!$G$9),1)</f>
        <v>43617</v>
      </c>
      <c r="I49" s="106" t="str">
        <f t="shared" ref="I49:I67" si="0">G49-1&amp;"–"&amp;RIGHT(G49,2)</f>
        <v>2018–19</v>
      </c>
    </row>
    <row r="50" spans="3:20">
      <c r="C50" s="97">
        <v>41426</v>
      </c>
      <c r="D50" s="16" t="s">
        <v>64</v>
      </c>
      <c r="E50" s="16"/>
      <c r="F50" s="16"/>
      <c r="G50" s="93">
        <v>2020</v>
      </c>
      <c r="H50" s="107">
        <f>DATE(G50,MONTH('Input|General'!$G$9),1)</f>
        <v>43983</v>
      </c>
      <c r="I50" s="106" t="str">
        <f t="shared" si="0"/>
        <v>2019–20</v>
      </c>
    </row>
    <row r="51" spans="3:20">
      <c r="C51" s="97">
        <v>41791</v>
      </c>
      <c r="D51" s="16" t="s">
        <v>64</v>
      </c>
      <c r="E51" s="16"/>
      <c r="F51" s="16"/>
      <c r="G51" s="93">
        <v>2021</v>
      </c>
      <c r="H51" s="107">
        <f>DATE(G51,MONTH('Input|General'!$G$9),1)</f>
        <v>44348</v>
      </c>
      <c r="I51" s="106" t="str">
        <f t="shared" si="0"/>
        <v>2020–21</v>
      </c>
    </row>
    <row r="52" spans="3:20">
      <c r="C52" s="97">
        <v>42156</v>
      </c>
      <c r="D52" s="16" t="s">
        <v>64</v>
      </c>
      <c r="E52" s="16"/>
      <c r="F52" s="16"/>
      <c r="G52" s="93">
        <v>2022</v>
      </c>
      <c r="H52" s="107">
        <f>DATE(G52,MONTH('Input|General'!$G$9),1)</f>
        <v>44713</v>
      </c>
      <c r="I52" s="106" t="str">
        <f t="shared" si="0"/>
        <v>2021–22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2023</v>
      </c>
      <c r="H53" s="107">
        <f>DATE(G53,MONTH('Input|General'!$G$9),1)</f>
        <v>45078</v>
      </c>
      <c r="I53" s="106" t="str">
        <f t="shared" si="0"/>
        <v>2022–23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2024</v>
      </c>
      <c r="H54" s="107">
        <f>DATE(G54,MONTH('Input|General'!$G$9),1)</f>
        <v>45444</v>
      </c>
      <c r="I54" s="106" t="str">
        <f t="shared" si="0"/>
        <v>2023–24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2025</v>
      </c>
      <c r="H55" s="107">
        <f>DATE(G55,MONTH('Input|General'!$G$9),1)</f>
        <v>45809</v>
      </c>
      <c r="I55" s="106" t="str">
        <f t="shared" si="0"/>
        <v>2024–25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2026</v>
      </c>
      <c r="H56" s="107">
        <f>DATE(G56,MONTH('Input|General'!$G$9),1)</f>
        <v>46174</v>
      </c>
      <c r="I56" s="106" t="str">
        <f t="shared" si="0"/>
        <v>2025–26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2027</v>
      </c>
      <c r="H57" s="107">
        <f>DATE(G57,MONTH('Input|General'!$G$9),1)</f>
        <v>46539</v>
      </c>
      <c r="I57" s="106" t="str">
        <f t="shared" si="0"/>
        <v>2026–27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2028</v>
      </c>
      <c r="H58" s="107">
        <f>DATE(G58,MONTH('Input|General'!$G$9),1)</f>
        <v>46905</v>
      </c>
      <c r="I58" s="106" t="str">
        <f t="shared" si="0"/>
        <v>2027–28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2029</v>
      </c>
      <c r="H59" s="107">
        <f>DATE(G59,MONTH('Input|General'!$G$9),1)</f>
        <v>47270</v>
      </c>
      <c r="I59" s="106" t="str">
        <f t="shared" si="0"/>
        <v>2028–29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2030</v>
      </c>
      <c r="H60" s="107">
        <f>DATE(G60,MONTH('Input|General'!$G$9),1)</f>
        <v>47635</v>
      </c>
      <c r="I60" s="106" t="str">
        <f t="shared" si="0"/>
        <v>2029–30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2031</v>
      </c>
      <c r="H61" s="107">
        <f>DATE(G61,MONTH('Input|General'!$G$9),1)</f>
        <v>48000</v>
      </c>
      <c r="I61" s="106" t="str">
        <f t="shared" si="0"/>
        <v>2030–31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2032</v>
      </c>
      <c r="H62" s="107">
        <f>DATE(G62,MONTH('Input|General'!$G$9),1)</f>
        <v>48366</v>
      </c>
      <c r="I62" s="106" t="str">
        <f t="shared" si="0"/>
        <v>2031–32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2033</v>
      </c>
      <c r="H63" s="107">
        <f>DATE(G63,MONTH('Input|General'!$G$9),1)</f>
        <v>48731</v>
      </c>
      <c r="I63" s="106" t="str">
        <f t="shared" si="0"/>
        <v>2032–33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2034</v>
      </c>
      <c r="H64" s="107">
        <f>DATE(G64,MONTH('Input|General'!$G$9),1)</f>
        <v>49096</v>
      </c>
      <c r="I64" s="106" t="str">
        <f t="shared" si="0"/>
        <v>2033–34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2035</v>
      </c>
      <c r="H65" s="107">
        <f>DATE(G65,MONTH('Input|General'!$G$9),1)</f>
        <v>49461</v>
      </c>
      <c r="I65" s="106" t="str">
        <f t="shared" si="0"/>
        <v>2034–35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2036</v>
      </c>
      <c r="H66" s="107">
        <f>DATE(G66,MONTH('Input|General'!$G$9),1)</f>
        <v>49827</v>
      </c>
      <c r="I66" s="106" t="str">
        <f t="shared" si="0"/>
        <v>2035–36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2037</v>
      </c>
      <c r="H67" s="107">
        <f>DATE(G67,MONTH('Input|General'!$G$9),1)</f>
        <v>50192</v>
      </c>
      <c r="I67" s="106" t="str">
        <f t="shared" si="0"/>
        <v>2036–37</v>
      </c>
      <c r="T67" s="17"/>
    </row>
    <row r="68" spans="1:30"/>
    <row r="69" spans="1:30" customFormat="1" ht="12.75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1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1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1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1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1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1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1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1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1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1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2.75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3" priority="56" stopIfTrue="1">
      <formula>#REF!="Actual"</formula>
    </cfRule>
  </conditionalFormatting>
  <conditionalFormatting sqref="P21:P28">
    <cfRule type="expression" dxfId="12" priority="55" stopIfTrue="1">
      <formula>#REF!="Actual"</formula>
    </cfRule>
  </conditionalFormatting>
  <conditionalFormatting sqref="V1">
    <cfRule type="cellIs" dxfId="11" priority="5" operator="equal">
      <formula>"Check"</formula>
    </cfRule>
    <cfRule type="cellIs" dxfId="10" priority="6" operator="equal">
      <formula>"Ok"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P68">
    <cfRule type="expression" dxfId="7" priority="2" stopIfTrue="1">
      <formula>#REF!="Actual"</formula>
    </cfRule>
  </conditionalFormatting>
  <conditionalFormatting sqref="Q68">
    <cfRule type="expression" dxfId="6" priority="1" stopIfTrue="1">
      <formula>#REF!="Actual"</formula>
    </cfRule>
  </conditionalFormatting>
  <dataValidations disablePrompts="1"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17</vt:i4>
      </vt:variant>
    </vt:vector>
  </HeadingPairs>
  <TitlesOfParts>
    <vt:vector size="27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2026-04-17T06:04:26Z</dcterms:created>
  <dcterms:modified xsi:type="dcterms:W3CDTF">2026-04-17T06:05:37Z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9d5a995-dfdf-4407-9a97-edbbc68c9f53_Enabled">
    <vt:lpwstr>true</vt:lpwstr>
  </property>
  <property fmtid="{D5CDD505-2E9C-101B-9397-08002B2CF9AE}" pid="3" name="MSIP_Label_d9d5a995-dfdf-4407-9a97-edbbc68c9f53_SetDate">
    <vt:lpwstr>2026-04-17T06:05:05Z</vt:lpwstr>
  </property>
  <property fmtid="{D5CDD505-2E9C-101B-9397-08002B2CF9AE}" pid="4" name="MSIP_Label_d9d5a995-dfdf-4407-9a97-edbbc68c9f53_Method">
    <vt:lpwstr>Privileged</vt:lpwstr>
  </property>
  <property fmtid="{D5CDD505-2E9C-101B-9397-08002B2CF9AE}" pid="5" name="MSIP_Label_d9d5a995-dfdf-4407-9a97-edbbc68c9f53_Name">
    <vt:lpwstr>OFFICIAL</vt:lpwstr>
  </property>
  <property fmtid="{D5CDD505-2E9C-101B-9397-08002B2CF9AE}" pid="6" name="MSIP_Label_d9d5a995-dfdf-4407-9a97-edbbc68c9f53_SiteId">
    <vt:lpwstr>b33e9e1a-e443-4edd-9789-24bed26d38d6</vt:lpwstr>
  </property>
  <property fmtid="{D5CDD505-2E9C-101B-9397-08002B2CF9AE}" pid="7" name="MSIP_Label_d9d5a995-dfdf-4407-9a97-edbbc68c9f53_ActionId">
    <vt:lpwstr>6c55e142-69ce-4fc6-88dd-79ef3bef43f9</vt:lpwstr>
  </property>
  <property fmtid="{D5CDD505-2E9C-101B-9397-08002B2CF9AE}" pid="8" name="MSIP_Label_d9d5a995-dfdf-4407-9a97-edbbc68c9f53_ContentBits">
    <vt:lpwstr>0</vt:lpwstr>
  </property>
  <property fmtid="{D5CDD505-2E9C-101B-9397-08002B2CF9AE}" pid="9" name="MSIP_Label_d9d5a995-dfdf-4407-9a97-edbbc68c9f53_Tag">
    <vt:lpwstr>10, 0, 1, 1</vt:lpwstr>
  </property>
</Properties>
</file>