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1. VICTORIA 2026-31\Citi Power\4. Final decision\"/>
    </mc:Choice>
  </mc:AlternateContent>
  <xr:revisionPtr revIDLastSave="0" documentId="13_ncr:1_{3E48C757-0FD2-4840-944E-D5AAAC50D410}" xr6:coauthVersionLast="47" xr6:coauthVersionMax="47" xr10:uidLastSave="{00000000-0000-0000-0000-000000000000}"/>
  <bookViews>
    <workbookView xWindow="-120" yWindow="-120" windowWidth="29040" windowHeight="15720" tabRatio="804" xr2:uid="{00000000-000D-0000-FFFF-FFFF00000000}"/>
  </bookViews>
  <sheets>
    <sheet name="Index" sheetId="1" r:id="rId1"/>
    <sheet name="Input|General" sheetId="54" r:id="rId2"/>
    <sheet name="Input|Inflation" sheetId="59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59" l="1"/>
  <c r="B2" i="59"/>
  <c r="V88" i="59"/>
  <c r="V87" i="59"/>
  <c r="V86" i="59"/>
  <c r="V85" i="59"/>
  <c r="V84" i="59"/>
  <c r="V83" i="59"/>
  <c r="V82" i="59"/>
  <c r="V81" i="59"/>
  <c r="V80" i="59"/>
  <c r="V79" i="59"/>
  <c r="V78" i="59"/>
  <c r="V77" i="59"/>
  <c r="V76" i="59"/>
  <c r="V75" i="59"/>
  <c r="V74" i="59"/>
  <c r="V73" i="59"/>
  <c r="V72" i="59"/>
  <c r="V71" i="59"/>
  <c r="V70" i="59"/>
  <c r="V69" i="59"/>
  <c r="V68" i="59"/>
  <c r="V67" i="59"/>
  <c r="V66" i="59"/>
  <c r="V65" i="59"/>
  <c r="V64" i="59"/>
  <c r="V63" i="59"/>
  <c r="V62" i="59"/>
  <c r="V61" i="59"/>
  <c r="V60" i="59"/>
  <c r="V59" i="59"/>
  <c r="V58" i="59"/>
  <c r="V57" i="59"/>
  <c r="V56" i="59"/>
  <c r="V55" i="59"/>
  <c r="V54" i="59"/>
  <c r="V53" i="59"/>
  <c r="V52" i="59"/>
  <c r="V51" i="59"/>
  <c r="V50" i="59"/>
  <c r="V49" i="59"/>
  <c r="V48" i="59"/>
  <c r="V47" i="59"/>
  <c r="V46" i="59"/>
  <c r="V45" i="59"/>
  <c r="V44" i="59"/>
  <c r="V43" i="59"/>
  <c r="V42" i="59"/>
  <c r="V41" i="59"/>
  <c r="V40" i="59"/>
  <c r="V39" i="59"/>
  <c r="V38" i="59"/>
  <c r="V37" i="59"/>
  <c r="V36" i="59"/>
  <c r="V35" i="59"/>
  <c r="V34" i="59"/>
  <c r="V33" i="59"/>
  <c r="V32" i="59"/>
  <c r="V31" i="59"/>
  <c r="V30" i="59"/>
  <c r="V29" i="59"/>
  <c r="V28" i="59"/>
  <c r="V27" i="59"/>
  <c r="V26" i="59"/>
  <c r="V25" i="59"/>
  <c r="V24" i="59"/>
  <c r="V23" i="59"/>
  <c r="V22" i="59"/>
  <c r="V21" i="59"/>
  <c r="V20" i="59"/>
  <c r="V19" i="59"/>
  <c r="V18" i="59"/>
  <c r="V17" i="59"/>
  <c r="V16" i="59"/>
  <c r="V15" i="59"/>
  <c r="V14" i="59"/>
  <c r="V13" i="59"/>
  <c r="V12" i="59"/>
  <c r="V11" i="59"/>
  <c r="V10" i="59"/>
  <c r="V9" i="59"/>
  <c r="H84" i="59" l="1"/>
  <c r="I84" i="59" s="1"/>
  <c r="H83" i="59"/>
  <c r="I83" i="59" s="1"/>
  <c r="F83" i="59"/>
  <c r="F82" i="59"/>
  <c r="H82" i="59" s="1"/>
  <c r="F81" i="59"/>
  <c r="H81" i="59" s="1"/>
  <c r="I81" i="59" s="1"/>
  <c r="H80" i="59"/>
  <c r="F80" i="59"/>
  <c r="F79" i="59"/>
  <c r="H79" i="59" s="1"/>
  <c r="F78" i="59"/>
  <c r="H78" i="59" s="1"/>
  <c r="I78" i="59" s="1"/>
  <c r="H77" i="59"/>
  <c r="I77" i="59" s="1"/>
  <c r="F77" i="59"/>
  <c r="F76" i="59"/>
  <c r="H76" i="59" s="1"/>
  <c r="I76" i="59" s="1"/>
  <c r="F75" i="59"/>
  <c r="H75" i="59" s="1"/>
  <c r="I75" i="59" s="1"/>
  <c r="H74" i="59"/>
  <c r="I74" i="59" s="1"/>
  <c r="F74" i="59"/>
  <c r="F73" i="59"/>
  <c r="H73" i="59" s="1"/>
  <c r="F72" i="59"/>
  <c r="H72" i="59" s="1"/>
  <c r="I72" i="59" s="1"/>
  <c r="H71" i="59"/>
  <c r="F71" i="59"/>
  <c r="F70" i="59"/>
  <c r="H70" i="59" s="1"/>
  <c r="F69" i="59"/>
  <c r="H69" i="59" s="1"/>
  <c r="I69" i="59" s="1"/>
  <c r="H68" i="59"/>
  <c r="I68" i="59" s="1"/>
  <c r="F68" i="59"/>
  <c r="F67" i="59"/>
  <c r="H67" i="59" s="1"/>
  <c r="I67" i="59" s="1"/>
  <c r="F66" i="59"/>
  <c r="H66" i="59" s="1"/>
  <c r="I66" i="59" s="1"/>
  <c r="H65" i="59"/>
  <c r="I65" i="59" s="1"/>
  <c r="F65" i="59"/>
  <c r="F64" i="59"/>
  <c r="H64" i="59" s="1"/>
  <c r="F63" i="59"/>
  <c r="H63" i="59" s="1"/>
  <c r="I63" i="59" s="1"/>
  <c r="H62" i="59"/>
  <c r="F62" i="59"/>
  <c r="F61" i="59"/>
  <c r="H61" i="59" s="1"/>
  <c r="I61" i="59" s="1"/>
  <c r="F60" i="59"/>
  <c r="H60" i="59" s="1"/>
  <c r="I60" i="59" s="1"/>
  <c r="H59" i="59"/>
  <c r="I59" i="59" s="1"/>
  <c r="F59" i="59"/>
  <c r="F58" i="59"/>
  <c r="H58" i="59" s="1"/>
  <c r="I58" i="59" s="1"/>
  <c r="F57" i="59"/>
  <c r="H57" i="59" s="1"/>
  <c r="I57" i="59" s="1"/>
  <c r="H56" i="59"/>
  <c r="F56" i="59"/>
  <c r="F55" i="59"/>
  <c r="H55" i="59" s="1"/>
  <c r="F54" i="59"/>
  <c r="H54" i="59" s="1"/>
  <c r="I54" i="59" s="1"/>
  <c r="H53" i="59"/>
  <c r="F53" i="59"/>
  <c r="F52" i="59"/>
  <c r="H52" i="59" s="1"/>
  <c r="I52" i="59" s="1"/>
  <c r="F51" i="59"/>
  <c r="H51" i="59" s="1"/>
  <c r="I51" i="59" s="1"/>
  <c r="H50" i="59"/>
  <c r="I50" i="59" s="1"/>
  <c r="F50" i="59"/>
  <c r="F49" i="59"/>
  <c r="H49" i="59" s="1"/>
  <c r="F48" i="59"/>
  <c r="H48" i="59" s="1"/>
  <c r="I48" i="59" s="1"/>
  <c r="H47" i="59"/>
  <c r="I47" i="59" s="1"/>
  <c r="F47" i="59"/>
  <c r="F46" i="59"/>
  <c r="H46" i="59" s="1"/>
  <c r="F45" i="59"/>
  <c r="H45" i="59" s="1"/>
  <c r="I45" i="59" s="1"/>
  <c r="H44" i="59"/>
  <c r="I44" i="59" s="1"/>
  <c r="F44" i="59"/>
  <c r="F43" i="59"/>
  <c r="H43" i="59" s="1"/>
  <c r="I43" i="59" s="1"/>
  <c r="F42" i="59"/>
  <c r="H42" i="59" s="1"/>
  <c r="I42" i="59" s="1"/>
  <c r="H41" i="59"/>
  <c r="F41" i="59"/>
  <c r="F40" i="59"/>
  <c r="H40" i="59" s="1"/>
  <c r="I40" i="59" s="1"/>
  <c r="F39" i="59"/>
  <c r="H39" i="59" s="1"/>
  <c r="I39" i="59" s="1"/>
  <c r="H38" i="59"/>
  <c r="I38" i="59" s="1"/>
  <c r="F38" i="59"/>
  <c r="F37" i="59"/>
  <c r="H37" i="59" s="1"/>
  <c r="I37" i="59" s="1"/>
  <c r="F36" i="59"/>
  <c r="H36" i="59" s="1"/>
  <c r="I36" i="59" s="1"/>
  <c r="H35" i="59"/>
  <c r="F35" i="59"/>
  <c r="F34" i="59"/>
  <c r="H34" i="59" s="1"/>
  <c r="F33" i="59"/>
  <c r="H33" i="59" s="1"/>
  <c r="I33" i="59" s="1"/>
  <c r="H32" i="59"/>
  <c r="I32" i="59" s="1"/>
  <c r="F32" i="59"/>
  <c r="F31" i="59"/>
  <c r="H31" i="59" s="1"/>
  <c r="F30" i="59"/>
  <c r="H30" i="59" s="1"/>
  <c r="I30" i="59" s="1"/>
  <c r="H29" i="59"/>
  <c r="F29" i="59"/>
  <c r="F28" i="59"/>
  <c r="H28" i="59" s="1"/>
  <c r="I28" i="59" s="1"/>
  <c r="F27" i="59"/>
  <c r="H27" i="59" s="1"/>
  <c r="I27" i="59" s="1"/>
  <c r="H26" i="59"/>
  <c r="F26" i="59"/>
  <c r="F25" i="59"/>
  <c r="H25" i="59" s="1"/>
  <c r="I25" i="59" s="1"/>
  <c r="H24" i="59"/>
  <c r="F24" i="59"/>
  <c r="F23" i="59"/>
  <c r="H23" i="59" s="1"/>
  <c r="F22" i="59"/>
  <c r="H22" i="59" s="1"/>
  <c r="F21" i="59"/>
  <c r="H21" i="59" s="1"/>
  <c r="I79" i="59" l="1"/>
  <c r="I41" i="59"/>
  <c r="I49" i="59"/>
  <c r="I56" i="59"/>
  <c r="I71" i="59"/>
  <c r="I80" i="59"/>
  <c r="I55" i="59"/>
  <c r="I62" i="59"/>
  <c r="I64" i="59"/>
  <c r="I70" i="59"/>
  <c r="I34" i="59"/>
  <c r="I35" i="59"/>
  <c r="I29" i="59"/>
  <c r="I73" i="59"/>
  <c r="I82" i="59"/>
  <c r="H86" i="59"/>
  <c r="I31" i="59"/>
  <c r="I26" i="59"/>
  <c r="I46" i="59"/>
  <c r="I53" i="59"/>
  <c r="H88" i="59"/>
  <c r="I88" i="59" s="1"/>
  <c r="H85" i="59" l="1"/>
  <c r="I85" i="59" s="1"/>
  <c r="H87" i="59"/>
  <c r="I87" i="59" s="1"/>
  <c r="I86" i="59"/>
  <c r="V1" i="59" s="1"/>
  <c r="G11" i="16" s="1"/>
  <c r="G49" i="4" l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K93" i="2"/>
  <c r="L93" i="2"/>
  <c r="M93" i="2"/>
  <c r="J93" i="2"/>
  <c r="X93" i="2" l="1"/>
  <c r="W32" i="53" l="1"/>
  <c r="W31" i="53"/>
  <c r="W20" i="53"/>
  <c r="V64" i="58"/>
  <c r="V65" i="58"/>
  <c r="V66" i="58"/>
  <c r="V67" i="58"/>
  <c r="V55" i="58"/>
  <c r="V54" i="58" l="1"/>
  <c r="V45" i="58"/>
  <c r="V44" i="58"/>
  <c r="V22" i="58"/>
  <c r="V23" i="58"/>
  <c r="V24" i="58"/>
  <c r="V25" i="58"/>
  <c r="V26" i="58"/>
  <c r="V27" i="58"/>
  <c r="T40" i="2" l="1"/>
  <c r="S40" i="2"/>
  <c r="R40" i="2"/>
  <c r="Q40" i="2"/>
  <c r="P40" i="2"/>
  <c r="K97" i="2" l="1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T115" i="2" l="1"/>
  <c r="S67" i="42" s="1"/>
  <c r="S115" i="2"/>
  <c r="R67" i="42" s="1"/>
  <c r="R115" i="2"/>
  <c r="Q67" i="42" s="1"/>
  <c r="Q115" i="2"/>
  <c r="P67" i="42" s="1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9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104" i="2" s="1"/>
  <c r="U107" i="2" s="1"/>
  <c r="H78" i="4"/>
  <c r="G78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104" i="2" s="1"/>
  <c r="J106" i="2" s="1"/>
  <c r="T4" i="2"/>
  <c r="T75" i="2" s="1"/>
  <c r="S4" i="2"/>
  <c r="S64" i="2" s="1"/>
  <c r="R4" i="2"/>
  <c r="R49" i="2" s="1"/>
  <c r="R60" i="2" s="1"/>
  <c r="Q4" i="2"/>
  <c r="Q104" i="2" s="1"/>
  <c r="P4" i="2"/>
  <c r="P10" i="2" s="1"/>
  <c r="P12" i="2" s="1"/>
  <c r="O4" i="2"/>
  <c r="O64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C31" i="4"/>
  <c r="S9" i="54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M47" i="58"/>
  <c r="M57" i="58"/>
  <c r="M31" i="42" l="1"/>
  <c r="T75" i="42"/>
  <c r="T106" i="42"/>
  <c r="T105" i="42"/>
  <c r="E21" i="42"/>
  <c r="M12" i="42"/>
  <c r="P14" i="42"/>
  <c r="R31" i="42"/>
  <c r="T107" i="42"/>
  <c r="K40" i="42"/>
  <c r="K105" i="42"/>
  <c r="L19" i="42"/>
  <c r="K16" i="42"/>
  <c r="K31" i="42"/>
  <c r="L49" i="42"/>
  <c r="K91" i="42"/>
  <c r="K107" i="42"/>
  <c r="K106" i="42"/>
  <c r="K19" i="42"/>
  <c r="K12" i="42"/>
  <c r="L106" i="42"/>
  <c r="K49" i="42"/>
  <c r="S31" i="42"/>
  <c r="S49" i="42"/>
  <c r="S43" i="42"/>
  <c r="S46" i="42"/>
  <c r="S91" i="42"/>
  <c r="S40" i="42"/>
  <c r="S12" i="42"/>
  <c r="S75" i="42"/>
  <c r="S37" i="42"/>
  <c r="S33" i="42"/>
  <c r="S16" i="42"/>
  <c r="S21" i="42"/>
  <c r="S14" i="42"/>
  <c r="S10" i="42"/>
  <c r="S23" i="42"/>
  <c r="R91" i="42"/>
  <c r="S19" i="42"/>
  <c r="R46" i="42"/>
  <c r="R23" i="42"/>
  <c r="P21" i="42"/>
  <c r="P23" i="42"/>
  <c r="P43" i="42"/>
  <c r="P16" i="42"/>
  <c r="F17" i="44"/>
  <c r="J34" i="58"/>
  <c r="L75" i="42"/>
  <c r="L40" i="42"/>
  <c r="L43" i="42"/>
  <c r="L12" i="42"/>
  <c r="L105" i="42"/>
  <c r="L91" i="42"/>
  <c r="M43" i="42"/>
  <c r="L37" i="42"/>
  <c r="L107" i="42"/>
  <c r="L16" i="42"/>
  <c r="L10" i="42"/>
  <c r="L23" i="42"/>
  <c r="L46" i="42"/>
  <c r="S35" i="42"/>
  <c r="R10" i="53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1" i="42"/>
  <c r="O46" i="42"/>
  <c r="O37" i="42"/>
  <c r="O19" i="42"/>
  <c r="O49" i="42"/>
  <c r="O23" i="42"/>
  <c r="O16" i="42"/>
  <c r="T24" i="2"/>
  <c r="O75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T10" i="53"/>
  <c r="T22" i="53" s="1"/>
  <c r="O26" i="53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M12" i="2" s="1"/>
  <c r="Q49" i="42"/>
  <c r="Q35" i="42"/>
  <c r="C106" i="2"/>
  <c r="P64" i="2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13" i="2"/>
  <c r="Q11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6" i="53"/>
  <c r="P34" i="53" s="1"/>
  <c r="N104" i="2"/>
  <c r="N64" i="2"/>
  <c r="N73" i="2" s="1"/>
  <c r="N24" i="2"/>
  <c r="N113" i="2"/>
  <c r="N117" i="2" s="1"/>
  <c r="N75" i="2"/>
  <c r="N14" i="2"/>
  <c r="N10" i="2"/>
  <c r="N12" i="2" s="1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9" i="2"/>
  <c r="U106" i="2"/>
  <c r="U108" i="2"/>
  <c r="P68" i="42" a="1"/>
  <c r="P68" i="42" s="1"/>
  <c r="S1" i="54"/>
  <c r="G10" i="16" s="1"/>
  <c r="K61" i="58"/>
  <c r="K10" i="58"/>
  <c r="S61" i="58"/>
  <c r="S10" i="58"/>
  <c r="R104" i="2"/>
  <c r="R64" i="2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3" i="42"/>
  <c r="M40" i="42"/>
  <c r="M75" i="42"/>
  <c r="M35" i="42"/>
  <c r="M16" i="42"/>
  <c r="M33" i="42"/>
  <c r="M23" i="42"/>
  <c r="M46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6" i="53"/>
  <c r="T34" i="53" s="1"/>
  <c r="J14" i="44"/>
  <c r="O113" i="2"/>
  <c r="O117" i="2" s="1"/>
  <c r="L10" i="2"/>
  <c r="L12" i="2" s="1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T113" i="2"/>
  <c r="T11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J28" i="42" l="1"/>
  <c r="W30" i="53"/>
  <c r="V21" i="58"/>
  <c r="V43" i="58"/>
  <c r="J22" i="53"/>
  <c r="W29" i="53"/>
  <c r="W18" i="53"/>
  <c r="W13" i="53"/>
  <c r="W14" i="53"/>
  <c r="W15" i="53"/>
  <c r="W16" i="53"/>
  <c r="W17" i="53"/>
  <c r="W12" i="53"/>
  <c r="V53" i="58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J62" i="42" a="1"/>
  <c r="J62" i="42" s="1"/>
  <c r="T13" i="42"/>
  <c r="J65" i="42" a="1"/>
  <c r="J65" i="42" s="1"/>
  <c r="J71" i="42" a="1"/>
  <c r="J71" i="42" s="1"/>
  <c r="L62" i="42" a="1"/>
  <c r="L62" i="42" s="1"/>
  <c r="L65" i="42" a="1"/>
  <c r="L65" i="42" s="1"/>
  <c r="L71" i="42" a="1"/>
  <c r="L71" i="42" s="1"/>
  <c r="T62" i="42" a="1"/>
  <c r="T62" i="42" s="1"/>
  <c r="T68" i="42" a="1"/>
  <c r="T68" i="42" s="1"/>
  <c r="O68" i="42" a="1"/>
  <c r="O68" i="42" s="1"/>
  <c r="V71" i="58"/>
  <c r="V69" i="58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N70" i="42" l="1"/>
  <c r="N62" i="42" a="1"/>
  <c r="N62" i="42" s="1"/>
  <c r="C31" i="2"/>
  <c r="C27" i="2"/>
  <c r="C26" i="2"/>
  <c r="C29" i="2"/>
  <c r="C32" i="2"/>
  <c r="C30" i="2"/>
  <c r="C28" i="2"/>
  <c r="M70" i="42"/>
  <c r="M71" i="42" s="1" a="1"/>
  <c r="M71" i="42" s="1"/>
  <c r="C16" i="2"/>
  <c r="C17" i="2"/>
  <c r="C18" i="2"/>
  <c r="C21" i="2"/>
  <c r="C19" i="2"/>
  <c r="C20" i="2"/>
  <c r="C22" i="2"/>
  <c r="N71" i="42" l="1" a="1"/>
  <c r="N71" i="42" s="1"/>
  <c r="Q27" i="2"/>
  <c r="T27" i="2"/>
  <c r="E27" i="2"/>
  <c r="D27" i="2"/>
  <c r="S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E18" i="2"/>
  <c r="K17" i="2"/>
  <c r="E17" i="2"/>
  <c r="D17" i="2"/>
  <c r="Q28" i="2"/>
  <c r="T28" i="2"/>
  <c r="S28" i="2"/>
  <c r="E28" i="2"/>
  <c r="D28" i="2"/>
  <c r="R28" i="2"/>
  <c r="J16" i="2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O22" i="2"/>
  <c r="E22" i="2"/>
  <c r="P22" i="2"/>
  <c r="P3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K29" i="42" l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R96" i="42"/>
  <c r="R17" i="44" s="1"/>
  <c r="K80" i="42"/>
  <c r="S96" i="42"/>
  <c r="S17" i="44" s="1"/>
  <c r="N93" i="42"/>
  <c r="N14" i="44" s="1"/>
  <c r="L80" i="42"/>
  <c r="N96" i="42"/>
  <c r="N17" i="44" s="1"/>
  <c r="M79" i="42"/>
  <c r="S93" i="42"/>
  <c r="T41" i="42"/>
  <c r="M84" i="42"/>
  <c r="R41" i="42"/>
  <c r="T50" i="42"/>
  <c r="L47" i="42"/>
  <c r="R93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T81" i="42"/>
  <c r="J94" i="42"/>
  <c r="O94" i="42"/>
  <c r="O15" i="44" s="1"/>
  <c r="K82" i="42"/>
  <c r="R85" i="42"/>
  <c r="Q93" i="42"/>
  <c r="J79" i="42"/>
  <c r="L79" i="42"/>
  <c r="K41" i="42"/>
  <c r="M85" i="42"/>
  <c r="T95" i="42"/>
  <c r="K79" i="42"/>
  <c r="T93" i="42"/>
  <c r="P50" i="42"/>
  <c r="L38" i="42"/>
  <c r="T80" i="42"/>
  <c r="O81" i="42"/>
  <c r="Q41" i="42"/>
  <c r="Q81" i="42"/>
  <c r="Q83" i="42"/>
  <c r="L84" i="42"/>
  <c r="M80" i="42"/>
  <c r="M81" i="42"/>
  <c r="J84" i="42"/>
  <c r="L95" i="42"/>
  <c r="K77" i="42"/>
  <c r="J95" i="42"/>
  <c r="K85" i="42"/>
  <c r="P95" i="42"/>
  <c r="P16" i="44" s="1"/>
  <c r="R95" i="42"/>
  <c r="R16" i="44" s="1"/>
  <c r="S41" i="42"/>
  <c r="J50" i="42"/>
  <c r="T94" i="42"/>
  <c r="P38" i="42"/>
  <c r="J41" i="4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P14" i="44" l="1"/>
  <c r="R14" i="44"/>
  <c r="Q14" i="44"/>
  <c r="S14" i="44"/>
  <c r="L99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J99" i="42"/>
  <c r="J52" i="42"/>
  <c r="K99" i="42"/>
  <c r="N99" i="42"/>
  <c r="S99" i="42"/>
  <c r="M99" i="42"/>
  <c r="M16" i="44"/>
  <c r="M87" i="42"/>
  <c r="J87" i="42"/>
  <c r="L87" i="42"/>
  <c r="K87" i="42"/>
  <c r="T87" i="42"/>
  <c r="P99" i="42"/>
  <c r="J54" i="42" l="1"/>
  <c r="N22" i="2" l="1"/>
  <c r="O32" i="2"/>
  <c r="P20" i="2" l="1"/>
  <c r="P30" i="2" s="1"/>
  <c r="P18" i="2"/>
  <c r="P28" i="2" s="1"/>
  <c r="P17" i="2"/>
  <c r="P27" i="2" s="1"/>
  <c r="P19" i="2"/>
  <c r="P29" i="2" s="1"/>
  <c r="N32" i="2"/>
  <c r="M22" i="2"/>
  <c r="M32" i="2" l="1"/>
  <c r="L22" i="2"/>
  <c r="O31" i="42"/>
  <c r="L31" i="42"/>
  <c r="P16" i="2" l="1"/>
  <c r="P26" i="2" s="1"/>
  <c r="K22" i="2"/>
  <c r="L32" i="2"/>
  <c r="J22" i="2" l="1"/>
  <c r="J32" i="2" s="1"/>
  <c r="K32" i="2"/>
  <c r="L35" i="42" l="1"/>
  <c r="L33" i="42"/>
  <c r="L52" i="42" l="1"/>
  <c r="L54" i="42" s="1"/>
  <c r="M105" i="42" l="1"/>
  <c r="M13" i="44" s="1"/>
  <c r="N106" i="42"/>
  <c r="N107" i="42" s="1"/>
  <c r="N105" i="42"/>
  <c r="N13" i="44" s="1"/>
  <c r="M106" i="42"/>
  <c r="M107" i="42" s="1"/>
  <c r="O35" i="42" l="1"/>
  <c r="O33" i="42"/>
  <c r="O52" i="42" s="1"/>
  <c r="O54" i="42" l="1"/>
  <c r="O73" i="2" l="1"/>
  <c r="P73" i="2" l="1"/>
  <c r="P77" i="2"/>
  <c r="Q73" i="2" l="1"/>
  <c r="P107" i="2"/>
  <c r="P106" i="2"/>
  <c r="P108" i="2"/>
  <c r="P109" i="2"/>
  <c r="Q77" i="2"/>
  <c r="O61" i="42" l="1"/>
  <c r="O62" i="42" s="1" a="1"/>
  <c r="O62" i="42" s="1"/>
  <c r="Q106" i="2"/>
  <c r="Q109" i="2"/>
  <c r="Q108" i="2"/>
  <c r="Q107" i="2"/>
  <c r="R73" i="2"/>
  <c r="R77" i="2"/>
  <c r="O70" i="42" l="1"/>
  <c r="P61" i="42"/>
  <c r="R108" i="2"/>
  <c r="R106" i="2"/>
  <c r="R107" i="2"/>
  <c r="R109" i="2"/>
  <c r="O71" i="42" l="1" a="1"/>
  <c r="O71" i="42" s="1"/>
  <c r="Q61" i="42"/>
  <c r="T77" i="2"/>
  <c r="S73" i="2"/>
  <c r="S77" i="2"/>
  <c r="P70" i="42"/>
  <c r="P62" i="42" a="1"/>
  <c r="P62" i="42" s="1"/>
  <c r="U77" i="2"/>
  <c r="T73" i="2"/>
  <c r="X73" i="2" l="1"/>
  <c r="T1" i="2" s="1"/>
  <c r="G13" i="16" s="1"/>
  <c r="Q70" i="42"/>
  <c r="Q62" i="42" a="1"/>
  <c r="Q62" i="42" s="1"/>
  <c r="P71" i="42" a="1"/>
  <c r="P71" i="42" s="1"/>
  <c r="S107" i="2"/>
  <c r="S106" i="2"/>
  <c r="S109" i="2"/>
  <c r="S108" i="2"/>
  <c r="T108" i="2"/>
  <c r="T109" i="2"/>
  <c r="T106" i="2"/>
  <c r="T107" i="2"/>
  <c r="S61" i="42" l="1"/>
  <c r="S70" i="42" s="1"/>
  <c r="R61" i="42"/>
  <c r="R62" i="42" s="1" a="1"/>
  <c r="R62" i="42" s="1"/>
  <c r="Q71" i="42" a="1"/>
  <c r="Q71" i="42" s="1"/>
  <c r="S62" i="42" l="1" a="1"/>
  <c r="S62" i="42" s="1"/>
  <c r="R70" i="42"/>
  <c r="R71" i="42" s="1" a="1"/>
  <c r="R71" i="42" s="1"/>
  <c r="S71" i="42" l="1" a="1"/>
  <c r="S71" i="42" s="1"/>
  <c r="V42" i="58" l="1"/>
  <c r="V41" i="58" l="1"/>
  <c r="L47" i="58"/>
  <c r="K47" i="58"/>
  <c r="J57" i="58"/>
  <c r="V51" i="58"/>
  <c r="V52" i="58"/>
  <c r="L57" i="58"/>
  <c r="K57" i="58"/>
  <c r="J47" i="58"/>
  <c r="V37" i="58"/>
  <c r="K15" i="58"/>
  <c r="L15" i="58"/>
  <c r="L29" i="58" l="1"/>
  <c r="J29" i="58"/>
  <c r="V19" i="58"/>
  <c r="K29" i="58"/>
  <c r="J15" i="58"/>
  <c r="N29" i="58"/>
  <c r="N23" i="42" s="1"/>
  <c r="M29" i="58"/>
  <c r="M21" i="42" s="1"/>
  <c r="V20" i="58"/>
  <c r="O34" i="53" l="1"/>
  <c r="W34" i="53" s="1"/>
  <c r="W28" i="53"/>
  <c r="O93" i="42"/>
  <c r="O14" i="44" l="1"/>
  <c r="O99" i="42"/>
  <c r="J26" i="2" l="1"/>
  <c r="M20" i="2" l="1"/>
  <c r="N19" i="2"/>
  <c r="N30" i="2"/>
  <c r="L19" i="2"/>
  <c r="M18" i="2"/>
  <c r="M29" i="2"/>
  <c r="M30" i="2" l="1"/>
  <c r="L20" i="2"/>
  <c r="N21" i="2"/>
  <c r="O31" i="2"/>
  <c r="O20" i="2"/>
  <c r="O30" i="2" s="1"/>
  <c r="N18" i="2"/>
  <c r="M28" i="2"/>
  <c r="K19" i="2"/>
  <c r="L29" i="2"/>
  <c r="L28" i="2"/>
  <c r="K18" i="2"/>
  <c r="L17" i="2"/>
  <c r="N29" i="2"/>
  <c r="O19" i="2"/>
  <c r="O29" i="2" s="1"/>
  <c r="J17" i="2"/>
  <c r="J27" i="2" s="1"/>
  <c r="K27" i="2"/>
  <c r="K16" i="2"/>
  <c r="K28" i="2" l="1"/>
  <c r="J18" i="2"/>
  <c r="J28" i="2" s="1"/>
  <c r="J19" i="2"/>
  <c r="J29" i="2" s="1"/>
  <c r="K29" i="2"/>
  <c r="N28" i="2"/>
  <c r="O18" i="2"/>
  <c r="O28" i="2" s="1"/>
  <c r="K26" i="2"/>
  <c r="L16" i="2"/>
  <c r="N13" i="42"/>
  <c r="N26" i="42" s="1"/>
  <c r="N20" i="42"/>
  <c r="M21" i="2"/>
  <c r="N31" i="2"/>
  <c r="L30" i="2"/>
  <c r="K20" i="2"/>
  <c r="L27" i="2"/>
  <c r="M17" i="2"/>
  <c r="M20" i="42" l="1"/>
  <c r="M13" i="42"/>
  <c r="M26" i="42" s="1"/>
  <c r="M31" i="2"/>
  <c r="L21" i="2"/>
  <c r="M16" i="2"/>
  <c r="L26" i="2"/>
  <c r="N17" i="2"/>
  <c r="M27" i="2"/>
  <c r="J20" i="2"/>
  <c r="J30" i="2" s="1"/>
  <c r="K30" i="2"/>
  <c r="N27" i="2" l="1"/>
  <c r="O17" i="2"/>
  <c r="O27" i="2" s="1"/>
  <c r="K21" i="2"/>
  <c r="L31" i="2"/>
  <c r="M26" i="2"/>
  <c r="N16" i="2"/>
  <c r="L20" i="42"/>
  <c r="L13" i="42"/>
  <c r="L26" i="42" s="1"/>
  <c r="V63" i="58"/>
  <c r="N37" i="42"/>
  <c r="N38" i="42" s="1"/>
  <c r="N26" i="2" l="1"/>
  <c r="O16" i="2"/>
  <c r="K20" i="42"/>
  <c r="K13" i="42"/>
  <c r="K26" i="42" s="1"/>
  <c r="K31" i="2"/>
  <c r="J21" i="2"/>
  <c r="J31" i="2" l="1"/>
  <c r="J20" i="42"/>
  <c r="J13" i="42"/>
  <c r="J26" i="42" s="1"/>
  <c r="P17" i="42"/>
  <c r="L17" i="42"/>
  <c r="K15" i="42"/>
  <c r="J15" i="42"/>
  <c r="Q24" i="42"/>
  <c r="S22" i="42"/>
  <c r="M22" i="42"/>
  <c r="T22" i="42"/>
  <c r="S17" i="42"/>
  <c r="J22" i="42"/>
  <c r="K17" i="42"/>
  <c r="N22" i="42"/>
  <c r="O26" i="2"/>
  <c r="O15" i="42"/>
  <c r="N15" i="42"/>
  <c r="O22" i="42"/>
  <c r="T15" i="42"/>
  <c r="P22" i="42"/>
  <c r="Q15" i="42"/>
  <c r="N24" i="42"/>
  <c r="S15" i="42"/>
  <c r="P15" i="42"/>
  <c r="S24" i="42"/>
  <c r="R22" i="42"/>
  <c r="O17" i="42"/>
  <c r="M24" i="42"/>
  <c r="Q17" i="42"/>
  <c r="R24" i="42"/>
  <c r="K22" i="42"/>
  <c r="P24" i="42"/>
  <c r="M17" i="42"/>
  <c r="R15" i="42"/>
  <c r="K24" i="42"/>
  <c r="T24" i="42"/>
  <c r="L22" i="42"/>
  <c r="L15" i="42"/>
  <c r="O24" i="42"/>
  <c r="J17" i="42"/>
  <c r="T17" i="42"/>
  <c r="R17" i="42"/>
  <c r="L24" i="42"/>
  <c r="J24" i="42"/>
  <c r="Q22" i="42"/>
  <c r="N35" i="42" l="1"/>
  <c r="N15" i="58" l="1"/>
  <c r="N16" i="42" s="1"/>
  <c r="N17" i="42" s="1"/>
  <c r="M15" i="58" l="1"/>
  <c r="M14" i="42" s="1"/>
  <c r="M15" i="42" s="1"/>
  <c r="N31" i="42" s="1"/>
  <c r="V13" i="58"/>
  <c r="S1" i="58" s="1"/>
  <c r="G12" i="16" s="1"/>
  <c r="N33" i="42" l="1"/>
  <c r="N52" i="42" l="1"/>
  <c r="N54" i="42" s="1"/>
  <c r="O22" i="53" l="1"/>
  <c r="P84" i="42" l="1"/>
  <c r="P87" i="42" s="1"/>
  <c r="O84" i="42"/>
  <c r="O87" i="42" s="1"/>
  <c r="P22" i="53"/>
  <c r="Q84" i="42" l="1"/>
  <c r="Q87" i="42" s="1"/>
  <c r="O106" i="42"/>
  <c r="O107" i="42" s="1"/>
  <c r="O105" i="42"/>
  <c r="O13" i="44" s="1"/>
  <c r="P106" i="42"/>
  <c r="P107" i="42" s="1"/>
  <c r="P105" i="42"/>
  <c r="P13" i="44" s="1"/>
  <c r="Q22" i="53" l="1"/>
  <c r="Q105" i="42"/>
  <c r="Q13" i="44" s="1"/>
  <c r="Q106" i="42"/>
  <c r="Q107" i="42" s="1"/>
  <c r="R22" i="53" l="1"/>
  <c r="R84" i="42"/>
  <c r="R87" i="42" s="1"/>
  <c r="R106" i="42" s="1"/>
  <c r="R107" i="42" s="1"/>
  <c r="S22" i="53"/>
  <c r="W22" i="53" s="1"/>
  <c r="S84" i="42"/>
  <c r="S87" i="42" s="1"/>
  <c r="W19" i="53"/>
  <c r="R105" i="42"/>
  <c r="R13" i="44" s="1"/>
  <c r="S1" i="53" l="1"/>
  <c r="G14" i="16" s="1"/>
  <c r="S1" i="16" s="1"/>
  <c r="Y1" i="59" s="1"/>
  <c r="S106" i="42"/>
  <c r="S107" i="42" s="1"/>
  <c r="S105" i="42"/>
  <c r="S13" i="44" s="1"/>
  <c r="W1" i="44" l="1"/>
  <c r="W1" i="42"/>
  <c r="X1" i="2"/>
  <c r="V1" i="4"/>
  <c r="V1" i="54"/>
  <c r="V1" i="58"/>
  <c r="V1" i="53"/>
</calcChain>
</file>

<file path=xl/sharedStrings.xml><?xml version="1.0" encoding="utf-8"?>
<sst xmlns="http://schemas.openxmlformats.org/spreadsheetml/2006/main" count="759" uniqueCount="230">
  <si>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</si>
  <si>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</si>
  <si>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</si>
  <si>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</si>
  <si>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</si>
  <si>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</si>
  <si>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</si>
  <si>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</si>
  <si>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</si>
  <si>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</si>
  <si>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</si>
  <si>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</si>
  <si>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</si>
  <si>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</si>
  <si>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</si>
  <si>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</si>
  <si>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</si>
  <si>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</si>
  <si>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</si>
  <si>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</si>
  <si>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</si>
  <si>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</si>
  <si>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</si>
  <si>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</si>
  <si>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</si>
  <si>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</si>
  <si>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</si>
  <si>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</si>
  <si>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</si>
  <si>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</si>
  <si>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</si>
  <si>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</si>
  <si>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</si>
  <si>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</si>
  <si>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</si>
  <si>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</si>
  <si>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</si>
  <si>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</si>
  <si>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</si>
  <si>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</si>
  <si>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</si>
  <si>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</si>
  <si>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</si>
  <si>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</si>
  <si>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</si>
  <si>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</si>
  <si>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</si>
  <si>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</si>
  <si>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</si>
  <si>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</si>
  <si>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</si>
  <si>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</si>
  <si>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</si>
  <si>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</si>
  <si>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</si>
  <si>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</si>
  <si>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</si>
  <si>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</si>
  <si>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</si>
  <si>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</si>
  <si>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</si>
  <si>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</si>
  <si>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</si>
  <si>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</si>
  <si>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</si>
  <si>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</si>
  <si>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</si>
  <si>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</si>
  <si>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</si>
  <si>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</si>
  <si>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</si>
  <si>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</si>
  <si>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</si>
  <si>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</si>
  <si>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</si>
  <si>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</si>
  <si>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</si>
  <si>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</si>
  <si>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</si>
  <si>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</si>
  <si>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</si>
  <si>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</si>
  <si>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</si>
  <si>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</si>
  <si>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</si>
  <si>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</si>
  <si>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</si>
  <si>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</si>
  <si>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</si>
  <si>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</si>
  <si>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</si>
  <si>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</si>
  <si>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</si>
  <si>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</si>
  <si>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</si>
  <si>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</si>
  <si>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</si>
  <si>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</si>
  <si>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</si>
  <si>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</si>
  <si>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</si>
  <si>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</si>
  <si>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</si>
  <si>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</si>
  <si>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</si>
  <si>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</si>
  <si>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</si>
  <si>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</si>
  <si>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</si>
  <si>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</si>
  <si>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</si>
  <si>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</si>
  <si>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</si>
  <si>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</si>
  <si>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</si>
  <si>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</si>
  <si>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</si>
  <si>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</si>
  <si>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</si>
  <si>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</si>
  <si>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</si>
  <si>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</si>
  <si>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</si>
  <si>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</si>
  <si>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</si>
  <si>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</si>
  <si>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</si>
  <si>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</si>
  <si>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</si>
  <si>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</si>
  <si>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</si>
  <si>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</si>
  <si>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</si>
  <si>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</si>
  <si>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</si>
  <si>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</si>
  <si>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</si>
  <si>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</si>
  <si>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</si>
  <si>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</si>
  <si>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</si>
  <si>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</si>
  <si>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</si>
  <si>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</si>
  <si>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</si>
  <si>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</si>
  <si>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</si>
  <si>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</si>
  <si>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</si>
  <si>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</si>
  <si>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</si>
  <si>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</si>
  <si>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</si>
  <si>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</si>
  <si>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</si>
  <si>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</si>
  <si>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</si>
  <si>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</si>
  <si>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</si>
  <si>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</si>
  <si>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</si>
  <si>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</si>
  <si>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</si>
  <si>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</si>
  <si>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</si>
  <si>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</si>
  <si>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</si>
  <si>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</si>
  <si>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</si>
  <si>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</si>
  <si>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</si>
  <si>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</si>
  <si>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</si>
  <si>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</si>
  <si>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</si>
  <si>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</si>
  <si>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</si>
  <si>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</si>
  <si>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</si>
  <si>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</si>
  <si>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</si>
  <si>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</si>
  <si>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</si>
  <si>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</si>
  <si>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</si>
  <si>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</si>
  <si>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</si>
  <si>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</si>
  <si>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</si>
  <si>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</si>
  <si>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</si>
  <si>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</si>
  <si>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</si>
  <si>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</si>
  <si>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</si>
  <si>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</si>
  <si>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</si>
  <si>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</si>
  <si>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</si>
  <si>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</si>
  <si>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</si>
  <si>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</si>
  <si>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</si>
  <si>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</si>
  <si>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</si>
  <si>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</si>
  <si>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</si>
  <si>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</si>
  <si>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</si>
  <si>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CitiPower</t>
  </si>
  <si>
    <t>GSL payments</t>
  </si>
  <si>
    <t>Licence fee</t>
  </si>
  <si>
    <t>WPI - Deloitte Access Economics</t>
  </si>
  <si>
    <t>WPI - BIS Oxford Economics</t>
  </si>
  <si>
    <t>Customer assistance package</t>
  </si>
  <si>
    <t>Vegetation management</t>
  </si>
  <si>
    <t>CER integration</t>
  </si>
  <si>
    <t>Fleet electrification</t>
  </si>
  <si>
    <t>Network innovation fund</t>
  </si>
  <si>
    <t>ICT modernisation and new capability</t>
  </si>
  <si>
    <t>Cloud services</t>
  </si>
  <si>
    <t>Network and community resilience</t>
  </si>
  <si>
    <t>Customer assistance package - moved to category specific forecasts</t>
  </si>
  <si>
    <t>Index value, Sep quarter 2025 = 100</t>
  </si>
  <si>
    <t>Estimate: RBA, Statement on monetary policy (SoMP), February 2026.</t>
  </si>
  <si>
    <t>Flexible trading arrangements pass through</t>
  </si>
  <si>
    <t>SFA CD</t>
  </si>
  <si>
    <t>LSE CD</t>
  </si>
  <si>
    <t>LSE TLG</t>
  </si>
  <si>
    <t>Index value, new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</si>
</sst>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2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0.0%;\–0.0%;&quot;–&quot;"/>
    <numFmt numFmtId="211" formatCode="0.0;\–0.0;&quot;–&quot;"/>
    <numFmt numFmtId="212" formatCode="#,##0.0_ ;\-#,##0.0\ "/>
    <numFmt numFmtId="213" formatCode="0.00;\–0.00;&quot;–&quot;"/>
    <numFmt numFmtId="214" formatCode="0.000;\–0.000;&quot;–&quot;"/>
    <numFmt numFmtId="215" formatCode="##\ ##0.00_ ;\-##\ ##0.00\ ;&quot;-&quot;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strike/>
      <sz val="8"/>
      <color theme="1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02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2" fontId="6" fillId="0" borderId="0" xfId="0" applyNumberFormat="1" applyFont="1" applyAlignment="1">
      <alignment horizontal="center"/>
    </xf>
    <xf numFmtId="174" fontId="23" fillId="0" borderId="0" xfId="5" applyNumberFormat="1" applyFont="1" applyBorder="1" applyAlignment="1" applyProtection="1">
      <alignment horizontal="left" vertical="center"/>
    </xf>
    <xf numFmtId="211" fontId="0" fillId="0" borderId="0" xfId="0" applyNumberFormat="1" applyAlignment="1" applyProtection="1">
      <alignment horizontal="center"/>
      <protection locked="0"/>
    </xf>
    <xf numFmtId="210" fontId="0" fillId="0" borderId="0" xfId="2" applyNumberFormat="1" applyFont="1" applyFill="1" applyBorder="1" applyAlignment="1" applyProtection="1">
      <alignment horizontal="center"/>
      <protection locked="0"/>
    </xf>
    <xf numFmtId="49" fontId="95" fillId="41" borderId="3" xfId="0" applyNumberFormat="1" applyFont="1" applyFill="1" applyBorder="1" applyAlignment="1" applyProtection="1">
      <alignment horizontal="left" indent="1"/>
      <protection locked="0"/>
    </xf>
    <xf numFmtId="213" fontId="0" fillId="0" borderId="0" xfId="0" applyNumberFormat="1" applyAlignment="1" applyProtection="1">
      <alignment horizontal="center"/>
      <protection locked="0"/>
    </xf>
    <xf numFmtId="214" fontId="0" fillId="0" borderId="0" xfId="0" applyNumberFormat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  <xf numFmtId="215" fontId="8" fillId="0" borderId="0" xfId="0" applyNumberFormat="1" applyFont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5F9E88"/>
      <color rgb="FFE0601F"/>
      <color rgb="FF313F52"/>
      <color rgb="FFFFFF99"/>
      <color rgb="FFCCFFCC"/>
      <color rgb="FFDAEEF3"/>
      <color rgb="FFFFFFCC"/>
      <color rgb="FFDBE5F1"/>
      <color rgb="FF006100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feb/outlook.html" TargetMode="External"/><Relationship Id="rId1" Type="http://schemas.openxmlformats.org/officeDocument/2006/relationships/hyperlink" Target="https://www.rba.gov.au/publications/smp/2026/feb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tabSelected="1" workbookViewId="0">
      <selection activeCell="A32" sqref="A32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207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6" t="s">
        <v>57</v>
      </c>
      <c r="D7" s="8" t="s">
        <v>191</v>
      </c>
    </row>
    <row r="8" spans="1:30">
      <c r="C8" s="186" t="s">
        <v>35</v>
      </c>
      <c r="D8" s="8" t="s">
        <v>91</v>
      </c>
    </row>
    <row r="9" spans="1:30">
      <c r="C9" s="186" t="s">
        <v>54</v>
      </c>
      <c r="D9" s="8" t="s">
        <v>199</v>
      </c>
    </row>
    <row r="10" spans="1:30">
      <c r="C10" s="186" t="s">
        <v>168</v>
      </c>
      <c r="D10" s="8" t="s">
        <v>192</v>
      </c>
    </row>
    <row r="11" spans="1:30">
      <c r="C11" s="186" t="s">
        <v>56</v>
      </c>
      <c r="D11" s="8" t="s">
        <v>193</v>
      </c>
    </row>
    <row r="12" spans="1:30">
      <c r="C12" s="186" t="s">
        <v>169</v>
      </c>
      <c r="D12" s="8" t="s">
        <v>194</v>
      </c>
    </row>
    <row r="13" spans="1:30">
      <c r="C13" s="186" t="s">
        <v>170</v>
      </c>
      <c r="D13" s="8" t="s">
        <v>195</v>
      </c>
    </row>
    <row r="14" spans="1:30">
      <c r="C14" s="186" t="s">
        <v>50</v>
      </c>
      <c r="D14" s="8" t="s">
        <v>55</v>
      </c>
    </row>
    <row r="15" spans="1:30">
      <c r="C15" s="186" t="s">
        <v>25</v>
      </c>
      <c r="D15" s="8" t="s">
        <v>196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D14" sqref="D14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8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9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9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9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9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9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9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9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12" priority="13" operator="equal">
      <formula>"Check"</formula>
    </cfRule>
    <cfRule type="cellIs" dxfId="11" priority="14" operator="equal">
      <formula>"Ok"</formula>
    </cfRule>
  </conditionalFormatting>
  <conditionalFormatting sqref="S1">
    <cfRule type="cellIs" dxfId="10" priority="1" operator="equal">
      <formula>"Check"</formula>
    </cfRule>
    <cfRule type="cellIs" dxfId="9" priority="2" operator="equal">
      <formula>"Ok"</formula>
    </cfRule>
  </conditionalFormatting>
  <conditionalFormatting sqref="V1">
    <cfRule type="cellIs" dxfId="8" priority="3" operator="equal">
      <formula>"Check"</formula>
    </cfRule>
    <cfRule type="cellIs" dxfId="7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G1" sqref="G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8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209</v>
      </c>
      <c r="H7" s="8"/>
      <c r="I7" s="8"/>
      <c r="S7" s="81" t="str">
        <f>IF(COUNTBLANK($G7),"Check","Ok")</f>
        <v>Ok</v>
      </c>
    </row>
    <row r="8" spans="1:30">
      <c r="C8" s="8" t="s">
        <v>124</v>
      </c>
      <c r="D8" s="16" t="s">
        <v>64</v>
      </c>
      <c r="E8" s="8"/>
      <c r="F8" s="8"/>
      <c r="G8" s="39" t="s">
        <v>183</v>
      </c>
      <c r="H8" s="8"/>
      <c r="I8" s="8"/>
      <c r="S8" s="81" t="str">
        <f>IF(COUNTBLANK($G8),"Check","Ok")</f>
        <v>Ok</v>
      </c>
    </row>
    <row r="9" spans="1:30">
      <c r="C9" s="8" t="s">
        <v>108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189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190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171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065DD-C227-4ECE-B31A-1EB66FCC38FF}">
  <sheetPr>
    <tabColor rgb="FFFFFF99"/>
  </sheetPr>
  <dimension ref="A1:AX100"/>
  <sheetViews>
    <sheetView showGridLines="0" workbookViewId="0">
      <selection activeCell="D2" sqref="D2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7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8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229</v>
      </c>
      <c r="E6" s="47" t="s">
        <v>229</v>
      </c>
      <c r="F6" s="47" t="s">
        <v>223</v>
      </c>
      <c r="G6" s="47" t="s">
        <v>185</v>
      </c>
      <c r="H6" s="47" t="s">
        <v>186</v>
      </c>
      <c r="I6" s="47" t="s">
        <v>122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 t="s">
        <v>90</v>
      </c>
      <c r="G7" s="50" t="s">
        <v>184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193"/>
      <c r="F9" s="193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193"/>
      <c r="F10" s="193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193"/>
      <c r="F11" s="193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193"/>
      <c r="F12" s="193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193"/>
      <c r="F13" s="193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193"/>
      <c r="F14" s="193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193"/>
      <c r="F15" s="193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193"/>
      <c r="F16" s="193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193"/>
      <c r="F17" s="193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193"/>
      <c r="F18" s="193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193"/>
      <c r="F19" s="193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193"/>
      <c r="F20" s="193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48">
        <f t="shared" ref="F21:F82" si="0">E21*0.6945</f>
        <v>66.116399999999999</v>
      </c>
      <c r="G21" s="117"/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48">
        <f t="shared" si="0"/>
        <v>66.533100000000005</v>
      </c>
      <c r="G22" s="117"/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48">
        <f t="shared" si="0"/>
        <v>67.01925</v>
      </c>
      <c r="G23" s="117"/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48">
        <f t="shared" si="0"/>
        <v>67.297049999999999</v>
      </c>
      <c r="G24" s="117"/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48">
        <f t="shared" si="0"/>
        <v>68.269350000000003</v>
      </c>
      <c r="G25" s="117"/>
      <c r="H25" s="117">
        <f>IF(F25="",IF(COUNT(G25:G$88)=0,"",IF(ISBLANK(G25),AVERAGE(H24,H26),(1+G25)*H21)),F25)</f>
        <v>68.269350000000003</v>
      </c>
      <c r="I25" s="72">
        <f t="shared" ref="I25:I78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48">
        <f t="shared" si="0"/>
        <v>68.894400000000005</v>
      </c>
      <c r="G26" s="117"/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48">
        <f t="shared" si="0"/>
        <v>69.311099999999996</v>
      </c>
      <c r="G27" s="117"/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48">
        <f t="shared" si="0"/>
        <v>69.311099999999996</v>
      </c>
      <c r="G28" s="117"/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48">
        <f t="shared" si="0"/>
        <v>69.380549999999999</v>
      </c>
      <c r="G29" s="117"/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48">
        <f t="shared" si="0"/>
        <v>69.727800000000002</v>
      </c>
      <c r="G30" s="117"/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48">
        <f t="shared" si="0"/>
        <v>70.700099999999992</v>
      </c>
      <c r="G31" s="117"/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48">
        <f t="shared" si="0"/>
        <v>70.838999999999999</v>
      </c>
      <c r="G32" s="117"/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48">
        <f t="shared" si="0"/>
        <v>71.116799999999998</v>
      </c>
      <c r="G33" s="117"/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48">
        <f t="shared" si="0"/>
        <v>71.394599999999997</v>
      </c>
      <c r="G34" s="117"/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48">
        <f t="shared" si="0"/>
        <v>72.227999999999994</v>
      </c>
      <c r="G35" s="117"/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48">
        <f t="shared" si="0"/>
        <v>72.783599999999993</v>
      </c>
      <c r="G36" s="117"/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48">
        <f t="shared" si="0"/>
        <v>73.200299999999999</v>
      </c>
      <c r="G37" s="117"/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48">
        <f t="shared" si="0"/>
        <v>73.547550000000001</v>
      </c>
      <c r="G38" s="117"/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48">
        <f t="shared" si="0"/>
        <v>73.894800000000004</v>
      </c>
      <c r="G39" s="117"/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48">
        <f t="shared" si="0"/>
        <v>74.033699999999996</v>
      </c>
      <c r="G40" s="117"/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48">
        <f t="shared" si="0"/>
        <v>74.172600000000003</v>
      </c>
      <c r="G41" s="117"/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48">
        <f t="shared" si="0"/>
        <v>74.658749999999998</v>
      </c>
      <c r="G42" s="117"/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48">
        <f t="shared" si="0"/>
        <v>75.006</v>
      </c>
      <c r="G43" s="117"/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48">
        <f t="shared" si="0"/>
        <v>75.283799999999999</v>
      </c>
      <c r="G44" s="117"/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48">
        <f t="shared" si="0"/>
        <v>75.144900000000007</v>
      </c>
      <c r="G45" s="117"/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48">
        <f t="shared" si="0"/>
        <v>75.422699999999992</v>
      </c>
      <c r="G46" s="117"/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48">
        <f t="shared" si="0"/>
        <v>75.978300000000004</v>
      </c>
      <c r="G47" s="117"/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48">
        <f t="shared" si="0"/>
        <v>76.394999999999996</v>
      </c>
      <c r="G48" s="117"/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48">
        <f t="shared" si="0"/>
        <v>76.742249999999999</v>
      </c>
      <c r="G49" s="117"/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48">
        <f t="shared" si="0"/>
        <v>76.881150000000005</v>
      </c>
      <c r="G50" s="117"/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48">
        <f t="shared" si="0"/>
        <v>77.3673</v>
      </c>
      <c r="G51" s="117"/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48">
        <f t="shared" si="0"/>
        <v>77.853449999999995</v>
      </c>
      <c r="G52" s="117"/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48">
        <f t="shared" si="0"/>
        <v>78.200699999999998</v>
      </c>
      <c r="G53" s="117"/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48">
        <f t="shared" si="0"/>
        <v>78.478499999999997</v>
      </c>
      <c r="G54" s="117"/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48">
        <f t="shared" si="0"/>
        <v>78.825749999999999</v>
      </c>
      <c r="G55" s="117"/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48">
        <f t="shared" si="0"/>
        <v>79.242449999999991</v>
      </c>
      <c r="G56" s="117"/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48">
        <f t="shared" si="0"/>
        <v>79.242449999999991</v>
      </c>
      <c r="G57" s="117"/>
      <c r="H57" s="117">
        <f>IF(F57="",IF(COUNT(G57:G$88)=0,"",IF(ISBLANK(G57),AVERAGE(H56,H58),(1+G57)*H53)),F57)</f>
        <v>79.242449999999991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48">
        <f t="shared" si="0"/>
        <v>79.7286</v>
      </c>
      <c r="G58" s="117"/>
      <c r="H58" s="117">
        <f>IF(F58="",IF(COUNT(G58:G$88)=0,"",IF(ISBLANK(G58),AVERAGE(H57,H59),(1+G58)*H54)),F58)</f>
        <v>79.7286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48">
        <f t="shared" si="0"/>
        <v>80.145300000000006</v>
      </c>
      <c r="G59" s="117"/>
      <c r="H59" s="117">
        <f>IF(F59="",IF(COUNT(G59:G$88)=0,"",IF(ISBLANK(G59),AVERAGE(H58,H60),(1+G59)*H55)),F59)</f>
        <v>80.145300000000006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48">
        <f t="shared" si="0"/>
        <v>80.700900000000004</v>
      </c>
      <c r="G60" s="117"/>
      <c r="H60" s="117">
        <f>IF(F60="",IF(COUNT(G60:G$88)=0,"",IF(ISBLANK(G60),AVERAGE(H59,H61),(1+G60)*H56)),F60)</f>
        <v>80.700900000000004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48">
        <f t="shared" si="0"/>
        <v>80.978700000000003</v>
      </c>
      <c r="G61" s="117"/>
      <c r="H61" s="117">
        <f>IF(F61="",IF(COUNT(G61:G$88)=0,"",IF(ISBLANK(G61),AVERAGE(H60,H62),(1+G61)*H57)),F61)</f>
        <v>80.978700000000003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48">
        <f t="shared" si="0"/>
        <v>79.450800000000001</v>
      </c>
      <c r="G62" s="117"/>
      <c r="H62" s="117">
        <f>IF(F62="",IF(COUNT(G62:G$88)=0,"",IF(ISBLANK(G62),AVERAGE(H61,H63),(1+G62)*H58)),F62)</f>
        <v>79.450800000000001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48">
        <f t="shared" si="0"/>
        <v>80.700900000000004</v>
      </c>
      <c r="G63" s="117"/>
      <c r="H63" s="117">
        <f>IF(F63="",IF(COUNT(G63:G$88)=0,"",IF(ISBLANK(G63),AVERAGE(H62,H64),(1+G63)*H59)),F63)</f>
        <v>80.700900000000004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48">
        <f t="shared" si="0"/>
        <v>81.395400000000009</v>
      </c>
      <c r="G64" s="117"/>
      <c r="H64" s="117">
        <f>IF(F64="",IF(COUNT(G64:G$88)=0,"",IF(ISBLANK(G64),AVERAGE(H63,H65),(1+G64)*H60)),F64)</f>
        <v>81.395400000000009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48">
        <f t="shared" si="0"/>
        <v>81.881550000000004</v>
      </c>
      <c r="G65" s="117"/>
      <c r="H65" s="117">
        <f>IF(F65="",IF(COUNT(G65:G$88)=0,"",IF(ISBLANK(G65),AVERAGE(H64,H66),(1+G65)*H61)),F65)</f>
        <v>81.881550000000004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48">
        <f t="shared" si="0"/>
        <v>82.506599999999992</v>
      </c>
      <c r="G66" s="117"/>
      <c r="H66" s="117">
        <f>IF(F66="",IF(COUNT(G66:G$88)=0,"",IF(ISBLANK(G66),AVERAGE(H65,H67),(1+G66)*H62)),F66)</f>
        <v>82.506599999999992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48">
        <f t="shared" si="0"/>
        <v>83.131650000000008</v>
      </c>
      <c r="G67" s="117"/>
      <c r="H67" s="117">
        <f>IF(F67="",IF(COUNT(G67:G$88)=0,"",IF(ISBLANK(G67),AVERAGE(H66,H68),(1+G67)*H63)),F67)</f>
        <v>83.131650000000008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48">
        <f t="shared" si="0"/>
        <v>84.242850000000004</v>
      </c>
      <c r="G68" s="117"/>
      <c r="H68" s="117">
        <f>IF(F68="",IF(COUNT(G68:G$88)=0,"",IF(ISBLANK(G68),AVERAGE(H67,H69),(1+G68)*H64)),F68)</f>
        <v>84.242850000000004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48">
        <f t="shared" si="0"/>
        <v>86.048550000000006</v>
      </c>
      <c r="G69" s="117"/>
      <c r="H69" s="117">
        <f>IF(F69="",IF(COUNT(G69:G$88)=0,"",IF(ISBLANK(G69),AVERAGE(H68,H70),(1+G69)*H65)),F69)</f>
        <v>86.048550000000006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48">
        <f t="shared" si="0"/>
        <v>87.576449999999994</v>
      </c>
      <c r="G70" s="117"/>
      <c r="H70" s="117">
        <f>IF(F70="",IF(COUNT(G70:G$88)=0,"",IF(ISBLANK(G70),AVERAGE(H69,H71),(1+G70)*H66)),F70)</f>
        <v>87.576449999999994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48">
        <f t="shared" si="0"/>
        <v>89.1738</v>
      </c>
      <c r="G71" s="117"/>
      <c r="H71" s="117">
        <f>IF(F71="",IF(COUNT(G71:G$88)=0,"",IF(ISBLANK(G71),AVERAGE(H70,H72),(1+G71)*H67)),F71)</f>
        <v>89.1738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48">
        <f t="shared" si="0"/>
        <v>90.840600000000009</v>
      </c>
      <c r="G72" s="110"/>
      <c r="H72" s="117">
        <f>IF(F72="",IF(COUNT(G72:G$88)=0,"",IF(ISBLANK(G72),AVERAGE(H71,H73),(1+G72)*H68)),F72)</f>
        <v>90.840600000000009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48">
        <f t="shared" si="0"/>
        <v>92.090699999999998</v>
      </c>
      <c r="G73" s="110"/>
      <c r="H73" s="117">
        <f>IF(F73="",IF(COUNT(G73:G$88)=0,"",IF(ISBLANK(G73),AVERAGE(H72,H74),(1+G73)*H69)),F73)</f>
        <v>92.090699999999998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48">
        <f t="shared" si="0"/>
        <v>92.854649999999992</v>
      </c>
      <c r="G74" s="110"/>
      <c r="H74" s="117">
        <f>IF(F74="",IF(COUNT(G74:G$88)=0,"",IF(ISBLANK(G74),AVERAGE(H73,H75),(1+G74)*H70)),F74)</f>
        <v>92.854649999999992</v>
      </c>
      <c r="I74" s="72">
        <f t="shared" si="1"/>
        <v>6.0269627279936566E-2</v>
      </c>
      <c r="J74" s="185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48">
        <f t="shared" si="0"/>
        <v>93.965850000000003</v>
      </c>
      <c r="G75" s="110"/>
      <c r="H75" s="117">
        <f>IF(F75="",IF(COUNT(G75:G$88)=0,"",IF(ISBLANK(G75),AVERAGE(H74,H76),(1+G75)*H71)),F75)</f>
        <v>93.965850000000003</v>
      </c>
      <c r="I75" s="72">
        <f t="shared" si="1"/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48">
        <f t="shared" si="0"/>
        <v>94.521450000000002</v>
      </c>
      <c r="G76" s="110"/>
      <c r="H76" s="117">
        <f>IF(F76="",IF(COUNT(G76:G$88)=0,"",IF(ISBLANK(G76),AVERAGE(H75,H77),(1+G76)*H72)),F76)</f>
        <v>94.521450000000002</v>
      </c>
      <c r="I76" s="72">
        <f t="shared" si="1"/>
        <v>4.0519877675840865E-2</v>
      </c>
      <c r="J76" s="190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48">
        <f t="shared" si="0"/>
        <v>95.424300000000002</v>
      </c>
      <c r="G77" s="110"/>
      <c r="H77" s="117">
        <f>IF(F77="",IF(COUNT(G77:G$88)=0,"",IF(ISBLANK(G77),AVERAGE(H76,H78),(1+G77)*H73)),F77)</f>
        <v>95.424300000000002</v>
      </c>
      <c r="I77" s="72">
        <f t="shared" si="1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48">
        <f t="shared" si="0"/>
        <v>96.396600000000007</v>
      </c>
      <c r="G78" s="110"/>
      <c r="H78" s="117">
        <f>IF(F78="",IF(COUNT(G78:G$88)=0,"",IF(ISBLANK(G78),AVERAGE(H77,H79),(1+G78)*H74)),F78)</f>
        <v>96.396600000000007</v>
      </c>
      <c r="I78" s="72">
        <f t="shared" si="1"/>
        <v>3.8145100972326151E-2</v>
      </c>
      <c r="J78" s="190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48">
        <f t="shared" si="0"/>
        <v>96.604950000000002</v>
      </c>
      <c r="G79" s="110"/>
      <c r="H79" s="117">
        <f>IF(F79="",IF(COUNT(G79:G$88)=0,"",IF(ISBLANK(G79),AVERAGE(H78,H80),(1+G79)*H75)),F79)</f>
        <v>96.604950000000002</v>
      </c>
      <c r="I79" s="72">
        <f>IF(H79="","",H79/H75-1)</f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48">
        <f t="shared" si="0"/>
        <v>96.813299999999998</v>
      </c>
      <c r="G80" s="110"/>
      <c r="H80" s="117">
        <f>IF(F80="",IF(COUNT(G80:G$88)=0,"",IF(ISBLANK(G80),AVERAGE(H79,H81),(1+G80)*H76)),F80)</f>
        <v>96.813299999999998</v>
      </c>
      <c r="I80" s="72">
        <f t="shared" ref="I80:I88" si="2">IF(H80="","",H80/H76-1)</f>
        <v>2.4246877296105751E-2</v>
      </c>
      <c r="J80" s="190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48">
        <f t="shared" si="0"/>
        <v>97.716149999999999</v>
      </c>
      <c r="G81" s="110"/>
      <c r="H81" s="117">
        <f>IF(F81="",IF(COUNT(G81:G$88)=0,"",IF(ISBLANK(G81),AVERAGE(H80,H82),(1+G81)*H77)),F81)</f>
        <v>97.716149999999999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48">
        <f t="shared" si="0"/>
        <v>98.41064999999999</v>
      </c>
      <c r="G82" s="110"/>
      <c r="H82" s="117">
        <f>IF(F82="",IF(COUNT(G82:G$88)=0,"",IF(ISBLANK(G82),AVERAGE(H81,H83),(1+G82)*H78)),F82)</f>
        <v>98.41064999999999</v>
      </c>
      <c r="I82" s="72">
        <f t="shared" si="2"/>
        <v>2.0893371757924939E-2</v>
      </c>
      <c r="J82" s="185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48">
        <f>E83*0.6945</f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2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G84" s="110"/>
      <c r="H84" s="117">
        <f>IF(F84="",IF(COUNT(G84:G$88)=0,"",IF(ISBLANK(G84),AVERAGE(H83,H85),(1+G84)*H80)),F84)</f>
        <v>100.32</v>
      </c>
      <c r="I84" s="72">
        <f t="shared" si="2"/>
        <v>3.6221262987626623E-2</v>
      </c>
      <c r="J84" s="185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F85" s="48"/>
      <c r="G85" s="110"/>
      <c r="H85" s="117">
        <f>IF(F85="",IF(COUNT(G85:G$88)=0,"",IF(ISBLANK(G85),AVERAGE(H84,H86),(1+G85)*H81)),F85)</f>
        <v>101.43194865</v>
      </c>
      <c r="I85" s="72">
        <f t="shared" si="2"/>
        <v>3.8026453661958559E-2</v>
      </c>
      <c r="J85" s="190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F86" s="48"/>
      <c r="G86" s="110">
        <v>4.2000000000000003E-2</v>
      </c>
      <c r="H86" s="117">
        <f>IF(F86="",IF(COUNT(G86:G$88)=0,"",IF(ISBLANK(G86),AVERAGE(H85,H87),(1+G86)*H82)),F86)</f>
        <v>102.5438973</v>
      </c>
      <c r="I86" s="72">
        <f t="shared" si="2"/>
        <v>4.2000000000000037E-2</v>
      </c>
      <c r="J86" s="185" t="s">
        <v>224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F87" s="48"/>
      <c r="G87" s="110"/>
      <c r="H87" s="117">
        <f>IF(F87="",IF(COUNT(G87:G$88)=0,"",IF(ISBLANK(G87),AVERAGE(H86,H88),(1+G87)*H83)),F87)</f>
        <v>103.23770865</v>
      </c>
      <c r="I87" s="72">
        <f t="shared" si="2"/>
        <v>3.5169975092800509E-2</v>
      </c>
      <c r="J87" s="190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F88" s="48"/>
      <c r="G88" s="110">
        <v>3.5999999999999997E-2</v>
      </c>
      <c r="H88" s="117">
        <f>IF(F88="",IF(COUNT(G88:G$88)=0,"",IF(ISBLANK(G88),AVERAGE(H87,H89),(1+G88)*H84)),F88)</f>
        <v>103.93151999999999</v>
      </c>
      <c r="I88" s="72">
        <f t="shared" si="2"/>
        <v>3.6000000000000032E-2</v>
      </c>
      <c r="J88" s="185" t="s">
        <v>224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1.25">
      <c r="E89" s="8"/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6" priority="1">
      <formula>F21=""</formula>
    </cfRule>
  </conditionalFormatting>
  <conditionalFormatting sqref="V1">
    <cfRule type="cellIs" dxfId="5" priority="2" operator="equal">
      <formula>"Check"</formula>
    </cfRule>
    <cfRule type="cellIs" dxfId="4" priority="3" operator="equal">
      <formula>"Ok"</formula>
    </cfRule>
  </conditionalFormatting>
  <conditionalFormatting sqref="V9:V88">
    <cfRule type="cellIs" dxfId="3" priority="6" operator="equal">
      <formula>"Check"</formula>
    </cfRule>
    <cfRule type="cellIs" dxfId="2" priority="7" operator="equal">
      <formula>"Ok"</formula>
    </cfRule>
  </conditionalFormatting>
  <conditionalFormatting sqref="Y1">
    <cfRule type="cellIs" dxfId="1" priority="4" operator="equal">
      <formula>"Check"</formula>
    </cfRule>
    <cfRule type="cellIs" dxfId="0" priority="5" operator="equal">
      <formula>"Ok"</formula>
    </cfRule>
  </conditionalFormatting>
  <dataValidations count="4">
    <dataValidation type="decimal" operator="greaterThanOrEqual" allowBlank="1" showInputMessage="1" showErrorMessage="1" sqref="D9:D88 E9:F20" xr:uid="{EE7988A5-8ED5-4BD9-9D89-64D3890B7700}">
      <formula1>0</formula1>
    </dataValidation>
    <dataValidation type="custom" allowBlank="1" showInputMessage="1" showErrorMessage="1" sqref="M1 X1" xr:uid="{F064CD3C-466D-4D31-8687-372478717A00}">
      <formula1>"&lt;0&gt;0"</formula1>
    </dataValidation>
    <dataValidation type="list" allowBlank="1" showInputMessage="1" showErrorMessage="1" sqref="L89" xr:uid="{B221B501-9DB4-4397-AD5B-26BB648C93A6}">
      <formula1>#REF!</formula1>
    </dataValidation>
    <dataValidation type="list" allowBlank="1" showInputMessage="1" showErrorMessage="1" sqref="I89" xr:uid="{64BC573E-B5C7-4042-A762-DC99E7F57949}">
      <formula1>"Real 2010,Real 2011,Real 2012,Real 2013,Real 2014,Real 2015,Nominal"</formula1>
    </dataValidation>
  </dataValidations>
  <hyperlinks>
    <hyperlink ref="M1" location="Index!A1" display="Back to Index" xr:uid="{F99272CE-0062-4BC1-9315-1925DE68CFD5}"/>
    <hyperlink ref="X1" location="'Check|List'!A1" display="Overall Check:" xr:uid="{C4000B60-0536-4635-8362-CE3BF23539E3}"/>
    <hyperlink ref="J86" r:id="rId1" location="3-5-detailed-forecast-information" display="Estimate: RBA, Statement on monetary policy (SoMP), August 2025. Update for the most recent SoMP available." xr:uid="{B0B2160A-4DC6-429C-9706-875A694C40BE}"/>
    <hyperlink ref="J88" r:id="rId2" location="3-5-detailed-forecast-information" display="Estimate: RBA, Statement on monetary policy (SoMP), August 2025. Update for the most recent SoMP available." xr:uid="{B7344D10-9BC5-456B-BD54-154AE09264FB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M52" sqref="M52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7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88" t="s">
        <v>24</v>
      </c>
      <c r="V1" s="29" t="str">
        <f>'Check|List'!$S$1</f>
        <v>Ok</v>
      </c>
    </row>
    <row r="2" spans="1:22" ht="13.5" thickBot="1"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B3" s="83"/>
      <c r="C3" s="83"/>
      <c r="D3" s="84"/>
      <c r="E3" s="84"/>
      <c r="F3" s="84"/>
      <c r="G3" s="84"/>
      <c r="H3" s="84"/>
      <c r="I3" s="84"/>
      <c r="J3" s="96" t="s">
        <v>108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55"/>
      <c r="B8" s="38" t="s">
        <v>200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94.860171040059413</v>
      </c>
      <c r="K13" s="129">
        <v>93.6758204398743</v>
      </c>
      <c r="L13" s="129">
        <v>96.066952196434087</v>
      </c>
      <c r="M13" s="129">
        <v>95.659418186127226</v>
      </c>
      <c r="N13" s="129">
        <v>97.006194797675732</v>
      </c>
      <c r="O13" s="129"/>
      <c r="P13" s="129"/>
      <c r="Q13" s="129"/>
      <c r="R13" s="129"/>
      <c r="S13" s="129"/>
      <c r="T13" s="129"/>
      <c r="U13" s="17" t="s">
        <v>172</v>
      </c>
      <c r="V13" s="64" t="str">
        <f>IF(COUNT(J13:T13)=COUNT($J$10:$T$10),"Ok","Check")</f>
        <v>Ok</v>
      </c>
    </row>
    <row r="14" spans="1:22"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94.860171040059413</v>
      </c>
      <c r="K15" s="133">
        <f t="shared" ref="K15:S15" si="1">K13</f>
        <v>93.6758204398743</v>
      </c>
      <c r="L15" s="133">
        <f t="shared" si="1"/>
        <v>96.066952196434087</v>
      </c>
      <c r="M15" s="133">
        <f t="shared" si="1"/>
        <v>95.659418186127226</v>
      </c>
      <c r="N15" s="133">
        <f t="shared" si="1"/>
        <v>97.006194797675732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7" spans="1:22">
      <c r="B17" s="17"/>
      <c r="C17" s="122" t="s">
        <v>201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0.96120197597728207</v>
      </c>
      <c r="K19" s="129">
        <v>0.98049372817257308</v>
      </c>
      <c r="L19" s="129">
        <v>0.99170523587454407</v>
      </c>
      <c r="M19" s="129">
        <v>0.99612030972142207</v>
      </c>
      <c r="N19" s="129">
        <v>0.99261470845399202</v>
      </c>
      <c r="O19" s="129"/>
      <c r="P19" s="129"/>
      <c r="Q19" s="129"/>
      <c r="R19" s="129"/>
      <c r="S19" s="129"/>
      <c r="T19" s="129"/>
      <c r="U19" s="17" t="s">
        <v>202</v>
      </c>
      <c r="V19" s="64" t="str">
        <f>IF(ISBLANK(C19),IF(COUNT(J19:T19)=0,"Ok","Check"),IF(COUNT(J19:T19)=COUNT(J$10:T$10),"Ok","Check"))</f>
        <v>Ok</v>
      </c>
    </row>
    <row r="20" spans="1:22">
      <c r="B20" s="17"/>
      <c r="C20" s="127" t="s">
        <v>210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2.2794153536786002E-2</v>
      </c>
      <c r="K20" s="129">
        <v>2.2794153536786002E-2</v>
      </c>
      <c r="L20" s="129">
        <v>2.2794153536786002E-2</v>
      </c>
      <c r="M20" s="129">
        <v>2.2794153536786002E-2</v>
      </c>
      <c r="N20" s="129">
        <v>2.2794153536786002E-2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B21" s="17"/>
      <c r="C21" s="197"/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B29" s="17"/>
      <c r="C29" s="130" t="s">
        <v>144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0.98399612951406812</v>
      </c>
      <c r="K29" s="133">
        <f t="shared" ref="K29:S29" si="5">SUM(K19:K27)</f>
        <v>1.0032878817093591</v>
      </c>
      <c r="L29" s="133">
        <f t="shared" si="5"/>
        <v>1.0144993894113301</v>
      </c>
      <c r="M29" s="133">
        <f t="shared" si="5"/>
        <v>1.0189144632582081</v>
      </c>
      <c r="N29" s="133">
        <f t="shared" si="5"/>
        <v>1.015408861990778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55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3" spans="3:22"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3:22"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3:22"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3:22"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3:22">
      <c r="C37" s="127" t="s">
        <v>68</v>
      </c>
      <c r="D37" s="120" t="s">
        <v>70</v>
      </c>
      <c r="E37" s="120" t="str">
        <f>units</f>
        <v>$millions</v>
      </c>
      <c r="F37" s="134" t="s">
        <v>94</v>
      </c>
      <c r="G37" s="121"/>
      <c r="H37" s="121"/>
      <c r="I37" s="120"/>
      <c r="J37" s="195">
        <v>74.324523999999997</v>
      </c>
      <c r="K37" s="195">
        <v>81.809777999999994</v>
      </c>
      <c r="L37" s="195">
        <v>90.815821999999997</v>
      </c>
      <c r="M37" s="195">
        <v>92.482730000000004</v>
      </c>
      <c r="N37" s="195"/>
      <c r="O37" s="129"/>
      <c r="P37" s="129"/>
      <c r="Q37" s="129"/>
      <c r="R37" s="129"/>
      <c r="S37" s="129"/>
      <c r="T37" s="129"/>
      <c r="U37" s="17" t="s">
        <v>150</v>
      </c>
      <c r="V37" s="64" t="str">
        <f>IF(AND(COUNT(J37:T37)&gt;=COUNTIF($J$33:$T$33,"Actual"),COUNT(J37:T37)&lt;=COUNT($J$34:$T$34)),"Ok","Check")</f>
        <v>Ok</v>
      </c>
    </row>
    <row r="38" spans="3:22"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3:22">
      <c r="C39" s="122" t="s">
        <v>158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3:22"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3:22">
      <c r="C41" s="127" t="s">
        <v>154</v>
      </c>
      <c r="D41" s="120" t="s">
        <v>70</v>
      </c>
      <c r="E41" s="120" t="str">
        <f>units</f>
        <v>$millions</v>
      </c>
      <c r="F41" s="134" t="s">
        <v>94</v>
      </c>
      <c r="G41" s="121"/>
      <c r="H41" s="121"/>
      <c r="I41" s="120"/>
      <c r="J41" s="198">
        <v>-0.79157832999999944</v>
      </c>
      <c r="K41" s="198">
        <v>-0.95883685000000074</v>
      </c>
      <c r="L41" s="198">
        <v>1.975690700000001</v>
      </c>
      <c r="M41" s="198">
        <v>-0.69067815000000043</v>
      </c>
      <c r="N41" s="195"/>
      <c r="O41" s="129"/>
      <c r="P41" s="129"/>
      <c r="Q41" s="129"/>
      <c r="R41" s="129"/>
      <c r="S41" s="129"/>
      <c r="T41" s="129"/>
      <c r="U41" s="17" t="s">
        <v>157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3:22">
      <c r="C42" s="127" t="s">
        <v>188</v>
      </c>
      <c r="D42" s="120" t="s">
        <v>70</v>
      </c>
      <c r="E42" s="120" t="str">
        <f>units</f>
        <v>$millions</v>
      </c>
      <c r="F42" s="134" t="s">
        <v>94</v>
      </c>
      <c r="G42" s="121"/>
      <c r="H42" s="121"/>
      <c r="I42" s="120"/>
      <c r="J42" s="195">
        <v>8.2926920000000001E-2</v>
      </c>
      <c r="K42" s="195">
        <v>0</v>
      </c>
      <c r="L42" s="195">
        <v>0</v>
      </c>
      <c r="M42" s="195">
        <v>0</v>
      </c>
      <c r="N42" s="195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3:22">
      <c r="C43" s="127"/>
      <c r="D43" s="120" t="s">
        <v>70</v>
      </c>
      <c r="E43" s="120" t="str">
        <f>units</f>
        <v>$millions</v>
      </c>
      <c r="F43" s="134" t="s">
        <v>94</v>
      </c>
      <c r="G43" s="121"/>
      <c r="H43" s="121"/>
      <c r="I43" s="120"/>
      <c r="J43" s="195"/>
      <c r="K43" s="195"/>
      <c r="L43" s="195"/>
      <c r="M43" s="195"/>
      <c r="N43" s="195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3:22">
      <c r="C44" s="127"/>
      <c r="D44" s="120" t="s">
        <v>70</v>
      </c>
      <c r="E44" s="120" t="str">
        <f>units</f>
        <v>$millions</v>
      </c>
      <c r="F44" s="134" t="s">
        <v>94</v>
      </c>
      <c r="G44" s="121"/>
      <c r="H44" s="121"/>
      <c r="I44" s="120"/>
      <c r="J44" s="195"/>
      <c r="K44" s="195"/>
      <c r="L44" s="195"/>
      <c r="M44" s="195"/>
      <c r="N44" s="195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3:22">
      <c r="C45" s="127"/>
      <c r="D45" s="120" t="s">
        <v>70</v>
      </c>
      <c r="E45" s="120" t="str">
        <f>units</f>
        <v>$millions</v>
      </c>
      <c r="F45" s="134" t="s">
        <v>94</v>
      </c>
      <c r="G45" s="121"/>
      <c r="H45" s="121"/>
      <c r="I45" s="120"/>
      <c r="J45" s="195"/>
      <c r="K45" s="195"/>
      <c r="L45" s="195"/>
      <c r="M45" s="195"/>
      <c r="N45" s="195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3:22"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3:22">
      <c r="C47" s="130" t="s">
        <v>155</v>
      </c>
      <c r="D47" s="131" t="s">
        <v>30</v>
      </c>
      <c r="E47" s="135" t="str">
        <f>units</f>
        <v>$millions</v>
      </c>
      <c r="F47" s="132" t="s">
        <v>94</v>
      </c>
      <c r="G47" s="121"/>
      <c r="H47" s="121"/>
      <c r="I47" s="120"/>
      <c r="J47" s="133">
        <f>J37-SUM(J41:J45)</f>
        <v>75.033175409999998</v>
      </c>
      <c r="K47" s="133">
        <f t="shared" ref="K47:S47" si="8">K37-SUM(K41:K45)</f>
        <v>82.768614849999992</v>
      </c>
      <c r="L47" s="133">
        <f t="shared" si="8"/>
        <v>88.840131299999996</v>
      </c>
      <c r="M47" s="133">
        <f t="shared" si="8"/>
        <v>93.17340815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9" spans="1:22">
      <c r="B49" s="17"/>
      <c r="C49" s="122" t="s">
        <v>102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94</v>
      </c>
      <c r="G51" s="121"/>
      <c r="H51" s="121"/>
      <c r="I51" s="120"/>
      <c r="J51" s="195">
        <v>0</v>
      </c>
      <c r="K51" s="195">
        <v>0</v>
      </c>
      <c r="L51" s="195">
        <v>0</v>
      </c>
      <c r="M51" s="195">
        <v>0</v>
      </c>
      <c r="N51" s="195"/>
      <c r="O51" s="129"/>
      <c r="P51" s="129"/>
      <c r="Q51" s="129"/>
      <c r="R51" s="129"/>
      <c r="S51" s="129"/>
      <c r="T51" s="129"/>
      <c r="U51" s="17" t="s">
        <v>153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B52" s="17"/>
      <c r="C52" s="127" t="s">
        <v>210</v>
      </c>
      <c r="D52" s="120" t="s">
        <v>70</v>
      </c>
      <c r="E52" s="120" t="str">
        <f>units</f>
        <v>$millions</v>
      </c>
      <c r="F52" s="134" t="s">
        <v>94</v>
      </c>
      <c r="G52" s="121"/>
      <c r="H52" s="121"/>
      <c r="I52" s="120"/>
      <c r="J52" s="199">
        <v>8.3674999999999999E-2</v>
      </c>
      <c r="K52" s="199">
        <v>2.3E-2</v>
      </c>
      <c r="L52" s="199">
        <v>4.2220000000000001E-2</v>
      </c>
      <c r="M52" s="198">
        <v>5.4635000000000003E-2</v>
      </c>
      <c r="N52" s="195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B53" s="17"/>
      <c r="C53" s="127"/>
      <c r="D53" s="120" t="s">
        <v>70</v>
      </c>
      <c r="E53" s="120" t="str">
        <f>units</f>
        <v>$millions</v>
      </c>
      <c r="F53" s="134" t="s">
        <v>94</v>
      </c>
      <c r="G53" s="121"/>
      <c r="H53" s="121"/>
      <c r="I53" s="120"/>
      <c r="J53" s="195"/>
      <c r="K53" s="195"/>
      <c r="L53" s="195"/>
      <c r="M53" s="195"/>
      <c r="N53" s="195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B54" s="17"/>
      <c r="C54" s="127"/>
      <c r="D54" s="120" t="s">
        <v>70</v>
      </c>
      <c r="E54" s="120" t="str">
        <f>units</f>
        <v>$millions</v>
      </c>
      <c r="F54" s="134" t="s">
        <v>94</v>
      </c>
      <c r="G54" s="121"/>
      <c r="H54" s="121"/>
      <c r="I54" s="120"/>
      <c r="J54" s="195"/>
      <c r="K54" s="195"/>
      <c r="L54" s="195"/>
      <c r="M54" s="195"/>
      <c r="N54" s="195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B55" s="17"/>
      <c r="C55" s="127"/>
      <c r="D55" s="120" t="s">
        <v>70</v>
      </c>
      <c r="E55" s="120" t="str">
        <f>units</f>
        <v>$millions</v>
      </c>
      <c r="F55" s="134" t="s">
        <v>94</v>
      </c>
      <c r="G55" s="121"/>
      <c r="H55" s="121"/>
      <c r="I55" s="120"/>
      <c r="J55" s="195"/>
      <c r="K55" s="195"/>
      <c r="L55" s="195"/>
      <c r="M55" s="195"/>
      <c r="N55" s="195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B57" s="17"/>
      <c r="C57" s="130" t="s">
        <v>144</v>
      </c>
      <c r="D57" s="131" t="s">
        <v>30</v>
      </c>
      <c r="E57" s="135" t="str">
        <f>units</f>
        <v>$millions</v>
      </c>
      <c r="F57" s="132" t="s">
        <v>94</v>
      </c>
      <c r="G57" s="121"/>
      <c r="H57" s="121"/>
      <c r="I57" s="120"/>
      <c r="J57" s="137">
        <f>SUM(J51:J55)</f>
        <v>8.3674999999999999E-2</v>
      </c>
      <c r="K57" s="137">
        <f t="shared" ref="K57:S57" si="10">SUM(K51:K55)</f>
        <v>2.3E-2</v>
      </c>
      <c r="L57" s="137">
        <f t="shared" si="10"/>
        <v>4.2220000000000001E-2</v>
      </c>
      <c r="M57" s="137">
        <f t="shared" si="10"/>
        <v>5.4635000000000003E-2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55"/>
      <c r="B59" s="38" t="s">
        <v>103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B61" s="17"/>
      <c r="C61" s="122" t="s">
        <v>104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B63" s="17"/>
      <c r="C63" s="127" t="s">
        <v>211</v>
      </c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95">
        <v>-0.35451697373313562</v>
      </c>
      <c r="O63" s="129"/>
      <c r="P63" s="129"/>
      <c r="Q63" s="129"/>
      <c r="R63" s="129"/>
      <c r="S63" s="129"/>
      <c r="T63" s="129"/>
      <c r="U63" s="17" t="s">
        <v>160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B64" s="17"/>
      <c r="C64" s="127"/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95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95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95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95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B69" s="17"/>
      <c r="C69" s="142" t="s">
        <v>156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95">
        <v>0</v>
      </c>
      <c r="O69" s="129"/>
      <c r="P69" s="129"/>
      <c r="Q69" s="129"/>
      <c r="R69" s="129"/>
      <c r="S69" s="129"/>
      <c r="T69" s="129"/>
      <c r="U69" s="17" t="s">
        <v>198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96">
        <v>0</v>
      </c>
      <c r="O71" s="143"/>
      <c r="P71" s="143"/>
      <c r="Q71" s="143"/>
      <c r="R71" s="143"/>
      <c r="S71" s="143"/>
      <c r="T71" s="143"/>
      <c r="U71" s="17" t="s">
        <v>197</v>
      </c>
      <c r="V71" s="64" t="str">
        <f t="shared" si="13"/>
        <v>Ok</v>
      </c>
    </row>
    <row r="72" spans="1:22"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55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57" priority="31">
      <formula>J$10=J$4</formula>
    </cfRule>
  </conditionalFormatting>
  <conditionalFormatting sqref="J15:T15">
    <cfRule type="cellIs" dxfId="156" priority="34" operator="equal">
      <formula>0</formula>
    </cfRule>
  </conditionalFormatting>
  <conditionalFormatting sqref="J19:T27">
    <cfRule type="expression" dxfId="155" priority="26">
      <formula>J$10=J$4</formula>
    </cfRule>
  </conditionalFormatting>
  <conditionalFormatting sqref="J29:T29">
    <cfRule type="cellIs" dxfId="154" priority="27" operator="equal">
      <formula>0</formula>
    </cfRule>
  </conditionalFormatting>
  <conditionalFormatting sqref="J33:T33 N37:T37">
    <cfRule type="expression" dxfId="153" priority="32">
      <formula>J$34=J$4</formula>
    </cfRule>
  </conditionalFormatting>
  <conditionalFormatting sqref="J37:T37">
    <cfRule type="expression" dxfId="152" priority="30">
      <formula>J$10=J$4</formula>
    </cfRule>
  </conditionalFormatting>
  <conditionalFormatting sqref="J41:T45">
    <cfRule type="expression" dxfId="151" priority="24">
      <formula>J$34=J$4</formula>
    </cfRule>
  </conditionalFormatting>
  <conditionalFormatting sqref="J47:T47">
    <cfRule type="cellIs" dxfId="150" priority="29" operator="equal">
      <formula>0</formula>
    </cfRule>
  </conditionalFormatting>
  <conditionalFormatting sqref="J51:T55">
    <cfRule type="expression" dxfId="149" priority="21">
      <formula>J$34=J$4</formula>
    </cfRule>
  </conditionalFormatting>
  <conditionalFormatting sqref="J57:T57">
    <cfRule type="cellIs" dxfId="148" priority="33" operator="equal">
      <formula>0</formula>
    </cfRule>
  </conditionalFormatting>
  <conditionalFormatting sqref="J63:T67">
    <cfRule type="expression" dxfId="147" priority="28">
      <formula>J$61=J$4</formula>
    </cfRule>
  </conditionalFormatting>
  <conditionalFormatting sqref="J69:T69 J71:T71">
    <cfRule type="expression" dxfId="146" priority="63">
      <formula>J$61=J$4</formula>
    </cfRule>
  </conditionalFormatting>
  <conditionalFormatting sqref="S1:T1">
    <cfRule type="cellIs" dxfId="145" priority="52" operator="equal">
      <formula>"Ok"</formula>
    </cfRule>
    <cfRule type="cellIs" dxfId="144" priority="51" operator="equal">
      <formula>"Check"</formula>
    </cfRule>
  </conditionalFormatting>
  <conditionalFormatting sqref="V1">
    <cfRule type="cellIs" dxfId="143" priority="80" operator="equal">
      <formula>"Check"</formula>
    </cfRule>
    <cfRule type="cellIs" dxfId="142" priority="81" operator="equal">
      <formula>"Ok"</formula>
    </cfRule>
  </conditionalFormatting>
  <conditionalFormatting sqref="V13">
    <cfRule type="cellIs" dxfId="141" priority="19" operator="equal">
      <formula>"Check"</formula>
    </cfRule>
    <cfRule type="cellIs" dxfId="140" priority="20" operator="equal">
      <formula>"Ok"</formula>
    </cfRule>
  </conditionalFormatting>
  <conditionalFormatting sqref="V15">
    <cfRule type="cellIs" dxfId="139" priority="82" operator="equal">
      <formula>"Check"</formula>
    </cfRule>
    <cfRule type="cellIs" dxfId="138" priority="83" operator="equal">
      <formula>"Ok"</formula>
    </cfRule>
  </conditionalFormatting>
  <conditionalFormatting sqref="V19:V27">
    <cfRule type="cellIs" dxfId="137" priority="17" operator="equal">
      <formula>"Check"</formula>
    </cfRule>
    <cfRule type="cellIs" dxfId="136" priority="18" operator="equal">
      <formula>"Ok"</formula>
    </cfRule>
  </conditionalFormatting>
  <conditionalFormatting sqref="V29">
    <cfRule type="cellIs" dxfId="135" priority="59" operator="equal">
      <formula>"Check"</formula>
    </cfRule>
    <cfRule type="cellIs" dxfId="134" priority="60" operator="equal">
      <formula>"Ok"</formula>
    </cfRule>
  </conditionalFormatting>
  <conditionalFormatting sqref="V37">
    <cfRule type="cellIs" dxfId="133" priority="13" operator="equal">
      <formula>"Check"</formula>
    </cfRule>
    <cfRule type="cellIs" dxfId="132" priority="14" operator="equal">
      <formula>"Ok"</formula>
    </cfRule>
  </conditionalFormatting>
  <conditionalFormatting sqref="V41:V45">
    <cfRule type="cellIs" dxfId="131" priority="9" operator="equal">
      <formula>"Check"</formula>
    </cfRule>
    <cfRule type="cellIs" dxfId="130" priority="10" operator="equal">
      <formula>"Ok"</formula>
    </cfRule>
  </conditionalFormatting>
  <conditionalFormatting sqref="V47">
    <cfRule type="cellIs" dxfId="129" priority="67" operator="equal">
      <formula>"Ok"</formula>
    </cfRule>
    <cfRule type="cellIs" dxfId="128" priority="66" operator="equal">
      <formula>"Check"</formula>
    </cfRule>
  </conditionalFormatting>
  <conditionalFormatting sqref="V48:V50">
    <cfRule type="cellIs" dxfId="127" priority="74" operator="equal">
      <formula>"Check"</formula>
    </cfRule>
    <cfRule type="cellIs" dxfId="126" priority="75" operator="equal">
      <formula>"Ok"</formula>
    </cfRule>
  </conditionalFormatting>
  <conditionalFormatting sqref="V51:V55">
    <cfRule type="cellIs" dxfId="125" priority="8" operator="equal">
      <formula>"Ok"</formula>
    </cfRule>
    <cfRule type="cellIs" dxfId="124" priority="7" operator="equal">
      <formula>"Check"</formula>
    </cfRule>
  </conditionalFormatting>
  <conditionalFormatting sqref="V52:V55">
    <cfRule type="cellIs" dxfId="123" priority="86" operator="equal">
      <formula>"Check"</formula>
    </cfRule>
    <cfRule type="cellIs" dxfId="122" priority="87" operator="equal">
      <formula>"Ok"</formula>
    </cfRule>
  </conditionalFormatting>
  <conditionalFormatting sqref="V57">
    <cfRule type="cellIs" dxfId="121" priority="84" operator="equal">
      <formula>"Check"</formula>
    </cfRule>
    <cfRule type="cellIs" dxfId="120" priority="85" operator="equal">
      <formula>"Ok"</formula>
    </cfRule>
  </conditionalFormatting>
  <conditionalFormatting sqref="V63:V67">
    <cfRule type="cellIs" dxfId="119" priority="5" operator="equal">
      <formula>"Check"</formula>
    </cfRule>
    <cfRule type="cellIs" dxfId="118" priority="6" operator="equal">
      <formula>"Ok"</formula>
    </cfRule>
  </conditionalFormatting>
  <conditionalFormatting sqref="V69">
    <cfRule type="cellIs" dxfId="117" priority="4" operator="equal">
      <formula>"Ok"</formula>
    </cfRule>
    <cfRule type="cellIs" dxfId="116" priority="3" operator="equal">
      <formula>"Check"</formula>
    </cfRule>
  </conditionalFormatting>
  <conditionalFormatting sqref="V71">
    <cfRule type="cellIs" dxfId="115" priority="1" operator="equal">
      <formula>"Check"</formula>
    </cfRule>
    <cfRule type="cellIs" dxfId="114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13:T13 J19:T2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>
      <selection activeCell="J12" sqref="J12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7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8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108</v>
      </c>
      <c r="K3" s="200"/>
      <c r="L3" s="200"/>
      <c r="M3" s="200"/>
      <c r="N3" s="105"/>
      <c r="O3" s="200"/>
      <c r="P3" s="200"/>
      <c r="Q3" s="200"/>
      <c r="R3" s="200"/>
      <c r="S3" s="200"/>
      <c r="T3" s="200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92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4.2000000000000037E-2</v>
      </c>
      <c r="P12" s="148" t="str">
        <f>IF(P10=P4,LOOKUP(EOMONTH(P4,0),'Input|Inflation'!$C$9:$C$88,'Input|Inflation'!$I$9:$I$88),"")</f>
        <v/>
      </c>
      <c r="Q12" s="148" t="str">
        <f>IF(Q10=Q4,LOOKUP(EOMONTH(Q4,0),'Input|Inflation'!$C$9:$C$88,'Input|Inflation'!$I$9:$I$88),"")</f>
        <v/>
      </c>
      <c r="R12" s="148" t="str">
        <f>IF(R10=R4,LOOKUP(EOMONTH(R4,0),'Input|Inflation'!$C$9:$C$88,'Input|Inflation'!$I$9:$I$88),"")</f>
        <v/>
      </c>
      <c r="S12" s="148" t="str">
        <f>IF(S10=S4,LOOKUP(EOMONTH(S4,0),'Input|Inflation'!$C$9:$C$88,'Input|Inflation'!$I$9:$I$88),"")</f>
        <v/>
      </c>
      <c r="T12" s="148" t="str">
        <f>IF(T10=T4,LOOKUP(EOMONTH(T4,0),'Input|Inflation'!$C$9:$C$88,'Input|Inflation'!$I$9:$I$88),"")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93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ref="O16:P16" si="4">IF(AND($C16&gt;O$14,ISNONTEXT($C16)),P16/(1+O$12),IF(AND($C16=O$14,O$14=O$4),1,IF(AND($C16&lt;O$14,O$14=O$4),N16*(1+O$12),0)))</f>
        <v>1.2428569023569023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1.1007137192704204</v>
      </c>
      <c r="N17" s="154">
        <f t="shared" si="6"/>
        <v>1.1237113402061856</v>
      </c>
      <c r="O17" s="154">
        <f t="shared" ref="O17:P17" si="7">IF(AND($C17&gt;O$14,ISNONTEXT($C17)),P17/(1+O$12),IF(AND($C17=O$14,O$14=O$4),1,IF(AND($C17&lt;O$14,O$14=O$4),N17*(1+O$12),0)))</f>
        <v>1.1709072164948453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1.0381451009723262</v>
      </c>
      <c r="N18" s="154">
        <f t="shared" si="8"/>
        <v>1.0598354525056095</v>
      </c>
      <c r="O18" s="154">
        <f t="shared" ref="O18:P18" si="9">IF(AND($C18&gt;O$14,ISNONTEXT($C18)),P18/(1+O$12),IF(AND($C18=O$14,O$14=O$4),1,IF(AND($C18&lt;O$14,O$14=O$4),N18*(1+O$12),0)))</f>
        <v>1.1043485415108452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0.85590778097982712</v>
      </c>
      <c r="K19" s="154">
        <f t="shared" si="10"/>
        <v>0.90850144092219021</v>
      </c>
      <c r="L19" s="154">
        <f t="shared" si="10"/>
        <v>0.96325648414985587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1.0637708933717578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0.83839096683133396</v>
      </c>
      <c r="K20" s="154">
        <f t="shared" ref="K20:N20" si="12">IF(AND($C20&gt;K$14,ISNONTEXT($C20)),L20/(1+L$12),IF(AND($C20=K$14,K$14=K$4),1,IF(AND($C20&lt;K$14,K$14=K$4),J20*(1+K$12),0)))</f>
        <v>0.88990825688073405</v>
      </c>
      <c r="L20" s="154">
        <f t="shared" si="12"/>
        <v>0.94354269583627393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1.042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0.8045978568438904</v>
      </c>
      <c r="K21" s="154">
        <f t="shared" ref="K21:K22" si="14">IF(AND($C21&gt;K$14,ISNONTEXT($C21)),L21/(1+L$12),IF(AND($C21=K$14,K$14=K$4),1,IF(AND($C21&lt;K$14,K$14=K$4),J21*(1+K$12),0)))</f>
        <v>0.854038634242547</v>
      </c>
      <c r="L21" s="154">
        <f t="shared" ref="L21:L22" si="15">IF(AND($C21&gt;L$14,ISNONTEXT($C21)),M21/(1+M$12),IF(AND($C21=L$14,L$14=L$4),1,IF(AND($C21&lt;L$14,L$14=L$4),K21*(1+L$12),0)))</f>
        <v>0.9055112244110114</v>
      </c>
      <c r="M21" s="154">
        <f t="shared" ref="M21:M22" si="16">IF(AND($C21&gt;M$14,ISNONTEXT($C21)),N21/(1+N$12),IF(AND($C21=M$14,M$14=M$4),1,IF(AND($C21&lt;M$14,M$14=M$4),L21*(1+M$12),0)))</f>
        <v>0.94005204149774413</v>
      </c>
      <c r="N21" s="154">
        <f t="shared" ref="N21:N22" si="17">IF(AND($C21&gt;N$14,ISNONTEXT($C21)),O21/(1+O$12),IF(AND($C21=N$14,N$14=N$4),1,IF(AND($C21&lt;N$14,N$14=N$4),M21*(1+N$12),0)))</f>
        <v>0.95969289827255277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0.8471040975075842</v>
      </c>
      <c r="O26" s="154">
        <f t="shared" si="22"/>
        <v>0.82132062868880173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0.92566671963703606</v>
      </c>
      <c r="N27" s="154">
        <f t="shared" si="24"/>
        <v>0.89915679036789875</v>
      </c>
      <c r="O27" s="154">
        <f t="shared" si="24"/>
        <v>0.87178898381866909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0.98145630781500193</v>
      </c>
      <c r="N28" s="154">
        <f t="shared" si="25"/>
        <v>0.9533486349895961</v>
      </c>
      <c r="O28" s="154">
        <f t="shared" si="25"/>
        <v>0.92433138094017486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1.1906064571156807</v>
      </c>
      <c r="K29" s="154">
        <f t="shared" si="26"/>
        <v>1.1340278035458107</v>
      </c>
      <c r="L29" s="154">
        <f t="shared" si="26"/>
        <v>1.0689717279861124</v>
      </c>
      <c r="M29" s="154">
        <f t="shared" si="26"/>
        <v>1.0188940577765315</v>
      </c>
      <c r="N29" s="154">
        <f t="shared" si="26"/>
        <v>0.98971421493310363</v>
      </c>
      <c r="O29" s="154">
        <f t="shared" si="26"/>
        <v>0.95959009479802759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1.2154822404415846</v>
      </c>
      <c r="K30" s="154">
        <f t="shared" si="27"/>
        <v>1.1577214680291161</v>
      </c>
      <c r="L30" s="154">
        <f t="shared" si="27"/>
        <v>1.0913061516976377</v>
      </c>
      <c r="M30" s="154">
        <f t="shared" si="27"/>
        <v>1.0401821901075972</v>
      </c>
      <c r="N30" s="154">
        <f t="shared" si="27"/>
        <v>1.0103926819598037</v>
      </c>
      <c r="O30" s="154">
        <f t="shared" si="27"/>
        <v>0.97963916738386514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1.2665324945401313</v>
      </c>
      <c r="K31" s="154">
        <f t="shared" si="28"/>
        <v>1.2063457696863393</v>
      </c>
      <c r="L31" s="154">
        <f t="shared" si="28"/>
        <v>1.1371410100689385</v>
      </c>
      <c r="M31" s="154">
        <f t="shared" si="28"/>
        <v>1.0838698420921162</v>
      </c>
      <c r="N31" s="154">
        <f t="shared" si="28"/>
        <v>1.0528291746021154</v>
      </c>
      <c r="O31" s="154">
        <f t="shared" si="28"/>
        <v>1.0207840124139875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212</v>
      </c>
      <c r="D38" s="120" t="s">
        <v>95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3.2611068341632521E-3</v>
      </c>
      <c r="Q38" s="159">
        <v>7.2355957756888856E-3</v>
      </c>
      <c r="R38" s="159">
        <v>8.4987632532935731E-3</v>
      </c>
      <c r="S38" s="159">
        <v>8.7211063749346174E-3</v>
      </c>
      <c r="T38" s="159">
        <v>9.1410375757572382E-3</v>
      </c>
      <c r="U38" s="17"/>
      <c r="V38" s="17"/>
      <c r="W38" s="17"/>
    </row>
    <row r="39" spans="1:34" ht="11.25" customHeight="1" outlineLevel="1">
      <c r="A39" s="17"/>
      <c r="B39" s="17"/>
      <c r="C39" s="161" t="s">
        <v>213</v>
      </c>
      <c r="D39" s="120" t="s">
        <v>95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9.5673827067392376E-3</v>
      </c>
      <c r="Q39" s="160">
        <v>9.9112949661780761E-3</v>
      </c>
      <c r="R39" s="160">
        <v>1.1554432806516867E-2</v>
      </c>
      <c r="S39" s="160">
        <v>1.3871156654089422E-2</v>
      </c>
      <c r="T39" s="160">
        <v>1.3830494751977387E-2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173</v>
      </c>
      <c r="D40" s="120" t="s">
        <v>95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6.4142447704512448E-3</v>
      </c>
      <c r="Q40" s="160">
        <f t="shared" ref="Q40:T40" si="31">AVERAGE(Q38:Q39)</f>
        <v>8.5734453709334808E-3</v>
      </c>
      <c r="R40" s="160">
        <f t="shared" si="31"/>
        <v>1.002659802990522E-2</v>
      </c>
      <c r="S40" s="160">
        <f t="shared" si="31"/>
        <v>1.1296131514512021E-2</v>
      </c>
      <c r="T40" s="160">
        <f t="shared" si="31"/>
        <v>1.1485766163867313E-2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95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95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95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95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95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92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Deloitte Access Economics</v>
      </c>
      <c r="D51" s="120" t="s">
        <v>95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BIS Oxford Economics</v>
      </c>
      <c r="D52" s="120" t="s">
        <v>95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WPI - average</v>
      </c>
      <c r="D53" s="120" t="s">
        <v>95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0.59199999999999997</v>
      </c>
      <c r="Q53" s="143">
        <v>0.59199999999999997</v>
      </c>
      <c r="R53" s="143">
        <v>0.59199999999999997</v>
      </c>
      <c r="S53" s="143">
        <v>0.59199999999999997</v>
      </c>
      <c r="T53" s="143">
        <v>0.59199999999999997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95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95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95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95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95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0.40800000000000003</v>
      </c>
      <c r="Q58" s="143">
        <v>0.40800000000000003</v>
      </c>
      <c r="R58" s="143">
        <v>0.40800000000000003</v>
      </c>
      <c r="S58" s="143">
        <v>0.40800000000000003</v>
      </c>
      <c r="T58" s="143">
        <v>0.40800000000000003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92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174</v>
      </c>
      <c r="D66" s="120" t="s">
        <v>95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v>360952.4104739555</v>
      </c>
      <c r="P66" s="141">
        <v>364404.16744794504</v>
      </c>
      <c r="Q66" s="141">
        <v>367836.41174924542</v>
      </c>
      <c r="R66" s="141">
        <v>371222.9049887397</v>
      </c>
      <c r="S66" s="141">
        <v>374562.57265222166</v>
      </c>
      <c r="T66" s="141">
        <v>377848.90511623456</v>
      </c>
      <c r="U66" s="141"/>
      <c r="V66" s="17"/>
      <c r="W66" s="17"/>
    </row>
    <row r="67" spans="1:24" outlineLevel="1">
      <c r="A67" s="17"/>
      <c r="B67" s="17"/>
      <c r="C67" s="127" t="s">
        <v>175</v>
      </c>
      <c r="D67" s="120" t="s">
        <v>95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4604.6605883983557</v>
      </c>
      <c r="P67" s="141">
        <v>4609.0828455656647</v>
      </c>
      <c r="Q67" s="141">
        <v>4613.5130976668133</v>
      </c>
      <c r="R67" s="141">
        <v>4617.9513594520704</v>
      </c>
      <c r="S67" s="141">
        <v>4622.397645698924</v>
      </c>
      <c r="T67" s="141">
        <v>4626.8519712121488</v>
      </c>
      <c r="U67" s="141"/>
      <c r="V67" s="17"/>
      <c r="W67" s="17"/>
    </row>
    <row r="68" spans="1:24" outlineLevel="1">
      <c r="A68" s="17"/>
      <c r="B68" s="17"/>
      <c r="C68" s="127" t="s">
        <v>176</v>
      </c>
      <c r="D68" s="120" t="s">
        <v>95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>
        <v>1542</v>
      </c>
      <c r="P68" s="141">
        <v>1551.5549573898315</v>
      </c>
      <c r="Q68" s="141">
        <v>1554.5246067047119</v>
      </c>
      <c r="R68" s="141">
        <v>1560.2631559371948</v>
      </c>
      <c r="S68" s="141">
        <v>1567.4414339065552</v>
      </c>
      <c r="T68" s="141">
        <v>1578.3500194549561</v>
      </c>
      <c r="U68" s="141"/>
      <c r="V68" s="17"/>
      <c r="W68" s="17"/>
    </row>
    <row r="69" spans="1:24" outlineLevel="1">
      <c r="A69" s="17"/>
      <c r="B69" s="17"/>
      <c r="C69" s="127"/>
      <c r="D69" s="120" t="s">
        <v>95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95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95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92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</v>
      </c>
      <c r="D77" s="120" t="s">
        <v>92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9.5174790846836999E-3</v>
      </c>
      <c r="Q77" s="171">
        <f t="shared" si="41"/>
        <v>9.3747042589438223E-3</v>
      </c>
      <c r="R77" s="171">
        <f t="shared" si="41"/>
        <v>9.1643982135689583E-3</v>
      </c>
      <c r="S77" s="171">
        <f t="shared" si="41"/>
        <v>8.9561679257439408E-3</v>
      </c>
      <c r="T77" s="171">
        <f t="shared" si="41"/>
        <v>8.7355216108289113E-3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Circuit Length (km)</v>
      </c>
      <c r="D78" s="120" t="s">
        <v>92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9.5992634016361933E-4</v>
      </c>
      <c r="Q78" s="171">
        <f t="shared" si="43"/>
        <v>9.6073870506430126E-4</v>
      </c>
      <c r="R78" s="171">
        <f t="shared" si="43"/>
        <v>9.6155104053963214E-4</v>
      </c>
      <c r="S78" s="171">
        <f t="shared" si="43"/>
        <v>9.6236334526622613E-4</v>
      </c>
      <c r="T78" s="171">
        <f t="shared" si="43"/>
        <v>9.6317561792957918E-4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 t="str">
        <f t="shared" si="42"/>
        <v xml:space="preserve">Ratcheted maximum demand </v>
      </c>
      <c r="D79" s="120" t="s">
        <v>92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>
        <f t="shared" si="44"/>
        <v>6.1773512388967333E-3</v>
      </c>
      <c r="Q79" s="171">
        <f t="shared" si="44"/>
        <v>1.9121533485764175E-3</v>
      </c>
      <c r="R79" s="171">
        <f t="shared" si="44"/>
        <v>3.6847170096567794E-3</v>
      </c>
      <c r="S79" s="171">
        <f t="shared" si="44"/>
        <v>4.5901333496267682E-3</v>
      </c>
      <c r="T79" s="171">
        <f t="shared" si="44"/>
        <v>6.9353798145108669E-3</v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>
        <f t="shared" si="42"/>
        <v>0</v>
      </c>
      <c r="D80" s="120" t="s">
        <v>92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 t="str">
        <f t="shared" si="45"/>
        <v/>
      </c>
      <c r="Q80" s="171" t="str">
        <f t="shared" si="45"/>
        <v/>
      </c>
      <c r="R80" s="171" t="str">
        <f t="shared" si="45"/>
        <v/>
      </c>
      <c r="S80" s="171" t="str">
        <f t="shared" si="45"/>
        <v/>
      </c>
      <c r="T80" s="171" t="str">
        <f t="shared" si="45"/>
        <v/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92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92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187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226</v>
      </c>
      <c r="K84" s="172" t="s">
        <v>227</v>
      </c>
      <c r="L84" s="172" t="s">
        <v>228</v>
      </c>
      <c r="M84" s="172"/>
      <c r="N84" s="126"/>
      <c r="O84" s="194" t="s">
        <v>208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7" t="str">
        <f>C66</f>
        <v>Customer numbers (#)</v>
      </c>
      <c r="D86" s="120" t="s">
        <v>95</v>
      </c>
      <c r="E86" s="120" t="s">
        <v>18</v>
      </c>
      <c r="F86" s="120" t="s">
        <v>36</v>
      </c>
      <c r="G86" s="121"/>
      <c r="H86" s="121"/>
      <c r="I86" s="120"/>
      <c r="J86" s="173">
        <v>0.24244830000000001</v>
      </c>
      <c r="K86" s="173">
        <v>0.5183875</v>
      </c>
      <c r="L86" s="173">
        <v>0.35791430000000002</v>
      </c>
      <c r="M86" s="173"/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7" t="str">
        <f t="shared" ref="C87:C91" si="48">C67</f>
        <v>Circuit Length (km)</v>
      </c>
      <c r="D87" s="120" t="s">
        <v>95</v>
      </c>
      <c r="E87" s="120" t="s">
        <v>18</v>
      </c>
      <c r="F87" s="120" t="s">
        <v>36</v>
      </c>
      <c r="G87" s="121"/>
      <c r="H87" s="121"/>
      <c r="I87" s="120"/>
      <c r="J87" s="173">
        <v>0.1390005</v>
      </c>
      <c r="K87" s="173">
        <v>0.2287825</v>
      </c>
      <c r="L87" s="173">
        <v>0.2330788</v>
      </c>
      <c r="M87" s="173"/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7" t="str">
        <f t="shared" si="48"/>
        <v xml:space="preserve">Ratcheted maximum demand </v>
      </c>
      <c r="D88" s="120" t="s">
        <v>95</v>
      </c>
      <c r="E88" s="120" t="s">
        <v>18</v>
      </c>
      <c r="F88" s="120" t="s">
        <v>36</v>
      </c>
      <c r="G88" s="121"/>
      <c r="H88" s="121"/>
      <c r="I88" s="120"/>
      <c r="J88" s="173">
        <v>0.58343420000000001</v>
      </c>
      <c r="K88" s="173">
        <v>0.2159809</v>
      </c>
      <c r="L88" s="173">
        <v>0.36370520000000001</v>
      </c>
      <c r="M88" s="173"/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7">
        <f t="shared" si="48"/>
        <v>0</v>
      </c>
      <c r="D89" s="120" t="s">
        <v>95</v>
      </c>
      <c r="E89" s="120" t="s">
        <v>18</v>
      </c>
      <c r="F89" s="120" t="s">
        <v>36</v>
      </c>
      <c r="G89" s="121"/>
      <c r="H89" s="121"/>
      <c r="I89" s="120"/>
      <c r="J89" s="173"/>
      <c r="K89" s="174"/>
      <c r="L89" s="174"/>
      <c r="M89" s="173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95</v>
      </c>
      <c r="E90" s="120" t="s">
        <v>18</v>
      </c>
      <c r="F90" s="120" t="s">
        <v>36</v>
      </c>
      <c r="G90" s="121"/>
      <c r="H90" s="121"/>
      <c r="I90" s="120"/>
      <c r="J90" s="174"/>
      <c r="K90" s="174"/>
      <c r="L90" s="174"/>
      <c r="M90" s="174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95</v>
      </c>
      <c r="E91" s="120" t="s">
        <v>18</v>
      </c>
      <c r="F91" s="120" t="s">
        <v>36</v>
      </c>
      <c r="G91" s="121"/>
      <c r="H91" s="121"/>
      <c r="I91" s="120"/>
      <c r="J91" s="174"/>
      <c r="K91" s="174"/>
      <c r="L91" s="174"/>
      <c r="M91" s="174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92</v>
      </c>
      <c r="E93" s="120" t="s">
        <v>28</v>
      </c>
      <c r="F93" s="120" t="s">
        <v>36</v>
      </c>
      <c r="G93" s="120"/>
      <c r="H93" s="120"/>
      <c r="I93" s="120"/>
      <c r="J93" s="165" t="str">
        <f>IF(AND(ISBLANK(J84),COUNT(J86:J91)=0),"Ok",IF(AND(COUNTA($C66:$C71)=COUNT(J86:J91),COUNTA(J84)=1),"Ok","Check"))</f>
        <v>Ok</v>
      </c>
      <c r="K93" s="165" t="str">
        <f t="shared" ref="K93:M93" si="49">IF(AND(ISBLANK(K84),COUNT(K86:K91)=0),"Ok",IF(AND(COUNTA($C66:$C71)=COUNT(K86:K91),COUNTA(K84)=1),"Ok","Check"))</f>
        <v>Ok</v>
      </c>
      <c r="L93" s="165" t="str">
        <f t="shared" si="49"/>
        <v>Ok</v>
      </c>
      <c r="M93" s="165" t="str">
        <f t="shared" si="49"/>
        <v>Ok</v>
      </c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151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191" t="str">
        <f>J84</f>
        <v>SFA CD</v>
      </c>
      <c r="K95" s="191" t="str">
        <f>K84</f>
        <v>LSE CD</v>
      </c>
      <c r="L95" s="191" t="str">
        <f>L84</f>
        <v>LSE TLG</v>
      </c>
      <c r="M95" s="191">
        <f>M84</f>
        <v>0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5"/>
      <c r="P96" s="175"/>
      <c r="Q96" s="175"/>
      <c r="R96" s="175"/>
      <c r="S96" s="175"/>
      <c r="T96" s="175"/>
      <c r="U96" s="175"/>
      <c r="V96" s="17"/>
      <c r="W96" s="17"/>
    </row>
    <row r="97" spans="1:34" outlineLevel="1">
      <c r="A97" s="17"/>
      <c r="B97" s="17"/>
      <c r="C97" s="167" t="str">
        <f t="shared" ref="C97:C102" si="50">C66</f>
        <v>Customer numbers (#)</v>
      </c>
      <c r="D97" s="120" t="s">
        <v>92</v>
      </c>
      <c r="E97" s="120" t="str">
        <f t="shared" ref="E97:E102" si="51">percent</f>
        <v>Per cent</v>
      </c>
      <c r="F97" s="120" t="s">
        <v>36</v>
      </c>
      <c r="G97" s="121"/>
      <c r="H97" s="121"/>
      <c r="I97" s="120"/>
      <c r="J97" s="192">
        <f t="shared" ref="J97:M102" si="52">J86/SUM(J$86:J$91)</f>
        <v>0.25127222678811834</v>
      </c>
      <c r="K97" s="192">
        <f t="shared" si="52"/>
        <v>0.53822043877029024</v>
      </c>
      <c r="L97" s="192">
        <f t="shared" si="52"/>
        <v>0.3748978080300342</v>
      </c>
      <c r="M97" s="192" t="e">
        <f t="shared" si="52"/>
        <v>#DIV/0!</v>
      </c>
      <c r="N97" s="176"/>
      <c r="O97" s="176"/>
      <c r="P97" s="176"/>
      <c r="Q97" s="176"/>
      <c r="R97" s="176"/>
      <c r="S97" s="176"/>
      <c r="T97" s="176"/>
      <c r="U97" s="176"/>
      <c r="V97" s="17"/>
      <c r="W97" s="17"/>
    </row>
    <row r="98" spans="1:34" outlineLevel="1">
      <c r="A98" s="17"/>
      <c r="B98" s="17"/>
      <c r="C98" s="167" t="str">
        <f t="shared" si="50"/>
        <v>Circuit Length (km)</v>
      </c>
      <c r="D98" s="120" t="s">
        <v>92</v>
      </c>
      <c r="E98" s="120" t="str">
        <f t="shared" si="51"/>
        <v>Per cent</v>
      </c>
      <c r="F98" s="120" t="s">
        <v>36</v>
      </c>
      <c r="G98" s="121"/>
      <c r="H98" s="121"/>
      <c r="I98" s="120"/>
      <c r="J98" s="192">
        <f t="shared" si="52"/>
        <v>0.1440594351854059</v>
      </c>
      <c r="K98" s="192">
        <f t="shared" si="52"/>
        <v>0.23753546822206156</v>
      </c>
      <c r="L98" s="192">
        <f t="shared" si="52"/>
        <v>0.24413869805780528</v>
      </c>
      <c r="M98" s="192" t="e">
        <f t="shared" si="52"/>
        <v>#DIV/0!</v>
      </c>
      <c r="N98" s="176"/>
      <c r="O98" s="176"/>
      <c r="P98" s="176"/>
      <c r="Q98" s="176"/>
      <c r="R98" s="176"/>
      <c r="S98" s="176"/>
      <c r="T98" s="176"/>
      <c r="U98" s="176"/>
      <c r="V98" s="17"/>
      <c r="W98" s="17"/>
    </row>
    <row r="99" spans="1:34" outlineLevel="1">
      <c r="A99" s="17"/>
      <c r="B99" s="17"/>
      <c r="C99" s="167" t="str">
        <f t="shared" si="50"/>
        <v xml:space="preserve">Ratcheted maximum demand </v>
      </c>
      <c r="D99" s="120" t="s">
        <v>92</v>
      </c>
      <c r="E99" s="120" t="str">
        <f t="shared" si="51"/>
        <v>Per cent</v>
      </c>
      <c r="F99" s="120" t="s">
        <v>36</v>
      </c>
      <c r="G99" s="121"/>
      <c r="H99" s="121"/>
      <c r="I99" s="120"/>
      <c r="J99" s="192">
        <f t="shared" si="52"/>
        <v>0.60466833802647568</v>
      </c>
      <c r="K99" s="192">
        <f t="shared" si="52"/>
        <v>0.22424409300764811</v>
      </c>
      <c r="L99" s="192">
        <f t="shared" si="52"/>
        <v>0.38096349391216056</v>
      </c>
      <c r="M99" s="192" t="e">
        <f t="shared" si="52"/>
        <v>#DIV/0!</v>
      </c>
      <c r="N99" s="176"/>
      <c r="O99" s="176"/>
      <c r="P99" s="176"/>
      <c r="Q99" s="176"/>
      <c r="R99" s="176"/>
      <c r="S99" s="176"/>
      <c r="T99" s="176"/>
      <c r="U99" s="176"/>
      <c r="V99" s="17"/>
      <c r="W99" s="17"/>
    </row>
    <row r="100" spans="1:34" outlineLevel="1">
      <c r="A100" s="17"/>
      <c r="B100" s="17"/>
      <c r="C100" s="167">
        <f t="shared" si="50"/>
        <v>0</v>
      </c>
      <c r="D100" s="120" t="s">
        <v>92</v>
      </c>
      <c r="E100" s="120" t="str">
        <f t="shared" si="51"/>
        <v>Per cent</v>
      </c>
      <c r="F100" s="120" t="s">
        <v>36</v>
      </c>
      <c r="G100" s="121"/>
      <c r="H100" s="121"/>
      <c r="I100" s="120"/>
      <c r="J100" s="192">
        <f t="shared" si="52"/>
        <v>0</v>
      </c>
      <c r="K100" s="192">
        <f t="shared" si="52"/>
        <v>0</v>
      </c>
      <c r="L100" s="192">
        <f t="shared" si="52"/>
        <v>0</v>
      </c>
      <c r="M100" s="192" t="e">
        <f t="shared" si="52"/>
        <v>#DIV/0!</v>
      </c>
      <c r="N100" s="176"/>
      <c r="O100" s="176"/>
      <c r="P100" s="176"/>
      <c r="Q100" s="176"/>
      <c r="R100" s="176"/>
      <c r="S100" s="176"/>
      <c r="T100" s="176"/>
      <c r="U100" s="176"/>
      <c r="V100" s="17"/>
      <c r="W100" s="17"/>
    </row>
    <row r="101" spans="1:34" outlineLevel="1">
      <c r="A101" s="17"/>
      <c r="B101" s="17"/>
      <c r="C101" s="167">
        <f t="shared" si="50"/>
        <v>0</v>
      </c>
      <c r="D101" s="120" t="s">
        <v>92</v>
      </c>
      <c r="E101" s="120" t="str">
        <f t="shared" si="51"/>
        <v>Per cent</v>
      </c>
      <c r="F101" s="120" t="s">
        <v>36</v>
      </c>
      <c r="G101" s="121"/>
      <c r="H101" s="121"/>
      <c r="I101" s="120"/>
      <c r="J101" s="192">
        <f t="shared" si="52"/>
        <v>0</v>
      </c>
      <c r="K101" s="192">
        <f t="shared" si="52"/>
        <v>0</v>
      </c>
      <c r="L101" s="192">
        <f t="shared" si="52"/>
        <v>0</v>
      </c>
      <c r="M101" s="192" t="e">
        <f t="shared" si="52"/>
        <v>#DIV/0!</v>
      </c>
      <c r="N101" s="176"/>
      <c r="O101" s="176"/>
      <c r="P101" s="176"/>
      <c r="Q101" s="176"/>
      <c r="R101" s="176"/>
      <c r="S101" s="176"/>
      <c r="T101" s="176"/>
      <c r="U101" s="176"/>
      <c r="V101" s="17"/>
      <c r="W101" s="17"/>
    </row>
    <row r="102" spans="1:34" outlineLevel="1">
      <c r="A102" s="17"/>
      <c r="B102" s="17"/>
      <c r="C102" s="167">
        <f t="shared" si="50"/>
        <v>0</v>
      </c>
      <c r="D102" s="120" t="s">
        <v>92</v>
      </c>
      <c r="E102" s="120" t="str">
        <f t="shared" si="51"/>
        <v>Per cent</v>
      </c>
      <c r="F102" s="120" t="s">
        <v>36</v>
      </c>
      <c r="G102" s="121"/>
      <c r="H102" s="121"/>
      <c r="I102" s="120"/>
      <c r="J102" s="192">
        <f t="shared" si="52"/>
        <v>0</v>
      </c>
      <c r="K102" s="192">
        <f t="shared" si="52"/>
        <v>0</v>
      </c>
      <c r="L102" s="192">
        <f t="shared" si="52"/>
        <v>0</v>
      </c>
      <c r="M102" s="192" t="e">
        <f t="shared" si="52"/>
        <v>#DIV/0!</v>
      </c>
      <c r="N102" s="176"/>
      <c r="O102" s="176"/>
      <c r="P102" s="176"/>
      <c r="Q102" s="176"/>
      <c r="R102" s="176"/>
      <c r="S102" s="176"/>
      <c r="T102" s="176"/>
      <c r="U102" s="176"/>
      <c r="V102" s="17"/>
      <c r="W102" s="17"/>
    </row>
    <row r="103" spans="1:34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2" t="s">
        <v>152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53">IF(YEAR(J$4)&gt;=FPFirstYear,IF(YEAR(J$4)&lt;=FPLastYear,J$4,""),"")</f>
        <v/>
      </c>
      <c r="K104" s="138" t="str">
        <f t="shared" si="53"/>
        <v/>
      </c>
      <c r="L104" s="138" t="str">
        <f t="shared" si="53"/>
        <v/>
      </c>
      <c r="M104" s="138" t="str">
        <f t="shared" si="53"/>
        <v/>
      </c>
      <c r="N104" s="138" t="str">
        <f t="shared" si="53"/>
        <v/>
      </c>
      <c r="O104" s="138" t="str">
        <f t="shared" si="53"/>
        <v/>
      </c>
      <c r="P104" s="138">
        <f t="shared" si="53"/>
        <v>46539</v>
      </c>
      <c r="Q104" s="138">
        <f t="shared" si="53"/>
        <v>46905</v>
      </c>
      <c r="R104" s="138">
        <f t="shared" si="53"/>
        <v>47270</v>
      </c>
      <c r="S104" s="138">
        <f t="shared" si="53"/>
        <v>47635</v>
      </c>
      <c r="T104" s="138">
        <f t="shared" si="53"/>
        <v>48000</v>
      </c>
      <c r="U104" s="138" t="str">
        <f t="shared" si="53"/>
        <v/>
      </c>
      <c r="V104" s="166"/>
      <c r="W104" s="17"/>
      <c r="X104" s="82"/>
    </row>
    <row r="105" spans="1:34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6"/>
      <c r="W105" s="17"/>
      <c r="X105" s="82"/>
    </row>
    <row r="106" spans="1:34" outlineLevel="1">
      <c r="A106" s="17"/>
      <c r="B106" s="17"/>
      <c r="C106" s="167" t="str">
        <f t="array" ref="C106:C109">TRANSPOSE(J95:M95)</f>
        <v>SFA CD</v>
      </c>
      <c r="D106" s="120" t="s">
        <v>92</v>
      </c>
      <c r="E106" s="120" t="s">
        <v>18</v>
      </c>
      <c r="F106" s="120" t="s">
        <v>36</v>
      </c>
      <c r="G106" s="120"/>
      <c r="H106" s="120"/>
      <c r="I106" s="120"/>
      <c r="J106" s="171" t="str">
        <f t="shared" ref="J106:U106" si="54">IF(J$104=J$4,SUMPRODUCT(J$77:J$82,$J$97:$J$102),"")</f>
        <v/>
      </c>
      <c r="K106" s="171" t="str">
        <f t="shared" si="54"/>
        <v/>
      </c>
      <c r="L106" s="171" t="str">
        <f t="shared" si="54"/>
        <v/>
      </c>
      <c r="M106" s="171" t="str">
        <f t="shared" si="54"/>
        <v/>
      </c>
      <c r="N106" s="171" t="str">
        <f t="shared" si="54"/>
        <v/>
      </c>
      <c r="O106" s="171" t="str">
        <f t="shared" si="54"/>
        <v/>
      </c>
      <c r="P106" s="171">
        <f t="shared" si="54"/>
        <v>6.2650133164308588E-3</v>
      </c>
      <c r="Q106" s="171">
        <f t="shared" si="54"/>
        <v>3.6502248771726553E-3</v>
      </c>
      <c r="R106" s="171">
        <f t="shared" si="54"/>
        <v>4.6693109564256551E-3</v>
      </c>
      <c r="S106" s="171">
        <f t="shared" si="54"/>
        <v>5.1645820819909115E-3</v>
      </c>
      <c r="T106" s="171">
        <f t="shared" si="54"/>
        <v>6.5273530888346537E-3</v>
      </c>
      <c r="U106" s="171" t="str">
        <f t="shared" si="54"/>
        <v/>
      </c>
      <c r="V106" s="166"/>
      <c r="W106" s="17"/>
      <c r="X106" s="82"/>
    </row>
    <row r="107" spans="1:34" outlineLevel="1">
      <c r="A107" s="17"/>
      <c r="B107" s="17"/>
      <c r="C107" s="167" t="str">
        <v>LSE CD</v>
      </c>
      <c r="D107" s="120" t="s">
        <v>92</v>
      </c>
      <c r="E107" s="120" t="s">
        <v>18</v>
      </c>
      <c r="F107" s="120" t="s">
        <v>36</v>
      </c>
      <c r="G107" s="120"/>
      <c r="H107" s="120"/>
      <c r="I107" s="120"/>
      <c r="J107" s="171" t="str">
        <f t="shared" ref="J107:U107" si="55">IF(J$104=J$4,SUMPRODUCT(J$77:J$82,$K$97:$K$102),"")</f>
        <v/>
      </c>
      <c r="K107" s="171" t="str">
        <f t="shared" si="55"/>
        <v/>
      </c>
      <c r="L107" s="171" t="str">
        <f t="shared" si="55"/>
        <v/>
      </c>
      <c r="M107" s="171" t="str">
        <f t="shared" si="55"/>
        <v/>
      </c>
      <c r="N107" s="171" t="str">
        <f t="shared" si="55"/>
        <v/>
      </c>
      <c r="O107" s="171" t="str">
        <f t="shared" si="55"/>
        <v/>
      </c>
      <c r="P107" s="171">
        <f t="shared" si="55"/>
        <v>6.735752847371046E-3</v>
      </c>
      <c r="Q107" s="171">
        <f t="shared" si="55"/>
        <v>5.7026560510800147E-3</v>
      </c>
      <c r="R107" s="171">
        <f t="shared" si="55"/>
        <v>5.9871449280270786E-3</v>
      </c>
      <c r="S107" s="171">
        <f t="shared" si="55"/>
        <v>6.0782983482830788E-3</v>
      </c>
      <c r="T107" s="171">
        <f t="shared" si="55"/>
        <v>6.4856426018212064E-3</v>
      </c>
      <c r="U107" s="171" t="str">
        <f t="shared" si="55"/>
        <v/>
      </c>
      <c r="V107" s="166"/>
      <c r="W107" s="17"/>
      <c r="X107" s="82"/>
    </row>
    <row r="108" spans="1:34" outlineLevel="1">
      <c r="A108" s="17"/>
      <c r="B108" s="17"/>
      <c r="C108" s="167" t="str">
        <v>LSE TLG</v>
      </c>
      <c r="D108" s="120" t="s">
        <v>92</v>
      </c>
      <c r="E108" s="120" t="s">
        <v>18</v>
      </c>
      <c r="F108" s="120" t="s">
        <v>36</v>
      </c>
      <c r="G108" s="120"/>
      <c r="H108" s="120"/>
      <c r="I108" s="120"/>
      <c r="J108" s="171" t="str">
        <f t="shared" ref="J108:U108" si="56">IF(J$104=J$4,SUMPRODUCT(J$77:J$82,$L$97:$L$102),"")</f>
        <v/>
      </c>
      <c r="K108" s="171" t="str">
        <f t="shared" si="56"/>
        <v/>
      </c>
      <c r="L108" s="171" t="str">
        <f t="shared" si="56"/>
        <v/>
      </c>
      <c r="M108" s="171" t="str">
        <f t="shared" si="56"/>
        <v/>
      </c>
      <c r="N108" s="171" t="str">
        <f t="shared" si="56"/>
        <v/>
      </c>
      <c r="O108" s="171" t="str">
        <f t="shared" si="56"/>
        <v/>
      </c>
      <c r="P108" s="171">
        <f t="shared" si="56"/>
        <v>6.1557825248312681E-3</v>
      </c>
      <c r="Q108" s="171">
        <f t="shared" si="56"/>
        <v>4.4775701948055148E-3</v>
      </c>
      <c r="R108" s="171">
        <f t="shared" si="56"/>
        <v>5.0742072874112518E-3</v>
      </c>
      <c r="S108" s="171">
        <f t="shared" si="56"/>
        <v>5.3412710962786941E-3</v>
      </c>
      <c r="T108" s="171">
        <f t="shared" si="56"/>
        <v>6.1522028710050336E-3</v>
      </c>
      <c r="U108" s="171" t="str">
        <f t="shared" si="56"/>
        <v/>
      </c>
      <c r="V108" s="166"/>
      <c r="W108" s="17"/>
      <c r="X108" s="82"/>
    </row>
    <row r="109" spans="1:34" outlineLevel="1">
      <c r="A109" s="17"/>
      <c r="B109" s="17"/>
      <c r="C109" s="167">
        <v>0</v>
      </c>
      <c r="D109" s="120" t="s">
        <v>92</v>
      </c>
      <c r="E109" s="120" t="s">
        <v>18</v>
      </c>
      <c r="F109" s="120" t="s">
        <v>36</v>
      </c>
      <c r="G109" s="120"/>
      <c r="H109" s="120"/>
      <c r="I109" s="120"/>
      <c r="J109" s="171" t="str">
        <f t="shared" ref="J109:U109" si="57">IF(J$104=J$4,SUMPRODUCT(J$77:J$82,$M$97:$M$102),"")</f>
        <v/>
      </c>
      <c r="K109" s="171" t="str">
        <f t="shared" si="57"/>
        <v/>
      </c>
      <c r="L109" s="171" t="str">
        <f t="shared" si="57"/>
        <v/>
      </c>
      <c r="M109" s="171" t="str">
        <f t="shared" si="57"/>
        <v/>
      </c>
      <c r="N109" s="171" t="str">
        <f t="shared" si="57"/>
        <v/>
      </c>
      <c r="O109" s="171" t="str">
        <f t="shared" si="57"/>
        <v/>
      </c>
      <c r="P109" s="171" t="e">
        <f t="shared" si="57"/>
        <v>#DIV/0!</v>
      </c>
      <c r="Q109" s="171" t="e">
        <f t="shared" si="57"/>
        <v>#DIV/0!</v>
      </c>
      <c r="R109" s="171" t="e">
        <f t="shared" si="57"/>
        <v>#DIV/0!</v>
      </c>
      <c r="S109" s="171" t="e">
        <f t="shared" si="57"/>
        <v>#DIV/0!</v>
      </c>
      <c r="T109" s="171" t="e">
        <f t="shared" si="57"/>
        <v>#DIV/0!</v>
      </c>
      <c r="U109" s="171" t="str">
        <f t="shared" si="57"/>
        <v/>
      </c>
      <c r="V109" s="166"/>
      <c r="W109" s="17"/>
      <c r="X109" s="82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58">IF(YEAR(J$4)&gt;=FPFirstYear,IF(YEAR(J$4)&lt;=FPLastYear,J$4,""),"")</f>
        <v/>
      </c>
      <c r="K113" s="138" t="str">
        <f t="shared" si="58"/>
        <v/>
      </c>
      <c r="L113" s="138" t="str">
        <f t="shared" si="58"/>
        <v/>
      </c>
      <c r="M113" s="138" t="str">
        <f t="shared" si="58"/>
        <v/>
      </c>
      <c r="N113" s="138" t="str">
        <f t="shared" si="58"/>
        <v/>
      </c>
      <c r="O113" s="138" t="str">
        <f t="shared" si="58"/>
        <v/>
      </c>
      <c r="P113" s="138">
        <f t="shared" si="58"/>
        <v>46539</v>
      </c>
      <c r="Q113" s="138">
        <f t="shared" si="58"/>
        <v>46905</v>
      </c>
      <c r="R113" s="138">
        <f t="shared" si="58"/>
        <v>47270</v>
      </c>
      <c r="S113" s="138">
        <f t="shared" si="58"/>
        <v>47635</v>
      </c>
      <c r="T113" s="138">
        <f t="shared" si="58"/>
        <v>48000</v>
      </c>
      <c r="U113" s="138" t="str">
        <f t="shared" si="58"/>
        <v/>
      </c>
      <c r="V113" s="17"/>
      <c r="W113" s="17"/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5" t="s">
        <v>47</v>
      </c>
      <c r="D115" s="120" t="s">
        <v>95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8"/>
      <c r="L115" s="178"/>
      <c r="M115" s="178"/>
      <c r="N115" s="178"/>
      <c r="O115" s="168"/>
      <c r="P115" s="168">
        <v>5.0000000000000001E-3</v>
      </c>
      <c r="Q115" s="168">
        <f>$P$115</f>
        <v>5.0000000000000001E-3</v>
      </c>
      <c r="R115" s="168">
        <f t="shared" ref="R115:T115" si="59">$P$115</f>
        <v>5.0000000000000001E-3</v>
      </c>
      <c r="S115" s="168">
        <f t="shared" si="59"/>
        <v>5.0000000000000001E-3</v>
      </c>
      <c r="T115" s="168">
        <f t="shared" si="59"/>
        <v>5.0000000000000001E-3</v>
      </c>
      <c r="U115" s="168"/>
      <c r="V115" s="17"/>
      <c r="W115" s="17"/>
    </row>
    <row r="116" spans="1:34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9"/>
      <c r="Q116" s="179"/>
      <c r="R116" s="179"/>
      <c r="S116" s="179"/>
      <c r="T116" s="179"/>
      <c r="U116" s="179"/>
      <c r="V116" s="17"/>
      <c r="W116" s="17"/>
    </row>
    <row r="117" spans="1:34" outlineLevel="1">
      <c r="A117" s="17"/>
      <c r="B117" s="17"/>
      <c r="C117" s="17" t="s">
        <v>40</v>
      </c>
      <c r="D117" s="120" t="s">
        <v>92</v>
      </c>
      <c r="E117" s="120" t="s">
        <v>28</v>
      </c>
      <c r="F117" s="120" t="s">
        <v>36</v>
      </c>
      <c r="G117" s="120"/>
      <c r="H117" s="120"/>
      <c r="I117" s="120"/>
      <c r="J117" s="165" t="str">
        <f t="shared" ref="J117:S117" si="60">IF(J113=J$4,IF(ISBLANK(J115),"Check","Ok"),"")</f>
        <v/>
      </c>
      <c r="K117" s="165" t="str">
        <f t="shared" si="60"/>
        <v/>
      </c>
      <c r="L117" s="165" t="str">
        <f t="shared" si="60"/>
        <v/>
      </c>
      <c r="M117" s="165" t="str">
        <f t="shared" si="60"/>
        <v/>
      </c>
      <c r="N117" s="165" t="str">
        <f t="shared" si="60"/>
        <v/>
      </c>
      <c r="O117" s="165" t="str">
        <f t="shared" si="60"/>
        <v/>
      </c>
      <c r="P117" s="165" t="str">
        <f t="shared" si="60"/>
        <v>Ok</v>
      </c>
      <c r="Q117" s="165" t="str">
        <f t="shared" si="60"/>
        <v>Ok</v>
      </c>
      <c r="R117" s="165" t="str">
        <f t="shared" si="60"/>
        <v>Ok</v>
      </c>
      <c r="S117" s="165" t="str">
        <f t="shared" si="60"/>
        <v>Ok</v>
      </c>
      <c r="T117" s="165" t="str">
        <f>IF(T113=T$4,IF(ISBLANK(T115),"Check","Ok"),"")</f>
        <v>Ok</v>
      </c>
      <c r="U117" s="165" t="str">
        <f>IF(U113=U$4,IF(ISBLANK(U115),"Check","Ok"),"")</f>
        <v/>
      </c>
      <c r="V117" s="166"/>
      <c r="W117" s="17"/>
      <c r="X117" s="81" t="str">
        <f>IF(COUNTIF(J117:T117,"Check")=0,"Ok","Check")</f>
        <v>Ok</v>
      </c>
    </row>
    <row r="118" spans="1:34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13" priority="56">
      <formula>J$36=J$4</formula>
    </cfRule>
  </conditionalFormatting>
  <conditionalFormatting sqref="J16:U22">
    <cfRule type="cellIs" dxfId="112" priority="23" operator="equal">
      <formula>0</formula>
    </cfRule>
  </conditionalFormatting>
  <conditionalFormatting sqref="J26:U32">
    <cfRule type="cellIs" dxfId="111" priority="24" operator="equal">
      <formula>0</formula>
    </cfRule>
  </conditionalFormatting>
  <conditionalFormatting sqref="J36:U36">
    <cfRule type="expression" dxfId="110" priority="58">
      <formula>J$36=J$4</formula>
    </cfRule>
  </conditionalFormatting>
  <conditionalFormatting sqref="J47:U47">
    <cfRule type="cellIs" dxfId="109" priority="44" operator="equal">
      <formula>"Ok"</formula>
    </cfRule>
    <cfRule type="cellIs" dxfId="108" priority="43" operator="equal">
      <formula>"Check"</formula>
    </cfRule>
  </conditionalFormatting>
  <conditionalFormatting sqref="J49:U49">
    <cfRule type="expression" dxfId="107" priority="28">
      <formula>J$36=J$4</formula>
    </cfRule>
  </conditionalFormatting>
  <conditionalFormatting sqref="J51:U58">
    <cfRule type="expression" dxfId="106" priority="9">
      <formula>J$49=J$4</formula>
    </cfRule>
  </conditionalFormatting>
  <conditionalFormatting sqref="J60:U60">
    <cfRule type="cellIs" dxfId="105" priority="68" operator="equal">
      <formula>"Ok"</formula>
    </cfRule>
    <cfRule type="cellIs" dxfId="104" priority="67" operator="equal">
      <formula>"Check"</formula>
    </cfRule>
  </conditionalFormatting>
  <conditionalFormatting sqref="J64:U64">
    <cfRule type="expression" dxfId="103" priority="33">
      <formula>J$64=J$4</formula>
    </cfRule>
  </conditionalFormatting>
  <conditionalFormatting sqref="J66:U71">
    <cfRule type="expression" dxfId="102" priority="31">
      <formula>J$64=J$4</formula>
    </cfRule>
  </conditionalFormatting>
  <conditionalFormatting sqref="J73:U73">
    <cfRule type="cellIs" dxfId="101" priority="39" operator="equal">
      <formula>"Check"</formula>
    </cfRule>
    <cfRule type="cellIs" dxfId="100" priority="40" operator="equal">
      <formula>"Ok"</formula>
    </cfRule>
  </conditionalFormatting>
  <conditionalFormatting sqref="J75:U75">
    <cfRule type="expression" dxfId="99" priority="27">
      <formula>J$36=J$4</formula>
    </cfRule>
  </conditionalFormatting>
  <conditionalFormatting sqref="J93:U93">
    <cfRule type="cellIs" dxfId="98" priority="4" operator="equal">
      <formula>"Ok"</formula>
    </cfRule>
    <cfRule type="cellIs" dxfId="97" priority="3" operator="equal">
      <formula>"Check"</formula>
    </cfRule>
  </conditionalFormatting>
  <conditionalFormatting sqref="J104:U104">
    <cfRule type="expression" dxfId="96" priority="178">
      <formula>J$104=J$4</formula>
    </cfRule>
  </conditionalFormatting>
  <conditionalFormatting sqref="J105:U105">
    <cfRule type="cellIs" dxfId="95" priority="16" operator="equal">
      <formula>"Check"</formula>
    </cfRule>
    <cfRule type="cellIs" dxfId="94" priority="17" operator="equal">
      <formula>"Ok"</formula>
    </cfRule>
  </conditionalFormatting>
  <conditionalFormatting sqref="J113:U113">
    <cfRule type="expression" dxfId="93" priority="26">
      <formula>J$36=J$4</formula>
    </cfRule>
  </conditionalFormatting>
  <conditionalFormatting sqref="J115:U115">
    <cfRule type="expression" dxfId="92" priority="179">
      <formula>J$113=J$4</formula>
    </cfRule>
  </conditionalFormatting>
  <conditionalFormatting sqref="J117:U117">
    <cfRule type="cellIs" dxfId="91" priority="47" operator="equal">
      <formula>"Check"</formula>
    </cfRule>
    <cfRule type="cellIs" dxfId="90" priority="48" operator="equal">
      <formula>"Ok"</formula>
    </cfRule>
  </conditionalFormatting>
  <conditionalFormatting sqref="L86:M88 K89:M91">
    <cfRule type="expression" dxfId="89" priority="175">
      <formula>K$95=K$4</formula>
    </cfRule>
  </conditionalFormatting>
  <conditionalFormatting sqref="P38:T45">
    <cfRule type="expression" dxfId="88" priority="11">
      <formula>P$36=P$4</formula>
    </cfRule>
  </conditionalFormatting>
  <conditionalFormatting sqref="T1:U1">
    <cfRule type="cellIs" dxfId="87" priority="87" operator="equal">
      <formula>"Check"</formula>
    </cfRule>
    <cfRule type="cellIs" dxfId="86" priority="88" operator="equal">
      <formula>"Ok"</formula>
    </cfRule>
  </conditionalFormatting>
  <conditionalFormatting sqref="X1 X104:X109">
    <cfRule type="cellIs" dxfId="85" priority="123" operator="equal">
      <formula>"Check"</formula>
    </cfRule>
    <cfRule type="cellIs" dxfId="84" priority="124" operator="equal">
      <formula>"Ok"</formula>
    </cfRule>
  </conditionalFormatting>
  <conditionalFormatting sqref="X47">
    <cfRule type="cellIs" dxfId="83" priority="45" operator="equal">
      <formula>"Check"</formula>
    </cfRule>
    <cfRule type="cellIs" dxfId="82" priority="46" operator="equal">
      <formula>"Ok"</formula>
    </cfRule>
  </conditionalFormatting>
  <conditionalFormatting sqref="X60">
    <cfRule type="cellIs" dxfId="81" priority="75" operator="equal">
      <formula>"Check"</formula>
    </cfRule>
    <cfRule type="cellIs" dxfId="80" priority="76" operator="equal">
      <formula>"Ok"</formula>
    </cfRule>
  </conditionalFormatting>
  <conditionalFormatting sqref="X73">
    <cfRule type="cellIs" dxfId="79" priority="42" operator="equal">
      <formula>"Ok"</formula>
    </cfRule>
    <cfRule type="cellIs" dxfId="78" priority="41" operator="equal">
      <formula>"Check"</formula>
    </cfRule>
  </conditionalFormatting>
  <conditionalFormatting sqref="X93">
    <cfRule type="cellIs" dxfId="77" priority="5" operator="equal">
      <formula>"Check"</formula>
    </cfRule>
    <cfRule type="cellIs" dxfId="76" priority="6" operator="equal">
      <formula>"Ok"</formula>
    </cfRule>
  </conditionalFormatting>
  <conditionalFormatting sqref="X117">
    <cfRule type="cellIs" dxfId="75" priority="49" operator="equal">
      <formula>"Check"</formula>
    </cfRule>
    <cfRule type="cellIs" dxfId="74" priority="50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topLeftCell="A8" zoomScaleNormal="100" workbookViewId="0">
      <selection activeCell="T40" sqref="T40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8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108</v>
      </c>
      <c r="K3" s="100"/>
      <c r="L3" s="100"/>
      <c r="M3" s="105"/>
      <c r="N3" s="200"/>
      <c r="O3" s="200"/>
      <c r="P3" s="200"/>
      <c r="Q3" s="200"/>
      <c r="R3" s="200"/>
      <c r="S3" s="200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222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1">
        <v>0</v>
      </c>
      <c r="P12" s="181">
        <v>0</v>
      </c>
      <c r="Q12" s="181">
        <v>0</v>
      </c>
      <c r="R12" s="181">
        <v>0</v>
      </c>
      <c r="S12" s="181">
        <v>0</v>
      </c>
      <c r="T12" s="181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215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1">
        <v>0.73853333496438345</v>
      </c>
      <c r="P13" s="181">
        <v>0.72730503032510307</v>
      </c>
      <c r="Q13" s="181">
        <v>0.71288740630427649</v>
      </c>
      <c r="R13" s="181">
        <v>0.68878422581033683</v>
      </c>
      <c r="S13" s="181">
        <v>0.66263889414571786</v>
      </c>
      <c r="T13" s="181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 t="s">
        <v>216</v>
      </c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1">
        <v>0.79775265243307414</v>
      </c>
      <c r="P14" s="181">
        <v>2.6365647885938155</v>
      </c>
      <c r="Q14" s="181">
        <v>2.6705397210779167</v>
      </c>
      <c r="R14" s="181">
        <v>2.9900652457275534</v>
      </c>
      <c r="S14" s="181">
        <v>3.1434120335877371</v>
      </c>
      <c r="T14" s="181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 t="s">
        <v>220</v>
      </c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1">
        <v>1.4590869121278545</v>
      </c>
      <c r="P15" s="181">
        <v>3.6917534433713382</v>
      </c>
      <c r="Q15" s="181">
        <v>2.2471376051779779</v>
      </c>
      <c r="R15" s="181">
        <v>2.4944784664693977</v>
      </c>
      <c r="S15" s="181">
        <v>0.98957192693527096</v>
      </c>
      <c r="T15" s="181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 t="s">
        <v>219</v>
      </c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2">
        <v>0.21585431735167637</v>
      </c>
      <c r="P16" s="182">
        <v>1.0057412024982078</v>
      </c>
      <c r="Q16" s="182">
        <v>1.9404346883662529</v>
      </c>
      <c r="R16" s="182">
        <v>2.5843479670518525</v>
      </c>
      <c r="S16" s="182">
        <v>2.872931539090223</v>
      </c>
      <c r="T16" s="181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 t="s">
        <v>221</v>
      </c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1">
        <v>0</v>
      </c>
      <c r="P17" s="181">
        <v>0</v>
      </c>
      <c r="Q17" s="181">
        <v>0</v>
      </c>
      <c r="R17" s="181">
        <v>0</v>
      </c>
      <c r="S17" s="181">
        <v>0</v>
      </c>
      <c r="T17" s="181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 t="s">
        <v>217</v>
      </c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1">
        <v>0</v>
      </c>
      <c r="P18" s="181">
        <v>-2.6338201753376773E-2</v>
      </c>
      <c r="Q18" s="181">
        <v>-3.9463824973775374E-2</v>
      </c>
      <c r="R18" s="181">
        <v>-4.2386964429649961E-2</v>
      </c>
      <c r="S18" s="181">
        <v>-4.7488206311911953E-2</v>
      </c>
      <c r="T18" s="181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 t="s">
        <v>225</v>
      </c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1">
        <v>0.41880498256732368</v>
      </c>
      <c r="P19" s="181">
        <v>4.0667587771574289E-2</v>
      </c>
      <c r="Q19" s="181">
        <v>-0.33375138028030693</v>
      </c>
      <c r="R19" s="181">
        <v>-0.61050204506040373</v>
      </c>
      <c r="S19" s="181">
        <v>-0.61554967385771087</v>
      </c>
      <c r="T19" s="181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81"/>
      <c r="P20" s="181"/>
      <c r="Q20" s="181"/>
      <c r="R20" s="181"/>
      <c r="S20" s="181"/>
      <c r="T20" s="181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92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105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101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3" t="s">
        <v>210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81"/>
      <c r="O28" s="181">
        <v>5.516319462354026E-2</v>
      </c>
      <c r="P28" s="181">
        <v>5.3765309672761184E-2</v>
      </c>
      <c r="Q28" s="181">
        <v>5.2402848383518573E-2</v>
      </c>
      <c r="R28" s="181">
        <v>5.107491308837854E-2</v>
      </c>
      <c r="S28" s="181">
        <v>4.9780628867607084E-2</v>
      </c>
      <c r="T28" s="181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3" t="s">
        <v>218</v>
      </c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81"/>
      <c r="O29" s="181">
        <v>0.21074000000000001</v>
      </c>
      <c r="P29" s="181">
        <v>0.21074000000000001</v>
      </c>
      <c r="Q29" s="181">
        <v>0.21074000000000001</v>
      </c>
      <c r="R29" s="181">
        <v>0.21074000000000001</v>
      </c>
      <c r="S29" s="181">
        <v>0.21074000000000001</v>
      </c>
      <c r="T29" s="181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3" t="s">
        <v>214</v>
      </c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1"/>
      <c r="O30" s="181">
        <v>0.79376501099386132</v>
      </c>
      <c r="P30" s="181">
        <v>0.80012650152499576</v>
      </c>
      <c r="Q30" s="181">
        <v>0.80746748698004034</v>
      </c>
      <c r="R30" s="181">
        <v>0.81565004892887483</v>
      </c>
      <c r="S30" s="181">
        <v>0.82354959789576188</v>
      </c>
      <c r="T30" s="181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4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1"/>
      <c r="O31" s="181"/>
      <c r="P31" s="181"/>
      <c r="Q31" s="181"/>
      <c r="R31" s="181"/>
      <c r="S31" s="181"/>
      <c r="T31" s="181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1"/>
      <c r="O32" s="181"/>
      <c r="P32" s="181"/>
      <c r="Q32" s="181"/>
      <c r="R32" s="181"/>
      <c r="S32" s="181"/>
      <c r="T32" s="181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92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81"/>
      <c r="K40" s="181"/>
      <c r="L40" s="181"/>
      <c r="M40" s="181"/>
      <c r="N40" s="181"/>
      <c r="O40" s="181">
        <v>1.19651940715729</v>
      </c>
      <c r="P40" s="181">
        <v>1.2423423869899199</v>
      </c>
      <c r="Q40" s="181">
        <v>1.2900475414181101</v>
      </c>
      <c r="R40" s="181">
        <v>1.31137845396407</v>
      </c>
      <c r="S40" s="181">
        <v>1.3051696427800401</v>
      </c>
      <c r="T40" s="181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92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73" priority="25">
      <formula>J$26=J$4</formula>
    </cfRule>
  </conditionalFormatting>
  <conditionalFormatting sqref="J10:T10">
    <cfRule type="expression" dxfId="72" priority="37">
      <formula>J$10=J$4</formula>
    </cfRule>
  </conditionalFormatting>
  <conditionalFormatting sqref="J12:T20">
    <cfRule type="expression" dxfId="71" priority="13">
      <formula>J$10=J$4</formula>
    </cfRule>
  </conditionalFormatting>
  <conditionalFormatting sqref="J22:T22">
    <cfRule type="cellIs" dxfId="70" priority="30" operator="equal">
      <formula>"Check"</formula>
    </cfRule>
    <cfRule type="cellIs" dxfId="69" priority="31" operator="equal">
      <formula>"Ok"</formula>
    </cfRule>
  </conditionalFormatting>
  <conditionalFormatting sqref="J26:T26">
    <cfRule type="expression" dxfId="68" priority="15">
      <formula>J$10=J$4</formula>
    </cfRule>
  </conditionalFormatting>
  <conditionalFormatting sqref="J34:T34">
    <cfRule type="cellIs" dxfId="67" priority="26" operator="equal">
      <formula>"Check"</formula>
    </cfRule>
    <cfRule type="cellIs" dxfId="66" priority="27" operator="equal">
      <formula>"Ok"</formula>
    </cfRule>
  </conditionalFormatting>
  <conditionalFormatting sqref="J38:T38">
    <cfRule type="expression" dxfId="65" priority="14">
      <formula>J$10=J$4</formula>
    </cfRule>
  </conditionalFormatting>
  <conditionalFormatting sqref="J40:T40">
    <cfRule type="expression" dxfId="64" priority="16">
      <formula>J$38=J$4</formula>
    </cfRule>
  </conditionalFormatting>
  <conditionalFormatting sqref="J42:T42">
    <cfRule type="cellIs" dxfId="63" priority="21" operator="equal">
      <formula>"Check"</formula>
    </cfRule>
    <cfRule type="cellIs" dxfId="62" priority="22" operator="equal">
      <formula>"Ok"</formula>
    </cfRule>
  </conditionalFormatting>
  <conditionalFormatting sqref="N28:N32">
    <cfRule type="expression" dxfId="61" priority="19">
      <formula>N$10=N$4</formula>
    </cfRule>
  </conditionalFormatting>
  <conditionalFormatting sqref="O28:T30 P31:T32">
    <cfRule type="expression" dxfId="60" priority="20">
      <formula>O$10=O$4</formula>
    </cfRule>
  </conditionalFormatting>
  <conditionalFormatting sqref="S1">
    <cfRule type="cellIs" dxfId="59" priority="39" operator="equal">
      <formula>"Check"</formula>
    </cfRule>
    <cfRule type="cellIs" dxfId="58" priority="40" operator="equal">
      <formula>"Ok"</formula>
    </cfRule>
  </conditionalFormatting>
  <conditionalFormatting sqref="V1">
    <cfRule type="cellIs" dxfId="57" priority="41" operator="equal">
      <formula>"Check"</formula>
    </cfRule>
    <cfRule type="cellIs" dxfId="56" priority="42" operator="equal">
      <formula>"Ok"</formula>
    </cfRule>
  </conditionalFormatting>
  <conditionalFormatting sqref="W12:W20">
    <cfRule type="cellIs" dxfId="55" priority="11" operator="equal">
      <formula>"Check"</formula>
    </cfRule>
    <cfRule type="cellIs" dxfId="54" priority="12" operator="equal">
      <formula>"Ok"</formula>
    </cfRule>
  </conditionalFormatting>
  <conditionalFormatting sqref="W22">
    <cfRule type="cellIs" dxfId="53" priority="32" operator="equal">
      <formula>"Check"</formula>
    </cfRule>
    <cfRule type="cellIs" dxfId="52" priority="33" operator="equal">
      <formula>"Ok"</formula>
    </cfRule>
  </conditionalFormatting>
  <conditionalFormatting sqref="W28:W32">
    <cfRule type="cellIs" dxfId="51" priority="1" operator="equal">
      <formula>"Check"</formula>
    </cfRule>
    <cfRule type="cellIs" dxfId="50" priority="2" operator="equal">
      <formula>"Ok"</formula>
    </cfRule>
  </conditionalFormatting>
  <conditionalFormatting sqref="W34">
    <cfRule type="cellIs" dxfId="49" priority="28" operator="equal">
      <formula>"Check"</formula>
    </cfRule>
    <cfRule type="cellIs" dxfId="48" priority="29" operator="equal">
      <formula>"Ok"</formula>
    </cfRule>
  </conditionalFormatting>
  <conditionalFormatting sqref="W42">
    <cfRule type="cellIs" dxfId="47" priority="23" operator="equal">
      <formula>"Check"</formula>
    </cfRule>
    <cfRule type="cellIs" dxfId="46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opLeftCell="A19" zoomScaleNormal="100" workbookViewId="0">
      <selection activeCell="O107" sqref="O107:S107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8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108</v>
      </c>
      <c r="K3" s="100"/>
      <c r="L3" s="100"/>
      <c r="M3" s="105"/>
      <c r="N3" s="200"/>
      <c r="O3" s="200"/>
      <c r="P3" s="200"/>
      <c r="Q3" s="200"/>
      <c r="R3" s="200"/>
      <c r="S3" s="200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146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93.17340815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146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98.095682397430522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203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95.659418186127226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203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118.89096816807361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204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97.006194797675732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204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120.56481877566952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147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5.4635000000000003E-2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147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5.7521321954386584E-2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205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1.0189144632582081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205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1.2663648735717423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206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1.015408861990778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206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1.2620079128396056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125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98.095682397430522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145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143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1.6738506075959094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98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99.769533005026432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148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-5.3164361222249878E-2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-0.35451697373313562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-0.35451697373313562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92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149</v>
      </c>
      <c r="D54" s="67" t="s">
        <v>92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99.361851670071047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6.3855162295443912E-3</v>
      </c>
      <c r="P61" s="72">
        <f ca="1">IF(P58=P4,AVERAGE(OFFSET('Input|Rate of change'!Q106,0,0,COUNTA('Input|Rate of change'!$J$84:$M$84),1)),0)</f>
        <v>4.6101503743527289E-3</v>
      </c>
      <c r="Q61" s="72">
        <f ca="1">IF(Q58=Q4,AVERAGE(OFFSET('Input|Rate of change'!R106,0,0,COUNTA('Input|Rate of change'!$J$84:$M$84),1)),0)</f>
        <v>5.2435543906213288E-3</v>
      </c>
      <c r="R61" s="72">
        <f ca="1">IF(R58=R4,AVERAGE(OFFSET('Input|Rate of change'!S106,0,0,COUNTA('Input|Rate of change'!$J$84:$M$84),1)),0)</f>
        <v>5.5280505088508951E-3</v>
      </c>
      <c r="S61" s="72">
        <f ca="1">IF(S58=S4,AVERAGE(OFFSET('Input|Rate of change'!T106,0,0,COUNTA('Input|Rate of change'!$J$84:$M$84),1)),0)</f>
        <v>6.3883995205536309E-3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6.385516229544308E-3</v>
      </c>
      <c r="P62" s="72">
        <f t="array" aca="1" ref="P62" ca="1">IF(P$58=P$4,PRODUCT(1+$J61:P61)-1,0)</f>
        <v>1.1025104793933149E-2</v>
      </c>
      <c r="Q62" s="72">
        <f t="array" aca="1" ref="Q62" ca="1">IF(Q$58=Q$4,PRODUCT(1+$J61:Q61)-1,0)</f>
        <v>1.632646992120379E-2</v>
      </c>
      <c r="R62" s="72">
        <f t="array" aca="1" ref="R62" ca="1">IF(R$58=R$4,PRODUCT(1+$J61:R61)-1,0)</f>
        <v>2.1944773980410393E-2</v>
      </c>
      <c r="S62" s="72">
        <f t="array" aca="1" ref="S62" ca="1">IF(S$58=S$4,PRODUCT(1+$J61:S61)-1,0)</f>
        <v>2.8473365484539048E-2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3.7972329041071366E-3</v>
      </c>
      <c r="P64" s="72">
        <f>SUMPRODUCT('Input|Rate of change'!Q38:Q45,'Input|Rate of change'!Q51:Q58)</f>
        <v>5.07547965959262E-3</v>
      </c>
      <c r="Q64" s="72">
        <f>SUMPRODUCT('Input|Rate of change'!R38:R45,'Input|Rate of change'!R51:R58)</f>
        <v>5.9357460337038899E-3</v>
      </c>
      <c r="R64" s="72">
        <f>SUMPRODUCT('Input|Rate of change'!S38:S45,'Input|Rate of change'!S51:S58)</f>
        <v>6.6873098565911155E-3</v>
      </c>
      <c r="S64" s="72">
        <f>SUMPRODUCT('Input|Rate of change'!T38:T45,'Input|Rate of change'!T51:T58)</f>
        <v>6.7995735690094495E-3</v>
      </c>
      <c r="T64" s="72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3.7972329041071617E-3</v>
      </c>
      <c r="P65" s="72">
        <f t="array" ref="P65">IF(P$58=P$4,PRODUCT(1+$J64:P64)-1,0)</f>
        <v>8.8919853420672545E-3</v>
      </c>
      <c r="Q65" s="72">
        <f t="array" ref="Q65">IF(Q$58=Q$4,PRODUCT(1+$J64:Q64)-1,0)</f>
        <v>1.4880511942497066E-2</v>
      </c>
      <c r="R65" s="72">
        <f t="array" ref="R65">IF(R$58=R$4,PRODUCT(1+$J64:R64)-1,0)</f>
        <v>2.1667332393272343E-2</v>
      </c>
      <c r="S65" s="72">
        <f t="array" ref="S65">IF(S$58=S$4,PRODUCT(1+$J64:S64)-1,0)</f>
        <v>2.8614234582933884E-2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126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5.1559614438581036E-3</v>
      </c>
      <c r="P70" s="88">
        <f t="shared" ca="1" si="6"/>
        <v>4.6604836146060258E-3</v>
      </c>
      <c r="Q70" s="88">
        <f t="shared" ca="1" si="6"/>
        <v>6.1543727073443133E-3</v>
      </c>
      <c r="R70" s="88">
        <f t="shared" ca="1" si="6"/>
        <v>7.191066511337052E-3</v>
      </c>
      <c r="S70" s="88">
        <f t="shared" ca="1" si="6"/>
        <v>8.1652544246808567E-3</v>
      </c>
      <c r="T70" s="88">
        <f t="shared" ref="T70" ca="1" si="7">(1+T61)*(1+T64)*(1-T67)-1</f>
        <v>0</v>
      </c>
    </row>
    <row r="71" spans="1:31" outlineLevel="1">
      <c r="C71" s="9" t="s">
        <v>127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5.1559614438581036E-3</v>
      </c>
      <c r="P71" s="72">
        <f t="array" aca="1" ref="P71" ca="1">IF(P$58=P$4,PRODUCT(1+$J70:P70)-1,"")</f>
        <v>9.8404743322908494E-3</v>
      </c>
      <c r="Q71" s="72">
        <f t="array" aca="1" ref="Q71" ca="1">IF(Q$58=Q$4,PRODUCT(1+$J70:Q70)-1,"")</f>
        <v>1.6055408986293207E-2</v>
      </c>
      <c r="R71" s="72">
        <f t="array" aca="1" ref="R71" ca="1">IF(R$58=R$4,PRODUCT(1+$J70:R70)-1,"")</f>
        <v>2.3361931011517401E-2</v>
      </c>
      <c r="S71" s="72">
        <f t="array" aca="1" ref="S71" ca="1">IF(S$58=S$4,PRODUCT(1+$J70:S70)-1,"")</f>
        <v>3.1717941546759221E-2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96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 - moved to category specific forecasts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0.73853333496438345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0.72730503032510307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0.71288740630427649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0.68878422581033683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0.66263889414571786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0.79775265243307425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2.6365647885938155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2.6705397210779167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2.9900652457275534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3.1434120335877371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1.4590869121278545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3.6917534433713382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2.2471376051779779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2.4944784664693977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0.98957192693527096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0.21585431735167637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1.0057412024982078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1.9404346883662529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2.5843479670518525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2.872931539090223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-2.6338201753376773E-2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-3.9463824973775374E-2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-4.2386964429649961E-2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-4.7488206311911953E-2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Flexible trading arrangements pass through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0.41880498256732368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4.0667587771574289E-2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-0.33375138028030693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-0.61050204506040373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-0.61554967385771087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3.6300321994443121</v>
      </c>
      <c r="P87" s="80">
        <f t="shared" si="10"/>
        <v>8.0756938508066618</v>
      </c>
      <c r="Q87" s="80">
        <f t="shared" si="10"/>
        <v>7.1977842156723408</v>
      </c>
      <c r="R87" s="80">
        <f t="shared" si="10"/>
        <v>8.104786895569088</v>
      </c>
      <c r="S87" s="80">
        <f t="shared" si="10"/>
        <v>7.0055165135893267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106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101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GSL payments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5.516319462354026E-2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5.3765309672761184E-2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5.2402848383518573E-2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5.107491308837854E-2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4.9780628867607084E-2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Network innovation fund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0.21074000000000001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0.21074000000000001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0.21074000000000001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0.21074000000000001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0.21074000000000001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Customer assistance package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0.79376501099386132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0.80012650152499576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0.80746748698004034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0.81565004892887483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0.82354959789576188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107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1.0596682056174016</v>
      </c>
      <c r="P99" s="80">
        <f t="shared" si="14"/>
        <v>1.0646318111977568</v>
      </c>
      <c r="Q99" s="80">
        <f t="shared" si="14"/>
        <v>1.070610335363559</v>
      </c>
      <c r="R99" s="80">
        <f t="shared" si="14"/>
        <v>1.0774649620172534</v>
      </c>
      <c r="S99" s="80">
        <f t="shared" si="14"/>
        <v>1.0840702267633691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123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103.5041897457166</v>
      </c>
      <c r="P105" s="90">
        <f t="shared" ca="1" si="16"/>
        <v>108.41531327184593</v>
      </c>
      <c r="Q105" s="90">
        <f t="shared" ca="1" si="16"/>
        <v>108.15493105194179</v>
      </c>
      <c r="R105" s="90">
        <f t="shared" ca="1" si="16"/>
        <v>109.78792328953297</v>
      </c>
      <c r="S105" s="90">
        <f t="shared" ca="1" si="16"/>
        <v>109.51892158690944</v>
      </c>
      <c r="T105" s="90" t="str">
        <f t="shared" si="16"/>
        <v/>
      </c>
    </row>
    <row r="106" spans="1:39" outlineLevel="1">
      <c r="C106" s="77" t="s">
        <v>99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104.563857951334</v>
      </c>
      <c r="P106" s="90">
        <f t="shared" ca="1" si="17"/>
        <v>109.47994508304369</v>
      </c>
      <c r="Q106" s="90">
        <f t="shared" ca="1" si="17"/>
        <v>109.22554138730534</v>
      </c>
      <c r="R106" s="90">
        <f t="shared" ca="1" si="17"/>
        <v>110.86538825155023</v>
      </c>
      <c r="S106" s="90">
        <f t="shared" ca="1" si="17"/>
        <v>110.60299181367282</v>
      </c>
      <c r="T106" s="90" t="str">
        <f t="shared" si="17"/>
        <v/>
      </c>
    </row>
    <row r="107" spans="1:39" outlineLevel="1">
      <c r="C107" s="77" t="s">
        <v>100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201">
        <f ca="1">IF(YEAR(O$4)&gt;=FPFirstYear,IF(YEAR(O$4)&lt;=FPLastYear,O106+'Input|Step changes'!O40,""),"")</f>
        <v>105.7603773584913</v>
      </c>
      <c r="P107" s="201">
        <f ca="1">IF(YEAR(P$4)&gt;=FPFirstYear,IF(YEAR(P$4)&lt;=FPLastYear,P106+'Input|Step changes'!P40,""),"")</f>
        <v>110.72228747003361</v>
      </c>
      <c r="Q107" s="201">
        <f ca="1">IF(YEAR(Q$4)&gt;=FPFirstYear,IF(YEAR(Q$4)&lt;=FPLastYear,Q106+'Input|Step changes'!Q40,""),"")</f>
        <v>110.51558892872345</v>
      </c>
      <c r="R107" s="201">
        <f ca="1">IF(YEAR(R$4)&gt;=FPFirstYear,IF(YEAR(R$4)&lt;=FPLastYear,R106+'Input|Step changes'!R40,""),"")</f>
        <v>112.1767667055143</v>
      </c>
      <c r="S107" s="201">
        <f ca="1">IF(YEAR(S$4)&gt;=FPFirstYear,IF(YEAR(S$4)&lt;=FPLastYear,S106+'Input|Step changes'!S40,""),"")</f>
        <v>111.90816145645286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45" priority="28">
      <formula>J$10=J$4</formula>
    </cfRule>
  </conditionalFormatting>
  <conditionalFormatting sqref="J12:T24">
    <cfRule type="cellIs" dxfId="44" priority="9" operator="equal">
      <formula>0</formula>
    </cfRule>
  </conditionalFormatting>
  <conditionalFormatting sqref="J25:T25">
    <cfRule type="expression" dxfId="43" priority="27">
      <formula>J$10=J$4</formula>
    </cfRule>
  </conditionalFormatting>
  <conditionalFormatting sqref="J26:T54">
    <cfRule type="cellIs" dxfId="42" priority="1" operator="equal">
      <formula>0</formula>
    </cfRule>
  </conditionalFormatting>
  <conditionalFormatting sqref="J54:T54">
    <cfRule type="expression" dxfId="41" priority="26">
      <formula>J$10=J$4</formula>
    </cfRule>
  </conditionalFormatting>
  <conditionalFormatting sqref="J58:T58 J75:T75 J91:T91">
    <cfRule type="expression" dxfId="40" priority="118">
      <formula>J$58=J$4</formula>
    </cfRule>
  </conditionalFormatting>
  <conditionalFormatting sqref="J61:T68">
    <cfRule type="cellIs" dxfId="39" priority="100" operator="equal">
      <formula>0</formula>
    </cfRule>
  </conditionalFormatting>
  <conditionalFormatting sqref="J70:T70">
    <cfRule type="expression" dxfId="38" priority="112">
      <formula>J$58=J$4</formula>
    </cfRule>
  </conditionalFormatting>
  <conditionalFormatting sqref="J70:T71">
    <cfRule type="cellIs" dxfId="37" priority="19" operator="equal">
      <formula>0</formula>
    </cfRule>
  </conditionalFormatting>
  <conditionalFormatting sqref="J77:T85 J93:T99">
    <cfRule type="cellIs" dxfId="36" priority="98" operator="equal">
      <formula>0</formula>
    </cfRule>
  </conditionalFormatting>
  <conditionalFormatting sqref="J87:T87">
    <cfRule type="expression" dxfId="35" priority="116">
      <formula>J$75=J$4</formula>
    </cfRule>
    <cfRule type="cellIs" dxfId="34" priority="117" operator="equal">
      <formula>0</formula>
    </cfRule>
  </conditionalFormatting>
  <conditionalFormatting sqref="J99:T99">
    <cfRule type="expression" dxfId="33" priority="114">
      <formula>J$91=J$4</formula>
    </cfRule>
  </conditionalFormatting>
  <conditionalFormatting sqref="J103:T103">
    <cfRule type="expression" dxfId="32" priority="121">
      <formula>J$103=J$4</formula>
    </cfRule>
  </conditionalFormatting>
  <conditionalFormatting sqref="J105:T107">
    <cfRule type="cellIs" dxfId="31" priority="29" operator="equal">
      <formula>0</formula>
    </cfRule>
  </conditionalFormatting>
  <conditionalFormatting sqref="S1:T1">
    <cfRule type="cellIs" dxfId="30" priority="107" operator="equal">
      <formula>"Check"</formula>
    </cfRule>
    <cfRule type="cellIs" dxfId="29" priority="108" operator="equal">
      <formula>"Ok"</formula>
    </cfRule>
  </conditionalFormatting>
  <conditionalFormatting sqref="W1">
    <cfRule type="cellIs" dxfId="28" priority="109" operator="equal">
      <formula>"Check"</formula>
    </cfRule>
    <cfRule type="cellIs" dxfId="27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O13" sqref="O13:S16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8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108</v>
      </c>
      <c r="K3" s="100"/>
      <c r="L3" s="100"/>
      <c r="M3" s="105"/>
      <c r="N3" s="200"/>
      <c r="O3" s="200"/>
      <c r="P3" s="200"/>
      <c r="Q3" s="200"/>
      <c r="R3" s="200"/>
      <c r="S3" s="200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97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103.5041897457166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108.41531327184593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108.15493105194179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109.78792328953297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109.51892158690944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GSL payments</v>
      </c>
      <c r="D14" s="24" t="s">
        <v>97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5.516319462354026E-2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5.3765309672761184E-2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5.2402848383518573E-2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5.107491308837854E-2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4.9780628867607084E-2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Network innovation fund</v>
      </c>
      <c r="D15" s="24" t="s">
        <v>97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0.21074000000000001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0.21074000000000001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0.21074000000000001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0.21074000000000001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0.21074000000000001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Customer assistance package</v>
      </c>
      <c r="D16" s="24" t="s">
        <v>97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0.79376501099386132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0.80012650152499576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0.80746748698004034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0.81565004892887483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0.82354959789576188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97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97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26" priority="7">
      <formula>J$11=J$4</formula>
    </cfRule>
  </conditionalFormatting>
  <conditionalFormatting sqref="J13:T18">
    <cfRule type="expression" dxfId="25" priority="3">
      <formula>AND($C13=0,J$11=J$4)</formula>
    </cfRule>
    <cfRule type="expression" dxfId="24" priority="4">
      <formula>NOT(J$11=J$4)</formula>
    </cfRule>
    <cfRule type="expression" dxfId="23" priority="5">
      <formula>J$11=J$4</formula>
    </cfRule>
  </conditionalFormatting>
  <conditionalFormatting sqref="S1:T1">
    <cfRule type="cellIs" dxfId="22" priority="1" operator="equal">
      <formula>"Check"</formula>
    </cfRule>
    <cfRule type="cellIs" dxfId="21" priority="2" operator="equal">
      <formula>"Ok"</formula>
    </cfRule>
  </conditionalFormatting>
  <conditionalFormatting sqref="W1">
    <cfRule type="cellIs" dxfId="20" priority="13" operator="equal">
      <formula>"Check"</formula>
    </cfRule>
    <cfRule type="cellIs" dxfId="19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showGridLines="0" topLeftCell="A37" workbookViewId="0">
      <selection activeCell="G49" sqref="G49:G67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8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177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178</v>
      </c>
      <c r="D8" s="16" t="s">
        <v>181</v>
      </c>
      <c r="E8" s="16"/>
      <c r="F8" s="16"/>
      <c r="G8" s="39" t="s">
        <v>178</v>
      </c>
    </row>
    <row r="9" spans="1:30">
      <c r="C9" s="15" t="s">
        <v>179</v>
      </c>
      <c r="D9" s="16" t="s">
        <v>181</v>
      </c>
      <c r="E9" s="16"/>
      <c r="F9" s="16"/>
      <c r="G9" s="39" t="s">
        <v>179</v>
      </c>
    </row>
    <row r="10" spans="1:30">
      <c r="C10" s="15" t="s">
        <v>180</v>
      </c>
      <c r="D10" s="16" t="s">
        <v>64</v>
      </c>
      <c r="E10" s="16"/>
      <c r="F10" s="16"/>
      <c r="G10" s="39" t="s">
        <v>180</v>
      </c>
      <c r="T10" s="17"/>
    </row>
    <row r="11" spans="1:30">
      <c r="C11" s="15" t="s">
        <v>182</v>
      </c>
      <c r="D11" s="16" t="s">
        <v>181</v>
      </c>
      <c r="E11" s="16"/>
      <c r="F11" s="16"/>
      <c r="G11" s="39" t="s">
        <v>182</v>
      </c>
    </row>
    <row r="12" spans="1:30">
      <c r="C12" s="15" t="s">
        <v>183</v>
      </c>
      <c r="D12" s="16" t="s">
        <v>64</v>
      </c>
      <c r="E12" s="16"/>
      <c r="F12" s="16"/>
      <c r="G12" s="39" t="s">
        <v>183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109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110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111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112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113</v>
      </c>
      <c r="D35" s="16" t="s">
        <v>64</v>
      </c>
      <c r="E35" s="16"/>
      <c r="F35" s="16"/>
      <c r="G35" s="92">
        <v>36617</v>
      </c>
    </row>
    <row r="36" spans="1:30">
      <c r="C36" s="15" t="s">
        <v>114</v>
      </c>
      <c r="D36" s="16" t="s">
        <v>64</v>
      </c>
      <c r="E36" s="16"/>
      <c r="F36" s="16"/>
      <c r="G36" s="92">
        <v>36647</v>
      </c>
    </row>
    <row r="37" spans="1:30">
      <c r="C37" s="15" t="s">
        <v>115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116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117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118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119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120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121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142</v>
      </c>
      <c r="H47" s="14" t="s">
        <v>140</v>
      </c>
      <c r="I47" s="14" t="s">
        <v>141</v>
      </c>
    </row>
    <row r="48" spans="1:30">
      <c r="C48" s="97">
        <v>40695</v>
      </c>
      <c r="D48" s="16" t="s">
        <v>64</v>
      </c>
      <c r="E48" s="16"/>
      <c r="F48" s="16"/>
      <c r="G48" s="93">
        <v>2021</v>
      </c>
      <c r="H48" s="107">
        <f>DATE(G48,MONTH('Input|General'!$G$9),1)</f>
        <v>44348</v>
      </c>
      <c r="I48" s="106" t="str">
        <f>G48-1&amp;"–"&amp;RIGHT(G48,2)</f>
        <v>2020–21</v>
      </c>
    </row>
    <row r="49" spans="3:20">
      <c r="C49" s="97">
        <v>41061</v>
      </c>
      <c r="D49" s="16" t="s">
        <v>64</v>
      </c>
      <c r="E49" s="16"/>
      <c r="F49" s="16"/>
      <c r="G49" s="93">
        <f>G48+1</f>
        <v>2022</v>
      </c>
      <c r="H49" s="107">
        <f>DATE(G49,MONTH('Input|General'!$G$9),1)</f>
        <v>44713</v>
      </c>
      <c r="I49" s="106" t="str">
        <f t="shared" ref="I49:I67" si="0">G49-1&amp;"–"&amp;RIGHT(G49,2)</f>
        <v>2021–22</v>
      </c>
    </row>
    <row r="50" spans="3:20">
      <c r="C50" s="97">
        <v>41426</v>
      </c>
      <c r="D50" s="16" t="s">
        <v>64</v>
      </c>
      <c r="E50" s="16"/>
      <c r="F50" s="16"/>
      <c r="G50" s="93">
        <f t="shared" ref="G50:G67" si="1">G49+1</f>
        <v>2023</v>
      </c>
      <c r="H50" s="107">
        <f>DATE(G50,MONTH('Input|General'!$G$9),1)</f>
        <v>45078</v>
      </c>
      <c r="I50" s="106" t="str">
        <f t="shared" si="0"/>
        <v>2022–23</v>
      </c>
    </row>
    <row r="51" spans="3:20">
      <c r="C51" s="97">
        <v>41791</v>
      </c>
      <c r="D51" s="16" t="s">
        <v>64</v>
      </c>
      <c r="E51" s="16"/>
      <c r="F51" s="16"/>
      <c r="G51" s="93">
        <f t="shared" si="1"/>
        <v>2024</v>
      </c>
      <c r="H51" s="107">
        <f>DATE(G51,MONTH('Input|General'!$G$9),1)</f>
        <v>45444</v>
      </c>
      <c r="I51" s="106" t="str">
        <f t="shared" si="0"/>
        <v>2023–24</v>
      </c>
    </row>
    <row r="52" spans="3:20">
      <c r="C52" s="97">
        <v>42156</v>
      </c>
      <c r="D52" s="16" t="s">
        <v>64</v>
      </c>
      <c r="E52" s="16"/>
      <c r="F52" s="16"/>
      <c r="G52" s="93">
        <f t="shared" si="1"/>
        <v>2025</v>
      </c>
      <c r="H52" s="107">
        <f>DATE(G52,MONTH('Input|General'!$G$9),1)</f>
        <v>45809</v>
      </c>
      <c r="I52" s="106" t="str">
        <f t="shared" si="0"/>
        <v>2024–25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f t="shared" si="1"/>
        <v>2026</v>
      </c>
      <c r="H53" s="107">
        <f>DATE(G53,MONTH('Input|General'!$G$9),1)</f>
        <v>46174</v>
      </c>
      <c r="I53" s="106" t="str">
        <f t="shared" si="0"/>
        <v>2025–26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f t="shared" si="1"/>
        <v>2027</v>
      </c>
      <c r="H54" s="107">
        <f>DATE(G54,MONTH('Input|General'!$G$9),1)</f>
        <v>46539</v>
      </c>
      <c r="I54" s="106" t="str">
        <f t="shared" si="0"/>
        <v>2026–27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f t="shared" si="1"/>
        <v>2028</v>
      </c>
      <c r="H55" s="107">
        <f>DATE(G55,MONTH('Input|General'!$G$9),1)</f>
        <v>46905</v>
      </c>
      <c r="I55" s="106" t="str">
        <f t="shared" si="0"/>
        <v>2027–28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f t="shared" si="1"/>
        <v>2029</v>
      </c>
      <c r="H56" s="107">
        <f>DATE(G56,MONTH('Input|General'!$G$9),1)</f>
        <v>47270</v>
      </c>
      <c r="I56" s="106" t="str">
        <f t="shared" si="0"/>
        <v>2028–29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f t="shared" si="1"/>
        <v>2030</v>
      </c>
      <c r="H57" s="107">
        <f>DATE(G57,MONTH('Input|General'!$G$9),1)</f>
        <v>47635</v>
      </c>
      <c r="I57" s="106" t="str">
        <f t="shared" si="0"/>
        <v>2029–30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f t="shared" si="1"/>
        <v>2031</v>
      </c>
      <c r="H58" s="107">
        <f>DATE(G58,MONTH('Input|General'!$G$9),1)</f>
        <v>48000</v>
      </c>
      <c r="I58" s="106" t="str">
        <f t="shared" si="0"/>
        <v>2030–31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f t="shared" si="1"/>
        <v>2032</v>
      </c>
      <c r="H59" s="107">
        <f>DATE(G59,MONTH('Input|General'!$G$9),1)</f>
        <v>48366</v>
      </c>
      <c r="I59" s="106" t="str">
        <f t="shared" si="0"/>
        <v>2031–32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f t="shared" si="1"/>
        <v>2033</v>
      </c>
      <c r="H60" s="107">
        <f>DATE(G60,MONTH('Input|General'!$G$9),1)</f>
        <v>48731</v>
      </c>
      <c r="I60" s="106" t="str">
        <f t="shared" si="0"/>
        <v>2032–33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f t="shared" si="1"/>
        <v>2034</v>
      </c>
      <c r="H61" s="107">
        <f>DATE(G61,MONTH('Input|General'!$G$9),1)</f>
        <v>49096</v>
      </c>
      <c r="I61" s="106" t="str">
        <f t="shared" si="0"/>
        <v>2033–34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f t="shared" si="1"/>
        <v>2035</v>
      </c>
      <c r="H62" s="107">
        <f>DATE(G62,MONTH('Input|General'!$G$9),1)</f>
        <v>49461</v>
      </c>
      <c r="I62" s="106" t="str">
        <f t="shared" si="0"/>
        <v>2034–35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f t="shared" si="1"/>
        <v>2036</v>
      </c>
      <c r="H63" s="107">
        <f>DATE(G63,MONTH('Input|General'!$G$9),1)</f>
        <v>49827</v>
      </c>
      <c r="I63" s="106" t="str">
        <f t="shared" si="0"/>
        <v>2035–36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f t="shared" si="1"/>
        <v>2037</v>
      </c>
      <c r="H64" s="107">
        <f>DATE(G64,MONTH('Input|General'!$G$9),1)</f>
        <v>50192</v>
      </c>
      <c r="I64" s="106" t="str">
        <f t="shared" si="0"/>
        <v>2036–37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f t="shared" si="1"/>
        <v>2038</v>
      </c>
      <c r="H65" s="107">
        <f>DATE(G65,MONTH('Input|General'!$G$9),1)</f>
        <v>50557</v>
      </c>
      <c r="I65" s="106" t="str">
        <f t="shared" si="0"/>
        <v>2037–38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f t="shared" si="1"/>
        <v>2039</v>
      </c>
      <c r="H66" s="107">
        <f>DATE(G66,MONTH('Input|General'!$G$9),1)</f>
        <v>50922</v>
      </c>
      <c r="I66" s="106" t="str">
        <f t="shared" si="0"/>
        <v>2038–39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f t="shared" si="1"/>
        <v>2040</v>
      </c>
      <c r="H67" s="107">
        <f>DATE(G67,MONTH('Input|General'!$G$9),1)</f>
        <v>51288</v>
      </c>
      <c r="I67" s="106" t="str">
        <f t="shared" si="0"/>
        <v>2039–40</v>
      </c>
      <c r="T67" s="17"/>
    </row>
    <row r="68" spans="1:30"/>
    <row r="69" spans="1:30" customFormat="1" ht="12.75">
      <c r="A69" s="32"/>
      <c r="B69" s="38" t="s">
        <v>138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139</v>
      </c>
      <c r="H71" s="14" t="s">
        <v>108</v>
      </c>
    </row>
    <row r="72" spans="1:30">
      <c r="C72" s="15" t="s">
        <v>159</v>
      </c>
      <c r="D72" s="16" t="s">
        <v>92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128</v>
      </c>
      <c r="D73" s="16" t="s">
        <v>92</v>
      </c>
      <c r="E73" s="16"/>
      <c r="F73" s="16"/>
      <c r="G73" s="106" t="str">
        <f t="shared" ref="G73:G82" si="2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129</v>
      </c>
      <c r="D74" s="16" t="s">
        <v>92</v>
      </c>
      <c r="E74" s="16"/>
      <c r="F74" s="16"/>
      <c r="G74" s="106" t="str">
        <f t="shared" si="2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130</v>
      </c>
      <c r="D75" s="16" t="s">
        <v>92</v>
      </c>
      <c r="E75" s="16"/>
      <c r="F75" s="16"/>
      <c r="G75" s="106" t="str">
        <f t="shared" si="2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131</v>
      </c>
      <c r="D76" s="16" t="s">
        <v>92</v>
      </c>
      <c r="E76" s="16"/>
      <c r="F76" s="16"/>
      <c r="G76" s="106" t="str">
        <f t="shared" si="2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132</v>
      </c>
      <c r="D77" s="16" t="s">
        <v>92</v>
      </c>
      <c r="E77" s="16"/>
      <c r="F77" s="16"/>
      <c r="G77" s="106" t="str">
        <f t="shared" si="2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161</v>
      </c>
      <c r="D78" s="16" t="s">
        <v>92</v>
      </c>
      <c r="E78" s="16"/>
      <c r="F78" s="16"/>
      <c r="G78" s="106" t="str">
        <f t="shared" si="2"/>
        <v/>
      </c>
      <c r="H78" s="107" t="str">
        <f>IF(PPLastYear-PPFirstYear&lt;5,"",DATE(PPFirstYear+5,MONTH('Input|General'!$G$9),1))</f>
        <v/>
      </c>
    </row>
    <row r="79" spans="1:30">
      <c r="C79" s="15" t="s">
        <v>133</v>
      </c>
      <c r="D79" s="16" t="s">
        <v>92</v>
      </c>
      <c r="E79" s="16"/>
      <c r="F79" s="16"/>
      <c r="G79" s="106" t="str">
        <f t="shared" si="2"/>
        <v>2026–27</v>
      </c>
      <c r="H79" s="107">
        <f>DATE(FPFirstYear,MONTH('Input|General'!$G$9),1)</f>
        <v>46539</v>
      </c>
      <c r="T79" s="17"/>
    </row>
    <row r="80" spans="1:30">
      <c r="C80" s="15" t="s">
        <v>134</v>
      </c>
      <c r="D80" s="16" t="s">
        <v>92</v>
      </c>
      <c r="E80" s="16"/>
      <c r="F80" s="16"/>
      <c r="G80" s="106" t="str">
        <f t="shared" si="2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135</v>
      </c>
      <c r="D81" s="16" t="s">
        <v>92</v>
      </c>
      <c r="E81" s="16"/>
      <c r="F81" s="16"/>
      <c r="G81" s="106" t="str">
        <f t="shared" si="2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136</v>
      </c>
      <c r="D82" s="16" t="s">
        <v>92</v>
      </c>
      <c r="E82" s="16"/>
      <c r="F82" s="16"/>
      <c r="G82" s="106" t="str">
        <f t="shared" si="2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137</v>
      </c>
      <c r="D83" s="16" t="s">
        <v>92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8" priority="55" stopIfTrue="1">
      <formula>#REF!="Actual"</formula>
    </cfRule>
  </conditionalFormatting>
  <conditionalFormatting sqref="P68:Q68">
    <cfRule type="expression" dxfId="17" priority="1" stopIfTrue="1">
      <formula>#REF!="Actual"</formula>
    </cfRule>
  </conditionalFormatting>
  <conditionalFormatting sqref="S1">
    <cfRule type="cellIs" dxfId="16" priority="3" operator="equal">
      <formula>"Check"</formula>
    </cfRule>
    <cfRule type="cellIs" dxfId="15" priority="4" operator="equal">
      <formula>"Ok"</formula>
    </cfRule>
  </conditionalFormatting>
  <conditionalFormatting sqref="V1">
    <cfRule type="cellIs" dxfId="14" priority="5" operator="equal">
      <formula>"Check"</formula>
    </cfRule>
    <cfRule type="cellIs" dxfId="13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2026-04-17T05:11:56Z</dcterms:created>
  <dcterms:modified xsi:type="dcterms:W3CDTF">2026-04-17T05:17:34Z</dcterms:modified>
</cp:coreProperties>
</file>