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hall\AppData\Roaming\iManage\Work\Recent\AER25010620 - Monitoring team - United Energy 2026-31 Determination\"/>
    </mc:Choice>
  </mc:AlternateContent>
  <xr:revisionPtr revIDLastSave="0" documentId="8_{3AC786BC-D674-4093-8242-E26881DF09A5}" xr6:coauthVersionLast="47" xr6:coauthVersionMax="47" xr10:uidLastSave="{00000000-0000-0000-0000-000000000000}"/>
  <bookViews>
    <workbookView xWindow="-110" yWindow="-110" windowWidth="19420" windowHeight="11500" activeTab="3" xr2:uid="{303A3AA0-47C2-467F-9CC6-226B472106E1}"/>
  </bookViews>
  <sheets>
    <sheet name="Cover" sheetId="20" r:id="rId1"/>
    <sheet name="Output | Final Decision tables" sheetId="19" r:id="rId2"/>
    <sheet name="STPIS inputs" sheetId="21" r:id="rId3"/>
    <sheet name="Target adjustments" sheetId="23" r:id="rId4"/>
    <sheet name="Annual performance and targets" sheetId="17" r:id="rId5"/>
    <sheet name="Incentive rates calc" sheetId="14" r:id="rId6"/>
    <sheet name="Change log" sheetId="22" state="hidden" r:id="rId7"/>
  </sheets>
  <definedNames>
    <definedName name="energy" localSheetId="3">'Target adjustments'!$F$5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1" l="1"/>
  <c r="H5" i="21"/>
  <c r="G5" i="21"/>
  <c r="F5" i="21"/>
  <c r="E5" i="21"/>
  <c r="T26" i="17"/>
  <c r="T16" i="17"/>
  <c r="B2" i="19"/>
  <c r="AA19" i="17" l="1"/>
  <c r="AA18" i="17"/>
  <c r="G21" i="23" l="1"/>
  <c r="Y28" i="17" l="1"/>
  <c r="Y29" i="17"/>
  <c r="G30" i="17"/>
  <c r="D10" i="17" l="1"/>
  <c r="D30" i="17" s="1"/>
  <c r="E10" i="17"/>
  <c r="E30" i="17" s="1"/>
  <c r="F10" i="17"/>
  <c r="F30" i="17" s="1"/>
  <c r="C10" i="17"/>
  <c r="I10" i="17" s="1"/>
  <c r="D5" i="14"/>
  <c r="H10" i="17" l="1"/>
  <c r="C30" i="17"/>
  <c r="D5" i="21"/>
  <c r="A54" i="23"/>
  <c r="I30" i="17" l="1"/>
  <c r="H30" i="17"/>
  <c r="D25" i="19"/>
  <c r="V8" i="17"/>
  <c r="W8" i="17"/>
  <c r="X8" i="17"/>
  <c r="V9" i="17"/>
  <c r="W9" i="17"/>
  <c r="X9" i="17"/>
  <c r="U9" i="17"/>
  <c r="U8" i="17"/>
  <c r="M9" i="17"/>
  <c r="N9" i="17"/>
  <c r="O9" i="17"/>
  <c r="L9" i="17"/>
  <c r="M8" i="17"/>
  <c r="N8" i="17"/>
  <c r="O8" i="17"/>
  <c r="L8" i="17"/>
  <c r="C9" i="17"/>
  <c r="D9" i="17"/>
  <c r="E9" i="17"/>
  <c r="F9" i="17"/>
  <c r="D8" i="17"/>
  <c r="E8" i="17"/>
  <c r="F8" i="17"/>
  <c r="C8" i="17"/>
  <c r="D28" i="19"/>
  <c r="C28" i="19"/>
  <c r="D18" i="19"/>
  <c r="C18" i="19"/>
  <c r="D7" i="14" l="1"/>
  <c r="C21" i="23" l="1"/>
  <c r="Z8" i="17" l="1"/>
  <c r="AA8" i="17"/>
  <c r="AA9" i="17"/>
  <c r="Z9" i="17"/>
  <c r="E21" i="23" l="1"/>
  <c r="D33" i="23" l="1"/>
  <c r="C33" i="23"/>
  <c r="D28" i="23"/>
  <c r="C28" i="23"/>
  <c r="E7" i="21" l="1"/>
  <c r="E10" i="21" s="1"/>
  <c r="D7" i="21"/>
  <c r="D10" i="21" s="1"/>
  <c r="A53" i="23"/>
  <c r="E11" i="14"/>
  <c r="D11" i="14"/>
  <c r="E4" i="14"/>
  <c r="D4" i="14"/>
  <c r="F21" i="23" l="1"/>
  <c r="E8" i="21" l="1"/>
  <c r="D8" i="21"/>
  <c r="D21" i="23"/>
  <c r="R8" i="17" l="1"/>
  <c r="Q8" i="17"/>
  <c r="H21" i="23"/>
  <c r="I9" i="17"/>
  <c r="I8" i="17"/>
  <c r="R9" i="17"/>
  <c r="D24" i="23" l="1"/>
  <c r="D26" i="23" s="1"/>
  <c r="C35" i="23" l="1"/>
  <c r="C36" i="23" s="1"/>
  <c r="D35" i="23"/>
  <c r="D36" i="23" s="1"/>
  <c r="D25" i="23"/>
  <c r="P29" i="17" l="1"/>
  <c r="R19" i="17"/>
  <c r="P28" i="17"/>
  <c r="R18" i="17"/>
  <c r="D30" i="23"/>
  <c r="D31" i="23" s="1"/>
  <c r="I19" i="17" s="1"/>
  <c r="C30" i="23"/>
  <c r="C31" i="23" s="1"/>
  <c r="O29" i="17"/>
  <c r="N29" i="17"/>
  <c r="M29" i="17"/>
  <c r="L29" i="17"/>
  <c r="O28" i="17"/>
  <c r="N28" i="17"/>
  <c r="M28" i="17"/>
  <c r="L28" i="17"/>
  <c r="R28" i="17" l="1"/>
  <c r="Q28" i="17"/>
  <c r="R29" i="17"/>
  <c r="Q29" i="17"/>
  <c r="G28" i="17"/>
  <c r="I18" i="17"/>
  <c r="G29" i="17"/>
  <c r="E29" i="17"/>
  <c r="F29" i="17"/>
  <c r="X29" i="17"/>
  <c r="F28" i="17"/>
  <c r="C28" i="17"/>
  <c r="D28" i="17"/>
  <c r="E28" i="17"/>
  <c r="W28" i="17"/>
  <c r="C29" i="17"/>
  <c r="U28" i="17"/>
  <c r="V28" i="17"/>
  <c r="W29" i="17"/>
  <c r="V29" i="17"/>
  <c r="X28" i="17"/>
  <c r="U29" i="17"/>
  <c r="D29" i="17"/>
  <c r="AA29" i="17" l="1"/>
  <c r="Z29" i="17"/>
  <c r="I29" i="17"/>
  <c r="H29" i="17"/>
  <c r="I28" i="17"/>
  <c r="H28" i="17"/>
  <c r="AA28" i="17"/>
  <c r="Z28" i="17"/>
  <c r="B8" i="21"/>
  <c r="E6" i="14"/>
  <c r="D6" i="14"/>
  <c r="E5" i="14"/>
  <c r="D13" i="21"/>
  <c r="D12" i="14" s="1"/>
  <c r="C29" i="19" s="1"/>
  <c r="H8" i="17"/>
  <c r="H9" i="17"/>
  <c r="Q9" i="17"/>
  <c r="D13" i="14" l="1"/>
  <c r="E12" i="14"/>
  <c r="D29" i="19" s="1"/>
  <c r="E7" i="14"/>
  <c r="D10" i="14" l="1"/>
  <c r="C15" i="19" s="1"/>
  <c r="E10" i="14"/>
  <c r="D15" i="19" s="1"/>
  <c r="E13" i="14"/>
  <c r="C19" i="19"/>
  <c r="D9" i="14" l="1"/>
  <c r="C14" i="19" s="1"/>
  <c r="E9" i="14"/>
  <c r="D14" i="19" s="1"/>
  <c r="D8" i="14"/>
  <c r="E8" i="14"/>
  <c r="D13" i="19" s="1"/>
  <c r="D19" i="19"/>
  <c r="C13" i="19" l="1"/>
  <c r="D14" i="14"/>
  <c r="E14" i="14"/>
  <c r="E15" i="14" s="1"/>
  <c r="D15" i="14" l="1"/>
  <c r="C21" i="19" s="1"/>
  <c r="C20" i="19"/>
  <c r="D20" i="19"/>
  <c r="D21" i="19"/>
</calcChain>
</file>

<file path=xl/sharedStrings.xml><?xml version="1.0" encoding="utf-8"?>
<sst xmlns="http://schemas.openxmlformats.org/spreadsheetml/2006/main" count="258" uniqueCount="149">
  <si>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</si>
  <si>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</si>
  <si>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</si>
  <si>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</si>
  <si>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</si>
  <si>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</si>
  <si>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</si>
  <si>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</si>
  <si>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</si>
  <si>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</si>
  <si>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2022/23</t>
  </si>
  <si>
    <t>Annual compliance actual</t>
  </si>
  <si>
    <t>Draft decision</t>
  </si>
  <si>
    <t>Final 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</si>
  <si>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</si>
  <si>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</si>
  <si>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</si>
  <si>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</si>
  <si>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</si>
  <si>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</si>
  <si>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</si>
  <si>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</si>
  <si>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</si>
  <si>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</si>
  <si>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</si>
  <si>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</si>
  <si>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</si>
  <si>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</si>
  <si>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</si>
  <si>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</si>
  <si>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</si>
  <si>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</si>
  <si>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</si>
  <si>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</si>
  <si>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</si>
  <si>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</si>
  <si>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</si>
  <si>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</si>
  <si>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</si>
  <si>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</si>
  <si>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</si>
  <si>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</si>
  <si>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</si>
  <si>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</si>
  <si>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</si>
  <si>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</si>
  <si>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</si>
  <si>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</si>
  <si>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</si>
  <si>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</si>
  <si>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</si>
  <si>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</si>
  <si>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</si>
  <si>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</si>
  <si>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</si>
  <si>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</si>
  <si>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</si>
  <si>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</si>
  <si>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</si>
  <si>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</si>
  <si>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</si>
  <si>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</si>
  <si>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</si>
  <si>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</si>
  <si>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</si>
  <si>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</si>
  <si>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</si>
  <si>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</si>
  <si>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urban</t>
  </si>
  <si>
    <t>Unplanned SAIDI - short rural</t>
  </si>
  <si>
    <t>Unplanned SAIFI - urban</t>
  </si>
  <si>
    <t>Unplanned SAIFI - short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</si>
  <si>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</si>
  <si>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</si>
  <si>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</si>
  <si>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</si>
  <si>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</si>
  <si>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</si>
  <si>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</si>
  <si>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STPIS Incentive rates for 2026-31 period</t>
  </si>
  <si>
    <t>Inputs average smoothed revenues, average annual energy consumptions, CPI and network feeders type.</t>
  </si>
  <si>
    <t>Calculates incentive rates by STPIS parameters and network feeder types.</t>
  </si>
  <si>
    <t>Legend</t>
  </si>
  <si>
    <t>Calculated figure</t>
  </si>
  <si>
    <t>Data Input</t>
  </si>
  <si>
    <t>2030-31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</si>
  <si>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</si>
  <si>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</si>
  <si>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</si>
  <si>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</si>
  <si>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</si>
  <si>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urban</t>
  </si>
  <si>
    <t>Unplanned MAIFI - short rural</t>
  </si>
  <si>
    <t>SAIDI adjustment</t>
  </si>
  <si>
    <t>SAIFI adjustment</t>
  </si>
  <si>
    <t>Backcasted data (Actual)</t>
  </si>
  <si>
    <t>Network type</t>
  </si>
  <si>
    <t>sum of the raw s-factors for the reliability of supply parameters</t>
  </si>
  <si>
    <t>reliability cap</t>
  </si>
  <si>
    <t>ADDITIONAL NOTES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</si>
  <si>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</si>
  <si>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</si>
  <si>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</si>
  <si>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</si>
  <si>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</si>
  <si>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</si>
  <si>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</si>
  <si>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</si>
  <si>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</si>
  <si>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Value of Customer Reliability (VCR) for VIC ($/MWh)</t>
  </si>
  <si>
    <t>Linked Input</t>
  </si>
  <si>
    <t>Beta Method (Major Event Day Threshold calculation)</t>
  </si>
  <si>
    <t>Revenue at Risk (STPIS) ±</t>
  </si>
  <si>
    <t>MAIFI Incentive rates (8% of the incentive rate for SAIFI)</t>
  </si>
  <si>
    <t>Service Target Performance Incentive Scheme v2 (13 December 2018)</t>
  </si>
  <si>
    <t>Short rural</t>
  </si>
  <si>
    <t>Forecast Energy Consumption by Network Type (MWh)</t>
  </si>
  <si>
    <t>United Energy</t>
  </si>
  <si>
    <t>Customer Service (Telephone answering)</t>
  </si>
  <si>
    <t>Customer service component</t>
  </si>
  <si>
    <t>Telephone Answering</t>
  </si>
  <si>
    <t>2021H1</t>
  </si>
  <si>
    <t>Revenue Smoothing ($ Real 2025-26)</t>
  </si>
  <si>
    <t>STPIS reliability targets for 2026-31 period</t>
  </si>
  <si>
    <t>Adjustment of Reliability of Supply performance target</t>
  </si>
  <si>
    <t xml:space="preserve">Clause 3.2.1(a)(1A) of the STPIS: Adjustment of performance targets to account for reliability improvements associated with capital expenditure programs. </t>
  </si>
  <si>
    <t>%above cap (excluding telephone answering)</t>
  </si>
  <si>
    <t>HV Conductor</t>
  </si>
  <si>
    <t>AER Final Decision STPIS for 2026-31</t>
  </si>
  <si>
    <t>Table 20: Regional VCR</t>
  </si>
  <si>
    <t>Performance Target Adjustments (clause 3.2.1 of the STPIS)</t>
  </si>
  <si>
    <t>Revenue at Risk - Appendix F (right)</t>
  </si>
  <si>
    <t>(5 years - 2020/21 to 2024/25)</t>
  </si>
  <si>
    <t>Did not exceed revenue at risk</t>
  </si>
  <si>
    <t>DNSP proposal</t>
  </si>
  <si>
    <t>United Energy response to AER information request #073</t>
  </si>
  <si>
    <t>Average (5 years)</t>
  </si>
  <si>
    <t xml:space="preserve">Adjustments </t>
  </si>
  <si>
    <t>AER PTRM Outputs</t>
  </si>
  <si>
    <t>Target adjustments</t>
  </si>
  <si>
    <t>Calculates performance target adjustments</t>
  </si>
  <si>
    <t>Decision (with Adjustments)</t>
  </si>
  <si>
    <t>Calculates performance targets for each network feeder type for the upcoming regulatory control period (based on historical performance and if applicable, any performance target adjustments)</t>
  </si>
  <si>
    <t>▪ s-factor annual compliance (actual) 
▪ Annual information orders</t>
  </si>
  <si>
    <t>s-factor - annual compliance review</t>
  </si>
  <si>
    <t>MAIFI / MAIFIe (interruptions)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</si>
  <si>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 / MAIFIe</t>
    </r>
  </si>
  <si>
    <t>MAIFI / MAIFIe</t>
  </si>
  <si>
    <t xml:space="preserve">VCR values has been escalated to the December 2024 quarter.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</si>
</sst>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0%"/>
    <numFmt numFmtId="179" formatCode="0.00000%"/>
    <numFmt numFmtId="180" formatCode="0.0000000;\-0.0000000;\-;@"/>
    <numFmt numFmtId="181" formatCode="0.0000000"/>
    <numFmt numFmtId="182" formatCode="_(* #,##0_);_(* \(#,##0\);_(* &quot;-&quot;??_);_(@_)"/>
    <numFmt numFmtId="183" formatCode="0.0%"/>
    <numFmt numFmtId="184" formatCode="0.0000;\-0.0000;\-;@"/>
    <numFmt numFmtId="185" formatCode="0.0"/>
    <numFmt numFmtId="186" formatCode="0.000%"/>
    <numFmt numFmtId="187" formatCode="0.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7"/>
      <name val="Arial"/>
      <family val="2"/>
    </font>
    <font>
      <b/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11" borderId="0" applyNumberFormat="0" applyBorder="0" applyAlignment="0" applyProtection="0"/>
    <xf numFmtId="0" fontId="34" fillId="0" borderId="0" applyFill="0" applyBorder="0">
      <alignment horizontal="left" vertical="center"/>
    </xf>
    <xf numFmtId="0" fontId="35" fillId="14" borderId="6">
      <alignment horizontal="left" vertical="center"/>
      <protection locked="0"/>
    </xf>
    <xf numFmtId="0" fontId="36" fillId="14" borderId="6">
      <alignment horizontal="left" vertical="center"/>
      <protection locked="0"/>
    </xf>
  </cellStyleXfs>
  <cellXfs count="223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4" fillId="0" borderId="0" xfId="0" applyFont="1"/>
    <xf numFmtId="0" fontId="6" fillId="7" borderId="0" xfId="9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172" fontId="25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5" fillId="0" borderId="0" xfId="1" applyFont="1" applyAlignment="1">
      <alignment vertical="center"/>
    </xf>
    <xf numFmtId="17" fontId="25" fillId="10" borderId="1" xfId="0" applyNumberFormat="1" applyFont="1" applyFill="1" applyBorder="1" applyAlignment="1">
      <alignment horizontal="left" vertical="center"/>
    </xf>
    <xf numFmtId="0" fontId="27" fillId="10" borderId="0" xfId="0" applyFont="1" applyFill="1" applyAlignment="1">
      <alignment horizontal="left" vertical="center"/>
    </xf>
    <xf numFmtId="0" fontId="25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166" fontId="28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29" fillId="0" borderId="0" xfId="0" applyFont="1"/>
    <xf numFmtId="0" fontId="25" fillId="0" borderId="1" xfId="0" applyFont="1" applyBorder="1" applyAlignment="1">
      <alignment horizontal="left" vertical="center" indent="1"/>
    </xf>
    <xf numFmtId="0" fontId="2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9" fontId="25" fillId="10" borderId="0" xfId="0" applyNumberFormat="1" applyFont="1" applyFill="1" applyAlignment="1">
      <alignment horizontal="center" vertical="center"/>
    </xf>
    <xf numFmtId="0" fontId="25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2" fillId="10" borderId="0" xfId="9" applyFont="1" applyFill="1" applyAlignment="1">
      <alignment vertical="center"/>
    </xf>
    <xf numFmtId="169" fontId="25" fillId="0" borderId="0" xfId="0" applyNumberFormat="1" applyFont="1"/>
    <xf numFmtId="167" fontId="25" fillId="0" borderId="0" xfId="0" applyNumberFormat="1" applyFont="1"/>
    <xf numFmtId="0" fontId="32" fillId="13" borderId="0" xfId="0" applyFont="1" applyFill="1" applyProtection="1">
      <protection locked="0"/>
    </xf>
    <xf numFmtId="177" fontId="37" fillId="14" borderId="7" xfId="20" applyNumberFormat="1" applyFont="1" applyBorder="1" applyAlignment="1">
      <alignment horizontal="center" vertical="center"/>
      <protection locked="0"/>
    </xf>
    <xf numFmtId="10" fontId="37" fillId="14" borderId="7" xfId="11" applyNumberFormat="1" applyFont="1" applyFill="1" applyBorder="1" applyAlignment="1" applyProtection="1">
      <alignment horizontal="center" vertical="center"/>
      <protection locked="0"/>
    </xf>
    <xf numFmtId="169" fontId="37" fillId="14" borderId="7" xfId="20" applyNumberFormat="1" applyFont="1" applyBorder="1" applyAlignment="1">
      <alignment horizontal="center" vertical="center"/>
      <protection locked="0"/>
    </xf>
    <xf numFmtId="167" fontId="37" fillId="14" borderId="7" xfId="20" applyNumberFormat="1" applyFont="1" applyBorder="1" applyAlignment="1">
      <alignment horizontal="center" vertical="center"/>
      <protection locked="0"/>
    </xf>
    <xf numFmtId="178" fontId="37" fillId="14" borderId="7" xfId="11" applyNumberFormat="1" applyFont="1" applyFill="1" applyBorder="1" applyAlignment="1" applyProtection="1">
      <alignment horizontal="center" vertical="center"/>
      <protection locked="0"/>
    </xf>
    <xf numFmtId="167" fontId="25" fillId="5" borderId="1" xfId="0" applyNumberFormat="1" applyFont="1" applyFill="1" applyBorder="1"/>
    <xf numFmtId="0" fontId="37" fillId="14" borderId="6" xfId="21" applyFont="1">
      <alignment horizontal="left" vertical="center"/>
      <protection locked="0"/>
    </xf>
    <xf numFmtId="0" fontId="37" fillId="14" borderId="7" xfId="11" applyNumberFormat="1" applyFont="1" applyFill="1" applyBorder="1" applyAlignment="1" applyProtection="1">
      <alignment horizontal="center" vertical="center"/>
      <protection locked="0"/>
    </xf>
    <xf numFmtId="169" fontId="25" fillId="15" borderId="1" xfId="0" applyNumberFormat="1" applyFont="1" applyFill="1" applyBorder="1" applyAlignment="1">
      <alignment horizontal="center" vertical="center"/>
    </xf>
    <xf numFmtId="3" fontId="25" fillId="15" borderId="1" xfId="2" applyNumberFormat="1" applyFont="1" applyFill="1" applyBorder="1" applyAlignment="1">
      <alignment horizontal="center" vertical="center"/>
    </xf>
    <xf numFmtId="10" fontId="25" fillId="14" borderId="1" xfId="0" applyNumberFormat="1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181" fontId="25" fillId="15" borderId="1" xfId="11" applyNumberFormat="1" applyFont="1" applyFill="1" applyBorder="1" applyAlignment="1">
      <alignment horizontal="center" vertical="center"/>
    </xf>
    <xf numFmtId="37" fontId="25" fillId="14" borderId="1" xfId="0" applyNumberFormat="1" applyFont="1" applyFill="1" applyBorder="1" applyAlignment="1">
      <alignment horizontal="center" vertical="center"/>
    </xf>
    <xf numFmtId="167" fontId="6" fillId="15" borderId="1" xfId="0" applyNumberFormat="1" applyFont="1" applyFill="1" applyBorder="1"/>
    <xf numFmtId="178" fontId="37" fillId="15" borderId="7" xfId="11" applyNumberFormat="1" applyFont="1" applyFill="1" applyBorder="1" applyAlignment="1" applyProtection="1">
      <alignment horizontal="center" vertical="center"/>
      <protection locked="0"/>
    </xf>
    <xf numFmtId="179" fontId="37" fillId="15" borderId="7" xfId="11" applyNumberFormat="1" applyFont="1" applyFill="1" applyBorder="1" applyAlignment="1" applyProtection="1">
      <alignment horizontal="center" vertical="center"/>
      <protection locked="0"/>
    </xf>
    <xf numFmtId="10" fontId="37" fillId="15" borderId="7" xfId="11" applyNumberFormat="1" applyFont="1" applyFill="1" applyBorder="1" applyAlignment="1" applyProtection="1">
      <alignment horizontal="center" vertical="center"/>
      <protection locked="0"/>
    </xf>
    <xf numFmtId="180" fontId="37" fillId="15" borderId="7" xfId="20" applyNumberFormat="1" applyFont="1" applyFill="1" applyBorder="1" applyAlignment="1">
      <alignment horizontal="center" vertical="center"/>
      <protection locked="0"/>
    </xf>
    <xf numFmtId="0" fontId="39" fillId="10" borderId="0" xfId="0" applyFont="1" applyFill="1" applyAlignment="1">
      <alignment horizontal="left" vertical="center"/>
    </xf>
    <xf numFmtId="0" fontId="40" fillId="10" borderId="0" xfId="12" applyFont="1" applyFill="1" applyAlignment="1">
      <alignment horizontal="left" vertical="center"/>
    </xf>
    <xf numFmtId="182" fontId="37" fillId="14" borderId="7" xfId="1" applyNumberFormat="1" applyFont="1" applyFill="1" applyBorder="1" applyAlignment="1" applyProtection="1">
      <alignment horizontal="center" vertical="center"/>
      <protection locked="0"/>
    </xf>
    <xf numFmtId="0" fontId="25" fillId="10" borderId="0" xfId="0" applyFont="1" applyFill="1"/>
    <xf numFmtId="0" fontId="29" fillId="10" borderId="0" xfId="0" applyFont="1" applyFill="1"/>
    <xf numFmtId="178" fontId="37" fillId="10" borderId="0" xfId="11" applyNumberFormat="1" applyFont="1" applyFill="1" applyBorder="1" applyAlignment="1" applyProtection="1">
      <alignment horizontal="center" vertical="center"/>
      <protection locked="0"/>
    </xf>
    <xf numFmtId="164" fontId="25" fillId="14" borderId="1" xfId="0" applyNumberFormat="1" applyFont="1" applyFill="1" applyBorder="1" applyAlignment="1">
      <alignment horizontal="center" vertical="center"/>
    </xf>
    <xf numFmtId="178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7" fillId="10" borderId="0" xfId="20" applyNumberFormat="1" applyFont="1" applyFill="1" applyBorder="1" applyAlignment="1">
      <alignment horizontal="center" vertical="center"/>
      <protection locked="0"/>
    </xf>
    <xf numFmtId="10" fontId="37" fillId="10" borderId="0" xfId="11" applyNumberFormat="1" applyFont="1" applyFill="1" applyBorder="1" applyAlignment="1" applyProtection="1">
      <alignment horizontal="center" vertical="center"/>
      <protection locked="0"/>
    </xf>
    <xf numFmtId="179" fontId="37" fillId="10" borderId="0" xfId="11" applyNumberFormat="1" applyFont="1" applyFill="1" applyBorder="1" applyAlignment="1" applyProtection="1">
      <alignment horizontal="center" vertical="center"/>
      <protection locked="0"/>
    </xf>
    <xf numFmtId="180" fontId="37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5" fillId="16" borderId="0" xfId="0" applyFont="1" applyFill="1"/>
    <xf numFmtId="169" fontId="25" fillId="17" borderId="1" xfId="0" applyNumberFormat="1" applyFont="1" applyFill="1" applyBorder="1" applyAlignment="1">
      <alignment horizontal="center" vertical="center"/>
    </xf>
    <xf numFmtId="169" fontId="25" fillId="10" borderId="0" xfId="0" applyNumberFormat="1" applyFont="1" applyFill="1" applyAlignment="1">
      <alignment vertical="center"/>
    </xf>
    <xf numFmtId="0" fontId="25" fillId="10" borderId="0" xfId="0" applyFont="1" applyFill="1" applyAlignment="1">
      <alignment horizontal="center"/>
    </xf>
    <xf numFmtId="0" fontId="25" fillId="10" borderId="9" xfId="0" applyFont="1" applyFill="1" applyBorder="1"/>
    <xf numFmtId="0" fontId="25" fillId="10" borderId="10" xfId="0" applyFont="1" applyFill="1" applyBorder="1"/>
    <xf numFmtId="0" fontId="25" fillId="10" borderId="11" xfId="0" applyFont="1" applyFill="1" applyBorder="1" applyAlignment="1">
      <alignment horizontal="left" vertical="center" indent="1"/>
    </xf>
    <xf numFmtId="0" fontId="25" fillId="10" borderId="12" xfId="0" applyFont="1" applyFill="1" applyBorder="1" applyAlignment="1">
      <alignment horizontal="left" vertical="center" indent="1"/>
    </xf>
    <xf numFmtId="3" fontId="37" fillId="14" borderId="7" xfId="20" applyNumberFormat="1" applyFont="1" applyBorder="1" applyAlignment="1">
      <alignment horizontal="center" vertical="center"/>
      <protection locked="0"/>
    </xf>
    <xf numFmtId="0" fontId="25" fillId="17" borderId="0" xfId="0" applyFont="1" applyFill="1" applyAlignment="1">
      <alignment vertical="center"/>
    </xf>
    <xf numFmtId="0" fontId="25" fillId="15" borderId="9" xfId="0" applyFont="1" applyFill="1" applyBorder="1" applyAlignment="1">
      <alignment vertical="center"/>
    </xf>
    <xf numFmtId="0" fontId="25" fillId="10" borderId="11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5" fillId="10" borderId="11" xfId="0" applyFont="1" applyFill="1" applyBorder="1"/>
    <xf numFmtId="0" fontId="6" fillId="10" borderId="0" xfId="0" applyFont="1" applyFill="1"/>
    <xf numFmtId="0" fontId="26" fillId="10" borderId="0" xfId="0" applyFont="1" applyFill="1"/>
    <xf numFmtId="169" fontId="25" fillId="10" borderId="0" xfId="0" applyNumberFormat="1" applyFont="1" applyFill="1"/>
    <xf numFmtId="0" fontId="25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13" fillId="10" borderId="0" xfId="0" applyFont="1" applyFill="1"/>
    <xf numFmtId="0" fontId="12" fillId="10" borderId="0" xfId="0" applyFont="1" applyFill="1"/>
    <xf numFmtId="0" fontId="23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5" fillId="10" borderId="0" xfId="0" applyNumberFormat="1" applyFont="1" applyFill="1" applyAlignment="1">
      <alignment vertical="center"/>
    </xf>
    <xf numFmtId="0" fontId="25" fillId="10" borderId="0" xfId="0" applyFont="1" applyFill="1" applyAlignment="1">
      <alignment horizontal="right" vertical="center"/>
    </xf>
    <xf numFmtId="166" fontId="25" fillId="10" borderId="0" xfId="1" applyFont="1" applyFill="1" applyAlignment="1">
      <alignment vertical="center"/>
    </xf>
    <xf numFmtId="174" fontId="25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5" fillId="10" borderId="0" xfId="2" applyNumberFormat="1" applyFont="1" applyFill="1"/>
    <xf numFmtId="164" fontId="25" fillId="10" borderId="0" xfId="0" applyNumberFormat="1" applyFont="1" applyFill="1" applyAlignment="1">
      <alignment vertical="center"/>
    </xf>
    <xf numFmtId="3" fontId="25" fillId="17" borderId="1" xfId="0" applyNumberFormat="1" applyFont="1" applyFill="1" applyBorder="1" applyAlignment="1">
      <alignment horizontal="center" vertical="center"/>
    </xf>
    <xf numFmtId="179" fontId="37" fillId="17" borderId="7" xfId="11" applyNumberFormat="1" applyFont="1" applyFill="1" applyBorder="1" applyAlignment="1" applyProtection="1">
      <alignment horizontal="center" vertical="center"/>
      <protection locked="0"/>
    </xf>
    <xf numFmtId="166" fontId="25" fillId="10" borderId="0" xfId="0" applyNumberFormat="1" applyFont="1" applyFill="1" applyAlignment="1">
      <alignment horizontal="center"/>
    </xf>
    <xf numFmtId="166" fontId="25" fillId="10" borderId="0" xfId="0" applyNumberFormat="1" applyFont="1" applyFill="1"/>
    <xf numFmtId="171" fontId="25" fillId="10" borderId="0" xfId="0" applyNumberFormat="1" applyFont="1" applyFill="1"/>
    <xf numFmtId="170" fontId="25" fillId="10" borderId="0" xfId="0" applyNumberFormat="1" applyFont="1" applyFill="1"/>
    <xf numFmtId="169" fontId="25" fillId="17" borderId="1" xfId="11" applyNumberFormat="1" applyFont="1" applyFill="1" applyBorder="1" applyAlignment="1">
      <alignment horizontal="center" vertical="center"/>
    </xf>
    <xf numFmtId="3" fontId="25" fillId="17" borderId="1" xfId="1" applyNumberFormat="1" applyFont="1" applyFill="1" applyBorder="1" applyAlignment="1">
      <alignment horizontal="center" vertical="center"/>
    </xf>
    <xf numFmtId="3" fontId="25" fillId="17" borderId="1" xfId="2" applyNumberFormat="1" applyFont="1" applyFill="1" applyBorder="1" applyAlignment="1">
      <alignment horizontal="center" vertical="center"/>
    </xf>
    <xf numFmtId="176" fontId="25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8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7" fillId="10" borderId="7" xfId="20" applyNumberFormat="1" applyFont="1" applyFill="1" applyBorder="1" applyAlignment="1">
      <alignment horizontal="center" vertical="center"/>
      <protection locked="0"/>
    </xf>
    <xf numFmtId="178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2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6" fillId="2" borderId="14" xfId="0" applyFont="1" applyFill="1" applyBorder="1" applyAlignment="1">
      <alignment horizontal="center" vertical="center"/>
    </xf>
    <xf numFmtId="3" fontId="25" fillId="10" borderId="0" xfId="0" applyNumberFormat="1" applyFont="1" applyFill="1" applyAlignment="1">
      <alignment horizontal="center" vertical="center"/>
    </xf>
    <xf numFmtId="0" fontId="40" fillId="10" borderId="15" xfId="12" applyFont="1" applyFill="1" applyBorder="1" applyAlignment="1">
      <alignment horizontal="center" vertical="center" wrapText="1"/>
    </xf>
    <xf numFmtId="183" fontId="25" fillId="14" borderId="1" xfId="11" applyNumberFormat="1" applyFont="1" applyFill="1" applyBorder="1" applyAlignment="1">
      <alignment horizontal="center" vertical="center"/>
    </xf>
    <xf numFmtId="178" fontId="37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5" fillId="10" borderId="0" xfId="1" applyNumberFormat="1" applyFont="1" applyFill="1" applyBorder="1" applyAlignment="1">
      <alignment horizontal="center" vertical="center"/>
    </xf>
    <xf numFmtId="3" fontId="25" fillId="10" borderId="0" xfId="2" applyNumberFormat="1" applyFont="1" applyFill="1" applyBorder="1" applyAlignment="1">
      <alignment horizontal="center" vertical="center"/>
    </xf>
    <xf numFmtId="176" fontId="25" fillId="10" borderId="0" xfId="0" applyNumberFormat="1" applyFont="1" applyFill="1" applyAlignment="1">
      <alignment horizontal="center" vertical="center"/>
    </xf>
    <xf numFmtId="169" fontId="25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8" fillId="10" borderId="1" xfId="0" applyNumberFormat="1" applyFont="1" applyFill="1" applyBorder="1" applyAlignment="1">
      <alignment horizontal="left" vertical="center"/>
    </xf>
    <xf numFmtId="0" fontId="25" fillId="10" borderId="0" xfId="0" applyFont="1" applyFill="1" applyAlignment="1">
      <alignment horizontal="right"/>
    </xf>
    <xf numFmtId="9" fontId="25" fillId="10" borderId="0" xfId="0" applyNumberFormat="1" applyFont="1" applyFill="1" applyAlignment="1">
      <alignment horizontal="left"/>
    </xf>
    <xf numFmtId="0" fontId="28" fillId="10" borderId="0" xfId="0" applyFont="1" applyFill="1" applyAlignment="1">
      <alignment vertical="center"/>
    </xf>
    <xf numFmtId="0" fontId="11" fillId="10" borderId="0" xfId="9" applyFont="1" applyFill="1" applyAlignment="1" applyProtection="1">
      <alignment vertical="center" wrapText="1"/>
      <protection locked="0"/>
    </xf>
    <xf numFmtId="184" fontId="37" fillId="14" borderId="7" xfId="20" applyNumberFormat="1" applyFont="1" applyBorder="1" applyAlignment="1">
      <alignment horizontal="center" vertical="center"/>
      <protection locked="0"/>
    </xf>
    <xf numFmtId="169" fontId="37" fillId="14" borderId="7" xfId="11" applyNumberFormat="1" applyFont="1" applyFill="1" applyBorder="1" applyAlignment="1" applyProtection="1">
      <alignment horizontal="center" vertical="center"/>
      <protection locked="0"/>
    </xf>
    <xf numFmtId="185" fontId="25" fillId="14" borderId="1" xfId="1" applyNumberFormat="1" applyFont="1" applyFill="1" applyBorder="1" applyAlignment="1">
      <alignment horizontal="center" vertical="center"/>
    </xf>
    <xf numFmtId="186" fontId="25" fillId="14" borderId="1" xfId="11" applyNumberFormat="1" applyFont="1" applyFill="1" applyBorder="1" applyAlignment="1">
      <alignment horizontal="center" vertical="center"/>
    </xf>
    <xf numFmtId="164" fontId="25" fillId="15" borderId="1" xfId="0" applyNumberFormat="1" applyFont="1" applyFill="1" applyBorder="1" applyAlignment="1">
      <alignment horizontal="center" vertical="center"/>
    </xf>
    <xf numFmtId="10" fontId="25" fillId="17" borderId="1" xfId="11" applyNumberFormat="1" applyFont="1" applyFill="1" applyBorder="1" applyAlignment="1">
      <alignment horizontal="center" vertical="center"/>
    </xf>
    <xf numFmtId="178" fontId="11" fillId="10" borderId="0" xfId="11" applyNumberFormat="1" applyFont="1" applyFill="1" applyBorder="1" applyAlignment="1" applyProtection="1">
      <alignment horizontal="center" vertical="center" wrapText="1"/>
      <protection locked="0"/>
    </xf>
    <xf numFmtId="187" fontId="37" fillId="14" borderId="7" xfId="11" applyNumberFormat="1" applyFont="1" applyFill="1" applyBorder="1" applyAlignment="1" applyProtection="1">
      <alignment horizontal="center" vertical="center"/>
      <protection locked="0"/>
    </xf>
    <xf numFmtId="187" fontId="25" fillId="10" borderId="0" xfId="0" applyNumberFormat="1" applyFont="1" applyFill="1"/>
    <xf numFmtId="0" fontId="32" fillId="10" borderId="0" xfId="0" applyFont="1" applyFill="1" applyProtection="1">
      <protection locked="0"/>
    </xf>
    <xf numFmtId="0" fontId="19" fillId="18" borderId="0" xfId="0" applyFont="1" applyFill="1" applyProtection="1">
      <protection locked="0"/>
    </xf>
    <xf numFmtId="169" fontId="25" fillId="19" borderId="1" xfId="0" applyNumberFormat="1" applyFont="1" applyFill="1" applyBorder="1" applyAlignment="1">
      <alignment horizontal="center" vertical="center"/>
    </xf>
    <xf numFmtId="168" fontId="25" fillId="19" borderId="1" xfId="1" applyNumberFormat="1" applyFont="1" applyFill="1" applyBorder="1" applyAlignment="1">
      <alignment vertical="center"/>
    </xf>
    <xf numFmtId="185" fontId="25" fillId="14" borderId="1" xfId="0" applyNumberFormat="1" applyFont="1" applyFill="1" applyBorder="1" applyAlignment="1">
      <alignment horizontal="center" vertical="center"/>
    </xf>
    <xf numFmtId="0" fontId="15" fillId="10" borderId="0" xfId="12" applyFill="1" applyAlignment="1">
      <alignment vertical="center"/>
    </xf>
    <xf numFmtId="0" fontId="42" fillId="10" borderId="0" xfId="0" applyFont="1" applyFill="1"/>
    <xf numFmtId="0" fontId="6" fillId="10" borderId="4" xfId="0" applyFont="1" applyFill="1" applyBorder="1" applyAlignment="1">
      <alignment horizontal="center"/>
    </xf>
    <xf numFmtId="178" fontId="41" fillId="9" borderId="13" xfId="11" applyNumberFormat="1" applyFont="1" applyFill="1" applyBorder="1" applyAlignment="1" applyProtection="1">
      <alignment horizontal="center" vertical="center" wrapText="1"/>
      <protection locked="0"/>
    </xf>
    <xf numFmtId="178" fontId="41" fillId="9" borderId="7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17" xfId="11" applyNumberFormat="1" applyFont="1" applyFill="1" applyBorder="1" applyAlignment="1" applyProtection="1">
      <alignment horizontal="center" vertical="center" wrapText="1"/>
      <protection locked="0"/>
    </xf>
    <xf numFmtId="0" fontId="32" fillId="12" borderId="0" xfId="18" applyFont="1" applyFill="1" applyBorder="1" applyAlignment="1">
      <alignment horizontal="left" vertical="center"/>
    </xf>
    <xf numFmtId="178" fontId="11" fillId="9" borderId="3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0" xfId="11" applyNumberFormat="1" applyFont="1" applyFill="1" applyBorder="1" applyAlignment="1" applyProtection="1">
      <alignment horizontal="center" vertical="center" wrapText="1"/>
      <protection locked="0"/>
    </xf>
    <xf numFmtId="0" fontId="32" fillId="13" borderId="0" xfId="0" applyFont="1" applyFill="1" applyAlignment="1" applyProtection="1">
      <alignment horizontal="left"/>
      <protection locked="0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81" fontId="28" fillId="10" borderId="16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207337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0</xdr:row>
      <xdr:rowOff>110541</xdr:rowOff>
    </xdr:from>
    <xdr:to>
      <xdr:col>18</xdr:col>
      <xdr:colOff>479425</xdr:colOff>
      <xdr:row>39</xdr:row>
      <xdr:rowOff>96429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6399" y="11054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19</xdr:col>
      <xdr:colOff>0</xdr:colOff>
      <xdr:row>1</xdr:row>
      <xdr:rowOff>11206</xdr:rowOff>
    </xdr:from>
    <xdr:to>
      <xdr:col>26</xdr:col>
      <xdr:colOff>2556</xdr:colOff>
      <xdr:row>39</xdr:row>
      <xdr:rowOff>123935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441706" y="156882"/>
          <a:ext cx="4238380" cy="642097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252503</xdr:colOff>
      <xdr:row>2</xdr:row>
      <xdr:rowOff>71531</xdr:rowOff>
    </xdr:from>
    <xdr:to>
      <xdr:col>10</xdr:col>
      <xdr:colOff>114301</xdr:colOff>
      <xdr:row>7</xdr:row>
      <xdr:rowOff>52988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58328" y="357281"/>
          <a:ext cx="1690597" cy="686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26268</xdr:colOff>
      <xdr:row>2</xdr:row>
      <xdr:rowOff>82923</xdr:rowOff>
    </xdr:from>
    <xdr:to>
      <xdr:col>12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5064</xdr:colOff>
      <xdr:row>41</xdr:row>
      <xdr:rowOff>2231</xdr:rowOff>
    </xdr:from>
    <xdr:to>
      <xdr:col>12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97096</xdr:colOff>
      <xdr:row>41</xdr:row>
      <xdr:rowOff>72783</xdr:rowOff>
    </xdr:from>
    <xdr:to>
      <xdr:col>6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6</xdr:col>
      <xdr:colOff>86052</xdr:colOff>
      <xdr:row>51</xdr:row>
      <xdr:rowOff>65690</xdr:rowOff>
    </xdr:from>
    <xdr:to>
      <xdr:col>12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er.gov.au/system/files/2024-12/2024-12-18%20AER%20-%20Final%20report%20-%202024%20VCR%20review_0.pdf" TargetMode="External"/><Relationship Id="rId1" Type="http://schemas.openxmlformats.org/officeDocument/2006/relationships/hyperlink" Target="https://www.aer.gov.au/documents/2024-12-18-aer-final-report-2024-vcr-review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zoomScale="55" zoomScaleNormal="55" workbookViewId="0">
      <selection activeCell="E33" sqref="E33"/>
    </sheetView>
  </sheetViews>
  <sheetFormatPr defaultColWidth="8.81640625" defaultRowHeight="14.5"/>
  <cols>
    <col min="1" max="4" width="9.1796875" style="120" customWidth="1"/>
    <col min="5" max="5" width="11.1796875" style="120" customWidth="1"/>
    <col min="6" max="7" width="8.81640625" style="120"/>
    <col min="8" max="8" width="7.1796875" style="120" customWidth="1"/>
    <col min="9" max="12" width="8.81640625" style="120"/>
    <col min="13" max="13" width="10.54296875" style="120" bestFit="1" customWidth="1"/>
    <col min="14" max="19" width="8.81640625" style="120"/>
    <col min="20" max="20" width="15" style="120" customWidth="1"/>
    <col min="21" max="16384" width="8.81640625" style="120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">
      <c r="C2" s="2"/>
      <c r="D2" s="2"/>
      <c r="E2" s="2"/>
      <c r="F2" s="2"/>
      <c r="G2" s="2"/>
      <c r="H2" s="2"/>
      <c r="I2" s="2"/>
      <c r="J2" s="5" t="s">
        <v>20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">
      <c r="C3" s="2"/>
      <c r="D3" s="2"/>
      <c r="E3" s="2"/>
      <c r="F3" s="2"/>
      <c r="G3" s="2"/>
      <c r="H3" s="2"/>
      <c r="I3" s="2"/>
      <c r="J3" s="6" t="s">
        <v>19</v>
      </c>
      <c r="K3" s="2"/>
      <c r="L3" s="2"/>
      <c r="M3" s="2"/>
      <c r="N3" s="2"/>
      <c r="O3" s="2"/>
      <c r="P3" s="2"/>
      <c r="Q3" s="2"/>
      <c r="R3" s="2"/>
      <c r="S3" s="6" t="s">
        <v>117</v>
      </c>
      <c r="T3" s="2"/>
      <c r="U3" s="6" t="s">
        <v>78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3">
      <c r="I8" s="121"/>
      <c r="J8" s="122"/>
    </row>
    <row r="9" spans="1:34" ht="20">
      <c r="L9" s="123"/>
      <c r="M9" s="124"/>
    </row>
    <row r="11" spans="1:34" ht="44.5">
      <c r="E11" s="125"/>
      <c r="F11" s="126"/>
      <c r="H11" s="127"/>
    </row>
    <row r="12" spans="1:34" s="125" customFormat="1" ht="12.5"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</row>
    <row r="13" spans="1:34" s="125" customFormat="1" ht="13.5" customHeight="1">
      <c r="D13" s="129"/>
      <c r="E13" s="130"/>
      <c r="F13" s="130"/>
      <c r="G13" s="131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spans="1:34" s="149" customFormat="1" ht="18" customHeight="1">
      <c r="A14" s="125"/>
      <c r="B14" s="125"/>
      <c r="C14" s="25" t="s">
        <v>35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5"/>
      <c r="AC14" s="125"/>
      <c r="AD14" s="148"/>
      <c r="AE14" s="148"/>
      <c r="AF14" s="148"/>
      <c r="AG14" s="148"/>
      <c r="AH14" s="148"/>
    </row>
    <row r="15" spans="1:34" s="125" customFormat="1" ht="12.5">
      <c r="D15" s="133"/>
      <c r="E15" s="134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34" s="125" customFormat="1" ht="15.5">
      <c r="C16" s="135"/>
      <c r="D16" s="13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3:22" s="132" customFormat="1" ht="23.25" customHeight="1">
      <c r="C17" s="210" t="s">
        <v>36</v>
      </c>
      <c r="D17" s="137"/>
      <c r="E17" s="138"/>
      <c r="F17" s="138"/>
      <c r="G17" s="138"/>
      <c r="H17" s="139" t="s">
        <v>53</v>
      </c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3:22" s="132" customFormat="1" ht="23.25" customHeight="1">
      <c r="C18" s="210" t="s">
        <v>37</v>
      </c>
      <c r="D18" s="137"/>
      <c r="E18" s="140"/>
      <c r="F18" s="138"/>
      <c r="G18" s="138"/>
      <c r="H18" s="139" t="s">
        <v>80</v>
      </c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</row>
    <row r="19" spans="3:22" s="132" customFormat="1" ht="23.25" customHeight="1">
      <c r="C19" s="210" t="s">
        <v>139</v>
      </c>
      <c r="D19" s="137"/>
      <c r="E19" s="140"/>
      <c r="F19" s="138"/>
      <c r="G19" s="138"/>
      <c r="H19" s="139" t="s">
        <v>140</v>
      </c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</row>
    <row r="20" spans="3:22" s="132" customFormat="1" ht="23.25" customHeight="1">
      <c r="C20" s="210" t="s">
        <v>38</v>
      </c>
      <c r="D20" s="141"/>
      <c r="E20" s="142"/>
      <c r="F20" s="138"/>
      <c r="G20" s="138"/>
      <c r="H20" s="139" t="s">
        <v>142</v>
      </c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</row>
    <row r="21" spans="3:22" s="132" customFormat="1" ht="23.25" customHeight="1">
      <c r="C21" s="210" t="s">
        <v>39</v>
      </c>
      <c r="D21" s="137"/>
      <c r="E21" s="138"/>
      <c r="F21" s="138"/>
      <c r="G21" s="138"/>
      <c r="H21" s="139" t="s">
        <v>81</v>
      </c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</row>
    <row r="22" spans="3:22" s="125" customFormat="1" ht="15.5">
      <c r="C22" s="135"/>
      <c r="D22" s="136"/>
      <c r="E22" s="143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3:22" s="125" customFormat="1" ht="15.5">
      <c r="C23" s="135"/>
      <c r="D23" s="144"/>
      <c r="E23" s="144"/>
      <c r="F23" s="144"/>
      <c r="G23" s="96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96"/>
      <c r="V23" s="96"/>
    </row>
    <row r="24" spans="3:22" ht="15.5">
      <c r="C24" s="145"/>
      <c r="D24" s="144"/>
      <c r="E24" s="144"/>
      <c r="F24" s="144"/>
      <c r="G24" s="96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</row>
    <row r="25" spans="3:22" ht="15.5">
      <c r="C25" s="14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</row>
    <row r="26" spans="3:22">
      <c r="D26" s="133"/>
      <c r="E26" s="146"/>
      <c r="F26" s="96"/>
      <c r="G26" s="96"/>
      <c r="H26" s="96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</row>
    <row r="27" spans="3:22">
      <c r="D27" s="136"/>
      <c r="E27" s="96"/>
      <c r="F27" s="96"/>
      <c r="G27" s="96"/>
      <c r="H27" s="96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</row>
    <row r="28" spans="3:22">
      <c r="D28" s="136"/>
      <c r="E28" s="96"/>
      <c r="F28" s="96"/>
      <c r="G28" s="96"/>
      <c r="H28" s="96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</row>
    <row r="29" spans="3:22"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3:22">
      <c r="D30" s="133"/>
      <c r="E30" s="146"/>
      <c r="F30" s="96"/>
      <c r="G30" s="96"/>
      <c r="H30" s="96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3:22">
      <c r="D31" s="147"/>
      <c r="E31" s="125"/>
      <c r="F31" s="125"/>
      <c r="G31" s="125"/>
      <c r="H31" s="125"/>
    </row>
    <row r="32" spans="3:22">
      <c r="D32" s="147"/>
      <c r="E32" s="125"/>
      <c r="F32" s="125"/>
      <c r="G32" s="125"/>
      <c r="H32" s="125"/>
    </row>
  </sheetData>
  <hyperlinks>
    <hyperlink ref="C17" location="'Output | Draft Decision tables'!A1" display="Output | Decision tables" xr:uid="{672C25E1-6E75-4E0B-A85C-CCDAB0223800}"/>
    <hyperlink ref="C18" location="'STPIS inputs'!A1" display="STPIS inputs" xr:uid="{B177C3D9-5880-494B-9D4C-F58BF4285284}"/>
    <hyperlink ref="C20" location="'Annual performance and targets'!A1" display="Annual performance and targets" xr:uid="{E5D20C0B-C496-463C-9A36-A7E8C9693B62}"/>
    <hyperlink ref="C21" location="'Incentive rates calc'!A1" display="Incentive rates calculations" xr:uid="{15870546-0A90-4BB3-906E-574CEE21D747}"/>
    <hyperlink ref="C19" location="'Target adjustments'!A1" display="Target adjustments" xr:uid="{411BF516-2D5A-4BBC-84D5-678B293C5C6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I33"/>
  <sheetViews>
    <sheetView topLeftCell="A8" zoomScale="114" zoomScaleNormal="160" workbookViewId="0">
      <selection activeCell="C13" sqref="C13:D15"/>
    </sheetView>
  </sheetViews>
  <sheetFormatPr defaultColWidth="9.1796875" defaultRowHeight="10"/>
  <cols>
    <col min="1" max="1" width="9.1796875" style="91"/>
    <col min="2" max="2" width="45" style="91" customWidth="1"/>
    <col min="3" max="3" width="24.54296875" style="105" bestFit="1" customWidth="1"/>
    <col min="4" max="6" width="18.453125" style="91" customWidth="1"/>
    <col min="7" max="7" width="7" style="91" customWidth="1"/>
    <col min="8" max="8" width="9.453125" style="91" customWidth="1"/>
    <col min="9" max="9" width="15.453125" style="91" customWidth="1"/>
    <col min="10" max="10" width="9.54296875" style="91" bestFit="1" customWidth="1"/>
    <col min="11" max="12" width="12.453125" style="91" bestFit="1" customWidth="1"/>
    <col min="13" max="16384" width="9.1796875" style="91"/>
  </cols>
  <sheetData>
    <row r="1" spans="2:9" ht="12.65" customHeight="1"/>
    <row r="2" spans="2:9" ht="12.65" customHeight="1">
      <c r="B2" s="211" t="str">
        <f>Cover!S3</f>
        <v>United Energy</v>
      </c>
    </row>
    <row r="3" spans="2:9" ht="12.65" customHeight="1">
      <c r="B3" s="32" t="s">
        <v>128</v>
      </c>
      <c r="C3" s="32"/>
      <c r="D3" s="32"/>
      <c r="E3" s="32"/>
      <c r="F3" s="32"/>
      <c r="H3" s="106"/>
      <c r="I3" s="106"/>
    </row>
    <row r="4" spans="2:9" ht="13.5" customHeight="1">
      <c r="G4" s="115"/>
      <c r="H4" s="114" t="s">
        <v>82</v>
      </c>
      <c r="I4" s="107"/>
    </row>
    <row r="5" spans="2:9" s="37" customFormat="1" ht="12.65" customHeight="1">
      <c r="B5" s="56" t="s">
        <v>112</v>
      </c>
      <c r="C5" s="182">
        <v>0.05</v>
      </c>
      <c r="D5" s="33"/>
      <c r="G5" s="113"/>
      <c r="H5" s="110"/>
      <c r="I5" s="108" t="s">
        <v>84</v>
      </c>
    </row>
    <row r="6" spans="2:9" s="37" customFormat="1" ht="12.65" customHeight="1">
      <c r="B6" s="56" t="s">
        <v>111</v>
      </c>
      <c r="C6" s="198">
        <v>2.5</v>
      </c>
      <c r="D6" s="79" t="s">
        <v>24</v>
      </c>
      <c r="G6" s="113"/>
      <c r="H6" s="111"/>
      <c r="I6" s="108" t="s">
        <v>110</v>
      </c>
    </row>
    <row r="7" spans="2:9" s="37" customFormat="1" ht="12.65" customHeight="1">
      <c r="B7" s="56" t="s">
        <v>14</v>
      </c>
      <c r="C7" s="80" t="s">
        <v>1</v>
      </c>
      <c r="D7" s="80" t="s">
        <v>115</v>
      </c>
      <c r="G7" s="113"/>
      <c r="H7" s="112"/>
      <c r="I7" s="109" t="s">
        <v>83</v>
      </c>
    </row>
    <row r="8" spans="2:9" s="37" customFormat="1" ht="12.65" customHeight="1">
      <c r="B8" s="116"/>
      <c r="C8" s="105"/>
      <c r="D8" s="91"/>
      <c r="E8" s="91"/>
      <c r="F8" s="91"/>
      <c r="G8" s="91"/>
      <c r="I8" s="91"/>
    </row>
    <row r="9" spans="2:9" ht="12.65" customHeight="1">
      <c r="B9" s="32" t="s">
        <v>15</v>
      </c>
      <c r="C9" s="32"/>
      <c r="D9" s="32"/>
      <c r="E9" s="32"/>
      <c r="F9" s="32"/>
      <c r="H9" s="37"/>
      <c r="I9" s="37"/>
    </row>
    <row r="10" spans="2:9" s="37" customFormat="1" ht="12.65" customHeight="1">
      <c r="B10" s="91"/>
      <c r="C10" s="105"/>
      <c r="D10" s="91"/>
      <c r="E10" s="91"/>
      <c r="F10" s="91"/>
      <c r="H10" s="91"/>
      <c r="I10" s="91"/>
    </row>
    <row r="11" spans="2:9" ht="12.65" customHeight="1">
      <c r="B11" s="36" t="s">
        <v>123</v>
      </c>
      <c r="C11" s="36"/>
      <c r="D11" s="36"/>
      <c r="E11" s="36"/>
      <c r="G11" s="36"/>
      <c r="H11" s="36"/>
    </row>
    <row r="12" spans="2:9" s="36" customFormat="1" ht="12.65" customHeight="1">
      <c r="B12" s="51" t="s">
        <v>0</v>
      </c>
      <c r="C12" s="51" t="s">
        <v>1</v>
      </c>
      <c r="D12" s="51" t="s">
        <v>115</v>
      </c>
      <c r="E12" s="37"/>
      <c r="G12" s="37"/>
      <c r="H12" s="37"/>
    </row>
    <row r="13" spans="2:9" s="37" customFormat="1" ht="12.65" customHeight="1">
      <c r="B13" s="59" t="s">
        <v>29</v>
      </c>
      <c r="C13" s="103">
        <f>'Incentive rates calc'!D8</f>
        <v>27.854922437725516</v>
      </c>
      <c r="D13" s="103">
        <f>'Incentive rates calc'!E8</f>
        <v>78.33166361105684</v>
      </c>
      <c r="G13" s="104"/>
      <c r="H13" s="104"/>
    </row>
    <row r="14" spans="2:9" s="37" customFormat="1" ht="12.65" customHeight="1">
      <c r="B14" s="59" t="s">
        <v>30</v>
      </c>
      <c r="C14" s="103">
        <f>'Incentive rates calc'!D9</f>
        <v>0.37578693477164365</v>
      </c>
      <c r="D14" s="103">
        <f>'Incentive rates calc'!E9</f>
        <v>1.1202582481468901</v>
      </c>
      <c r="F14" s="104"/>
      <c r="G14" s="104"/>
      <c r="H14" s="104"/>
      <c r="I14" s="104"/>
    </row>
    <row r="15" spans="2:9" s="37" customFormat="1" ht="12.65" customHeight="1">
      <c r="B15" s="59" t="s">
        <v>145</v>
      </c>
      <c r="C15" s="103">
        <f>'Incentive rates calc'!D10</f>
        <v>0.85013992524652093</v>
      </c>
      <c r="D15" s="103">
        <f>'Incentive rates calc'!E10</f>
        <v>2.216868681724006</v>
      </c>
      <c r="F15" s="104"/>
      <c r="G15" s="104"/>
      <c r="H15" s="104"/>
    </row>
    <row r="16" spans="2:9" s="37" customFormat="1" ht="12.65" customHeight="1">
      <c r="B16" s="91"/>
      <c r="C16" s="91"/>
      <c r="D16" s="91"/>
      <c r="E16" s="91"/>
      <c r="F16" s="104"/>
      <c r="G16" s="91"/>
      <c r="H16" s="91"/>
    </row>
    <row r="17" spans="2:8" ht="12.65" customHeight="1">
      <c r="B17" s="36" t="s">
        <v>79</v>
      </c>
      <c r="C17" s="36"/>
      <c r="D17" s="36"/>
      <c r="E17" s="36"/>
      <c r="G17" s="36"/>
      <c r="H17" s="36"/>
    </row>
    <row r="18" spans="2:8" s="36" customFormat="1" ht="12.65" customHeight="1">
      <c r="B18" s="51" t="s">
        <v>0</v>
      </c>
      <c r="C18" s="51" t="str">
        <f>C12</f>
        <v>Urban</v>
      </c>
      <c r="D18" s="51" t="str">
        <f>D12</f>
        <v>Short rural</v>
      </c>
      <c r="E18" s="37"/>
      <c r="G18" s="37"/>
      <c r="H18" s="37"/>
    </row>
    <row r="19" spans="2:8" s="37" customFormat="1" ht="12.65" customHeight="1">
      <c r="B19" s="58" t="s">
        <v>60</v>
      </c>
      <c r="C19" s="163">
        <f>'Incentive rates calc'!$D$13</f>
        <v>6.0248179073583139E-2</v>
      </c>
      <c r="D19" s="163">
        <f>'Incentive rates calc'!$E$13</f>
        <v>6.0242825386503671E-3</v>
      </c>
      <c r="E19" s="194"/>
    </row>
    <row r="20" spans="2:8" s="37" customFormat="1" ht="12.65" customHeight="1">
      <c r="B20" s="58" t="s">
        <v>61</v>
      </c>
      <c r="C20" s="163">
        <f>'Incentive rates calc'!$D$14</f>
        <v>2.9772338166904091</v>
      </c>
      <c r="D20" s="163">
        <f>'Incentive rates calc'!$E$14</f>
        <v>0.28082338698606263</v>
      </c>
      <c r="E20" s="194"/>
    </row>
    <row r="21" spans="2:8" s="37" customFormat="1" ht="12.65" customHeight="1">
      <c r="B21" s="58" t="s">
        <v>146</v>
      </c>
      <c r="C21" s="163">
        <f>'Incentive rates calc'!D15</f>
        <v>0.23817870533523272</v>
      </c>
      <c r="D21" s="163">
        <f>'Incentive rates calc'!E15</f>
        <v>2.2465870958885012E-2</v>
      </c>
      <c r="E21" s="194"/>
    </row>
    <row r="22" spans="2:8" s="37" customFormat="1" ht="12.65" customHeight="1">
      <c r="B22" s="60"/>
      <c r="C22" s="61"/>
      <c r="D22" s="61"/>
    </row>
    <row r="23" spans="2:8" s="37" customFormat="1" ht="12.65" customHeight="1">
      <c r="B23" s="36" t="s">
        <v>119</v>
      </c>
      <c r="C23" s="36"/>
      <c r="D23" s="36"/>
    </row>
    <row r="24" spans="2:8" s="37" customFormat="1" ht="12.65" customHeight="1">
      <c r="B24" s="51"/>
      <c r="C24" s="51" t="s">
        <v>57</v>
      </c>
      <c r="D24" s="51" t="s">
        <v>58</v>
      </c>
    </row>
    <row r="25" spans="2:8" s="37" customFormat="1" ht="33.75" customHeight="1">
      <c r="B25" s="62" t="s">
        <v>59</v>
      </c>
      <c r="C25" s="199">
        <v>-4.0000000000000002E-4</v>
      </c>
      <c r="D25" s="201">
        <f>'Annual performance and targets'!I30</f>
        <v>0.8132225684501293</v>
      </c>
    </row>
    <row r="26" spans="2:8" s="37" customFormat="1"/>
    <row r="27" spans="2:8" s="37" customFormat="1" ht="12.65" customHeight="1">
      <c r="B27" s="36" t="s">
        <v>28</v>
      </c>
      <c r="C27" s="36"/>
      <c r="D27" s="36"/>
      <c r="E27" s="36"/>
      <c r="G27" s="36"/>
      <c r="H27" s="36"/>
    </row>
    <row r="28" spans="2:8" s="36" customFormat="1" ht="12.65" customHeight="1">
      <c r="B28" s="51"/>
      <c r="C28" s="51" t="str">
        <f>C12</f>
        <v>Urban</v>
      </c>
      <c r="D28" s="51" t="str">
        <f>D12</f>
        <v>Short rural</v>
      </c>
      <c r="E28" s="37"/>
      <c r="G28" s="37"/>
      <c r="H28" s="37"/>
    </row>
    <row r="29" spans="2:8" s="37" customFormat="1" ht="12.65" customHeight="1">
      <c r="B29" s="62" t="s">
        <v>51</v>
      </c>
      <c r="C29" s="78">
        <f>'STPIS inputs'!D11*(1+'Incentive rates calc'!D12)</f>
        <v>35857.167505391808</v>
      </c>
      <c r="D29" s="78">
        <f>'STPIS inputs'!E11*(1+'Incentive rates calc'!E12)</f>
        <v>35857.167505391808</v>
      </c>
    </row>
    <row r="30" spans="2:8" s="37" customFormat="1" ht="12.65" customHeight="1">
      <c r="B30" s="91"/>
      <c r="C30" s="91"/>
      <c r="D30" s="91"/>
      <c r="E30" s="91"/>
      <c r="G30" s="91"/>
      <c r="H30" s="91"/>
    </row>
    <row r="31" spans="2:8" ht="12.65" customHeight="1">
      <c r="B31" s="117"/>
      <c r="C31" s="91"/>
    </row>
    <row r="32" spans="2:8">
      <c r="C32" s="118"/>
      <c r="D32" s="118"/>
    </row>
    <row r="33" spans="3:3">
      <c r="C33" s="11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0"/>
  <sheetViews>
    <sheetView zoomScale="115" zoomScaleNormal="115" workbookViewId="0">
      <selection activeCell="C11" sqref="C11"/>
    </sheetView>
  </sheetViews>
  <sheetFormatPr defaultColWidth="9.1796875" defaultRowHeight="10"/>
  <cols>
    <col min="1" max="1" width="5.453125" style="91" customWidth="1"/>
    <col min="2" max="2" width="43.1796875" style="91" customWidth="1"/>
    <col min="3" max="3" width="21.7265625" style="91" customWidth="1"/>
    <col min="4" max="9" width="20.81640625" style="91" customWidth="1"/>
    <col min="10" max="16384" width="9.1796875" style="91"/>
  </cols>
  <sheetData>
    <row r="1" spans="2:11" ht="12.65" customHeight="1"/>
    <row r="2" spans="2:11" s="37" customFormat="1" ht="12.65" customHeight="1">
      <c r="B2" s="32" t="s">
        <v>21</v>
      </c>
      <c r="C2" s="32"/>
      <c r="D2" s="176"/>
      <c r="E2" s="176"/>
      <c r="F2" s="176"/>
      <c r="G2" s="176"/>
      <c r="H2" s="176"/>
      <c r="I2" s="176"/>
    </row>
    <row r="3" spans="2:11" s="37" customFormat="1" ht="12.65" customHeight="1">
      <c r="B3" s="177"/>
      <c r="C3" s="177"/>
      <c r="D3" s="65"/>
      <c r="E3" s="65"/>
      <c r="F3" s="65"/>
      <c r="G3" s="65"/>
      <c r="H3" s="65"/>
      <c r="I3" s="65"/>
    </row>
    <row r="4" spans="2:11" s="37" customFormat="1" ht="12.65" customHeight="1">
      <c r="C4" s="51" t="s">
        <v>75</v>
      </c>
      <c r="D4" s="51" t="s">
        <v>49</v>
      </c>
      <c r="E4" s="51" t="s">
        <v>25</v>
      </c>
      <c r="F4" s="51" t="s">
        <v>26</v>
      </c>
      <c r="G4" s="51" t="s">
        <v>27</v>
      </c>
      <c r="H4" s="51" t="s">
        <v>55</v>
      </c>
      <c r="I4" s="51" t="s">
        <v>85</v>
      </c>
    </row>
    <row r="5" spans="2:11" s="37" customFormat="1" ht="12.65" customHeight="1">
      <c r="B5" s="34" t="s">
        <v>122</v>
      </c>
      <c r="C5" s="57" t="s">
        <v>138</v>
      </c>
      <c r="D5" s="200">
        <f>AVERAGE(E5:I5)</f>
        <v>538689882.43114972</v>
      </c>
      <c r="E5" s="94">
        <f>534.932228043981*10^6</f>
        <v>534932228.04398102</v>
      </c>
      <c r="F5" s="94">
        <f>536.804490842135*10^6</f>
        <v>536804490.84213501</v>
      </c>
      <c r="G5" s="94">
        <f>538.683306560082*10^6</f>
        <v>538683306.56008196</v>
      </c>
      <c r="H5" s="94">
        <f>540.568698133043*10^6</f>
        <v>540568698.13304293</v>
      </c>
      <c r="I5" s="94">
        <f>542.460688576508*10^6</f>
        <v>542460688.57650805</v>
      </c>
      <c r="K5" s="156"/>
    </row>
    <row r="6" spans="2:11" s="37" customFormat="1" ht="12.65" customHeight="1">
      <c r="B6" s="35"/>
      <c r="C6" s="35"/>
      <c r="D6" s="36"/>
      <c r="I6" s="38"/>
    </row>
    <row r="7" spans="2:11" s="37" customFormat="1" ht="12.65" customHeight="1">
      <c r="B7" s="39"/>
      <c r="C7" s="179" t="s">
        <v>75</v>
      </c>
      <c r="D7" s="179" t="str">
        <f>'Output | Final Decision tables'!C7</f>
        <v>Urban</v>
      </c>
      <c r="E7" s="179" t="str">
        <f>'Output | Final Decision tables'!D7</f>
        <v>Short rural</v>
      </c>
    </row>
    <row r="8" spans="2:11" s="37" customFormat="1" ht="12.65" customHeight="1">
      <c r="B8" s="34" t="str">
        <f>'Incentive rates calc'!B6</f>
        <v>Average annual energy consumption by network type (MWh)</v>
      </c>
      <c r="C8" s="57" t="s">
        <v>90</v>
      </c>
      <c r="D8" s="157">
        <f>'Target adjustments'!C53</f>
        <v>7934292.9332146384</v>
      </c>
      <c r="E8" s="157">
        <f>'Target adjustments'!C54</f>
        <v>793358.78874818969</v>
      </c>
    </row>
    <row r="9" spans="2:11" s="37" customFormat="1" ht="12.65" customHeight="1">
      <c r="B9" s="33"/>
      <c r="D9" s="180"/>
      <c r="E9" s="180"/>
    </row>
    <row r="10" spans="2:11" s="37" customFormat="1" ht="12.65" customHeight="1">
      <c r="B10" s="150"/>
      <c r="C10" s="51" t="s">
        <v>75</v>
      </c>
      <c r="D10" s="179" t="str">
        <f t="shared" ref="D10:E10" si="0">D7</f>
        <v>Urban</v>
      </c>
      <c r="E10" s="179" t="str">
        <f t="shared" si="0"/>
        <v>Short rural</v>
      </c>
      <c r="F10" s="151"/>
    </row>
    <row r="11" spans="2:11" s="37" customFormat="1" ht="40.5" customHeight="1">
      <c r="B11" s="34" t="s">
        <v>46</v>
      </c>
      <c r="C11" s="181" t="s">
        <v>89</v>
      </c>
      <c r="D11" s="82">
        <v>35780</v>
      </c>
      <c r="E11" s="82">
        <v>35780</v>
      </c>
      <c r="F11" s="89" t="s">
        <v>129</v>
      </c>
      <c r="G11" s="42"/>
      <c r="H11" s="42"/>
      <c r="I11" s="42"/>
    </row>
    <row r="12" spans="2:11" s="37" customFormat="1" ht="12.65" customHeight="1"/>
    <row r="13" spans="2:11" s="37" customFormat="1" ht="12.65" customHeight="1">
      <c r="B13" s="34" t="s">
        <v>5</v>
      </c>
      <c r="C13" s="34"/>
      <c r="D13" s="77">
        <f>D17/D16-1</f>
        <v>2.1567217828901697E-3</v>
      </c>
    </row>
    <row r="14" spans="2:11" s="37" customFormat="1" ht="12.65" customHeight="1">
      <c r="D14" s="119"/>
      <c r="E14" s="152"/>
      <c r="F14" s="152"/>
      <c r="G14" s="152"/>
      <c r="H14" s="152"/>
    </row>
    <row r="15" spans="2:11" s="37" customFormat="1" ht="12.65" customHeight="1">
      <c r="B15" s="35" t="s">
        <v>22</v>
      </c>
      <c r="C15" s="35"/>
      <c r="D15" s="119"/>
    </row>
    <row r="16" spans="2:11" s="37" customFormat="1" ht="12.65" customHeight="1">
      <c r="B16" s="41">
        <v>45536</v>
      </c>
      <c r="C16" s="41"/>
      <c r="D16" s="80">
        <v>139.1</v>
      </c>
      <c r="E16" s="88" t="s">
        <v>88</v>
      </c>
    </row>
    <row r="17" spans="2:9" s="37" customFormat="1" ht="12.65" customHeight="1">
      <c r="B17" s="41">
        <v>45627</v>
      </c>
      <c r="C17" s="191"/>
      <c r="D17" s="209">
        <v>139.4</v>
      </c>
      <c r="E17" s="88" t="s">
        <v>148</v>
      </c>
    </row>
    <row r="18" spans="2:9" ht="12.65" customHeight="1"/>
    <row r="19" spans="2:9">
      <c r="E19" s="153"/>
      <c r="F19" s="154"/>
      <c r="G19" s="154"/>
      <c r="H19" s="154"/>
      <c r="I19" s="154"/>
    </row>
    <row r="20" spans="2:9">
      <c r="E20" s="155"/>
      <c r="F20" s="155"/>
      <c r="G20" s="155"/>
      <c r="H20" s="155"/>
      <c r="I20" s="155"/>
    </row>
  </sheetData>
  <hyperlinks>
    <hyperlink ref="C11" r:id="rId1" display="AER, Value of customer reliability review, final report, December 2024, p. 5 (Table 2 Business VCR values) and p. 62 (Table 20 NEM-wide and regional VCR)." xr:uid="{745CD5D6-6CFE-4211-9A51-C19CACF291EE}"/>
    <hyperlink ref="E16" r:id="rId2" display="https://www.aer.gov.au/system/files/2024-12/2024-12-18 AER - Final report - 2024 VCR review_0.pdf" xr:uid="{B1DF086C-A5F6-49B0-B8D4-86545DD66F80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K58"/>
  <sheetViews>
    <sheetView tabSelected="1" topLeftCell="B1" zoomScale="130" zoomScaleNormal="130" workbookViewId="0">
      <selection activeCell="G4" sqref="G4"/>
    </sheetView>
  </sheetViews>
  <sheetFormatPr defaultColWidth="9.1796875" defaultRowHeight="10"/>
  <cols>
    <col min="1" max="1" width="57.7265625" style="91" customWidth="1"/>
    <col min="2" max="2" width="13" style="91" customWidth="1"/>
    <col min="3" max="4" width="11.1796875" style="91" bestFit="1" customWidth="1"/>
    <col min="5" max="5" width="10.54296875" style="91" bestFit="1" customWidth="1"/>
    <col min="6" max="6" width="12.26953125" style="91" customWidth="1"/>
    <col min="7" max="7" width="13.453125" style="91" customWidth="1"/>
    <col min="8" max="16384" width="9.1796875" style="91"/>
  </cols>
  <sheetData>
    <row r="2" spans="1:7" ht="10.5">
      <c r="A2" s="216" t="s">
        <v>95</v>
      </c>
      <c r="B2" s="216"/>
      <c r="C2" s="216"/>
      <c r="D2" s="216"/>
      <c r="E2" s="216"/>
      <c r="F2" s="216"/>
      <c r="G2" s="216"/>
    </row>
    <row r="3" spans="1:7" ht="10.5">
      <c r="A3" s="68" t="s">
        <v>67</v>
      </c>
      <c r="B3" s="171" t="s">
        <v>75</v>
      </c>
      <c r="C3" s="171" t="s">
        <v>8</v>
      </c>
      <c r="D3" s="174" t="s">
        <v>9</v>
      </c>
      <c r="E3" s="174" t="s">
        <v>10</v>
      </c>
      <c r="F3" s="171" t="s">
        <v>56</v>
      </c>
      <c r="G3" s="171" t="s">
        <v>76</v>
      </c>
    </row>
    <row r="4" spans="1:7" ht="11.25" customHeight="1">
      <c r="A4" s="178" t="s">
        <v>68</v>
      </c>
      <c r="B4" s="220" t="s">
        <v>143</v>
      </c>
      <c r="C4" s="71">
        <v>24.243884999999999</v>
      </c>
      <c r="D4" s="71">
        <v>31.33502029361566</v>
      </c>
      <c r="E4" s="71">
        <v>25.472967759999957</v>
      </c>
      <c r="F4" s="71">
        <v>25.855927358312375</v>
      </c>
      <c r="G4" s="71">
        <v>32.785119749539966</v>
      </c>
    </row>
    <row r="5" spans="1:7">
      <c r="A5" s="178" t="s">
        <v>69</v>
      </c>
      <c r="B5" s="221"/>
      <c r="C5" s="71">
        <v>44.960450999999999</v>
      </c>
      <c r="D5" s="71">
        <v>91.296934208679772</v>
      </c>
      <c r="E5" s="71">
        <v>87.603508859999891</v>
      </c>
      <c r="F5" s="71">
        <v>108.41024798355819</v>
      </c>
      <c r="G5" s="71">
        <v>59.54022097823885</v>
      </c>
    </row>
    <row r="6" spans="1:7">
      <c r="A6" s="178"/>
      <c r="B6" s="221"/>
      <c r="C6" s="69"/>
      <c r="D6" s="69"/>
      <c r="E6" s="71"/>
      <c r="F6" s="71"/>
      <c r="G6" s="69"/>
    </row>
    <row r="7" spans="1:7">
      <c r="A7" s="178" t="s">
        <v>70</v>
      </c>
      <c r="B7" s="221"/>
      <c r="C7" s="71">
        <v>0.38057299999999999</v>
      </c>
      <c r="D7" s="71">
        <v>0.39263829449620852</v>
      </c>
      <c r="E7" s="71">
        <v>0.335796480000006</v>
      </c>
      <c r="F7" s="71">
        <v>0.36466026495680398</v>
      </c>
      <c r="G7" s="71">
        <v>0.4116508265427945</v>
      </c>
    </row>
    <row r="8" spans="1:7">
      <c r="A8" s="178" t="s">
        <v>71</v>
      </c>
      <c r="B8" s="221"/>
      <c r="C8" s="71">
        <v>0.74750700000000003</v>
      </c>
      <c r="D8" s="71">
        <v>1.2860885430473938</v>
      </c>
      <c r="E8" s="71">
        <v>1.144518989999997</v>
      </c>
      <c r="F8" s="71">
        <v>1.7696806448635525</v>
      </c>
      <c r="G8" s="71">
        <v>0.65583182640144611</v>
      </c>
    </row>
    <row r="9" spans="1:7">
      <c r="A9" s="178"/>
      <c r="B9" s="221"/>
      <c r="C9" s="72"/>
      <c r="D9" s="72"/>
      <c r="E9" s="71"/>
      <c r="F9" s="71"/>
      <c r="G9" s="72"/>
    </row>
    <row r="10" spans="1:7">
      <c r="A10" s="178" t="s">
        <v>91</v>
      </c>
      <c r="B10" s="221"/>
      <c r="C10" s="71">
        <v>0.86428899999999997</v>
      </c>
      <c r="D10" s="71">
        <v>0.94171786560000026</v>
      </c>
      <c r="E10" s="71">
        <v>0.75179999999999969</v>
      </c>
      <c r="F10" s="71">
        <v>0.86132799999999998</v>
      </c>
      <c r="G10" s="71">
        <v>0.83691700000000002</v>
      </c>
    </row>
    <row r="11" spans="1:7">
      <c r="A11" s="178" t="s">
        <v>92</v>
      </c>
      <c r="B11" s="221"/>
      <c r="C11" s="196">
        <v>1.757398</v>
      </c>
      <c r="D11" s="71">
        <v>2.3263056149999986</v>
      </c>
      <c r="E11" s="71">
        <v>2.319300000000001</v>
      </c>
      <c r="F11" s="71">
        <v>3.0118800000000001</v>
      </c>
      <c r="G11" s="71">
        <v>1.6714179999999998</v>
      </c>
    </row>
    <row r="12" spans="1:7">
      <c r="A12" s="178"/>
      <c r="B12" s="221"/>
      <c r="C12" s="69"/>
      <c r="D12" s="69"/>
      <c r="E12" s="71"/>
      <c r="F12" s="71"/>
      <c r="G12" s="69"/>
    </row>
    <row r="13" spans="1:7">
      <c r="A13" s="178" t="s">
        <v>118</v>
      </c>
      <c r="B13" s="221"/>
      <c r="C13" s="196">
        <v>0.78026214340786426</v>
      </c>
      <c r="D13" s="71">
        <v>0.81195291276788406</v>
      </c>
      <c r="E13" s="71">
        <v>0.82906694755407495</v>
      </c>
      <c r="F13" s="71">
        <v>0.82495582925767552</v>
      </c>
      <c r="G13" s="196">
        <v>0.81987500926314805</v>
      </c>
    </row>
    <row r="14" spans="1:7">
      <c r="C14" s="92"/>
    </row>
    <row r="16" spans="1:7" ht="10.5">
      <c r="A16" s="216" t="s">
        <v>130</v>
      </c>
      <c r="B16" s="216"/>
      <c r="C16" s="216"/>
      <c r="D16" s="216"/>
      <c r="E16" s="216"/>
      <c r="F16" s="216"/>
      <c r="G16" s="216"/>
    </row>
    <row r="17" spans="1:11" ht="10.5">
      <c r="A17" s="219" t="s">
        <v>131</v>
      </c>
      <c r="B17" s="219"/>
      <c r="C17" s="219"/>
      <c r="D17" s="219"/>
      <c r="E17" s="219"/>
      <c r="F17" s="219"/>
      <c r="G17" s="219"/>
    </row>
    <row r="18" spans="1:11" ht="10.5">
      <c r="A18" s="205" t="s">
        <v>124</v>
      </c>
      <c r="B18" s="171" t="s">
        <v>75</v>
      </c>
      <c r="C18" s="171" t="s">
        <v>121</v>
      </c>
      <c r="D18" s="174" t="s">
        <v>9</v>
      </c>
      <c r="E18" s="174" t="s">
        <v>10</v>
      </c>
      <c r="F18" s="171" t="s">
        <v>56</v>
      </c>
      <c r="G18" s="171" t="s">
        <v>76</v>
      </c>
    </row>
    <row r="19" spans="1:11" ht="20">
      <c r="A19" s="195" t="s">
        <v>97</v>
      </c>
      <c r="B19" s="95" t="s">
        <v>144</v>
      </c>
      <c r="C19" s="73">
        <v>3.3355258588163107E-2</v>
      </c>
      <c r="D19" s="73">
        <v>2.6472340591209578E-2</v>
      </c>
      <c r="E19" s="73">
        <v>3.4895708184114901E-2</v>
      </c>
      <c r="F19" s="73">
        <v>2.9051673551100294E-2</v>
      </c>
      <c r="G19" s="73">
        <v>2.9910515306402638E-2</v>
      </c>
    </row>
    <row r="20" spans="1:11">
      <c r="A20" s="169" t="s">
        <v>98</v>
      </c>
      <c r="B20" s="73"/>
      <c r="C20" s="183">
        <v>4.4999999999999998E-2</v>
      </c>
      <c r="D20" s="183">
        <v>4.4999999999999998E-2</v>
      </c>
      <c r="E20" s="183">
        <v>4.4999999999999998E-2</v>
      </c>
      <c r="F20" s="183">
        <v>4.4999999999999998E-2</v>
      </c>
      <c r="G20" s="183">
        <v>4.4999999999999998E-2</v>
      </c>
    </row>
    <row r="21" spans="1:11" ht="10.5">
      <c r="A21" s="169" t="s">
        <v>72</v>
      </c>
      <c r="B21" s="73"/>
      <c r="C21" s="84">
        <f>IF(C19&gt;C20,C19-C20,0)</f>
        <v>0</v>
      </c>
      <c r="D21" s="84">
        <f t="shared" ref="D21:G21" si="0">IF(D19&gt;D20,D19-D20,0)</f>
        <v>0</v>
      </c>
      <c r="E21" s="84">
        <f>IF(E19&gt;E20,E19-E20,0)</f>
        <v>0</v>
      </c>
      <c r="F21" s="84">
        <f t="shared" si="0"/>
        <v>0</v>
      </c>
      <c r="G21" s="84">
        <f t="shared" si="0"/>
        <v>0</v>
      </c>
      <c r="H21" s="173">
        <f>SUM(C21:G21)</f>
        <v>0</v>
      </c>
      <c r="I21" s="92" t="s">
        <v>133</v>
      </c>
    </row>
    <row r="22" spans="1:11" ht="10.5">
      <c r="A22" s="169"/>
      <c r="B22" s="93"/>
      <c r="C22" s="93"/>
      <c r="D22" s="93"/>
      <c r="E22" s="93"/>
      <c r="F22" s="93"/>
      <c r="G22" s="170"/>
    </row>
    <row r="23" spans="1:11" ht="10.5">
      <c r="B23" s="171" t="s">
        <v>75</v>
      </c>
      <c r="F23" s="212" t="s">
        <v>99</v>
      </c>
      <c r="G23" s="212"/>
      <c r="H23" s="212"/>
      <c r="I23" s="212"/>
      <c r="J23" s="212"/>
      <c r="K23" s="212"/>
    </row>
    <row r="24" spans="1:11">
      <c r="A24" s="96" t="s">
        <v>126</v>
      </c>
      <c r="B24" s="95" t="s">
        <v>103</v>
      </c>
      <c r="C24" s="70"/>
      <c r="D24" s="158">
        <f>H21</f>
        <v>0</v>
      </c>
      <c r="E24" s="70"/>
      <c r="F24" s="92"/>
      <c r="G24" s="92"/>
      <c r="H24" s="92"/>
    </row>
    <row r="25" spans="1:11" ht="19.5" customHeight="1">
      <c r="A25" s="96" t="s">
        <v>105</v>
      </c>
      <c r="B25" s="213" t="s">
        <v>104</v>
      </c>
      <c r="C25" s="70"/>
      <c r="D25" s="85">
        <f>D24*0.6</f>
        <v>0</v>
      </c>
      <c r="E25" s="70"/>
    </row>
    <row r="26" spans="1:11" ht="19.5" customHeight="1">
      <c r="A26" s="96" t="s">
        <v>106</v>
      </c>
      <c r="B26" s="214"/>
      <c r="C26" s="70"/>
      <c r="D26" s="85">
        <f>D24*0.4</f>
        <v>0</v>
      </c>
      <c r="E26" s="70"/>
    </row>
    <row r="27" spans="1:11">
      <c r="A27" s="96"/>
      <c r="B27" s="97"/>
      <c r="C27" s="98"/>
      <c r="D27" s="99"/>
      <c r="E27" s="98"/>
    </row>
    <row r="28" spans="1:11" ht="10.5">
      <c r="A28" s="206" t="s">
        <v>93</v>
      </c>
      <c r="B28" s="171" t="s">
        <v>75</v>
      </c>
      <c r="C28" s="174" t="str">
        <f>'Output | Final Decision tables'!C7</f>
        <v>Urban</v>
      </c>
      <c r="D28" s="174" t="str">
        <f>'Output | Final Decision tables'!D7</f>
        <v>Short rural</v>
      </c>
      <c r="E28" s="171"/>
    </row>
    <row r="29" spans="1:11" ht="20">
      <c r="A29" s="138" t="s">
        <v>73</v>
      </c>
      <c r="B29" s="95" t="s">
        <v>102</v>
      </c>
      <c r="C29" s="197">
        <v>8.5999999999999993E-2</v>
      </c>
      <c r="D29" s="76">
        <v>8.0999999999999996E-3</v>
      </c>
      <c r="E29" s="76"/>
      <c r="F29" s="92"/>
    </row>
    <row r="30" spans="1:11">
      <c r="A30" s="96" t="s">
        <v>100</v>
      </c>
      <c r="B30" s="73"/>
      <c r="C30" s="86">
        <f>$D25*C$29/(SUM($C$29:$E$29))</f>
        <v>0</v>
      </c>
      <c r="D30" s="85">
        <f>$D25*D$29/(SUM($C$29:$E$29))</f>
        <v>0</v>
      </c>
      <c r="E30" s="86"/>
    </row>
    <row r="31" spans="1:11">
      <c r="A31" s="96" t="s">
        <v>86</v>
      </c>
      <c r="B31" s="73"/>
      <c r="C31" s="87">
        <f>(C30/C29*100)/4</f>
        <v>0</v>
      </c>
      <c r="D31" s="87">
        <f>(D30/D29*100)/4</f>
        <v>0</v>
      </c>
      <c r="E31" s="87"/>
      <c r="F31" s="92" t="s">
        <v>132</v>
      </c>
      <c r="G31" s="92"/>
      <c r="H31" s="92"/>
    </row>
    <row r="32" spans="1:11">
      <c r="A32" s="96"/>
      <c r="B32" s="93"/>
      <c r="C32" s="100"/>
      <c r="D32" s="100"/>
      <c r="E32" s="100"/>
      <c r="F32" s="92"/>
      <c r="G32" s="92"/>
      <c r="H32" s="92"/>
    </row>
    <row r="33" spans="1:8" ht="10.5">
      <c r="A33" s="206" t="s">
        <v>94</v>
      </c>
      <c r="B33" s="171" t="s">
        <v>75</v>
      </c>
      <c r="C33" s="174" t="str">
        <f>'Output | Final Decision tables'!C7</f>
        <v>Urban</v>
      </c>
      <c r="D33" s="174" t="str">
        <f>'Output | Final Decision tables'!D7</f>
        <v>Short rural</v>
      </c>
      <c r="E33" s="171"/>
      <c r="F33" s="92"/>
      <c r="G33" s="92"/>
      <c r="H33" s="92"/>
    </row>
    <row r="34" spans="1:8" ht="20">
      <c r="A34" s="138" t="s">
        <v>74</v>
      </c>
      <c r="B34" s="95" t="s">
        <v>102</v>
      </c>
      <c r="C34" s="76">
        <v>3.5564</v>
      </c>
      <c r="D34" s="76">
        <v>0.36659999999999998</v>
      </c>
      <c r="E34" s="76"/>
      <c r="F34" s="92"/>
    </row>
    <row r="35" spans="1:8">
      <c r="A35" s="96" t="s">
        <v>101</v>
      </c>
      <c r="B35" s="69"/>
      <c r="C35" s="86">
        <f>$D26*C$34/SUM($C$34:$E$34)</f>
        <v>0</v>
      </c>
      <c r="D35" s="85">
        <f t="shared" ref="D35" si="1">$D26*D$34/SUM($C$34:$E$34)</f>
        <v>0</v>
      </c>
      <c r="E35" s="86"/>
    </row>
    <row r="36" spans="1:8">
      <c r="A36" s="96" t="s">
        <v>87</v>
      </c>
      <c r="B36" s="69"/>
      <c r="C36" s="87">
        <f>(C35/C34*100)/4</f>
        <v>0</v>
      </c>
      <c r="D36" s="87">
        <f t="shared" ref="D36" si="2">(D35/D34*100)/4</f>
        <v>0</v>
      </c>
      <c r="E36" s="87"/>
      <c r="F36" s="92" t="s">
        <v>132</v>
      </c>
      <c r="G36" s="92"/>
      <c r="H36" s="92"/>
    </row>
    <row r="39" spans="1:8" ht="10.5">
      <c r="A39" s="216" t="s">
        <v>125</v>
      </c>
      <c r="B39" s="216"/>
      <c r="C39" s="216"/>
      <c r="D39" s="216"/>
      <c r="E39" s="216"/>
      <c r="F39" s="216"/>
      <c r="G39" s="216"/>
      <c r="H39" s="216"/>
    </row>
    <row r="40" spans="1:8" ht="21">
      <c r="A40" s="68" t="s">
        <v>127</v>
      </c>
      <c r="B40" s="171" t="s">
        <v>75</v>
      </c>
      <c r="C40" s="171" t="s">
        <v>136</v>
      </c>
    </row>
    <row r="41" spans="1:8" ht="22.5" customHeight="1">
      <c r="A41" s="178" t="s">
        <v>68</v>
      </c>
      <c r="B41" s="217" t="s">
        <v>135</v>
      </c>
      <c r="C41" s="203">
        <v>-8.3661594568075787E-2</v>
      </c>
    </row>
    <row r="42" spans="1:8">
      <c r="A42" s="178" t="s">
        <v>69</v>
      </c>
      <c r="B42" s="218"/>
      <c r="C42" s="203">
        <v>-3.0608995038495374E-2</v>
      </c>
    </row>
    <row r="43" spans="1:8">
      <c r="B43" s="218"/>
      <c r="C43" s="204"/>
    </row>
    <row r="44" spans="1:8">
      <c r="A44" s="178" t="s">
        <v>70</v>
      </c>
      <c r="B44" s="218"/>
      <c r="C44" s="203">
        <v>-1.2768384275189549E-3</v>
      </c>
    </row>
    <row r="45" spans="1:8">
      <c r="A45" s="178" t="s">
        <v>71</v>
      </c>
      <c r="B45" s="218"/>
      <c r="C45" s="203">
        <v>-4.6715271558786856E-4</v>
      </c>
    </row>
    <row r="46" spans="1:8">
      <c r="A46" s="178"/>
      <c r="B46" s="218"/>
      <c r="C46" s="204"/>
    </row>
    <row r="47" spans="1:8">
      <c r="A47" s="178" t="s">
        <v>91</v>
      </c>
      <c r="B47" s="218"/>
      <c r="C47" s="203">
        <v>-1.0704478734791135E-3</v>
      </c>
    </row>
    <row r="48" spans="1:8">
      <c r="A48" s="178" t="s">
        <v>92</v>
      </c>
      <c r="B48" s="218"/>
      <c r="C48" s="203">
        <v>-3.9164127599347604E-4</v>
      </c>
    </row>
    <row r="49" spans="1:8">
      <c r="A49" s="178"/>
      <c r="B49" s="202"/>
    </row>
    <row r="51" spans="1:8" ht="10.5">
      <c r="A51" s="216" t="s">
        <v>116</v>
      </c>
      <c r="B51" s="216"/>
      <c r="C51" s="216"/>
      <c r="D51" s="216"/>
      <c r="E51" s="216"/>
      <c r="F51" s="216"/>
      <c r="G51" s="216"/>
      <c r="H51" s="216"/>
    </row>
    <row r="52" spans="1:8" ht="21" customHeight="1">
      <c r="A52" s="68" t="s">
        <v>96</v>
      </c>
      <c r="B52" s="171" t="s">
        <v>75</v>
      </c>
      <c r="C52" s="175" t="s">
        <v>77</v>
      </c>
    </row>
    <row r="53" spans="1:8">
      <c r="A53" s="75" t="str">
        <f>'Output | Final Decision tables'!C7</f>
        <v>Urban</v>
      </c>
      <c r="B53" s="215" t="s">
        <v>134</v>
      </c>
      <c r="C53" s="90">
        <v>7934292.9332146384</v>
      </c>
    </row>
    <row r="54" spans="1:8">
      <c r="A54" s="75" t="str">
        <f>'Output | Final Decision tables'!D7</f>
        <v>Short rural</v>
      </c>
      <c r="B54" s="215"/>
      <c r="C54" s="90">
        <v>793358.78874818969</v>
      </c>
    </row>
    <row r="57" spans="1:8" ht="10.5">
      <c r="H57" s="116"/>
    </row>
    <row r="58" spans="1:8">
      <c r="H58" s="172"/>
    </row>
  </sheetData>
  <mergeCells count="10">
    <mergeCell ref="F23:K23"/>
    <mergeCell ref="B25:B26"/>
    <mergeCell ref="B53:B54"/>
    <mergeCell ref="A2:G2"/>
    <mergeCell ref="A16:G16"/>
    <mergeCell ref="B41:B48"/>
    <mergeCell ref="A17:G17"/>
    <mergeCell ref="A39:H39"/>
    <mergeCell ref="A51:H51"/>
    <mergeCell ref="B4:B13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36"/>
  <sheetViews>
    <sheetView topLeftCell="Q1" zoomScale="160" zoomScaleNormal="160" workbookViewId="0">
      <selection activeCell="T27" sqref="T27"/>
    </sheetView>
  </sheetViews>
  <sheetFormatPr defaultColWidth="9.1796875" defaultRowHeight="10"/>
  <cols>
    <col min="1" max="1" width="5.453125" style="43" customWidth="1"/>
    <col min="2" max="2" width="20.453125" style="43" customWidth="1"/>
    <col min="3" max="7" width="13.54296875" style="43" customWidth="1"/>
    <col min="8" max="9" width="18" style="43" customWidth="1"/>
    <col min="10" max="10" width="3.1796875" style="43" customWidth="1"/>
    <col min="11" max="11" width="20.453125" style="43" customWidth="1"/>
    <col min="12" max="16" width="13.54296875" style="43" customWidth="1"/>
    <col min="17" max="18" width="18" style="43" customWidth="1"/>
    <col min="19" max="19" width="2.453125" style="43" customWidth="1"/>
    <col min="20" max="20" width="20.453125" style="43" customWidth="1"/>
    <col min="21" max="25" width="13.54296875" style="43" customWidth="1"/>
    <col min="26" max="27" width="18" style="43" customWidth="1"/>
    <col min="28" max="16384" width="9.1796875" style="43"/>
  </cols>
  <sheetData>
    <row r="2" spans="2:27" ht="10.5">
      <c r="B2" s="32" t="s">
        <v>23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1"/>
      <c r="P2" s="44"/>
      <c r="Q2" s="44"/>
      <c r="R2" s="44"/>
      <c r="S2" s="102"/>
      <c r="T2" s="32"/>
      <c r="U2" s="44"/>
      <c r="V2" s="44"/>
      <c r="W2" s="44"/>
      <c r="X2" s="44"/>
      <c r="Y2" s="44"/>
      <c r="Z2" s="44"/>
      <c r="AA2" s="44"/>
    </row>
    <row r="4" spans="2:27" s="33" customFormat="1" ht="10.5">
      <c r="B4" s="45" t="s">
        <v>11</v>
      </c>
      <c r="C4" s="45"/>
      <c r="D4" s="45"/>
      <c r="E4" s="45"/>
      <c r="F4" s="45"/>
      <c r="G4" s="45"/>
      <c r="H4" s="45"/>
      <c r="I4" s="45"/>
      <c r="K4" s="45" t="s">
        <v>11</v>
      </c>
      <c r="L4" s="45"/>
      <c r="M4" s="45"/>
      <c r="N4" s="45"/>
      <c r="O4" s="45"/>
      <c r="P4" s="45"/>
      <c r="Q4" s="45"/>
      <c r="R4" s="45"/>
      <c r="T4" s="45" t="s">
        <v>11</v>
      </c>
      <c r="U4" s="45"/>
      <c r="V4" s="45"/>
      <c r="W4" s="45"/>
      <c r="X4" s="45"/>
      <c r="Y4" s="45"/>
      <c r="Z4" s="45"/>
      <c r="AA4" s="45"/>
    </row>
    <row r="6" spans="2:27" s="33" customFormat="1" ht="10.5">
      <c r="B6" s="46" t="s">
        <v>7</v>
      </c>
      <c r="C6" s="48"/>
      <c r="D6" s="40"/>
      <c r="E6" s="40"/>
      <c r="F6" s="40"/>
      <c r="G6" s="40"/>
      <c r="H6" s="40"/>
      <c r="I6" s="40"/>
      <c r="K6" s="46" t="s">
        <v>6</v>
      </c>
      <c r="L6" s="47"/>
      <c r="T6" s="46" t="s">
        <v>147</v>
      </c>
      <c r="U6" s="48"/>
      <c r="V6" s="40"/>
      <c r="W6" s="40"/>
      <c r="X6" s="40"/>
      <c r="Y6" s="40"/>
      <c r="Z6" s="40"/>
      <c r="AA6" s="40"/>
    </row>
    <row r="7" spans="2:27" s="33" customFormat="1" ht="10.5">
      <c r="B7" s="52" t="s">
        <v>0</v>
      </c>
      <c r="C7" s="50" t="s">
        <v>8</v>
      </c>
      <c r="D7" s="50" t="s">
        <v>9</v>
      </c>
      <c r="E7" s="50" t="s">
        <v>10</v>
      </c>
      <c r="F7" s="50" t="s">
        <v>56</v>
      </c>
      <c r="G7" s="50" t="s">
        <v>76</v>
      </c>
      <c r="H7" s="50" t="s">
        <v>12</v>
      </c>
      <c r="I7" s="50" t="s">
        <v>13</v>
      </c>
      <c r="K7" s="49" t="s">
        <v>0</v>
      </c>
      <c r="L7" s="50" t="s">
        <v>8</v>
      </c>
      <c r="M7" s="50" t="s">
        <v>9</v>
      </c>
      <c r="N7" s="50" t="s">
        <v>10</v>
      </c>
      <c r="O7" s="50" t="s">
        <v>56</v>
      </c>
      <c r="P7" s="50" t="s">
        <v>76</v>
      </c>
      <c r="Q7" s="50" t="s">
        <v>12</v>
      </c>
      <c r="R7" s="50" t="s">
        <v>13</v>
      </c>
      <c r="T7" s="52" t="s">
        <v>0</v>
      </c>
      <c r="U7" s="50" t="s">
        <v>8</v>
      </c>
      <c r="V7" s="50" t="s">
        <v>9</v>
      </c>
      <c r="W7" s="50" t="s">
        <v>10</v>
      </c>
      <c r="X7" s="50" t="s">
        <v>56</v>
      </c>
      <c r="Y7" s="50" t="s">
        <v>76</v>
      </c>
      <c r="Z7" s="50" t="s">
        <v>12</v>
      </c>
      <c r="AA7" s="50" t="s">
        <v>13</v>
      </c>
    </row>
    <row r="8" spans="2:27" s="33" customFormat="1">
      <c r="B8" s="34" t="s">
        <v>1</v>
      </c>
      <c r="C8" s="167">
        <f>'Target adjustments'!C4</f>
        <v>24.243884999999999</v>
      </c>
      <c r="D8" s="167">
        <f>'Target adjustments'!D4</f>
        <v>31.33502029361566</v>
      </c>
      <c r="E8" s="167">
        <f>'Target adjustments'!E4</f>
        <v>25.472967759999957</v>
      </c>
      <c r="F8" s="167">
        <f>'Target adjustments'!F4</f>
        <v>25.855927358312375</v>
      </c>
      <c r="G8" s="167">
        <v>32.785119749539966</v>
      </c>
      <c r="H8" s="77">
        <f>AVERAGE(C8:F8)</f>
        <v>26.726950102981998</v>
      </c>
      <c r="I8" s="77">
        <f>AVERAGE($C8:G8)</f>
        <v>27.938584032293591</v>
      </c>
      <c r="K8" s="34" t="s">
        <v>1</v>
      </c>
      <c r="L8" s="167">
        <f>'Target adjustments'!C7</f>
        <v>0.38057299999999999</v>
      </c>
      <c r="M8" s="167">
        <f>'Target adjustments'!D7</f>
        <v>0.39263829449620852</v>
      </c>
      <c r="N8" s="167">
        <f>'Target adjustments'!E7</f>
        <v>0.335796480000006</v>
      </c>
      <c r="O8" s="167">
        <f>'Target adjustments'!F7</f>
        <v>0.36466026495680398</v>
      </c>
      <c r="P8" s="167">
        <v>0.4116508265427945</v>
      </c>
      <c r="Q8" s="77">
        <f>AVERAGE(L8:O8)</f>
        <v>0.36841700986325465</v>
      </c>
      <c r="R8" s="77">
        <f>AVERAGE($L8:$P8)</f>
        <v>0.37706377319916262</v>
      </c>
      <c r="T8" s="34" t="s">
        <v>1</v>
      </c>
      <c r="U8" s="167">
        <f>'Target adjustments'!C10</f>
        <v>0.86428899999999997</v>
      </c>
      <c r="V8" s="167">
        <f>'Target adjustments'!D10</f>
        <v>0.94171786560000026</v>
      </c>
      <c r="W8" s="167">
        <f>'Target adjustments'!E10</f>
        <v>0.75179999999999969</v>
      </c>
      <c r="X8" s="167">
        <f>'Target adjustments'!F10</f>
        <v>0.86132799999999998</v>
      </c>
      <c r="Y8" s="167">
        <v>0.83691700000000002</v>
      </c>
      <c r="Z8" s="77">
        <f>AVERAGE(U8:X8)</f>
        <v>0.85478371639999995</v>
      </c>
      <c r="AA8" s="77">
        <f>AVERAGE(U8:Y8)</f>
        <v>0.85121037312000003</v>
      </c>
    </row>
    <row r="9" spans="2:27" s="33" customFormat="1">
      <c r="B9" s="34" t="s">
        <v>115</v>
      </c>
      <c r="C9" s="167">
        <f>'Target adjustments'!C5</f>
        <v>44.960450999999999</v>
      </c>
      <c r="D9" s="167">
        <f>'Target adjustments'!D5</f>
        <v>91.296934208679772</v>
      </c>
      <c r="E9" s="167">
        <f>'Target adjustments'!E5</f>
        <v>87.603508859999891</v>
      </c>
      <c r="F9" s="167">
        <f>'Target adjustments'!F5</f>
        <v>108.41024798355819</v>
      </c>
      <c r="G9" s="167">
        <v>59.54022097823885</v>
      </c>
      <c r="H9" s="77">
        <f>AVERAGE(C9:F9)</f>
        <v>83.067785513059462</v>
      </c>
      <c r="I9" s="77">
        <f>AVERAGE($C9:G9)</f>
        <v>78.362272606095331</v>
      </c>
      <c r="K9" s="34" t="s">
        <v>115</v>
      </c>
      <c r="L9" s="167">
        <f>'Target adjustments'!C8</f>
        <v>0.74750700000000003</v>
      </c>
      <c r="M9" s="167">
        <f>'Target adjustments'!D8</f>
        <v>1.2860885430473938</v>
      </c>
      <c r="N9" s="167">
        <f>'Target adjustments'!E8</f>
        <v>1.144518989999997</v>
      </c>
      <c r="O9" s="167">
        <f>'Target adjustments'!F8</f>
        <v>1.7696806448635525</v>
      </c>
      <c r="P9" s="167">
        <v>0.65583182640144611</v>
      </c>
      <c r="Q9" s="77">
        <f>AVERAGE(L9:O9)</f>
        <v>1.236948794477736</v>
      </c>
      <c r="R9" s="77">
        <f>AVERAGE($L9:$P9)</f>
        <v>1.1207254008624781</v>
      </c>
      <c r="T9" s="34" t="s">
        <v>115</v>
      </c>
      <c r="U9" s="167">
        <f>'Target adjustments'!C11</f>
        <v>1.757398</v>
      </c>
      <c r="V9" s="167">
        <f>'Target adjustments'!D11</f>
        <v>2.3263056149999986</v>
      </c>
      <c r="W9" s="167">
        <f>'Target adjustments'!E11</f>
        <v>2.319300000000001</v>
      </c>
      <c r="X9" s="167">
        <f>'Target adjustments'!F11</f>
        <v>3.0118800000000001</v>
      </c>
      <c r="Y9" s="167">
        <v>1.6714179999999998</v>
      </c>
      <c r="Z9" s="77">
        <f>AVERAGE(U9:X9)</f>
        <v>2.3537209037499998</v>
      </c>
      <c r="AA9" s="77">
        <f>AVERAGE(U9:Y9)</f>
        <v>2.2172603229999996</v>
      </c>
    </row>
    <row r="10" spans="2:27" s="33" customFormat="1">
      <c r="B10" s="34" t="s">
        <v>120</v>
      </c>
      <c r="C10" s="103">
        <f>'Target adjustments'!C13</f>
        <v>0.78026214340786426</v>
      </c>
      <c r="D10" s="103">
        <f>'Target adjustments'!D13</f>
        <v>0.81195291276788406</v>
      </c>
      <c r="E10" s="103">
        <f>'Target adjustments'!E13</f>
        <v>0.82906694755407495</v>
      </c>
      <c r="F10" s="103">
        <f>'Target adjustments'!F13</f>
        <v>0.82495582925767552</v>
      </c>
      <c r="G10" s="103">
        <v>0.81987500926314805</v>
      </c>
      <c r="H10" s="77">
        <f t="shared" ref="H10" si="0">AVERAGE(C10:F10)</f>
        <v>0.8115594582468747</v>
      </c>
      <c r="I10" s="77">
        <f>AVERAGE($C10:G10)</f>
        <v>0.8132225684501293</v>
      </c>
      <c r="K10" s="34"/>
      <c r="L10" s="103"/>
      <c r="M10" s="103"/>
      <c r="N10" s="103"/>
      <c r="O10" s="103"/>
      <c r="P10" s="103"/>
      <c r="Q10" s="77"/>
      <c r="R10" s="77"/>
      <c r="T10" s="34"/>
      <c r="U10" s="103"/>
      <c r="V10" s="103"/>
      <c r="W10" s="103"/>
      <c r="X10" s="103"/>
      <c r="Y10" s="103"/>
      <c r="Z10" s="77"/>
      <c r="AA10" s="77"/>
    </row>
    <row r="11" spans="2:27" ht="10.5">
      <c r="B11" s="53"/>
      <c r="C11" s="54"/>
      <c r="D11" s="54"/>
      <c r="E11" s="54"/>
      <c r="F11" s="54"/>
      <c r="G11" s="54"/>
      <c r="H11" s="54"/>
      <c r="I11" s="54"/>
      <c r="K11" s="53"/>
      <c r="L11" s="54"/>
      <c r="M11" s="54"/>
      <c r="N11" s="54"/>
      <c r="O11" s="54"/>
      <c r="P11" s="54"/>
      <c r="Q11" s="54"/>
      <c r="R11" s="74"/>
      <c r="T11" s="53"/>
      <c r="U11" s="54"/>
      <c r="V11" s="54"/>
      <c r="W11" s="54"/>
      <c r="X11" s="54"/>
      <c r="Y11" s="54"/>
      <c r="Z11" s="54"/>
      <c r="AA11" s="54"/>
    </row>
    <row r="12" spans="2:27">
      <c r="C12" s="55"/>
      <c r="L12" s="55"/>
      <c r="U12" s="55"/>
    </row>
    <row r="14" spans="2:27" s="33" customFormat="1" ht="10.5">
      <c r="B14" s="45" t="s">
        <v>50</v>
      </c>
      <c r="C14" s="45"/>
      <c r="D14" s="45"/>
      <c r="E14" s="45"/>
      <c r="F14" s="45"/>
      <c r="G14" s="45"/>
      <c r="H14" s="45"/>
      <c r="I14" s="45"/>
      <c r="K14" s="45" t="s">
        <v>137</v>
      </c>
      <c r="L14" s="45"/>
      <c r="M14" s="45"/>
      <c r="N14" s="45"/>
      <c r="O14" s="45"/>
      <c r="P14" s="45"/>
      <c r="Q14" s="45"/>
      <c r="R14" s="45"/>
      <c r="T14" s="45" t="s">
        <v>50</v>
      </c>
      <c r="U14" s="45"/>
      <c r="V14" s="45"/>
      <c r="W14" s="45"/>
      <c r="X14" s="45"/>
      <c r="Y14" s="45"/>
      <c r="Z14" s="45"/>
      <c r="AA14" s="45"/>
    </row>
    <row r="16" spans="2:27" s="33" customFormat="1" ht="10.5">
      <c r="B16" s="46" t="s">
        <v>7</v>
      </c>
      <c r="C16" s="40"/>
      <c r="D16" s="40"/>
      <c r="E16" s="40"/>
      <c r="F16" s="40"/>
      <c r="G16" s="40"/>
      <c r="H16" s="40"/>
      <c r="I16" s="40"/>
      <c r="K16" s="46" t="s">
        <v>6</v>
      </c>
      <c r="T16" s="46" t="str">
        <f>T6</f>
        <v>MAIFI / MAIFIe</v>
      </c>
      <c r="U16" s="40"/>
      <c r="V16" s="40"/>
      <c r="W16" s="40"/>
      <c r="X16" s="40"/>
      <c r="Y16" s="40"/>
      <c r="Z16" s="40"/>
      <c r="AA16" s="40"/>
    </row>
    <row r="17" spans="2:27" s="33" customFormat="1" ht="10.5">
      <c r="B17" s="52" t="s">
        <v>0</v>
      </c>
      <c r="C17" s="50"/>
      <c r="D17" s="50"/>
      <c r="E17" s="50"/>
      <c r="F17" s="50"/>
      <c r="G17" s="50"/>
      <c r="H17" s="50" t="s">
        <v>12</v>
      </c>
      <c r="I17" s="50" t="s">
        <v>13</v>
      </c>
      <c r="K17" s="49" t="s">
        <v>0</v>
      </c>
      <c r="L17" s="50"/>
      <c r="M17" s="50"/>
      <c r="N17" s="50"/>
      <c r="O17" s="50"/>
      <c r="P17" s="50"/>
      <c r="Q17" s="50" t="s">
        <v>12</v>
      </c>
      <c r="R17" s="50" t="s">
        <v>13</v>
      </c>
      <c r="T17" s="52" t="s">
        <v>0</v>
      </c>
      <c r="U17" s="50"/>
      <c r="V17" s="50"/>
      <c r="W17" s="50"/>
      <c r="X17" s="50"/>
      <c r="Y17" s="50"/>
      <c r="Z17" s="50" t="s">
        <v>12</v>
      </c>
      <c r="AA17" s="50" t="s">
        <v>13</v>
      </c>
    </row>
    <row r="18" spans="2:27" s="33" customFormat="1">
      <c r="B18" s="34" t="s">
        <v>1</v>
      </c>
      <c r="C18" s="207"/>
      <c r="D18" s="207"/>
      <c r="E18" s="207"/>
      <c r="F18" s="207"/>
      <c r="G18" s="207"/>
      <c r="H18" s="77">
        <v>0</v>
      </c>
      <c r="I18" s="77">
        <f>'Target adjustments'!C41+'Target adjustments'!C31</f>
        <v>-8.3661594568075787E-2</v>
      </c>
      <c r="K18" s="34" t="s">
        <v>1</v>
      </c>
      <c r="L18" s="207"/>
      <c r="M18" s="207"/>
      <c r="N18" s="207"/>
      <c r="O18" s="207"/>
      <c r="P18" s="207"/>
      <c r="Q18" s="77">
        <v>0</v>
      </c>
      <c r="R18" s="77">
        <f>'Target adjustments'!C44+'Target adjustments'!C36</f>
        <v>-1.2768384275189549E-3</v>
      </c>
      <c r="T18" s="34" t="s">
        <v>1</v>
      </c>
      <c r="U18" s="207"/>
      <c r="V18" s="207"/>
      <c r="W18" s="207"/>
      <c r="X18" s="207"/>
      <c r="Y18" s="207"/>
      <c r="Z18" s="77">
        <v>0</v>
      </c>
      <c r="AA18" s="77">
        <f>'Target adjustments'!C47</f>
        <v>-1.0704478734791135E-3</v>
      </c>
    </row>
    <row r="19" spans="2:27" s="33" customFormat="1">
      <c r="B19" s="34" t="s">
        <v>115</v>
      </c>
      <c r="C19" s="207"/>
      <c r="D19" s="207"/>
      <c r="E19" s="207"/>
      <c r="F19" s="207"/>
      <c r="G19" s="207"/>
      <c r="H19" s="77">
        <v>0</v>
      </c>
      <c r="I19" s="77">
        <f>'Target adjustments'!C42+'Target adjustments'!D31</f>
        <v>-3.0608995038495374E-2</v>
      </c>
      <c r="K19" s="34" t="s">
        <v>115</v>
      </c>
      <c r="L19" s="207"/>
      <c r="M19" s="207"/>
      <c r="N19" s="207"/>
      <c r="O19" s="207"/>
      <c r="P19" s="207"/>
      <c r="Q19" s="77">
        <v>0</v>
      </c>
      <c r="R19" s="77">
        <f>'Target adjustments'!C45+'Target adjustments'!D36</f>
        <v>-4.6715271558786856E-4</v>
      </c>
      <c r="T19" s="34" t="s">
        <v>115</v>
      </c>
      <c r="U19" s="207"/>
      <c r="V19" s="207"/>
      <c r="W19" s="207"/>
      <c r="X19" s="207"/>
      <c r="Y19" s="207"/>
      <c r="Z19" s="77">
        <v>0</v>
      </c>
      <c r="AA19" s="77">
        <f>'Target adjustments'!C48</f>
        <v>-3.9164127599347604E-4</v>
      </c>
    </row>
    <row r="20" spans="2:27" s="33" customFormat="1" ht="10.5">
      <c r="B20" s="34" t="s">
        <v>120</v>
      </c>
      <c r="C20" s="208"/>
      <c r="D20" s="208"/>
      <c r="E20" s="208"/>
      <c r="F20" s="208"/>
      <c r="G20" s="208"/>
      <c r="H20" s="77">
        <v>0</v>
      </c>
      <c r="I20" s="77">
        <v>0</v>
      </c>
      <c r="K20" s="34"/>
      <c r="L20" s="208"/>
      <c r="M20" s="208"/>
      <c r="N20" s="208"/>
      <c r="O20" s="208"/>
      <c r="P20" s="208"/>
      <c r="Q20" s="83"/>
      <c r="R20" s="83"/>
      <c r="T20" s="34"/>
      <c r="U20" s="208"/>
      <c r="V20" s="208"/>
      <c r="W20" s="208"/>
      <c r="X20" s="208"/>
      <c r="Y20" s="208"/>
      <c r="Z20" s="77"/>
      <c r="AA20" s="77"/>
    </row>
    <row r="21" spans="2:27" ht="10.5">
      <c r="B21" s="53"/>
      <c r="C21" s="54"/>
      <c r="D21" s="54"/>
      <c r="E21" s="54"/>
      <c r="F21" s="54"/>
      <c r="G21" s="54"/>
      <c r="H21" s="54"/>
      <c r="I21" s="54"/>
      <c r="K21" s="53"/>
      <c r="L21" s="54"/>
      <c r="M21" s="54"/>
      <c r="N21" s="54"/>
      <c r="O21" s="54"/>
      <c r="P21" s="54"/>
      <c r="Q21" s="54"/>
      <c r="R21" s="54"/>
      <c r="T21" s="53"/>
      <c r="U21" s="54"/>
      <c r="V21" s="54"/>
      <c r="W21" s="54"/>
      <c r="X21" s="54"/>
      <c r="Y21" s="54"/>
      <c r="Z21" s="54"/>
      <c r="AA21" s="54"/>
    </row>
    <row r="24" spans="2:27" s="33" customFormat="1" ht="10.5">
      <c r="B24" s="45" t="s">
        <v>141</v>
      </c>
      <c r="C24" s="45"/>
      <c r="D24" s="45"/>
      <c r="E24" s="45"/>
      <c r="F24" s="45"/>
      <c r="G24" s="45"/>
      <c r="H24" s="45"/>
      <c r="I24" s="45"/>
      <c r="K24" s="45" t="s">
        <v>141</v>
      </c>
      <c r="L24" s="45"/>
      <c r="M24" s="45"/>
      <c r="N24" s="45"/>
      <c r="O24" s="45"/>
      <c r="P24" s="45"/>
      <c r="Q24" s="45"/>
      <c r="R24" s="45"/>
      <c r="T24" s="45" t="s">
        <v>141</v>
      </c>
      <c r="U24" s="45"/>
      <c r="V24" s="45"/>
      <c r="W24" s="45"/>
      <c r="X24" s="45"/>
      <c r="Y24" s="45"/>
      <c r="Z24" s="45"/>
      <c r="AA24" s="45"/>
    </row>
    <row r="26" spans="2:27" s="33" customFormat="1" ht="10.5">
      <c r="B26" s="46" t="s">
        <v>7</v>
      </c>
      <c r="C26" s="40"/>
      <c r="D26" s="40"/>
      <c r="E26" s="40"/>
      <c r="F26" s="40"/>
      <c r="G26" s="40"/>
      <c r="H26" s="40"/>
      <c r="I26" s="40"/>
      <c r="K26" s="46" t="s">
        <v>6</v>
      </c>
      <c r="T26" s="46" t="str">
        <f>T6</f>
        <v>MAIFI / MAIFIe</v>
      </c>
      <c r="U26" s="40"/>
      <c r="V26" s="40"/>
      <c r="W26" s="40"/>
      <c r="X26" s="40"/>
      <c r="Y26" s="40"/>
      <c r="Z26" s="40"/>
      <c r="AA26" s="40"/>
    </row>
    <row r="27" spans="2:27" s="33" customFormat="1" ht="10.5">
      <c r="B27" s="52" t="s">
        <v>0</v>
      </c>
      <c r="C27" s="50" t="s">
        <v>8</v>
      </c>
      <c r="D27" s="50" t="s">
        <v>9</v>
      </c>
      <c r="E27" s="50" t="s">
        <v>10</v>
      </c>
      <c r="F27" s="50" t="s">
        <v>56</v>
      </c>
      <c r="G27" s="50" t="s">
        <v>76</v>
      </c>
      <c r="H27" s="50" t="s">
        <v>12</v>
      </c>
      <c r="I27" s="50" t="s">
        <v>13</v>
      </c>
      <c r="K27" s="49" t="s">
        <v>0</v>
      </c>
      <c r="L27" s="50" t="s">
        <v>8</v>
      </c>
      <c r="M27" s="50" t="s">
        <v>9</v>
      </c>
      <c r="N27" s="50" t="s">
        <v>10</v>
      </c>
      <c r="O27" s="50" t="s">
        <v>56</v>
      </c>
      <c r="P27" s="50" t="s">
        <v>76</v>
      </c>
      <c r="Q27" s="50" t="s">
        <v>12</v>
      </c>
      <c r="R27" s="50" t="s">
        <v>13</v>
      </c>
      <c r="T27" s="52" t="s">
        <v>0</v>
      </c>
      <c r="U27" s="50" t="s">
        <v>8</v>
      </c>
      <c r="V27" s="50" t="s">
        <v>9</v>
      </c>
      <c r="W27" s="50" t="s">
        <v>10</v>
      </c>
      <c r="X27" s="50" t="s">
        <v>56</v>
      </c>
      <c r="Y27" s="50" t="s">
        <v>76</v>
      </c>
      <c r="Z27" s="50" t="s">
        <v>12</v>
      </c>
      <c r="AA27" s="50" t="s">
        <v>13</v>
      </c>
    </row>
    <row r="28" spans="2:27" s="33" customFormat="1">
      <c r="B28" s="34" t="s">
        <v>1</v>
      </c>
      <c r="C28" s="103">
        <f t="shared" ref="C28:G30" si="1">C8+C18</f>
        <v>24.243884999999999</v>
      </c>
      <c r="D28" s="103">
        <f t="shared" si="1"/>
        <v>31.33502029361566</v>
      </c>
      <c r="E28" s="103">
        <f t="shared" si="1"/>
        <v>25.472967759999957</v>
      </c>
      <c r="F28" s="103">
        <f t="shared" si="1"/>
        <v>25.855927358312375</v>
      </c>
      <c r="G28" s="103">
        <f t="shared" si="1"/>
        <v>32.785119749539966</v>
      </c>
      <c r="H28" s="77">
        <f>AVERAGE(C28:F28)+H18</f>
        <v>26.726950102981998</v>
      </c>
      <c r="I28" s="77">
        <f>AVERAGE($C28:G28)+I18</f>
        <v>27.854922437725516</v>
      </c>
      <c r="K28" s="34" t="s">
        <v>1</v>
      </c>
      <c r="L28" s="103">
        <f t="shared" ref="L28:P29" si="2">L8+L18</f>
        <v>0.38057299999999999</v>
      </c>
      <c r="M28" s="103">
        <f t="shared" si="2"/>
        <v>0.39263829449620852</v>
      </c>
      <c r="N28" s="103">
        <f t="shared" si="2"/>
        <v>0.335796480000006</v>
      </c>
      <c r="O28" s="103">
        <f t="shared" si="2"/>
        <v>0.36466026495680398</v>
      </c>
      <c r="P28" s="103">
        <f t="shared" si="2"/>
        <v>0.4116508265427945</v>
      </c>
      <c r="Q28" s="77">
        <f>AVERAGE(L28:O28)+Q18</f>
        <v>0.36841700986325465</v>
      </c>
      <c r="R28" s="77">
        <f>AVERAGE($L28:$P28)+R18</f>
        <v>0.37578693477164365</v>
      </c>
      <c r="T28" s="34" t="s">
        <v>1</v>
      </c>
      <c r="U28" s="103">
        <f t="shared" ref="U28:Y29" si="3">U8+U18</f>
        <v>0.86428899999999997</v>
      </c>
      <c r="V28" s="103">
        <f t="shared" si="3"/>
        <v>0.94171786560000026</v>
      </c>
      <c r="W28" s="103">
        <f t="shared" si="3"/>
        <v>0.75179999999999969</v>
      </c>
      <c r="X28" s="103">
        <f t="shared" si="3"/>
        <v>0.86132799999999998</v>
      </c>
      <c r="Y28" s="103">
        <f t="shared" si="3"/>
        <v>0.83691700000000002</v>
      </c>
      <c r="Z28" s="77">
        <f>AVERAGE(U28:X28)+Z18</f>
        <v>0.85478371639999995</v>
      </c>
      <c r="AA28" s="77">
        <f>AVERAGE(U28:Y28)+AA18</f>
        <v>0.85013992524652093</v>
      </c>
    </row>
    <row r="29" spans="2:27" s="33" customFormat="1">
      <c r="B29" s="34" t="s">
        <v>115</v>
      </c>
      <c r="C29" s="103">
        <f t="shared" si="1"/>
        <v>44.960450999999999</v>
      </c>
      <c r="D29" s="103">
        <f t="shared" si="1"/>
        <v>91.296934208679772</v>
      </c>
      <c r="E29" s="103">
        <f t="shared" si="1"/>
        <v>87.603508859999891</v>
      </c>
      <c r="F29" s="103">
        <f t="shared" si="1"/>
        <v>108.41024798355819</v>
      </c>
      <c r="G29" s="103">
        <f t="shared" si="1"/>
        <v>59.54022097823885</v>
      </c>
      <c r="H29" s="77">
        <f t="shared" ref="H29:H30" si="4">AVERAGE(C29:F29)+H19</f>
        <v>83.067785513059462</v>
      </c>
      <c r="I29" s="77">
        <f>AVERAGE($C29:G29)+I19</f>
        <v>78.33166361105684</v>
      </c>
      <c r="K29" s="34" t="s">
        <v>115</v>
      </c>
      <c r="L29" s="103">
        <f t="shared" si="2"/>
        <v>0.74750700000000003</v>
      </c>
      <c r="M29" s="103">
        <f t="shared" si="2"/>
        <v>1.2860885430473938</v>
      </c>
      <c r="N29" s="103">
        <f t="shared" si="2"/>
        <v>1.144518989999997</v>
      </c>
      <c r="O29" s="103">
        <f t="shared" si="2"/>
        <v>1.7696806448635525</v>
      </c>
      <c r="P29" s="103">
        <f t="shared" si="2"/>
        <v>0.65583182640144611</v>
      </c>
      <c r="Q29" s="77">
        <f>AVERAGE(L29:O29)+Q19</f>
        <v>1.236948794477736</v>
      </c>
      <c r="R29" s="77">
        <f>AVERAGE($L29:$P29)+R19</f>
        <v>1.1202582481468901</v>
      </c>
      <c r="T29" s="34" t="s">
        <v>115</v>
      </c>
      <c r="U29" s="103">
        <f t="shared" si="3"/>
        <v>1.757398</v>
      </c>
      <c r="V29" s="103">
        <f t="shared" si="3"/>
        <v>2.3263056149999986</v>
      </c>
      <c r="W29" s="103">
        <f t="shared" si="3"/>
        <v>2.319300000000001</v>
      </c>
      <c r="X29" s="103">
        <f t="shared" si="3"/>
        <v>3.0118800000000001</v>
      </c>
      <c r="Y29" s="103">
        <f t="shared" si="3"/>
        <v>1.6714179999999998</v>
      </c>
      <c r="Z29" s="77">
        <f>AVERAGE(U29:X29)+Z19</f>
        <v>2.3537209037499998</v>
      </c>
      <c r="AA29" s="77">
        <f>AVERAGE(U29:Y29)+AA19</f>
        <v>2.216868681724006</v>
      </c>
    </row>
    <row r="30" spans="2:27" s="33" customFormat="1">
      <c r="B30" s="34" t="s">
        <v>120</v>
      </c>
      <c r="C30" s="103">
        <f t="shared" si="1"/>
        <v>0.78026214340786426</v>
      </c>
      <c r="D30" s="103">
        <f t="shared" si="1"/>
        <v>0.81195291276788406</v>
      </c>
      <c r="E30" s="103">
        <f t="shared" si="1"/>
        <v>0.82906694755407495</v>
      </c>
      <c r="F30" s="103">
        <f t="shared" si="1"/>
        <v>0.82495582925767552</v>
      </c>
      <c r="G30" s="103">
        <f t="shared" si="1"/>
        <v>0.81987500926314805</v>
      </c>
      <c r="H30" s="77">
        <f t="shared" si="4"/>
        <v>0.8115594582468747</v>
      </c>
      <c r="I30" s="77">
        <f>AVERAGE($C30:G30)+I20</f>
        <v>0.8132225684501293</v>
      </c>
      <c r="K30" s="34"/>
      <c r="L30" s="103"/>
      <c r="M30" s="103"/>
      <c r="N30" s="103"/>
      <c r="O30" s="103"/>
      <c r="P30" s="168"/>
      <c r="Q30" s="77"/>
      <c r="R30" s="77"/>
      <c r="T30" s="34"/>
      <c r="U30" s="103"/>
      <c r="V30" s="103"/>
      <c r="W30" s="103"/>
      <c r="X30" s="103"/>
      <c r="Y30" s="103"/>
      <c r="Z30" s="77"/>
      <c r="AA30" s="77"/>
    </row>
    <row r="31" spans="2:27" ht="10.5">
      <c r="B31" s="53"/>
      <c r="C31" s="54"/>
      <c r="D31" s="54"/>
      <c r="E31" s="54"/>
      <c r="F31" s="54"/>
      <c r="G31" s="54"/>
      <c r="H31" s="54"/>
      <c r="I31" s="54"/>
      <c r="K31" s="53"/>
      <c r="L31" s="54"/>
      <c r="M31" s="54"/>
      <c r="N31" s="54"/>
      <c r="O31" s="54"/>
      <c r="P31" s="54"/>
      <c r="Q31" s="54"/>
      <c r="R31" s="54"/>
      <c r="T31" s="53"/>
      <c r="U31" s="54"/>
      <c r="V31" s="54"/>
      <c r="W31" s="54"/>
      <c r="X31" s="54"/>
      <c r="Y31" s="54"/>
      <c r="Z31" s="54"/>
      <c r="AA31" s="54"/>
    </row>
    <row r="33" spans="3:24">
      <c r="C33" s="66"/>
      <c r="D33" s="66"/>
      <c r="E33" s="66"/>
      <c r="F33" s="66"/>
      <c r="L33" s="66"/>
      <c r="M33" s="66"/>
      <c r="N33" s="66"/>
      <c r="O33" s="66"/>
      <c r="U33" s="66"/>
      <c r="V33" s="66"/>
      <c r="W33" s="66"/>
      <c r="X33" s="66"/>
    </row>
    <row r="34" spans="3:24">
      <c r="C34" s="66"/>
      <c r="D34" s="66"/>
      <c r="E34" s="66"/>
      <c r="F34" s="66"/>
      <c r="L34" s="66"/>
      <c r="M34" s="66"/>
      <c r="N34" s="66"/>
      <c r="O34" s="66"/>
      <c r="U34" s="66"/>
      <c r="V34" s="66"/>
      <c r="W34" s="66"/>
      <c r="X34" s="66"/>
    </row>
    <row r="35" spans="3:24">
      <c r="C35" s="66"/>
      <c r="D35" s="66"/>
      <c r="E35" s="66"/>
      <c r="F35" s="66"/>
      <c r="V35" s="66"/>
      <c r="W35" s="66"/>
      <c r="X35" s="66"/>
    </row>
    <row r="36" spans="3:24">
      <c r="V36" s="67"/>
      <c r="W36" s="67"/>
      <c r="X36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55"/>
  <sheetViews>
    <sheetView topLeftCell="C1" zoomScale="160" zoomScaleNormal="160" workbookViewId="0">
      <selection activeCell="C31" sqref="C31"/>
    </sheetView>
  </sheetViews>
  <sheetFormatPr defaultColWidth="9.1796875" defaultRowHeight="10"/>
  <cols>
    <col min="1" max="1" width="2.54296875" style="91" customWidth="1"/>
    <col min="2" max="2" width="71.1796875" style="91" customWidth="1"/>
    <col min="3" max="3" width="13.1796875" style="105" customWidth="1"/>
    <col min="4" max="5" width="18.453125" style="91" customWidth="1"/>
    <col min="6" max="6" width="13.26953125" style="91" customWidth="1"/>
    <col min="7" max="7" width="10.54296875" style="91" customWidth="1"/>
    <col min="8" max="16384" width="9.1796875" style="91"/>
  </cols>
  <sheetData>
    <row r="2" spans="2:7" ht="14.5">
      <c r="B2" s="32" t="s">
        <v>16</v>
      </c>
      <c r="C2" s="63"/>
      <c r="D2" s="64"/>
      <c r="E2" s="64"/>
      <c r="F2" s="184"/>
      <c r="G2" s="190" t="s">
        <v>114</v>
      </c>
    </row>
    <row r="4" spans="2:7" ht="10.5">
      <c r="B4" s="49" t="s">
        <v>40</v>
      </c>
      <c r="C4" s="51"/>
      <c r="D4" s="51" t="str">
        <f>'Output | Final Decision tables'!C7</f>
        <v>Urban</v>
      </c>
      <c r="E4" s="51" t="str">
        <f>'Output | Final Decision tables'!D7</f>
        <v>Short rural</v>
      </c>
      <c r="F4" s="185"/>
    </row>
    <row r="5" spans="2:7" s="37" customFormat="1" ht="13">
      <c r="B5" s="56" t="s">
        <v>109</v>
      </c>
      <c r="C5" s="57" t="s">
        <v>62</v>
      </c>
      <c r="D5" s="164">
        <f>'STPIS inputs'!D11</f>
        <v>35780</v>
      </c>
      <c r="E5" s="164">
        <f>'STPIS inputs'!E11</f>
        <v>35780</v>
      </c>
      <c r="F5" s="186"/>
    </row>
    <row r="6" spans="2:7" s="37" customFormat="1" ht="13">
      <c r="B6" s="56" t="s">
        <v>47</v>
      </c>
      <c r="C6" s="57" t="s">
        <v>63</v>
      </c>
      <c r="D6" s="164">
        <f>'STPIS inputs'!D8</f>
        <v>7934292.9332146384</v>
      </c>
      <c r="E6" s="164">
        <f>'STPIS inputs'!E8</f>
        <v>793358.78874818969</v>
      </c>
      <c r="F6" s="186"/>
    </row>
    <row r="7" spans="2:7" s="37" customFormat="1">
      <c r="B7" s="56" t="s">
        <v>48</v>
      </c>
      <c r="C7" s="57" t="s">
        <v>2</v>
      </c>
      <c r="D7" s="165">
        <f>'STPIS inputs'!$D$5</f>
        <v>538689882.43114972</v>
      </c>
      <c r="E7" s="165">
        <f>'STPIS inputs'!$D$5</f>
        <v>538689882.43114972</v>
      </c>
      <c r="F7" s="187"/>
    </row>
    <row r="8" spans="2:7" s="37" customFormat="1" ht="13">
      <c r="B8" s="56" t="s">
        <v>4</v>
      </c>
      <c r="C8" s="57" t="s">
        <v>65</v>
      </c>
      <c r="D8" s="166">
        <f>+'Annual performance and targets'!I28</f>
        <v>27.854922437725516</v>
      </c>
      <c r="E8" s="166">
        <f>+'Annual performance and targets'!I29</f>
        <v>78.33166361105684</v>
      </c>
      <c r="F8" s="188"/>
    </row>
    <row r="9" spans="2:7" s="37" customFormat="1" ht="13">
      <c r="B9" s="56" t="s">
        <v>3</v>
      </c>
      <c r="C9" s="57" t="s">
        <v>64</v>
      </c>
      <c r="D9" s="166">
        <f>+'Annual performance and targets'!R28</f>
        <v>0.37578693477164365</v>
      </c>
      <c r="E9" s="166">
        <f>+'Annual performance and targets'!R29</f>
        <v>1.1202582481468901</v>
      </c>
      <c r="F9" s="188"/>
    </row>
    <row r="10" spans="2:7" s="37" customFormat="1">
      <c r="B10" s="56" t="s">
        <v>108</v>
      </c>
      <c r="C10" s="57" t="s">
        <v>107</v>
      </c>
      <c r="D10" s="166">
        <f>'Annual performance and targets'!AA28</f>
        <v>0.85013992524652093</v>
      </c>
      <c r="E10" s="166">
        <f>'Annual performance and targets'!AA29</f>
        <v>2.216868681724006</v>
      </c>
      <c r="F10" s="188"/>
    </row>
    <row r="11" spans="2:7" s="37" customFormat="1" ht="13">
      <c r="B11" s="56" t="s">
        <v>54</v>
      </c>
      <c r="C11" s="57" t="s">
        <v>66</v>
      </c>
      <c r="D11" s="80">
        <f>$I$50</f>
        <v>1.5</v>
      </c>
      <c r="E11" s="80">
        <f>$I$50</f>
        <v>1.5</v>
      </c>
      <c r="F11" s="119"/>
    </row>
    <row r="12" spans="2:7" s="37" customFormat="1">
      <c r="B12" s="56" t="s">
        <v>52</v>
      </c>
      <c r="C12" s="57" t="s">
        <v>5</v>
      </c>
      <c r="D12" s="163">
        <f>'STPIS inputs'!$D$13</f>
        <v>2.1567217828901697E-3</v>
      </c>
      <c r="E12" s="163">
        <f>'STPIS inputs'!$D$13</f>
        <v>2.1567217828901697E-3</v>
      </c>
      <c r="F12" s="189"/>
    </row>
    <row r="13" spans="2:7" s="37" customFormat="1">
      <c r="B13" s="56" t="s">
        <v>17</v>
      </c>
      <c r="C13" s="57"/>
      <c r="D13" s="81">
        <f>((D5*(1+D12)*(1-(1/(1+D11)))*D6)/D7)/(365.25*24*60)*100</f>
        <v>6.0248179073583139E-2</v>
      </c>
      <c r="E13" s="81">
        <f>((E5*(1+E12)*(1-(1/(1+E11)))*E6)/E7)/(365.25*24*60)*100</f>
        <v>6.0242825386503671E-3</v>
      </c>
      <c r="F13" s="222"/>
    </row>
    <row r="14" spans="2:7" s="37" customFormat="1">
      <c r="B14" s="56" t="s">
        <v>18</v>
      </c>
      <c r="C14" s="57"/>
      <c r="D14" s="81">
        <f>((((((D5*(1+D12))/(1+D11))*D6))/D7)/(365.25*24*60))*(D8/D9)*100</f>
        <v>2.9772338166904091</v>
      </c>
      <c r="E14" s="81">
        <f>((((((E5*(1+E12))/(1+E11))*E6))/E7)/(365.25*24*60))*(E8/E9)*100</f>
        <v>0.28082338698606263</v>
      </c>
      <c r="F14" s="222"/>
    </row>
    <row r="15" spans="2:7" s="37" customFormat="1">
      <c r="B15" s="56" t="s">
        <v>113</v>
      </c>
      <c r="C15" s="57"/>
      <c r="D15" s="81">
        <f>D14*$N$55</f>
        <v>0.23817870533523272</v>
      </c>
      <c r="E15" s="81">
        <f>E14*$N$55</f>
        <v>2.2465870958885012E-2</v>
      </c>
      <c r="F15" s="222"/>
    </row>
    <row r="18" spans="2:3">
      <c r="C18" s="159"/>
    </row>
    <row r="19" spans="2:3">
      <c r="C19" s="159"/>
    </row>
    <row r="21" spans="2:3">
      <c r="B21" s="160"/>
    </row>
    <row r="22" spans="2:3">
      <c r="B22" s="160"/>
    </row>
    <row r="24" spans="2:3">
      <c r="B24" s="161"/>
    </row>
    <row r="25" spans="2:3">
      <c r="B25" s="160"/>
    </row>
    <row r="26" spans="2:3">
      <c r="B26" s="162"/>
    </row>
    <row r="50" spans="9:14">
      <c r="I50" s="192">
        <v>1.5</v>
      </c>
    </row>
    <row r="55" spans="9:14">
      <c r="N55" s="193">
        <v>0.08</v>
      </c>
    </row>
  </sheetData>
  <mergeCells count="1">
    <mergeCell ref="F13:F15"/>
  </mergeCells>
  <hyperlinks>
    <hyperlink ref="G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796875" defaultRowHeight="14"/>
  <cols>
    <col min="1" max="2" width="9.1796875" style="31"/>
    <col min="3" max="3" width="17" style="31" bestFit="1" customWidth="1"/>
    <col min="4" max="16384" width="9.1796875" style="31"/>
  </cols>
  <sheetData>
    <row r="1" spans="1:34" s="30" customFormat="1">
      <c r="A1" s="27"/>
      <c r="B1" s="7" t="s">
        <v>31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0.5">
      <c r="B3" s="15" t="s">
        <v>45</v>
      </c>
      <c r="C3" s="16" t="s">
        <v>32</v>
      </c>
      <c r="D3" s="16" t="s">
        <v>33</v>
      </c>
      <c r="E3" s="17"/>
      <c r="F3" s="18"/>
      <c r="G3" s="19"/>
      <c r="H3" s="14"/>
    </row>
    <row r="4" spans="1:34" s="9" customFormat="1" ht="10">
      <c r="B4" s="10"/>
      <c r="D4" s="9" t="s">
        <v>34</v>
      </c>
      <c r="E4" s="11"/>
      <c r="F4" s="12"/>
      <c r="G4" s="13"/>
      <c r="H4" s="14"/>
    </row>
    <row r="5" spans="1:34" s="9" customFormat="1" ht="10">
      <c r="B5" s="26">
        <v>45168</v>
      </c>
      <c r="C5" s="20" t="s">
        <v>41</v>
      </c>
      <c r="D5" s="9" t="s">
        <v>43</v>
      </c>
      <c r="E5" s="11"/>
      <c r="F5" s="12"/>
      <c r="G5" s="13"/>
      <c r="H5" s="14"/>
    </row>
    <row r="6" spans="1:34">
      <c r="B6" s="26">
        <v>45168</v>
      </c>
      <c r="C6" s="20" t="s">
        <v>42</v>
      </c>
      <c r="D6" s="9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Number xmlns="8f493e50-f4fa-4672-bec5-6587e791f720">R0002365121</Record_x0020_Number>
    <TaxCatchAll xmlns="8f493e50-f4fa-4672-bec5-6587e791f720">
      <Value>65</Value>
      <Value>59</Value>
      <Value>16</Value>
    </TaxCatchAll>
    <Business_x0020_Groups xmlns="8f493e50-f4fa-4672-bec5-6587e791f720">Operations</Business_x0020_Groups>
    <Person_x0020_or_x0020_Group xmlns="cdf0dde9-ebef-4e0b-9cde-c91850d92f2d">
      <UserInfo>
        <DisplayName>William Godwin</DisplayName>
        <AccountId>3592</AccountId>
        <AccountType/>
      </UserInfo>
    </Person_x0020_or_x0020_Group>
    <Published_x0020_Externally xmlns="8f493e50-f4fa-4672-bec5-6587e791f720">Yes</Published_x0020_Externally>
    <Document_x0020_Category xmlns="8f493e50-f4fa-4672-bec5-6587e791f720" xsi:nil="true"/>
    <de1a554c53354888900e11ba3ff10e9e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Models and Pricing Tariffs</TermName>
          <TermId xmlns="http://schemas.microsoft.com/office/infopath/2007/PartnerControls">2d578944-a888-48cf-9157-a3f07df87eae</TermId>
        </TermInfo>
      </Terms>
    </de1a554c53354888900e11ba3ff10e9e>
    <Attachment_x0020_Category xmlns="8f493e50-f4fa-4672-bec5-6587e791f720">Primary Attachment</Attachment_x0020_Category>
    <m5487619c60d4cdf829961d62f0a4c8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Revenue Proposal</TermName>
          <TermId xmlns="http://schemas.microsoft.com/office/infopath/2007/PartnerControls">f3980111-814c-44b7-9aa4-fe076fe6d80d</TermId>
        </TermInfo>
      </Terms>
    </m5487619c60d4cdf829961d62f0a4c8b>
    <Document_x0020_Status xmlns="cdf0dde9-ebef-4e0b-9cde-c91850d92f2d">Draft</Document_x0020_Status>
    <Confidential1 xmlns="8f493e50-f4fa-4672-bec5-6587e791f720">No</Confidential1>
    <Attachment_x0020_ID xmlns="8f493e50-f4fa-4672-bec5-6587e791f720" xsi:nil="true"/>
    <d515513357cb4f278bf18cadf524fc2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Transmission</TermName>
          <TermId xmlns="http://schemas.microsoft.com/office/infopath/2007/PartnerControls">057fc33d-fae5-41b9-87e5-dc1e3aa504ba</TermId>
        </TermInfo>
      </Terms>
    </d515513357cb4f278bf18cadf524fc2b>
  </documentManagement>
</p:properties>
</file>

<file path=customXml/item2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3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eset 19 Document" ma:contentTypeID="0x01010001E02CCC3410964E993CCD35D068A93E020400959CD9CB7D29F2488657205585980DC8" ma:contentTypeVersion="11" ma:contentTypeDescription="" ma:contentTypeScope="" ma:versionID="3b9cbdfcd76ece5c8c8a993b7b6caf03">
  <xsd:schema xmlns:xsd="http://www.w3.org/2001/XMLSchema" xmlns:xs="http://www.w3.org/2001/XMLSchema" xmlns:p="http://schemas.microsoft.com/office/2006/metadata/properties" xmlns:ns1="8f493e50-f4fa-4672-bec5-6587e791f720" xmlns:ns3="cdf0dde9-ebef-4e0b-9cde-c91850d92f2d" targetNamespace="http://schemas.microsoft.com/office/2006/metadata/properties" ma:root="true" ma:fieldsID="61f92c5bded25d940e0c44e2f11605e2" ns1:_="" ns3:_="">
    <xsd:import namespace="8f493e50-f4fa-4672-bec5-6587e791f720"/>
    <xsd:import namespace="cdf0dde9-ebef-4e0b-9cde-c91850d92f2d"/>
    <xsd:element name="properties">
      <xsd:complexType>
        <xsd:sequence>
          <xsd:element name="documentManagement">
            <xsd:complexType>
              <xsd:all>
                <xsd:element ref="ns1:Attachment_x0020_ID" minOccurs="0"/>
                <xsd:element ref="ns1:Record_x0020_Number" minOccurs="0"/>
                <xsd:element ref="ns3:Document_x0020_Status" minOccurs="0"/>
                <xsd:element ref="ns1:Confidential1" minOccurs="0"/>
                <xsd:element ref="ns1:Business_x0020_Groups" minOccurs="0"/>
                <xsd:element ref="ns1:Attachment_x0020_Category"/>
                <xsd:element ref="ns1:Document_x0020_Category" minOccurs="0"/>
                <xsd:element ref="ns1:Published_x0020_Externally" minOccurs="0"/>
                <xsd:element ref="ns3:Person_x0020_or_x0020_Group" minOccurs="0"/>
                <xsd:element ref="ns1:d515513357cb4f278bf18cadf524fc2b" minOccurs="0"/>
                <xsd:element ref="ns1:TaxCatchAllLabel" minOccurs="0"/>
                <xsd:element ref="ns1:m5487619c60d4cdf829961d62f0a4c8b" minOccurs="0"/>
                <xsd:element ref="ns1:TaxCatchAll" minOccurs="0"/>
                <xsd:element ref="ns1:de1a554c53354888900e11ba3ff10e9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93e50-f4fa-4672-bec5-6587e791f720" elementFormDefault="qualified">
    <xsd:import namespace="http://schemas.microsoft.com/office/2006/documentManagement/types"/>
    <xsd:import namespace="http://schemas.microsoft.com/office/infopath/2007/PartnerControls"/>
    <xsd:element name="Attachment_x0020_ID" ma:index="0" nillable="true" ma:displayName="Attachment ID" ma:description="E.g. TN123, TN123T%, TN123P, TN123T" ma:internalName="Attachment_x0020_ID">
      <xsd:simpleType>
        <xsd:restriction base="dms:Text">
          <xsd:maxLength value="255"/>
        </xsd:restriction>
      </xsd:simpleType>
    </xsd:element>
    <xsd:element name="Record_x0020_Number" ma:index="3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Confidential1" ma:index="8" nillable="true" ma:displayName="Confidential" ma:default="No" ma:format="RadioButtons" ma:internalName="Confidential1">
      <xsd:simpleType>
        <xsd:restriction base="dms:Choice">
          <xsd:enumeration value="Yes"/>
          <xsd:enumeration value="No"/>
        </xsd:restriction>
      </xsd:simpleType>
    </xsd:element>
    <xsd:element name="Business_x0020_Groups" ma:index="9" nillable="true" ma:displayName="Business Groups" ma:format="Dropdown" ma:internalName="Business_x0020_Groups">
      <xsd:simpleType>
        <xsd:restriction base="dms:Choice">
          <xsd:enumeration value="Finance"/>
          <xsd:enumeration value="Growth"/>
          <xsd:enumeration value="Governance"/>
          <xsd:enumeration value="Operations"/>
          <xsd:enumeration value="People"/>
          <xsd:enumeration value="Stakeholder"/>
          <xsd:enumeration value="Transformation, Strategy &amp; Digital"/>
        </xsd:restriction>
      </xsd:simpleType>
    </xsd:element>
    <xsd:element name="Attachment_x0020_Category" ma:index="10" ma:displayName="Attachment Category" ma:default="Primary Attachment" ma:format="Dropdown" ma:internalName="Attachment_x0020_Category">
      <xsd:simpleType>
        <xsd:restriction base="dms:Choice">
          <xsd:enumeration value="Primary Attachment"/>
          <xsd:enumeration value="Secondary Attachment"/>
          <xsd:enumeration value="Not applicable"/>
        </xsd:restriction>
      </xsd:simpleType>
    </xsd:element>
    <xsd:element name="Document_x0020_Category" ma:index="11" nillable="true" ma:displayName="Document Category" ma:format="Dropdown" ma:internalName="Document_x0020_Category">
      <xsd:simpleType>
        <xsd:restriction base="dms:Choice">
          <xsd:enumeration value="Overview"/>
          <xsd:enumeration value="Fact Sheet"/>
          <xsd:enumeration value="Submission"/>
          <xsd:enumeration value="Supporting Information"/>
          <xsd:enumeration value="Correspondence"/>
          <xsd:enumeration value="Presentation"/>
          <xsd:enumeration value="Strategy"/>
          <xsd:enumeration value="Not applicable"/>
          <xsd:enumeration value="Superseded"/>
        </xsd:restriction>
      </xsd:simpleType>
    </xsd:element>
    <xsd:element name="Published_x0020_Externally" ma:index="12" nillable="true" ma:displayName="Send to AER" ma:default="No" ma:format="RadioButtons" ma:internalName="Published_x0020_Externally">
      <xsd:simpleType>
        <xsd:restriction base="dms:Choice">
          <xsd:enumeration value="Yes"/>
          <xsd:enumeration value="No"/>
        </xsd:restriction>
      </xsd:simpleType>
    </xsd:element>
    <xsd:element name="d515513357cb4f278bf18cadf524fc2b" ma:index="15" nillable="true" ma:taxonomy="true" ma:internalName="d515513357cb4f278bf18cadf524fc2b" ma:taxonomyFieldName="Network" ma:displayName="Network" ma:default="" ma:fieldId="{d5155133-57cb-4f27-8bf1-8cadf524fc2b}" ma:sspId="ad4ba584-9f2e-4c1f-a403-05b05b3bfc09" ma:termSetId="ef65c028-b485-4826-ace0-e6ca04857ea0" ma:anchorId="2d6cdb2a-e191-4ee3-a7c5-b46afdb155e4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3910154b-12ea-4dcd-bebd-7986f904c7cd}" ma:internalName="TaxCatchAllLabel" ma:readOnly="true" ma:showField="CatchAllDataLabel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487619c60d4cdf829961d62f0a4c8b" ma:index="22" nillable="true" ma:taxonomy="true" ma:internalName="m5487619c60d4cdf829961d62f0a4c8b" ma:taxonomyFieldName="Determination_x0020_Activity" ma:displayName="Determination Activity" ma:default="16;#Revenue Proposal|f3980111-814c-44b7-9aa4-fe076fe6d80d" ma:fieldId="{65487619-c60d-4cdf-8299-61d62f0a4c8b}" ma:sspId="ad4ba584-9f2e-4c1f-a403-05b05b3bfc09" ma:termSetId="ef65c028-b485-4826-ace0-e6ca04857ea0" ma:anchorId="8c5389de-5c03-4935-a18a-40ceada24933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hidden="true" ma:list="{3910154b-12ea-4dcd-bebd-7986f904c7cd}" ma:internalName="TaxCatchAll" ma:showField="CatchAllData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1a554c53354888900e11ba3ff10e9e" ma:index="25" nillable="true" ma:taxonomy="true" ma:internalName="de1a554c53354888900e11ba3ff10e9e" ma:taxonomyFieldName="Determination_x0020_Category" ma:displayName="Determination Category" ma:default="55;#Supporting Documentation|54f61c4a-23b8-4acc-b5f4-9c145a97108c" ma:fieldId="{de1a554c-5335-4888-900e-11ba3ff10e9e}" ma:sspId="ad4ba584-9f2e-4c1f-a403-05b05b3bfc09" ma:termSetId="ef65c028-b485-4826-ace0-e6ca04857ea0" ma:anchorId="ef143162-b2b2-4c33-83f2-f70325f64e1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dde9-ebef-4e0b-9cde-c91850d92f2d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6" nillable="true" ma:displayName="Document Status" ma:default="Draft" ma:format="RadioButtons" ma:internalName="Document_x0020_Status">
      <xsd:simpleType>
        <xsd:restriction base="dms:Choice">
          <xsd:enumeration value="Draft"/>
          <xsd:enumeration value="Final"/>
          <xsd:enumeration value="Superseded"/>
        </xsd:restriction>
      </xsd:simpleType>
    </xsd:element>
    <xsd:element name="Person_x0020_or_x0020_Group" ma:index="13" nillable="true" ma:displayName="Person or Group" ma:list="UserInfo" ma:SearchPeopleOnly="false" ma:SharePointGroup="0" ma:internalName="Person_x0020_or_x0020_Group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72E08-CC30-4362-88AA-B9EC68F20F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f493e50-f4fa-4672-bec5-6587e791f720"/>
    <ds:schemaRef ds:uri="http://purl.org/dc/elements/1.1/"/>
    <ds:schemaRef ds:uri="http://schemas.microsoft.com/office/2006/metadata/properties"/>
    <ds:schemaRef ds:uri="cdf0dde9-ebef-4e0b-9cde-c91850d92f2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7D60B2-3A6A-43D6-ADDA-D4839F2B309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customXml/itemProps4.xml><?xml version="1.0" encoding="utf-8"?>
<ds:datastoreItem xmlns:ds="http://schemas.openxmlformats.org/officeDocument/2006/customXml" ds:itemID="{E7643B0A-1560-4EEA-84B1-095E5E1A58E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FE2F6CE-1DF0-4E9F-A53C-2006F4D59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493e50-f4fa-4672-bec5-6587e791f720"/>
    <ds:schemaRef ds:uri="cdf0dde9-ebef-4e0b-9cde-c91850d92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Cover</vt:lpstr>
      <vt:lpstr>Output | Final Decision tables</vt:lpstr>
      <vt:lpstr>STPIS inputs</vt:lpstr>
      <vt:lpstr>Target adjustments</vt:lpstr>
      <vt:lpstr>Annual performance and targets</vt:lpstr>
      <vt:lpstr>Incentive rates calc</vt:lpstr>
      <vt:lpstr>Change log</vt:lpstr>
      <vt:lpstr>'Target adjustments'!energy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 Altai</dc:creator>
  <cp:lastModifiedBy>Scott Hall</cp:lastModifiedBy>
  <dcterms:created xsi:type="dcterms:W3CDTF">2021-10-04T03:52:19Z</dcterms:created>
  <dcterms:modified xsi:type="dcterms:W3CDTF">2026-04-22T07:02:28Z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0x01010001E02CCC3410964E993CCD35D068A93E020400959CD9CB7D29F2488657205585980DC8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{813152b7-69c2-464f-b7a1-05afac6a8a9a}</vt:lpwstr>
  </property>
  <property fmtid="{D5CDD505-2E9C-101B-9397-08002B2CF9AE}" pid="5" name="RecordPoint_ActiveItemListId">
    <vt:lpwstr>{cdf0dde9-ebef-4e0b-9cde-c91850d92f2d}</vt:lpwstr>
  </property>
  <property fmtid="{D5CDD505-2E9C-101B-9397-08002B2CF9AE}" pid="6" name="RecordPoint_ActiveItemUniqueId">
    <vt:lpwstr>{54e45a2b-5305-435a-b38e-cdb4050c6290}</vt:lpwstr>
  </property>
  <property fmtid="{D5CDD505-2E9C-101B-9397-08002B2CF9AE}" pid="7" name="RecordPoint_ActiveItemWebId">
    <vt:lpwstr>{0e6c1e0d-ce9b-4acb-bd7f-e21f20d4c138}</vt:lpwstr>
  </property>
  <property fmtid="{D5CDD505-2E9C-101B-9397-08002B2CF9AE}" pid="8" name="AP Year">
    <vt:lpwstr/>
  </property>
  <property fmtid="{D5CDD505-2E9C-101B-9397-08002B2CF9AE}" pid="9" name="Primary Audience">
    <vt:lpwstr/>
  </property>
  <property fmtid="{D5CDD505-2E9C-101B-9397-08002B2CF9AE}" pid="10" name="Network">
    <vt:lpwstr>65;#Transmission|057fc33d-fae5-41b9-87e5-dc1e3aa504ba</vt:lpwstr>
  </property>
  <property fmtid="{D5CDD505-2E9C-101B-9397-08002B2CF9AE}" pid="11" name="AP Category">
    <vt:lpwstr/>
  </property>
  <property fmtid="{D5CDD505-2E9C-101B-9397-08002B2CF9AE}" pid="12" name="AP Other">
    <vt:lpwstr/>
  </property>
  <property fmtid="{D5CDD505-2E9C-101B-9397-08002B2CF9AE}" pid="13" name="RecordPoint_RecordNumberSubmitted">
    <vt:lpwstr>R0002365121</vt:lpwstr>
  </property>
  <property fmtid="{D5CDD505-2E9C-101B-9397-08002B2CF9AE}" pid="14" name="RecordPoint_SubmissionCompleted">
    <vt:lpwstr>2023-01-24T08:50:08.3374086+11:00</vt:lpwstr>
  </property>
  <property fmtid="{D5CDD505-2E9C-101B-9397-08002B2CF9AE}" pid="15" name="Determination Category">
    <vt:lpwstr>59;#Models and Pricing Tariffs|2d578944-a888-48cf-9157-a3f07df87eae</vt:lpwstr>
  </property>
  <property fmtid="{D5CDD505-2E9C-101B-9397-08002B2CF9AE}" pid="16" name="Determination Activity">
    <vt:lpwstr>16;#Revenue Proposal|f3980111-814c-44b7-9aa4-fe076fe6d80d</vt:lpwstr>
  </property>
  <property fmtid="{D5CDD505-2E9C-101B-9397-08002B2CF9AE}" pid="17" name="RecordPoint_SubmissionDate">
    <vt:lpwstr/>
  </property>
  <property fmtid="{D5CDD505-2E9C-101B-9397-08002B2CF9AE}" pid="18" name="RecordPoint_RecordFormat">
    <vt:lpwstr/>
  </property>
  <property fmtid="{D5CDD505-2E9C-101B-9397-08002B2CF9AE}" pid="19" name="RecordPoint_ActiveItemMoved">
    <vt:lpwstr/>
  </property>
  <property fmtid="{D5CDD505-2E9C-101B-9397-08002B2CF9AE}" pid="20" name="MSIP_Label_d9d5a995-dfdf-4407-9a97-edbbc68c9f53_Enabled">
    <vt:lpwstr>true</vt:lpwstr>
  </property>
  <property fmtid="{D5CDD505-2E9C-101B-9397-08002B2CF9AE}" pid="21" name="MSIP_Label_d9d5a995-dfdf-4407-9a97-edbbc68c9f53_SetDate">
    <vt:lpwstr>2024-06-25T23:38:38Z</vt:lpwstr>
  </property>
  <property fmtid="{D5CDD505-2E9C-101B-9397-08002B2CF9AE}" pid="22" name="MSIP_Label_d9d5a995-dfdf-4407-9a97-edbbc68c9f53_Method">
    <vt:lpwstr>Privileged</vt:lpwstr>
  </property>
  <property fmtid="{D5CDD505-2E9C-101B-9397-08002B2CF9AE}" pid="23" name="MSIP_Label_d9d5a995-dfdf-4407-9a97-edbbc68c9f53_Name">
    <vt:lpwstr>OFFICIAL</vt:lpwstr>
  </property>
  <property fmtid="{D5CDD505-2E9C-101B-9397-08002B2CF9AE}" pid="24" name="MSIP_Label_d9d5a995-dfdf-4407-9a97-edbbc68c9f53_SiteId">
    <vt:lpwstr>b33e9e1a-e443-4edd-9789-24bed26d38d6</vt:lpwstr>
  </property>
  <property fmtid="{D5CDD505-2E9C-101B-9397-08002B2CF9AE}" pid="25" name="MSIP_Label_d9d5a995-dfdf-4407-9a97-edbbc68c9f53_ActionId">
    <vt:lpwstr>191e0bff-8823-4239-aab0-3c23069629cb</vt:lpwstr>
  </property>
  <property fmtid="{D5CDD505-2E9C-101B-9397-08002B2CF9AE}" pid="26" name="MSIP_Label_d9d5a995-dfdf-4407-9a97-edbbc68c9f53_ContentBits">
    <vt:lpwstr>0</vt:lpwstr>
  </property>
</Properties>
</file>